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omments1.xml" ContentType="application/vnd.openxmlformats-officedocument.spreadsheetml.comment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6.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mc:AlternateContent xmlns:mc="http://schemas.openxmlformats.org/markup-compatibility/2006">
    <mc:Choice Requires="x15">
      <x15ac:absPath xmlns:x15ac="http://schemas.microsoft.com/office/spreadsheetml/2010/11/ac" url="C:\Users\ADMIN\Downloads\"/>
    </mc:Choice>
  </mc:AlternateContent>
  <xr:revisionPtr revIDLastSave="0" documentId="13_ncr:1_{BFE9D74E-12C2-40A0-AAEA-99DE7A4B1780}" xr6:coauthVersionLast="47" xr6:coauthVersionMax="47" xr10:uidLastSave="{00000000-0000-0000-0000-000000000000}"/>
  <bookViews>
    <workbookView xWindow="-98" yWindow="-98" windowWidth="21795" windowHeight="13695" activeTab="2" xr2:uid="{00000000-000D-0000-FFFF-FFFF00000000}"/>
  </bookViews>
  <sheets>
    <sheet name="Ratio" sheetId="28" r:id="rId1"/>
    <sheet name="BOF-EAF" sheetId="29" r:id="rId2"/>
    <sheet name="IS HPG (bull)" sheetId="26" r:id="rId3"/>
    <sheet name="IS HPG (bear)" sheetId="25" r:id="rId4"/>
    <sheet name="Base case đã fix" sheetId="4" r:id="rId5"/>
    <sheet name="IS HPG (base)" sheetId="1" r:id="rId6"/>
    <sheet name="BS HPG" sheetId="2" r:id="rId7"/>
    <sheet name="WACC" sheetId="27" r:id="rId8"/>
    <sheet name="CFS HPG" sheetId="11" r:id="rId9"/>
    <sheet name="COGS" sheetId="5" r:id="rId10"/>
    <sheet name="Bull case " sheetId="24" r:id="rId11"/>
    <sheet name="IS" sheetId="21" state="hidden" r:id="rId12"/>
    <sheet name="Bear case" sheetId="23" r:id="rId13"/>
    <sheet name="Close price" sheetId="18" r:id="rId14"/>
    <sheet name="Capex" sheetId="3" r:id="rId15"/>
    <sheet name="Debt waterfall" sheetId="6" r:id="rId16"/>
    <sheet name="(Bỏ đi) COGS" sheetId="7" state="hidden" r:id="rId17"/>
    <sheet name="BS" sheetId="8" state="hidden" r:id="rId18"/>
    <sheet name="Sale pro" sheetId="9" state="hidden" r:id="rId19"/>
  </sheets>
  <externalReferences>
    <externalReference r:id="rId20"/>
    <externalReference r:id="rId21"/>
    <externalReference r:id="rId22"/>
    <externalReference r:id="rId23"/>
    <externalReference r:id="rId24"/>
    <externalReference r:id="rId25"/>
  </externalReferences>
  <definedNames>
    <definedName name="ExternalData_1" localSheetId="17">BS!$A:$I</definedName>
    <definedName name="ExternalData_1" localSheetId="5">'IS HPG (base)'!$A$1:$F$79</definedName>
    <definedName name="ExternalData_1" localSheetId="3">'IS HPG (bear)'!$A$1:$F$80</definedName>
    <definedName name="ExternalData_1" localSheetId="2">'IS HPG (bull)'!$A$1:$F$80</definedName>
    <definedName name="Google_Sheet_Link_2077716119_2039961361" localSheetId="3" hidden="1">ExternalData_1</definedName>
    <definedName name="Google_Sheet_Link_2077716119_2039961361" localSheetId="2" hidden="1">BS!ExternalData_1</definedName>
    <definedName name="Google_Sheet_Link_2077716119_2039961361" hidden="1">BS!ExternalData_1</definedName>
    <definedName name="Google_Sheet_Link_966639385_1069397545" localSheetId="3" hidden="1">#N/A</definedName>
    <definedName name="Google_Sheet_Link_966639385_1069397545" localSheetId="2" hidden="1">#N/A</definedName>
    <definedName name="Google_Sheet_Link_966639385_1069397545" hidden="1">BS!ExternalData_1</definedName>
    <definedName name="Z_D57A4A46_372C_4701_B41D_F1044D1CF77B_.wvu.FilterData" localSheetId="4" hidden="1">'Base case đã fix'!$D$9:$W$11</definedName>
  </definedNames>
  <calcPr calcId="191029"/>
  <customWorkbookViews>
    <customWorkbookView name="Bộ lọc 1" guid="{D57A4A46-372C-4701-B41D-F1044D1CF77B}" maximized="1" windowWidth="0" windowHeight="0" activeSheetId="0"/>
  </customWorkbookViews>
</workbook>
</file>

<file path=xl/calcChain.xml><?xml version="1.0" encoding="utf-8"?>
<calcChain xmlns="http://schemas.openxmlformats.org/spreadsheetml/2006/main">
  <c r="N110" i="1" l="1"/>
  <c r="G188" i="1"/>
  <c r="G189" i="1"/>
  <c r="G190" i="1"/>
  <c r="G184" i="1"/>
  <c r="G185" i="1"/>
  <c r="G186" i="1"/>
  <c r="G187" i="1"/>
  <c r="G160" i="1"/>
  <c r="G161" i="1"/>
  <c r="G162" i="1"/>
  <c r="G163" i="1"/>
  <c r="M163" i="1"/>
  <c r="J163" i="1"/>
  <c r="H163" i="1"/>
  <c r="G157" i="1"/>
  <c r="G153" i="1"/>
  <c r="G154" i="1"/>
  <c r="G155" i="1"/>
  <c r="G156" i="1"/>
  <c r="G158" i="1"/>
  <c r="G159" i="1"/>
  <c r="I163" i="1"/>
  <c r="K163" i="1"/>
  <c r="L163" i="1"/>
  <c r="N163" i="1"/>
  <c r="Z3" i="4"/>
  <c r="AD40" i="4" s="1"/>
  <c r="Z2" i="4"/>
  <c r="AC9" i="4" s="1"/>
  <c r="H183" i="1"/>
  <c r="I183" i="1"/>
  <c r="L183" i="1"/>
  <c r="M183" i="1"/>
  <c r="N183" i="1"/>
  <c r="K183" i="1"/>
  <c r="AB20" i="4"/>
  <c r="AC20" i="4" s="1"/>
  <c r="AD20" i="4" s="1"/>
  <c r="AA20" i="4"/>
  <c r="AC22" i="4"/>
  <c r="AD22" i="4"/>
  <c r="AA22" i="4"/>
  <c r="J183" i="1" l="1"/>
  <c r="AC40" i="4"/>
  <c r="AD43" i="4"/>
  <c r="AA40" i="4"/>
  <c r="AB40" i="4"/>
  <c r="AA43" i="4"/>
  <c r="AC43" i="4"/>
  <c r="AB43" i="4"/>
  <c r="AC37" i="4"/>
  <c r="AD37" i="4"/>
  <c r="AB37" i="4"/>
  <c r="AD32" i="4"/>
  <c r="AA37" i="4"/>
  <c r="AB32" i="4"/>
  <c r="AC32" i="4"/>
  <c r="AA32" i="4"/>
  <c r="AD15" i="4"/>
  <c r="AC15" i="4"/>
  <c r="AB15" i="4"/>
  <c r="AD26" i="4"/>
  <c r="AA15" i="4"/>
  <c r="AC26" i="4"/>
  <c r="AB26" i="4"/>
  <c r="AA26" i="4"/>
  <c r="AA9" i="4"/>
  <c r="AB9" i="4"/>
  <c r="AD9" i="4"/>
  <c r="T112" i="1"/>
  <c r="U112" i="1" s="1"/>
  <c r="R112" i="1"/>
  <c r="Q112" i="1" s="1"/>
  <c r="AF37" i="4" l="1"/>
  <c r="AF40" i="4"/>
  <c r="AF15" i="4"/>
  <c r="AF26" i="4"/>
  <c r="AF9" i="4"/>
  <c r="B170" i="1"/>
  <c r="AI37" i="4" l="1"/>
  <c r="O105" i="26"/>
  <c r="N105" i="26"/>
  <c r="M105" i="26"/>
  <c r="L105" i="26"/>
  <c r="K105" i="26"/>
  <c r="J101" i="26"/>
  <c r="I101" i="26"/>
  <c r="H101" i="26"/>
  <c r="G101" i="26"/>
  <c r="F101" i="26"/>
  <c r="E101" i="26"/>
  <c r="D101" i="26"/>
  <c r="J99" i="26"/>
  <c r="I99" i="26"/>
  <c r="H99" i="26"/>
  <c r="J97" i="26"/>
  <c r="I97" i="26"/>
  <c r="H97" i="26"/>
  <c r="G97" i="26"/>
  <c r="F97" i="26"/>
  <c r="E97" i="26"/>
  <c r="D97" i="26"/>
  <c r="C97" i="26"/>
  <c r="O105" i="25"/>
  <c r="N105" i="25"/>
  <c r="M105" i="25"/>
  <c r="L105" i="25"/>
  <c r="K105" i="25"/>
  <c r="J101" i="25"/>
  <c r="I101" i="25"/>
  <c r="H101" i="25"/>
  <c r="G101" i="25"/>
  <c r="F101" i="25"/>
  <c r="E101" i="25"/>
  <c r="D101" i="25"/>
  <c r="J99" i="25"/>
  <c r="I99" i="25"/>
  <c r="H99" i="25"/>
  <c r="J97" i="25"/>
  <c r="I97" i="25"/>
  <c r="H97" i="25"/>
  <c r="G97" i="25"/>
  <c r="F97" i="25"/>
  <c r="E97" i="25"/>
  <c r="D97" i="25"/>
  <c r="C97" i="25"/>
  <c r="I98" i="1"/>
  <c r="J98" i="1"/>
  <c r="H98" i="1"/>
  <c r="K120" i="1"/>
  <c r="B143" i="1" s="1"/>
  <c r="J122" i="1"/>
  <c r="I122" i="1"/>
  <c r="H122" i="1"/>
  <c r="G122" i="1"/>
  <c r="F122" i="1"/>
  <c r="C32" i="28" l="1"/>
  <c r="D32" i="28"/>
  <c r="E32" i="28"/>
  <c r="F32" i="28"/>
  <c r="B32" i="28"/>
  <c r="C31" i="28"/>
  <c r="D31" i="28"/>
  <c r="E31" i="28"/>
  <c r="F31" i="28"/>
  <c r="B31" i="28"/>
  <c r="C30" i="28"/>
  <c r="D30" i="28"/>
  <c r="E30" i="28"/>
  <c r="F30" i="28"/>
  <c r="B30" i="28"/>
  <c r="B137" i="1" l="1"/>
  <c r="B138" i="1" s="1"/>
  <c r="B162" i="1" s="1"/>
  <c r="C19" i="28" l="1"/>
  <c r="D19" i="28"/>
  <c r="E19" i="28"/>
  <c r="F19" i="28"/>
  <c r="B19" i="28"/>
  <c r="K17" i="2"/>
  <c r="C27" i="28" l="1"/>
  <c r="D27" i="28"/>
  <c r="E27" i="28"/>
  <c r="F27" i="28"/>
  <c r="B27" i="28"/>
  <c r="C20" i="28"/>
  <c r="D20" i="28"/>
  <c r="E20" i="28"/>
  <c r="F20" i="28"/>
  <c r="B20" i="28"/>
  <c r="C18" i="28"/>
  <c r="D18" i="28"/>
  <c r="E18" i="28"/>
  <c r="F18" i="28"/>
  <c r="B18" i="28"/>
  <c r="C16" i="28"/>
  <c r="D16" i="28"/>
  <c r="E16" i="28"/>
  <c r="F16" i="28"/>
  <c r="B16" i="28"/>
  <c r="C15" i="28"/>
  <c r="D15" i="28"/>
  <c r="E15" i="28"/>
  <c r="F15" i="28"/>
  <c r="B15" i="28"/>
  <c r="C13" i="28"/>
  <c r="D13" i="28"/>
  <c r="E13" i="28"/>
  <c r="F13" i="28"/>
  <c r="B13" i="28"/>
  <c r="C12" i="28"/>
  <c r="D12" i="28"/>
  <c r="E12" i="28"/>
  <c r="F12" i="28"/>
  <c r="B12" i="28"/>
  <c r="F73" i="1"/>
  <c r="B9" i="28" s="1"/>
  <c r="L10" i="28"/>
  <c r="L11" i="28"/>
  <c r="F18" i="1"/>
  <c r="B8" i="28" s="1"/>
  <c r="C7" i="28"/>
  <c r="D7" i="28"/>
  <c r="E7" i="28"/>
  <c r="F7" i="28"/>
  <c r="B7" i="28"/>
  <c r="C6" i="28"/>
  <c r="D6" i="28"/>
  <c r="E6" i="28"/>
  <c r="F6" i="28"/>
  <c r="B6" i="28"/>
  <c r="C3" i="28"/>
  <c r="D3" i="28"/>
  <c r="E3" i="28"/>
  <c r="F3" i="28"/>
  <c r="B3" i="28"/>
  <c r="D4" i="28" l="1"/>
  <c r="F4" i="28"/>
  <c r="C4" i="28"/>
  <c r="E4" i="28"/>
  <c r="E15" i="27" l="1"/>
  <c r="E14" i="27"/>
  <c r="C15" i="27"/>
  <c r="C14" i="27"/>
  <c r="E9" i="27"/>
  <c r="C9" i="27"/>
  <c r="C10" i="27"/>
  <c r="E10" i="27"/>
  <c r="D11" i="27"/>
  <c r="B149" i="1"/>
  <c r="J120" i="26"/>
  <c r="J120" i="25"/>
  <c r="N121" i="1"/>
  <c r="J119" i="26" l="1"/>
  <c r="J118" i="26"/>
  <c r="J119" i="25"/>
  <c r="J118" i="25"/>
  <c r="N119" i="1"/>
  <c r="N118" i="1"/>
  <c r="L104" i="1"/>
  <c r="M104" i="1"/>
  <c r="N104" i="1"/>
  <c r="O104" i="1"/>
  <c r="K104" i="1"/>
  <c r="I100" i="1"/>
  <c r="J100" i="1"/>
  <c r="H100" i="1"/>
  <c r="E100" i="1"/>
  <c r="F100" i="1"/>
  <c r="G100" i="1"/>
  <c r="D100" i="1"/>
  <c r="D96" i="1"/>
  <c r="E96" i="1"/>
  <c r="F96" i="1"/>
  <c r="G96" i="1"/>
  <c r="H96" i="1"/>
  <c r="I96" i="1"/>
  <c r="J96" i="1"/>
  <c r="C96" i="1"/>
  <c r="J89" i="26"/>
  <c r="J87" i="26"/>
  <c r="I87" i="26"/>
  <c r="H87" i="26"/>
  <c r="J84" i="26"/>
  <c r="I84" i="26"/>
  <c r="H84" i="26"/>
  <c r="G84" i="26"/>
  <c r="F84" i="26"/>
  <c r="E84" i="26"/>
  <c r="D84" i="26"/>
  <c r="C84" i="26"/>
  <c r="J77" i="26"/>
  <c r="I77" i="26"/>
  <c r="H77" i="26"/>
  <c r="G77" i="26"/>
  <c r="F77" i="26"/>
  <c r="E77" i="26"/>
  <c r="D77" i="26"/>
  <c r="C77" i="26"/>
  <c r="J75" i="26"/>
  <c r="I75" i="26"/>
  <c r="J74" i="26"/>
  <c r="I74" i="26"/>
  <c r="H74" i="26"/>
  <c r="G74" i="26"/>
  <c r="F74" i="26"/>
  <c r="E74" i="26"/>
  <c r="D74" i="26"/>
  <c r="C74" i="26"/>
  <c r="J73" i="26"/>
  <c r="I73" i="26"/>
  <c r="H73" i="26"/>
  <c r="G73" i="26"/>
  <c r="F73" i="26"/>
  <c r="E73" i="26"/>
  <c r="D73" i="26"/>
  <c r="J71" i="26"/>
  <c r="I71" i="26"/>
  <c r="H71" i="26"/>
  <c r="G71" i="26"/>
  <c r="K71" i="26" s="1"/>
  <c r="F71" i="26"/>
  <c r="E71" i="26"/>
  <c r="D71" i="26"/>
  <c r="C71" i="26"/>
  <c r="J69" i="26"/>
  <c r="I69" i="26"/>
  <c r="H69" i="26"/>
  <c r="G69" i="26"/>
  <c r="F69" i="26"/>
  <c r="E69" i="26"/>
  <c r="D69" i="26"/>
  <c r="C69" i="26"/>
  <c r="J63" i="26"/>
  <c r="I63" i="26"/>
  <c r="H63" i="26"/>
  <c r="G63" i="26"/>
  <c r="K63" i="26" s="1"/>
  <c r="F63" i="26"/>
  <c r="E63" i="26"/>
  <c r="D63" i="26"/>
  <c r="C63" i="26"/>
  <c r="J61" i="26"/>
  <c r="I61" i="26"/>
  <c r="H61" i="26"/>
  <c r="G61" i="26"/>
  <c r="K61" i="26" s="1"/>
  <c r="F61" i="26"/>
  <c r="E61" i="26"/>
  <c r="D61" i="26"/>
  <c r="C61" i="26"/>
  <c r="J58" i="26"/>
  <c r="I58" i="26"/>
  <c r="H58" i="26"/>
  <c r="G58" i="26"/>
  <c r="F58" i="26"/>
  <c r="E58" i="26"/>
  <c r="D58" i="26"/>
  <c r="J56" i="26"/>
  <c r="I56" i="26"/>
  <c r="H56" i="26"/>
  <c r="K56" i="26" s="1"/>
  <c r="G56" i="26"/>
  <c r="F56" i="26"/>
  <c r="E56" i="26"/>
  <c r="D56" i="26"/>
  <c r="C56" i="26"/>
  <c r="J54" i="26"/>
  <c r="I54" i="26"/>
  <c r="H54" i="26"/>
  <c r="K54" i="26" s="1"/>
  <c r="G54" i="26"/>
  <c r="F54" i="26"/>
  <c r="E54" i="26"/>
  <c r="D54" i="26"/>
  <c r="C54" i="26"/>
  <c r="J52" i="26"/>
  <c r="I52" i="26"/>
  <c r="H52" i="26"/>
  <c r="G52" i="26"/>
  <c r="F52" i="26"/>
  <c r="K52" i="26" s="1"/>
  <c r="E52" i="26"/>
  <c r="D52" i="26"/>
  <c r="C52" i="26"/>
  <c r="J49" i="26"/>
  <c r="I49" i="26"/>
  <c r="H49" i="26"/>
  <c r="G49" i="26"/>
  <c r="F49" i="26"/>
  <c r="E49" i="26"/>
  <c r="D49" i="26"/>
  <c r="J48" i="26"/>
  <c r="I48" i="26"/>
  <c r="H48" i="26"/>
  <c r="G48" i="26"/>
  <c r="F48" i="26"/>
  <c r="E48" i="26"/>
  <c r="D48" i="26"/>
  <c r="C48" i="26"/>
  <c r="J45" i="26"/>
  <c r="I45" i="26"/>
  <c r="H45" i="26"/>
  <c r="G45" i="26"/>
  <c r="F45" i="26"/>
  <c r="E45" i="26"/>
  <c r="K42" i="26"/>
  <c r="K41" i="26"/>
  <c r="K40" i="26"/>
  <c r="K39" i="26"/>
  <c r="J39" i="26"/>
  <c r="I39" i="26"/>
  <c r="H39" i="26"/>
  <c r="G39" i="26"/>
  <c r="F39" i="26"/>
  <c r="E39" i="26"/>
  <c r="K33" i="26"/>
  <c r="L33" i="26" s="1"/>
  <c r="J30" i="26"/>
  <c r="I30" i="26"/>
  <c r="H30" i="26"/>
  <c r="G30" i="26"/>
  <c r="F30" i="26"/>
  <c r="E30" i="26"/>
  <c r="D30" i="26"/>
  <c r="C30" i="26"/>
  <c r="J26" i="26"/>
  <c r="I26" i="26"/>
  <c r="I31" i="26" s="1"/>
  <c r="H26" i="26"/>
  <c r="G26" i="26"/>
  <c r="F26" i="26"/>
  <c r="E26" i="26"/>
  <c r="J24" i="26"/>
  <c r="I24" i="26"/>
  <c r="H24" i="26"/>
  <c r="H31" i="26" s="1"/>
  <c r="G24" i="26"/>
  <c r="G31" i="26" s="1"/>
  <c r="F24" i="26"/>
  <c r="F31" i="26" s="1"/>
  <c r="E24" i="26"/>
  <c r="J22" i="26"/>
  <c r="I22" i="26"/>
  <c r="H22" i="26"/>
  <c r="G22" i="26"/>
  <c r="F22" i="26"/>
  <c r="E22" i="26"/>
  <c r="J20" i="26"/>
  <c r="I20" i="26"/>
  <c r="H20" i="26"/>
  <c r="G20" i="26"/>
  <c r="F20" i="26"/>
  <c r="E20" i="26"/>
  <c r="J18" i="26"/>
  <c r="I18" i="26"/>
  <c r="H18" i="26"/>
  <c r="G18" i="26"/>
  <c r="F18" i="26"/>
  <c r="E18" i="26"/>
  <c r="D18" i="26"/>
  <c r="C18" i="26"/>
  <c r="J16" i="26"/>
  <c r="I16" i="26"/>
  <c r="H16" i="26"/>
  <c r="G16" i="26"/>
  <c r="F16" i="26"/>
  <c r="E16" i="26"/>
  <c r="D16" i="26"/>
  <c r="J15" i="26"/>
  <c r="I15" i="26"/>
  <c r="H15" i="26"/>
  <c r="G15" i="26"/>
  <c r="F15" i="26"/>
  <c r="E15" i="26"/>
  <c r="D15" i="26"/>
  <c r="C15" i="26"/>
  <c r="J11" i="26"/>
  <c r="I11" i="26"/>
  <c r="K11" i="26" s="1"/>
  <c r="H11" i="26"/>
  <c r="G11" i="26"/>
  <c r="F11" i="26"/>
  <c r="E11" i="26"/>
  <c r="D11" i="26"/>
  <c r="C11" i="26"/>
  <c r="J8" i="26"/>
  <c r="I8" i="26"/>
  <c r="H8" i="26"/>
  <c r="G8" i="26"/>
  <c r="F8" i="26"/>
  <c r="E8" i="26"/>
  <c r="D8" i="26"/>
  <c r="C8" i="26"/>
  <c r="J6" i="26"/>
  <c r="K6" i="26" s="1"/>
  <c r="I6" i="26"/>
  <c r="H6" i="26"/>
  <c r="G6" i="26"/>
  <c r="F6" i="26"/>
  <c r="E6" i="26"/>
  <c r="D6" i="26"/>
  <c r="C6" i="26"/>
  <c r="J4" i="26"/>
  <c r="I4" i="26"/>
  <c r="H4" i="26"/>
  <c r="G4" i="26"/>
  <c r="F4" i="26"/>
  <c r="E4" i="26"/>
  <c r="D4" i="26"/>
  <c r="C4" i="26"/>
  <c r="J3" i="26"/>
  <c r="I3" i="26"/>
  <c r="H3" i="26"/>
  <c r="G3" i="26"/>
  <c r="F3" i="26"/>
  <c r="E3" i="26"/>
  <c r="D3" i="26"/>
  <c r="J89" i="25"/>
  <c r="J87" i="25"/>
  <c r="I87" i="25"/>
  <c r="H87" i="25"/>
  <c r="J84" i="25"/>
  <c r="I84" i="25"/>
  <c r="H84" i="25"/>
  <c r="G84" i="25"/>
  <c r="F84" i="25"/>
  <c r="E84" i="25"/>
  <c r="D84" i="25"/>
  <c r="C84" i="25"/>
  <c r="J77" i="25"/>
  <c r="I77" i="25"/>
  <c r="H77" i="25"/>
  <c r="G77" i="25"/>
  <c r="F77" i="25"/>
  <c r="E77" i="25"/>
  <c r="D77" i="25"/>
  <c r="C77" i="25"/>
  <c r="J75" i="25"/>
  <c r="I75" i="25"/>
  <c r="J74" i="25"/>
  <c r="I74" i="25"/>
  <c r="H74" i="25"/>
  <c r="G74" i="25"/>
  <c r="F74" i="25"/>
  <c r="E74" i="25"/>
  <c r="D74" i="25"/>
  <c r="C74" i="25"/>
  <c r="J73" i="25"/>
  <c r="I73" i="25"/>
  <c r="H73" i="25"/>
  <c r="G73" i="25"/>
  <c r="F73" i="25"/>
  <c r="E73" i="25"/>
  <c r="D73" i="25"/>
  <c r="J71" i="25"/>
  <c r="I71" i="25"/>
  <c r="H71" i="25"/>
  <c r="G71" i="25"/>
  <c r="K71" i="25" s="1"/>
  <c r="F71" i="25"/>
  <c r="E71" i="25"/>
  <c r="D71" i="25"/>
  <c r="C71" i="25"/>
  <c r="J69" i="25"/>
  <c r="J98" i="25" s="1"/>
  <c r="I69" i="25"/>
  <c r="I98" i="25" s="1"/>
  <c r="H69" i="25"/>
  <c r="H98" i="25" s="1"/>
  <c r="H102" i="25" s="1"/>
  <c r="G69" i="25"/>
  <c r="G98" i="25" s="1"/>
  <c r="G102" i="25" s="1"/>
  <c r="F69" i="25"/>
  <c r="F98" i="25" s="1"/>
  <c r="F102" i="25" s="1"/>
  <c r="E69" i="25"/>
  <c r="E98" i="25" s="1"/>
  <c r="D69" i="25"/>
  <c r="D98" i="25" s="1"/>
  <c r="C69" i="25"/>
  <c r="C98" i="25" s="1"/>
  <c r="J63" i="25"/>
  <c r="I63" i="25"/>
  <c r="H63" i="25"/>
  <c r="L63" i="25" s="1"/>
  <c r="G63" i="25"/>
  <c r="K63" i="25" s="1"/>
  <c r="F63" i="25"/>
  <c r="E63" i="25"/>
  <c r="D63" i="25"/>
  <c r="C63" i="25"/>
  <c r="J61" i="25"/>
  <c r="I61" i="25"/>
  <c r="H61" i="25"/>
  <c r="G61" i="25"/>
  <c r="K61" i="25" s="1"/>
  <c r="F61" i="25"/>
  <c r="E61" i="25"/>
  <c r="D61" i="25"/>
  <c r="C61" i="25"/>
  <c r="J58" i="25"/>
  <c r="I58" i="25"/>
  <c r="H58" i="25"/>
  <c r="G58" i="25"/>
  <c r="F58" i="25"/>
  <c r="E58" i="25"/>
  <c r="D58" i="25"/>
  <c r="J56" i="25"/>
  <c r="I56" i="25"/>
  <c r="H56" i="25"/>
  <c r="K56" i="25" s="1"/>
  <c r="G56" i="25"/>
  <c r="F56" i="25"/>
  <c r="E56" i="25"/>
  <c r="D56" i="25"/>
  <c r="C56" i="25"/>
  <c r="J54" i="25"/>
  <c r="I54" i="25"/>
  <c r="H54" i="25"/>
  <c r="K54" i="25" s="1"/>
  <c r="G54" i="25"/>
  <c r="F54" i="25"/>
  <c r="E54" i="25"/>
  <c r="D54" i="25"/>
  <c r="C54" i="25"/>
  <c r="J52" i="25"/>
  <c r="I52" i="25"/>
  <c r="H52" i="25"/>
  <c r="G52" i="25"/>
  <c r="F52" i="25"/>
  <c r="E52" i="25"/>
  <c r="D52" i="25"/>
  <c r="C52" i="25"/>
  <c r="J49" i="25"/>
  <c r="I49" i="25"/>
  <c r="H49" i="25"/>
  <c r="G49" i="25"/>
  <c r="F49" i="25"/>
  <c r="E49" i="25"/>
  <c r="D49" i="25"/>
  <c r="J48" i="25"/>
  <c r="I48" i="25"/>
  <c r="H48" i="25"/>
  <c r="G48" i="25"/>
  <c r="F48" i="25"/>
  <c r="E48" i="25"/>
  <c r="D48" i="25"/>
  <c r="C48" i="25"/>
  <c r="J45" i="25"/>
  <c r="I45" i="25"/>
  <c r="H45" i="25"/>
  <c r="G45" i="25"/>
  <c r="F45" i="25"/>
  <c r="E45" i="25"/>
  <c r="K42" i="25"/>
  <c r="K41" i="25"/>
  <c r="K40" i="25"/>
  <c r="J39" i="25"/>
  <c r="I39" i="25"/>
  <c r="K39" i="25" s="1"/>
  <c r="H39" i="25"/>
  <c r="G39" i="25"/>
  <c r="F39" i="25"/>
  <c r="E39" i="25"/>
  <c r="K33" i="25"/>
  <c r="J30" i="25"/>
  <c r="I30" i="25"/>
  <c r="H30" i="25"/>
  <c r="G30" i="25"/>
  <c r="F30" i="25"/>
  <c r="E30" i="25"/>
  <c r="D30" i="25"/>
  <c r="C30" i="25"/>
  <c r="J26" i="25"/>
  <c r="J31" i="25" s="1"/>
  <c r="I26" i="25"/>
  <c r="I31" i="25" s="1"/>
  <c r="H26" i="25"/>
  <c r="H31" i="25" s="1"/>
  <c r="G26" i="25"/>
  <c r="F26" i="25"/>
  <c r="E26" i="25"/>
  <c r="J24" i="25"/>
  <c r="I24" i="25"/>
  <c r="H24" i="25"/>
  <c r="G24" i="25"/>
  <c r="F24" i="25"/>
  <c r="E24" i="25"/>
  <c r="J22" i="25"/>
  <c r="I22" i="25"/>
  <c r="H22" i="25"/>
  <c r="G22" i="25"/>
  <c r="F22" i="25"/>
  <c r="E22" i="25"/>
  <c r="J20" i="25"/>
  <c r="I20" i="25"/>
  <c r="H20" i="25"/>
  <c r="G20" i="25"/>
  <c r="F20" i="25"/>
  <c r="E20" i="25"/>
  <c r="J18" i="25"/>
  <c r="I18" i="25"/>
  <c r="H18" i="25"/>
  <c r="G18" i="25"/>
  <c r="F18" i="25"/>
  <c r="E18" i="25"/>
  <c r="D18" i="25"/>
  <c r="C18" i="25"/>
  <c r="J16" i="25"/>
  <c r="I16" i="25"/>
  <c r="H16" i="25"/>
  <c r="G16" i="25"/>
  <c r="F16" i="25"/>
  <c r="E16" i="25"/>
  <c r="D16" i="25"/>
  <c r="J15" i="25"/>
  <c r="I15" i="25"/>
  <c r="H15" i="25"/>
  <c r="G15" i="25"/>
  <c r="F15" i="25"/>
  <c r="E15" i="25"/>
  <c r="D15" i="25"/>
  <c r="C15" i="25"/>
  <c r="J11" i="25"/>
  <c r="I11" i="25"/>
  <c r="H11" i="25"/>
  <c r="G11" i="25"/>
  <c r="F11" i="25"/>
  <c r="E11" i="25"/>
  <c r="D11" i="25"/>
  <c r="C11" i="25"/>
  <c r="J8" i="25"/>
  <c r="I8" i="25"/>
  <c r="H8" i="25"/>
  <c r="K8" i="25" s="1"/>
  <c r="G8" i="25"/>
  <c r="F8" i="25"/>
  <c r="E8" i="25"/>
  <c r="D8" i="25"/>
  <c r="C8" i="25"/>
  <c r="J6" i="25"/>
  <c r="K6" i="25" s="1"/>
  <c r="L6" i="25" s="1"/>
  <c r="M6" i="25" s="1"/>
  <c r="N6" i="25" s="1"/>
  <c r="O6" i="25" s="1"/>
  <c r="I6" i="25"/>
  <c r="H6" i="25"/>
  <c r="G6" i="25"/>
  <c r="F6" i="25"/>
  <c r="E6" i="25"/>
  <c r="D6" i="25"/>
  <c r="C6" i="25"/>
  <c r="J4" i="25"/>
  <c r="I4" i="25"/>
  <c r="H4" i="25"/>
  <c r="G4" i="25"/>
  <c r="F4" i="25"/>
  <c r="E4" i="25"/>
  <c r="D4" i="25"/>
  <c r="C4" i="25"/>
  <c r="J3" i="25"/>
  <c r="I3" i="25"/>
  <c r="H3" i="25"/>
  <c r="G3" i="25"/>
  <c r="F3" i="25"/>
  <c r="E3" i="25"/>
  <c r="D3" i="25"/>
  <c r="AA4" i="23"/>
  <c r="L63" i="26" l="1"/>
  <c r="K8" i="26"/>
  <c r="K22" i="25"/>
  <c r="E31" i="25"/>
  <c r="E98" i="26"/>
  <c r="C98" i="26"/>
  <c r="D98" i="26"/>
  <c r="F31" i="25"/>
  <c r="L39" i="26"/>
  <c r="M39" i="26" s="1"/>
  <c r="L52" i="26"/>
  <c r="M52" i="26" s="1"/>
  <c r="F98" i="26"/>
  <c r="F102" i="26" s="1"/>
  <c r="E31" i="26"/>
  <c r="G31" i="25"/>
  <c r="K30" i="25"/>
  <c r="L61" i="26"/>
  <c r="M61" i="26" s="1"/>
  <c r="G98" i="26"/>
  <c r="G102" i="26" s="1"/>
  <c r="L56" i="26"/>
  <c r="H98" i="26"/>
  <c r="H102" i="26" s="1"/>
  <c r="J31" i="26"/>
  <c r="I98" i="26"/>
  <c r="K87" i="25"/>
  <c r="J98" i="26"/>
  <c r="K22" i="26"/>
  <c r="L22" i="26" s="1"/>
  <c r="L8" i="26"/>
  <c r="M33" i="26"/>
  <c r="N33" i="26" s="1"/>
  <c r="L45" i="26"/>
  <c r="L54" i="26"/>
  <c r="M54" i="26" s="1"/>
  <c r="M56" i="26"/>
  <c r="L6" i="26"/>
  <c r="M6" i="26" s="1"/>
  <c r="N6" i="26" s="1"/>
  <c r="N56" i="26"/>
  <c r="M63" i="26"/>
  <c r="L71" i="26"/>
  <c r="M71" i="26" s="1"/>
  <c r="L11" i="26"/>
  <c r="M11" i="26" s="1"/>
  <c r="K30" i="26"/>
  <c r="K45" i="26"/>
  <c r="L30" i="26"/>
  <c r="L42" i="26"/>
  <c r="L40" i="26"/>
  <c r="K87" i="26"/>
  <c r="L87" i="26" s="1"/>
  <c r="K11" i="25"/>
  <c r="L11" i="25" s="1"/>
  <c r="L42" i="25"/>
  <c r="M63" i="25"/>
  <c r="L56" i="25"/>
  <c r="L22" i="25"/>
  <c r="M22" i="25" s="1"/>
  <c r="K45" i="25"/>
  <c r="L30" i="25"/>
  <c r="K52" i="25"/>
  <c r="L61" i="25"/>
  <c r="L8" i="25"/>
  <c r="L39" i="25"/>
  <c r="M39" i="25" s="1"/>
  <c r="L54" i="25"/>
  <c r="L71" i="25"/>
  <c r="L40" i="25"/>
  <c r="M40" i="25" s="1"/>
  <c r="N40" i="25" s="1"/>
  <c r="L33" i="25"/>
  <c r="M33" i="25" s="1"/>
  <c r="L87" i="25"/>
  <c r="N61" i="26" l="1"/>
  <c r="O61" i="26" s="1"/>
  <c r="M11" i="25"/>
  <c r="N11" i="25" s="1"/>
  <c r="O11" i="25" s="1"/>
  <c r="O56" i="26"/>
  <c r="N52" i="26"/>
  <c r="O52" i="26" s="1"/>
  <c r="N22" i="25"/>
  <c r="O22" i="25" s="1"/>
  <c r="N11" i="26"/>
  <c r="O11" i="26" s="1"/>
  <c r="M61" i="25"/>
  <c r="N61" i="25" s="1"/>
  <c r="M22" i="26"/>
  <c r="N22" i="26" s="1"/>
  <c r="O33" i="26"/>
  <c r="M42" i="26"/>
  <c r="N42" i="26" s="1"/>
  <c r="N40" i="26"/>
  <c r="O40" i="26" s="1"/>
  <c r="N63" i="26"/>
  <c r="O63" i="26" s="1"/>
  <c r="M87" i="26"/>
  <c r="N54" i="26"/>
  <c r="O54" i="26" s="1"/>
  <c r="M45" i="26"/>
  <c r="N39" i="26"/>
  <c r="O39" i="26" s="1"/>
  <c r="N30" i="26"/>
  <c r="M30" i="26"/>
  <c r="M8" i="26"/>
  <c r="O6" i="26"/>
  <c r="N8" i="26"/>
  <c r="N71" i="26"/>
  <c r="M40" i="26"/>
  <c r="M87" i="25"/>
  <c r="M30" i="25"/>
  <c r="M71" i="25"/>
  <c r="N33" i="25"/>
  <c r="O33" i="25" s="1"/>
  <c r="N39" i="25"/>
  <c r="O39" i="25" s="1"/>
  <c r="M54" i="25"/>
  <c r="L45" i="25"/>
  <c r="M56" i="25"/>
  <c r="O40" i="25"/>
  <c r="L52" i="25"/>
  <c r="M8" i="25"/>
  <c r="N8" i="25" s="1"/>
  <c r="M42" i="25"/>
  <c r="N42" i="25" s="1"/>
  <c r="M45" i="25"/>
  <c r="N63" i="25"/>
  <c r="O61" i="25" l="1"/>
  <c r="O42" i="26"/>
  <c r="O42" i="25"/>
  <c r="O22" i="26"/>
  <c r="O30" i="26"/>
  <c r="N87" i="26"/>
  <c r="O87" i="26" s="1"/>
  <c r="N45" i="26"/>
  <c r="O45" i="26" s="1"/>
  <c r="O71" i="26"/>
  <c r="O8" i="26"/>
  <c r="O8" i="25"/>
  <c r="O63" i="25"/>
  <c r="N52" i="25"/>
  <c r="O52" i="25" s="1"/>
  <c r="N71" i="25"/>
  <c r="N30" i="25"/>
  <c r="O30" i="25" s="1"/>
  <c r="M52" i="25"/>
  <c r="N87" i="25"/>
  <c r="N45" i="25"/>
  <c r="N54" i="25"/>
  <c r="O54" i="25" s="1"/>
  <c r="N56" i="25"/>
  <c r="O56" i="25" l="1"/>
  <c r="O45" i="25"/>
  <c r="O71" i="25"/>
  <c r="O87" i="25"/>
  <c r="AB4" i="23" l="1"/>
  <c r="AC4" i="23" s="1"/>
  <c r="AD4" i="23" s="1"/>
  <c r="AE4" i="23" s="1"/>
  <c r="H73" i="1"/>
  <c r="D9" i="28" s="1"/>
  <c r="I73" i="1"/>
  <c r="E9" i="28" s="1"/>
  <c r="J73" i="1"/>
  <c r="F9" i="28" s="1"/>
  <c r="I74" i="1"/>
  <c r="J74" i="1"/>
  <c r="AA6" i="4"/>
  <c r="AB4" i="24"/>
  <c r="AC4" i="24" s="1"/>
  <c r="AD4" i="24" s="1"/>
  <c r="AE4" i="24" s="1"/>
  <c r="AF4" i="24" s="1"/>
  <c r="AG4" i="24" s="1"/>
  <c r="AB5" i="24"/>
  <c r="AB20" i="24"/>
  <c r="AB23" i="24"/>
  <c r="AB24" i="24"/>
  <c r="AB37" i="24"/>
  <c r="AB38" i="24"/>
  <c r="AB39" i="24"/>
  <c r="AB40" i="24"/>
  <c r="AB41" i="24"/>
  <c r="AB42" i="24"/>
  <c r="AB43" i="24"/>
  <c r="AB44" i="24"/>
  <c r="AB45" i="24"/>
  <c r="AB46" i="24"/>
  <c r="AB47" i="24"/>
  <c r="AB48" i="24"/>
  <c r="AB49" i="24"/>
  <c r="AB50" i="24"/>
  <c r="AB51" i="24"/>
  <c r="AB52" i="24"/>
  <c r="Z36" i="24"/>
  <c r="Y36" i="24"/>
  <c r="X35" i="24"/>
  <c r="W35" i="24"/>
  <c r="V35" i="24"/>
  <c r="U35" i="24"/>
  <c r="T35" i="24"/>
  <c r="S35" i="24"/>
  <c r="R35" i="24"/>
  <c r="Q35" i="24"/>
  <c r="P35" i="24"/>
  <c r="O35" i="24"/>
  <c r="N35" i="24"/>
  <c r="M35" i="24"/>
  <c r="L35" i="24"/>
  <c r="K35" i="24"/>
  <c r="J35" i="24"/>
  <c r="I35" i="24"/>
  <c r="H35" i="24"/>
  <c r="Y34" i="24"/>
  <c r="Z34" i="24" s="1"/>
  <c r="V34" i="24"/>
  <c r="Q34" i="24"/>
  <c r="L34" i="24"/>
  <c r="X32" i="24"/>
  <c r="W32" i="24"/>
  <c r="AB32" i="24" s="1"/>
  <c r="V32" i="24"/>
  <c r="U32" i="24"/>
  <c r="T32" i="24"/>
  <c r="S32" i="24"/>
  <c r="S36" i="24" s="1"/>
  <c r="R32" i="24"/>
  <c r="Q32" i="24"/>
  <c r="P32" i="24"/>
  <c r="O32" i="24"/>
  <c r="N32" i="24"/>
  <c r="M32" i="24"/>
  <c r="L32" i="24"/>
  <c r="K32" i="24"/>
  <c r="J32" i="24"/>
  <c r="I32" i="24"/>
  <c r="H32" i="24"/>
  <c r="Y31" i="24"/>
  <c r="Z31" i="24" s="1"/>
  <c r="V31" i="24"/>
  <c r="Q31" i="24"/>
  <c r="L31" i="24"/>
  <c r="X29" i="24"/>
  <c r="W29" i="24"/>
  <c r="U29" i="24"/>
  <c r="T29" i="24"/>
  <c r="S29" i="24"/>
  <c r="R29" i="24"/>
  <c r="P29" i="24"/>
  <c r="O29" i="24"/>
  <c r="N29" i="24"/>
  <c r="M29" i="24"/>
  <c r="K29" i="24"/>
  <c r="J29" i="24"/>
  <c r="I29" i="24"/>
  <c r="V27" i="24"/>
  <c r="AB29" i="24" s="1"/>
  <c r="Q27" i="24"/>
  <c r="L27" i="24"/>
  <c r="V26" i="24"/>
  <c r="AB26" i="24" s="1"/>
  <c r="AB25" i="24" s="1"/>
  <c r="Q26" i="24"/>
  <c r="L26" i="24"/>
  <c r="W24" i="24"/>
  <c r="U24" i="24"/>
  <c r="T24" i="24"/>
  <c r="S24" i="24"/>
  <c r="R24" i="24"/>
  <c r="P24" i="24"/>
  <c r="O24" i="24"/>
  <c r="N24" i="24"/>
  <c r="M24" i="24"/>
  <c r="K24" i="24"/>
  <c r="J24" i="24"/>
  <c r="I24" i="24"/>
  <c r="V21" i="24"/>
  <c r="Q21" i="24"/>
  <c r="L21" i="24"/>
  <c r="W18" i="24"/>
  <c r="U18" i="24"/>
  <c r="T18" i="24"/>
  <c r="S18" i="24"/>
  <c r="R18" i="24"/>
  <c r="P18" i="24"/>
  <c r="O18" i="24"/>
  <c r="N18" i="24"/>
  <c r="M18" i="24"/>
  <c r="K18" i="24"/>
  <c r="J18" i="24"/>
  <c r="I18" i="24"/>
  <c r="W17" i="24"/>
  <c r="U17" i="24"/>
  <c r="T17" i="24"/>
  <c r="S17" i="24"/>
  <c r="X16" i="24"/>
  <c r="AE15" i="24"/>
  <c r="X15" i="24"/>
  <c r="Y15" i="24" s="1"/>
  <c r="V15" i="24"/>
  <c r="Q15" i="24"/>
  <c r="L15" i="24"/>
  <c r="W14" i="24"/>
  <c r="U14" i="24"/>
  <c r="T14" i="24"/>
  <c r="S14" i="24"/>
  <c r="R14" i="24"/>
  <c r="X13" i="24"/>
  <c r="W13" i="24"/>
  <c r="V13" i="24"/>
  <c r="U13" i="24"/>
  <c r="T13" i="24"/>
  <c r="S13" i="24"/>
  <c r="R13" i="24"/>
  <c r="Q13" i="24"/>
  <c r="P13" i="24"/>
  <c r="O13" i="24"/>
  <c r="N13" i="24"/>
  <c r="M13" i="24"/>
  <c r="L13" i="24"/>
  <c r="K13" i="24"/>
  <c r="J13" i="24"/>
  <c r="I13" i="24"/>
  <c r="W12" i="24"/>
  <c r="U12" i="24"/>
  <c r="T12" i="24"/>
  <c r="S12" i="24"/>
  <c r="R12" i="24"/>
  <c r="P12" i="24"/>
  <c r="O12" i="24"/>
  <c r="N12" i="24"/>
  <c r="M12" i="24"/>
  <c r="K12" i="24"/>
  <c r="J12" i="24"/>
  <c r="I12" i="24"/>
  <c r="Y11" i="24"/>
  <c r="Z11" i="24" s="1"/>
  <c r="V11" i="24"/>
  <c r="Q11" i="24"/>
  <c r="L11" i="24"/>
  <c r="Z10" i="24"/>
  <c r="Y10" i="24"/>
  <c r="X10" i="24"/>
  <c r="X9" i="24" s="1"/>
  <c r="V10" i="24"/>
  <c r="AB10" i="24" s="1"/>
  <c r="Q10" i="24"/>
  <c r="L10" i="24"/>
  <c r="L9" i="24" s="1"/>
  <c r="W9" i="24"/>
  <c r="U9" i="24"/>
  <c r="T9" i="24"/>
  <c r="S9" i="24"/>
  <c r="R9" i="24"/>
  <c r="P9" i="24"/>
  <c r="O9" i="24"/>
  <c r="N9" i="24"/>
  <c r="M9" i="24"/>
  <c r="K9" i="24"/>
  <c r="J9" i="24"/>
  <c r="I9" i="24"/>
  <c r="H9" i="24"/>
  <c r="Z7" i="24"/>
  <c r="Y7" i="24"/>
  <c r="X7" i="24"/>
  <c r="W7" i="24"/>
  <c r="V7" i="24"/>
  <c r="U7" i="24"/>
  <c r="T7" i="24"/>
  <c r="S7" i="24"/>
  <c r="R7" i="24"/>
  <c r="Q7" i="24"/>
  <c r="P7" i="24"/>
  <c r="O7" i="24"/>
  <c r="N7" i="24"/>
  <c r="M7" i="24"/>
  <c r="L7" i="24"/>
  <c r="K7" i="24"/>
  <c r="J7" i="24"/>
  <c r="I7" i="24"/>
  <c r="H7" i="24"/>
  <c r="G7" i="24"/>
  <c r="F7" i="24"/>
  <c r="E7" i="24"/>
  <c r="W6" i="24"/>
  <c r="U6" i="24"/>
  <c r="T6" i="24"/>
  <c r="S6" i="24"/>
  <c r="R6" i="24"/>
  <c r="P6" i="24"/>
  <c r="O6" i="24"/>
  <c r="N6" i="24"/>
  <c r="M6" i="24"/>
  <c r="U5" i="24"/>
  <c r="T5" i="24"/>
  <c r="S5" i="24"/>
  <c r="P5" i="24"/>
  <c r="O5" i="24"/>
  <c r="N5" i="24"/>
  <c r="K5" i="24"/>
  <c r="J5" i="24"/>
  <c r="I5" i="24"/>
  <c r="Z3" i="24"/>
  <c r="Z2" i="24" s="1"/>
  <c r="Y3" i="24"/>
  <c r="Y2" i="24" s="1"/>
  <c r="X3" i="24"/>
  <c r="V3" i="24"/>
  <c r="Q3" i="24"/>
  <c r="Q2" i="24" s="1"/>
  <c r="L3" i="24"/>
  <c r="L2" i="24" s="1"/>
  <c r="W2" i="24"/>
  <c r="U2" i="24"/>
  <c r="T2" i="24"/>
  <c r="S2" i="24"/>
  <c r="R2" i="24"/>
  <c r="P2" i="24"/>
  <c r="O2" i="24"/>
  <c r="N2" i="24"/>
  <c r="M2" i="24"/>
  <c r="K2" i="24"/>
  <c r="J2" i="24"/>
  <c r="I2" i="24"/>
  <c r="H2" i="24"/>
  <c r="Z1" i="24"/>
  <c r="Y1" i="24"/>
  <c r="X1" i="24"/>
  <c r="W1" i="24"/>
  <c r="U1" i="24"/>
  <c r="T1" i="24"/>
  <c r="S1" i="24"/>
  <c r="R1" i="24"/>
  <c r="P1" i="24"/>
  <c r="O1" i="24"/>
  <c r="N1" i="24"/>
  <c r="M1" i="24"/>
  <c r="K1" i="24"/>
  <c r="J1" i="24"/>
  <c r="I1" i="24"/>
  <c r="H1" i="24"/>
  <c r="G1" i="24"/>
  <c r="F1" i="24"/>
  <c r="E1" i="24"/>
  <c r="D1" i="24"/>
  <c r="I17" i="18"/>
  <c r="I18" i="18" s="1"/>
  <c r="Q10" i="18"/>
  <c r="R10" i="18" s="1"/>
  <c r="K10" i="18"/>
  <c r="I7" i="18"/>
  <c r="J10" i="18" s="1"/>
  <c r="V9" i="24" l="1"/>
  <c r="L36" i="24"/>
  <c r="T36" i="24"/>
  <c r="N36" i="24"/>
  <c r="V36" i="24"/>
  <c r="AB13" i="24"/>
  <c r="M36" i="24"/>
  <c r="U36" i="24"/>
  <c r="V6" i="24"/>
  <c r="Q36" i="24"/>
  <c r="Q12" i="24"/>
  <c r="Q9" i="24"/>
  <c r="AB35" i="24"/>
  <c r="AB36" i="24" s="1"/>
  <c r="AB31" i="24"/>
  <c r="P36" i="24"/>
  <c r="X36" i="24"/>
  <c r="AB7" i="24"/>
  <c r="R36" i="24"/>
  <c r="V2" i="24"/>
  <c r="X14" i="24"/>
  <c r="Q6" i="24"/>
  <c r="V14" i="24"/>
  <c r="O36" i="24"/>
  <c r="W36" i="24"/>
  <c r="AB11" i="24"/>
  <c r="AA4" i="24"/>
  <c r="AA2" i="24" s="1"/>
  <c r="AB34" i="24"/>
  <c r="AB3" i="24"/>
  <c r="A10" i="24" s="1"/>
  <c r="L12" i="24"/>
  <c r="V12" i="24"/>
  <c r="Z9" i="24"/>
  <c r="Z15" i="24"/>
  <c r="Y16" i="24"/>
  <c r="Z16" i="24" s="1"/>
  <c r="X2" i="24"/>
  <c r="Y9" i="24"/>
  <c r="AD2" i="24"/>
  <c r="AC2" i="24"/>
  <c r="L10" i="18"/>
  <c r="M10" i="18" s="1"/>
  <c r="O10" i="18" s="1"/>
  <c r="N10" i="18" l="1"/>
  <c r="AB9" i="24"/>
  <c r="AB19" i="24"/>
  <c r="AB2" i="24"/>
  <c r="AB16" i="24"/>
  <c r="AD16" i="24" s="1"/>
  <c r="Z14" i="24"/>
  <c r="Y14" i="24"/>
  <c r="AE2" i="24"/>
  <c r="J6" i="1"/>
  <c r="K6" i="1" s="1"/>
  <c r="L6" i="1" s="1"/>
  <c r="M6" i="1" s="1"/>
  <c r="N6" i="1" s="1"/>
  <c r="O6" i="1" s="1"/>
  <c r="B67" i="11"/>
  <c r="B72" i="11" s="1"/>
  <c r="B73" i="11" s="1"/>
  <c r="B77" i="11"/>
  <c r="B76" i="11"/>
  <c r="B75" i="11"/>
  <c r="AD14" i="24" l="1"/>
  <c r="AE16" i="24"/>
  <c r="AC16" i="24"/>
  <c r="AC14" i="24" s="1"/>
  <c r="AC8" i="24" s="1"/>
  <c r="K4" i="26" s="1"/>
  <c r="AD8" i="24"/>
  <c r="L4" i="26" s="1"/>
  <c r="AB14" i="24"/>
  <c r="AA16" i="24"/>
  <c r="AA14" i="24" s="1"/>
  <c r="AA8" i="24" s="1"/>
  <c r="AB8" i="24"/>
  <c r="AF2" i="24"/>
  <c r="P57" i="11"/>
  <c r="P55" i="11"/>
  <c r="C83" i="1"/>
  <c r="D83" i="1"/>
  <c r="E83" i="1"/>
  <c r="F83" i="1"/>
  <c r="G83" i="1"/>
  <c r="H83" i="1"/>
  <c r="I83" i="1"/>
  <c r="J83" i="1"/>
  <c r="H86" i="1"/>
  <c r="I86" i="1"/>
  <c r="J86" i="1"/>
  <c r="J88" i="1"/>
  <c r="AB6" i="4"/>
  <c r="AC6" i="4" s="1"/>
  <c r="AD6" i="4" l="1"/>
  <c r="AC4" i="4"/>
  <c r="L2" i="26"/>
  <c r="L5" i="26"/>
  <c r="K2" i="26"/>
  <c r="K5" i="26" s="1"/>
  <c r="AF16" i="24"/>
  <c r="AE14" i="24"/>
  <c r="AE8" i="24" s="1"/>
  <c r="M4" i="26" s="1"/>
  <c r="K86" i="1"/>
  <c r="L86" i="1" s="1"/>
  <c r="AG2" i="24"/>
  <c r="M2" i="26" l="1"/>
  <c r="M5" i="26"/>
  <c r="AG16" i="24"/>
  <c r="AG14" i="24" s="1"/>
  <c r="AF14" i="24"/>
  <c r="L62" i="26"/>
  <c r="L53" i="26"/>
  <c r="L9" i="26"/>
  <c r="L51" i="26"/>
  <c r="L44" i="26"/>
  <c r="L55" i="26"/>
  <c r="L29" i="26"/>
  <c r="L10" i="26"/>
  <c r="L38" i="26" s="1"/>
  <c r="L60" i="26"/>
  <c r="L64" i="26" s="1"/>
  <c r="L12" i="26"/>
  <c r="K53" i="26"/>
  <c r="K55" i="26"/>
  <c r="K10" i="26"/>
  <c r="K38" i="26" s="1"/>
  <c r="K29" i="26"/>
  <c r="K9" i="26"/>
  <c r="K51" i="26"/>
  <c r="K44" i="26"/>
  <c r="K60" i="26"/>
  <c r="K62" i="26"/>
  <c r="K12" i="26"/>
  <c r="AF8" i="24"/>
  <c r="N4" i="26" s="1"/>
  <c r="AG8" i="24"/>
  <c r="M86" i="1"/>
  <c r="K64" i="26" l="1"/>
  <c r="N2" i="26"/>
  <c r="N5" i="26"/>
  <c r="M9" i="26"/>
  <c r="M44" i="26"/>
  <c r="M51" i="26"/>
  <c r="M53" i="26"/>
  <c r="M55" i="26"/>
  <c r="M29" i="26"/>
  <c r="M62" i="26"/>
  <c r="M60" i="26"/>
  <c r="M64" i="26" s="1"/>
  <c r="M10" i="26"/>
  <c r="M38" i="26" s="1"/>
  <c r="M12" i="26"/>
  <c r="N86" i="1"/>
  <c r="N62" i="26" l="1"/>
  <c r="N44" i="26"/>
  <c r="N60" i="26"/>
  <c r="N64" i="26" s="1"/>
  <c r="N10" i="26"/>
  <c r="N38" i="26" s="1"/>
  <c r="N9" i="26"/>
  <c r="N51" i="26"/>
  <c r="N55" i="26"/>
  <c r="N29" i="26"/>
  <c r="N53" i="26"/>
  <c r="N12" i="26"/>
  <c r="O86" i="1"/>
  <c r="AB23" i="4" l="1"/>
  <c r="AB22" i="4" s="1"/>
  <c r="AC15" i="23"/>
  <c r="AA2" i="23"/>
  <c r="Z36" i="23"/>
  <c r="Y36" i="23"/>
  <c r="X35" i="23"/>
  <c r="W35" i="23"/>
  <c r="V35" i="23"/>
  <c r="U35" i="23"/>
  <c r="T35" i="23"/>
  <c r="S35" i="23"/>
  <c r="R35" i="23"/>
  <c r="Q35" i="23"/>
  <c r="P35" i="23"/>
  <c r="O35" i="23"/>
  <c r="N35" i="23"/>
  <c r="M35" i="23"/>
  <c r="L35" i="23"/>
  <c r="K35" i="23"/>
  <c r="J35" i="23"/>
  <c r="I35" i="23"/>
  <c r="H35" i="23"/>
  <c r="Y34" i="23"/>
  <c r="V34" i="23"/>
  <c r="Q34" i="23"/>
  <c r="L34" i="23"/>
  <c r="X32" i="23"/>
  <c r="W32" i="23"/>
  <c r="V32" i="23"/>
  <c r="U32" i="23"/>
  <c r="T32" i="23"/>
  <c r="S32" i="23"/>
  <c r="R32" i="23"/>
  <c r="Q32" i="23"/>
  <c r="P32" i="23"/>
  <c r="O32" i="23"/>
  <c r="N32" i="23"/>
  <c r="M32" i="23"/>
  <c r="L32" i="23"/>
  <c r="K32" i="23"/>
  <c r="J32" i="23"/>
  <c r="I32" i="23"/>
  <c r="H32" i="23"/>
  <c r="Y31" i="23"/>
  <c r="V31" i="23"/>
  <c r="Q31" i="23"/>
  <c r="L31" i="23"/>
  <c r="X29" i="23"/>
  <c r="W29" i="23"/>
  <c r="U29" i="23"/>
  <c r="T29" i="23"/>
  <c r="S29" i="23"/>
  <c r="R29" i="23"/>
  <c r="P29" i="23"/>
  <c r="O29" i="23"/>
  <c r="N29" i="23"/>
  <c r="M29" i="23"/>
  <c r="K29" i="23"/>
  <c r="J29" i="23"/>
  <c r="I29" i="23"/>
  <c r="V27" i="23"/>
  <c r="Q27" i="23"/>
  <c r="L27" i="23"/>
  <c r="V26" i="23"/>
  <c r="Q26" i="23"/>
  <c r="L26" i="23"/>
  <c r="W24" i="23"/>
  <c r="U24" i="23"/>
  <c r="T24" i="23"/>
  <c r="S24" i="23"/>
  <c r="R24" i="23"/>
  <c r="P24" i="23"/>
  <c r="O24" i="23"/>
  <c r="N24" i="23"/>
  <c r="M24" i="23"/>
  <c r="K24" i="23"/>
  <c r="J24" i="23"/>
  <c r="I24" i="23"/>
  <c r="V21" i="23"/>
  <c r="Q21" i="23"/>
  <c r="L21" i="23"/>
  <c r="W18" i="23"/>
  <c r="U18" i="23"/>
  <c r="T18" i="23"/>
  <c r="S18" i="23"/>
  <c r="R18" i="23"/>
  <c r="P18" i="23"/>
  <c r="O18" i="23"/>
  <c r="N18" i="23"/>
  <c r="M18" i="23"/>
  <c r="K18" i="23"/>
  <c r="J18" i="23"/>
  <c r="I18" i="23"/>
  <c r="W17" i="23"/>
  <c r="U17" i="23"/>
  <c r="T17" i="23"/>
  <c r="S17" i="23"/>
  <c r="X16" i="23"/>
  <c r="X15" i="23"/>
  <c r="Y15" i="23" s="1"/>
  <c r="V15" i="23"/>
  <c r="Q15" i="23"/>
  <c r="L15" i="23"/>
  <c r="W14" i="23"/>
  <c r="U14" i="23"/>
  <c r="T14" i="23"/>
  <c r="S14" i="23"/>
  <c r="R14" i="23"/>
  <c r="X13" i="23"/>
  <c r="W13" i="23"/>
  <c r="V13" i="23"/>
  <c r="U13" i="23"/>
  <c r="T13" i="23"/>
  <c r="S13" i="23"/>
  <c r="R13" i="23"/>
  <c r="Q13" i="23"/>
  <c r="P13" i="23"/>
  <c r="O13" i="23"/>
  <c r="N13" i="23"/>
  <c r="M13" i="23"/>
  <c r="L13" i="23"/>
  <c r="K13" i="23"/>
  <c r="J13" i="23"/>
  <c r="I13" i="23"/>
  <c r="W12" i="23"/>
  <c r="U12" i="23"/>
  <c r="T12" i="23"/>
  <c r="S12" i="23"/>
  <c r="R12" i="23"/>
  <c r="P12" i="23"/>
  <c r="O12" i="23"/>
  <c r="N12" i="23"/>
  <c r="M12" i="23"/>
  <c r="K12" i="23"/>
  <c r="J12" i="23"/>
  <c r="I12" i="23"/>
  <c r="Y11" i="23"/>
  <c r="V11" i="23"/>
  <c r="Q11" i="23"/>
  <c r="L11" i="23"/>
  <c r="Z10" i="23"/>
  <c r="Y10" i="23"/>
  <c r="X10" i="23"/>
  <c r="X9" i="23" s="1"/>
  <c r="V10" i="23"/>
  <c r="Q10" i="23"/>
  <c r="L10" i="23"/>
  <c r="W9" i="23"/>
  <c r="U9" i="23"/>
  <c r="T9" i="23"/>
  <c r="S9" i="23"/>
  <c r="R9" i="23"/>
  <c r="P9" i="23"/>
  <c r="O9" i="23"/>
  <c r="N9" i="23"/>
  <c r="M9" i="23"/>
  <c r="K9" i="23"/>
  <c r="J9" i="23"/>
  <c r="I9" i="23"/>
  <c r="H9" i="23"/>
  <c r="Z7" i="23"/>
  <c r="Y7" i="23"/>
  <c r="X7" i="23"/>
  <c r="W7" i="23"/>
  <c r="V7" i="23"/>
  <c r="U7" i="23"/>
  <c r="T7" i="23"/>
  <c r="S7" i="23"/>
  <c r="R7" i="23"/>
  <c r="Q7" i="23"/>
  <c r="P7" i="23"/>
  <c r="O7" i="23"/>
  <c r="N7" i="23"/>
  <c r="M7" i="23"/>
  <c r="L7" i="23"/>
  <c r="K7" i="23"/>
  <c r="J7" i="23"/>
  <c r="I7" i="23"/>
  <c r="H7" i="23"/>
  <c r="G7" i="23"/>
  <c r="F7" i="23"/>
  <c r="E7" i="23"/>
  <c r="W6" i="23"/>
  <c r="U6" i="23"/>
  <c r="T6" i="23"/>
  <c r="S6" i="23"/>
  <c r="R6" i="23"/>
  <c r="P6" i="23"/>
  <c r="O6" i="23"/>
  <c r="N6" i="23"/>
  <c r="M6" i="23"/>
  <c r="U5" i="23"/>
  <c r="T5" i="23"/>
  <c r="S5" i="23"/>
  <c r="P5" i="23"/>
  <c r="O5" i="23"/>
  <c r="N5" i="23"/>
  <c r="K5" i="23"/>
  <c r="J5" i="23"/>
  <c r="I5" i="23"/>
  <c r="Z3" i="23"/>
  <c r="Y3" i="23"/>
  <c r="Y2" i="23" s="1"/>
  <c r="X3" i="23"/>
  <c r="V3" i="23"/>
  <c r="V2" i="23" s="1"/>
  <c r="Q3" i="23"/>
  <c r="Q2" i="23" s="1"/>
  <c r="L3" i="23"/>
  <c r="L2" i="23" s="1"/>
  <c r="W2" i="23"/>
  <c r="U2" i="23"/>
  <c r="T2" i="23"/>
  <c r="S2" i="23"/>
  <c r="R2" i="23"/>
  <c r="P2" i="23"/>
  <c r="O2" i="23"/>
  <c r="N2" i="23"/>
  <c r="M2" i="23"/>
  <c r="K2" i="23"/>
  <c r="J2" i="23"/>
  <c r="I2" i="23"/>
  <c r="H2" i="23"/>
  <c r="Z1" i="23"/>
  <c r="Y1" i="23"/>
  <c r="X1" i="23"/>
  <c r="W1" i="23"/>
  <c r="U1" i="23"/>
  <c r="T1" i="23"/>
  <c r="S1" i="23"/>
  <c r="R1" i="23"/>
  <c r="P1" i="23"/>
  <c r="O1" i="23"/>
  <c r="N1" i="23"/>
  <c r="M1" i="23"/>
  <c r="K1" i="23"/>
  <c r="J1" i="23"/>
  <c r="I1" i="23"/>
  <c r="H1" i="23"/>
  <c r="G1" i="23"/>
  <c r="F1" i="23"/>
  <c r="E1" i="23"/>
  <c r="D1" i="23"/>
  <c r="Y16" i="23" l="1"/>
  <c r="X2" i="23"/>
  <c r="AC2" i="23"/>
  <c r="AB2" i="23"/>
  <c r="X14" i="23"/>
  <c r="W36" i="23"/>
  <c r="N36" i="23"/>
  <c r="V36" i="23"/>
  <c r="V12" i="23"/>
  <c r="L9" i="23"/>
  <c r="Q36" i="23"/>
  <c r="T36" i="23"/>
  <c r="R36" i="23"/>
  <c r="Q6" i="23"/>
  <c r="V6" i="23"/>
  <c r="S36" i="23"/>
  <c r="Q12" i="23"/>
  <c r="V14" i="23"/>
  <c r="O36" i="23"/>
  <c r="P36" i="23"/>
  <c r="X36" i="23"/>
  <c r="Q9" i="23"/>
  <c r="L36" i="23"/>
  <c r="Z2" i="23"/>
  <c r="M36" i="23"/>
  <c r="U36" i="23"/>
  <c r="Z34" i="23"/>
  <c r="L12" i="23"/>
  <c r="Z15" i="23"/>
  <c r="Z31" i="23"/>
  <c r="V9" i="23"/>
  <c r="Z11" i="23"/>
  <c r="Z9" i="23" s="1"/>
  <c r="Y9" i="23"/>
  <c r="Y14" i="23" l="1"/>
  <c r="Z16" i="23"/>
  <c r="Z14" i="23" s="1"/>
  <c r="AD2" i="23"/>
  <c r="A10" i="23"/>
  <c r="AE2" i="23" l="1"/>
  <c r="D2" i="18" l="1"/>
  <c r="D3" i="18"/>
  <c r="E3" i="18"/>
  <c r="D4" i="18"/>
  <c r="E4" i="18"/>
  <c r="D5" i="18"/>
  <c r="E5" i="18"/>
  <c r="D6" i="18"/>
  <c r="E6" i="18"/>
  <c r="D7" i="18"/>
  <c r="E7" i="18"/>
  <c r="D8" i="18"/>
  <c r="E8" i="18"/>
  <c r="D9" i="18"/>
  <c r="E9" i="18"/>
  <c r="D10" i="18"/>
  <c r="E10" i="18"/>
  <c r="D11" i="18"/>
  <c r="E11" i="18"/>
  <c r="D12" i="18"/>
  <c r="E12" i="18"/>
  <c r="D13" i="18"/>
  <c r="E13" i="18"/>
  <c r="D14" i="18"/>
  <c r="E14" i="18"/>
  <c r="D15" i="18"/>
  <c r="E15" i="18"/>
  <c r="D16" i="18"/>
  <c r="E16" i="18"/>
  <c r="D17" i="18"/>
  <c r="E17" i="18"/>
  <c r="D18" i="18"/>
  <c r="E18" i="18"/>
  <c r="D19" i="18"/>
  <c r="E19" i="18"/>
  <c r="D20" i="18"/>
  <c r="E20" i="18"/>
  <c r="D21" i="18"/>
  <c r="E21" i="18"/>
  <c r="D22" i="18"/>
  <c r="E22" i="18"/>
  <c r="D23" i="18"/>
  <c r="E23" i="18"/>
  <c r="D24" i="18"/>
  <c r="E24" i="18"/>
  <c r="D25" i="18"/>
  <c r="E25" i="18"/>
  <c r="D26" i="18"/>
  <c r="E26" i="18"/>
  <c r="D27" i="18"/>
  <c r="E27" i="18"/>
  <c r="D28" i="18"/>
  <c r="E28" i="18"/>
  <c r="D29" i="18"/>
  <c r="E29" i="18"/>
  <c r="D30" i="18"/>
  <c r="E30" i="18"/>
  <c r="D31" i="18"/>
  <c r="E31" i="18"/>
  <c r="D32" i="18"/>
  <c r="E32" i="18"/>
  <c r="D33" i="18"/>
  <c r="E33" i="18"/>
  <c r="D34" i="18"/>
  <c r="E34" i="18"/>
  <c r="D35" i="18"/>
  <c r="E35" i="18"/>
  <c r="D36" i="18"/>
  <c r="E36" i="18"/>
  <c r="D37" i="18"/>
  <c r="E37" i="18"/>
  <c r="D38" i="18"/>
  <c r="E38" i="18"/>
  <c r="D39" i="18"/>
  <c r="E39" i="18"/>
  <c r="D40" i="18"/>
  <c r="E40" i="18"/>
  <c r="D41" i="18"/>
  <c r="E41" i="18"/>
  <c r="D42" i="18"/>
  <c r="E42" i="18"/>
  <c r="D43" i="18"/>
  <c r="E43" i="18"/>
  <c r="D44" i="18"/>
  <c r="E44" i="18"/>
  <c r="D45" i="18"/>
  <c r="E45" i="18"/>
  <c r="D46" i="18"/>
  <c r="E46" i="18"/>
  <c r="D47" i="18"/>
  <c r="E47" i="18"/>
  <c r="D48" i="18"/>
  <c r="E48" i="18"/>
  <c r="D49" i="18"/>
  <c r="E49" i="18"/>
  <c r="D50" i="18"/>
  <c r="E50" i="18"/>
  <c r="D51" i="18"/>
  <c r="E51" i="18"/>
  <c r="D52" i="18"/>
  <c r="E52" i="18"/>
  <c r="D53" i="18"/>
  <c r="E53" i="18"/>
  <c r="D54" i="18"/>
  <c r="E54" i="18"/>
  <c r="D55" i="18"/>
  <c r="E55" i="18"/>
  <c r="D56" i="18"/>
  <c r="E56" i="18"/>
  <c r="D57" i="18"/>
  <c r="E57" i="18"/>
  <c r="D58" i="18"/>
  <c r="E58" i="18"/>
  <c r="D59" i="18"/>
  <c r="E59" i="18"/>
  <c r="D60" i="18"/>
  <c r="E60" i="18"/>
  <c r="D61" i="18"/>
  <c r="E61" i="18"/>
  <c r="D62" i="18"/>
  <c r="E62" i="18"/>
  <c r="D63" i="18"/>
  <c r="E63" i="18"/>
  <c r="D64" i="18"/>
  <c r="E64" i="18"/>
  <c r="D65" i="18"/>
  <c r="E65" i="18"/>
  <c r="D66" i="18"/>
  <c r="E66" i="18"/>
  <c r="D67" i="18"/>
  <c r="E67" i="18"/>
  <c r="D68" i="18"/>
  <c r="E68" i="18"/>
  <c r="D69" i="18"/>
  <c r="E69" i="18"/>
  <c r="D70" i="18"/>
  <c r="E70" i="18"/>
  <c r="D71" i="18"/>
  <c r="E71" i="18"/>
  <c r="D72" i="18"/>
  <c r="E72" i="18"/>
  <c r="D73" i="18"/>
  <c r="E73" i="18"/>
  <c r="D74" i="18"/>
  <c r="E74" i="18"/>
  <c r="D75" i="18"/>
  <c r="E75" i="18"/>
  <c r="D76" i="18"/>
  <c r="E76" i="18"/>
  <c r="D77" i="18"/>
  <c r="E77" i="18"/>
  <c r="D78" i="18"/>
  <c r="E78" i="18"/>
  <c r="D79" i="18"/>
  <c r="E79" i="18"/>
  <c r="D80" i="18"/>
  <c r="E80" i="18"/>
  <c r="D81" i="18"/>
  <c r="E81" i="18"/>
  <c r="D82" i="18"/>
  <c r="E82" i="18"/>
  <c r="D83" i="18"/>
  <c r="E83" i="18"/>
  <c r="D84" i="18"/>
  <c r="E84" i="18"/>
  <c r="D85" i="18"/>
  <c r="E85" i="18"/>
  <c r="D86" i="18"/>
  <c r="E86" i="18"/>
  <c r="D87" i="18"/>
  <c r="E87" i="18"/>
  <c r="D88" i="18"/>
  <c r="E88" i="18"/>
  <c r="D89" i="18"/>
  <c r="E89" i="18"/>
  <c r="D90" i="18"/>
  <c r="E90" i="18"/>
  <c r="D91" i="18"/>
  <c r="E91" i="18"/>
  <c r="D92" i="18"/>
  <c r="E92" i="18"/>
  <c r="D93" i="18"/>
  <c r="E93" i="18"/>
  <c r="D94" i="18"/>
  <c r="E94" i="18"/>
  <c r="D95" i="18"/>
  <c r="E95" i="18"/>
  <c r="D96" i="18"/>
  <c r="E96" i="18"/>
  <c r="D97" i="18"/>
  <c r="E97" i="18"/>
  <c r="D98" i="18"/>
  <c r="E98" i="18"/>
  <c r="D99" i="18"/>
  <c r="E99" i="18"/>
  <c r="D100" i="18"/>
  <c r="E100" i="18"/>
  <c r="D101" i="18"/>
  <c r="E101" i="18"/>
  <c r="D102" i="18"/>
  <c r="E102" i="18"/>
  <c r="D103" i="18"/>
  <c r="E103" i="18"/>
  <c r="D104" i="18"/>
  <c r="E104" i="18"/>
  <c r="D105" i="18"/>
  <c r="E105" i="18"/>
  <c r="D106" i="18"/>
  <c r="E106" i="18"/>
  <c r="D107" i="18"/>
  <c r="E107" i="18"/>
  <c r="D108" i="18"/>
  <c r="E108" i="18"/>
  <c r="D109" i="18"/>
  <c r="E109" i="18"/>
  <c r="D110" i="18"/>
  <c r="E110" i="18"/>
  <c r="D111" i="18"/>
  <c r="E111" i="18"/>
  <c r="D112" i="18"/>
  <c r="E112" i="18"/>
  <c r="D113" i="18"/>
  <c r="E113" i="18"/>
  <c r="D114" i="18"/>
  <c r="E114" i="18"/>
  <c r="D115" i="18"/>
  <c r="E115" i="18"/>
  <c r="D116" i="18"/>
  <c r="E116" i="18"/>
  <c r="D117" i="18"/>
  <c r="E117" i="18"/>
  <c r="D118" i="18"/>
  <c r="E118" i="18"/>
  <c r="D119" i="18"/>
  <c r="E119" i="18"/>
  <c r="D120" i="18"/>
  <c r="E120" i="18"/>
  <c r="D121" i="18"/>
  <c r="E121" i="18"/>
  <c r="D122" i="18"/>
  <c r="E122" i="18"/>
  <c r="D123" i="18"/>
  <c r="E123" i="18"/>
  <c r="D124" i="18"/>
  <c r="E124" i="18"/>
  <c r="D125" i="18"/>
  <c r="E125" i="18"/>
  <c r="D126" i="18"/>
  <c r="E126" i="18"/>
  <c r="D127" i="18"/>
  <c r="E127" i="18"/>
  <c r="D128" i="18"/>
  <c r="E128" i="18"/>
  <c r="D129" i="18"/>
  <c r="E129" i="18"/>
  <c r="D130" i="18"/>
  <c r="E130" i="18"/>
  <c r="D131" i="18"/>
  <c r="E131" i="18"/>
  <c r="D132" i="18"/>
  <c r="E132" i="18"/>
  <c r="D133" i="18"/>
  <c r="E133" i="18"/>
  <c r="D134" i="18"/>
  <c r="E134" i="18"/>
  <c r="D135" i="18"/>
  <c r="E135" i="18"/>
  <c r="D136" i="18"/>
  <c r="E136" i="18"/>
  <c r="D137" i="18"/>
  <c r="E137" i="18"/>
  <c r="D138" i="18"/>
  <c r="E138" i="18"/>
  <c r="D139" i="18"/>
  <c r="E139" i="18"/>
  <c r="D140" i="18"/>
  <c r="E140" i="18"/>
  <c r="D141" i="18"/>
  <c r="E141" i="18"/>
  <c r="D142" i="18"/>
  <c r="E142" i="18"/>
  <c r="D143" i="18"/>
  <c r="E143" i="18"/>
  <c r="D144" i="18"/>
  <c r="E144" i="18"/>
  <c r="D145" i="18"/>
  <c r="E145" i="18"/>
  <c r="D146" i="18"/>
  <c r="E146" i="18"/>
  <c r="D147" i="18"/>
  <c r="E147" i="18"/>
  <c r="D148" i="18"/>
  <c r="E148" i="18"/>
  <c r="D149" i="18"/>
  <c r="E149" i="18"/>
  <c r="D150" i="18"/>
  <c r="E150" i="18"/>
  <c r="D151" i="18"/>
  <c r="E151" i="18"/>
  <c r="D152" i="18"/>
  <c r="E152" i="18"/>
  <c r="D153" i="18"/>
  <c r="E153" i="18"/>
  <c r="D154" i="18"/>
  <c r="E154" i="18"/>
  <c r="D155" i="18"/>
  <c r="E155" i="18"/>
  <c r="D156" i="18"/>
  <c r="E156" i="18"/>
  <c r="D157" i="18"/>
  <c r="E157" i="18"/>
  <c r="D158" i="18"/>
  <c r="E158" i="18"/>
  <c r="D159" i="18"/>
  <c r="E159" i="18"/>
  <c r="D160" i="18"/>
  <c r="E160" i="18"/>
  <c r="D161" i="18"/>
  <c r="E161" i="18"/>
  <c r="D162" i="18"/>
  <c r="E162" i="18"/>
  <c r="D163" i="18"/>
  <c r="E163" i="18"/>
  <c r="D164" i="18"/>
  <c r="E164" i="18"/>
  <c r="D165" i="18"/>
  <c r="E165" i="18"/>
  <c r="D166" i="18"/>
  <c r="E166" i="18"/>
  <c r="D167" i="18"/>
  <c r="E167" i="18"/>
  <c r="D168" i="18"/>
  <c r="E168" i="18"/>
  <c r="D169" i="18"/>
  <c r="E169" i="18"/>
  <c r="D170" i="18"/>
  <c r="E170" i="18"/>
  <c r="D171" i="18"/>
  <c r="E171" i="18"/>
  <c r="D172" i="18"/>
  <c r="E172" i="18"/>
  <c r="D173" i="18"/>
  <c r="E173" i="18"/>
  <c r="D174" i="18"/>
  <c r="E174" i="18"/>
  <c r="D175" i="18"/>
  <c r="E175" i="18"/>
  <c r="D176" i="18"/>
  <c r="E176" i="18"/>
  <c r="D177" i="18"/>
  <c r="E177" i="18"/>
  <c r="D178" i="18"/>
  <c r="E178" i="18"/>
  <c r="D179" i="18"/>
  <c r="E179" i="18"/>
  <c r="D180" i="18"/>
  <c r="E180" i="18"/>
  <c r="D181" i="18"/>
  <c r="E181" i="18"/>
  <c r="D182" i="18"/>
  <c r="E182" i="18"/>
  <c r="D183" i="18"/>
  <c r="E183" i="18"/>
  <c r="D184" i="18"/>
  <c r="E184" i="18"/>
  <c r="D185" i="18"/>
  <c r="E185" i="18"/>
  <c r="D186" i="18"/>
  <c r="E186" i="18"/>
  <c r="D187" i="18"/>
  <c r="E187" i="18"/>
  <c r="D188" i="18"/>
  <c r="E188" i="18"/>
  <c r="D189" i="18"/>
  <c r="E189" i="18"/>
  <c r="D190" i="18"/>
  <c r="E190" i="18"/>
  <c r="D191" i="18"/>
  <c r="E191" i="18"/>
  <c r="D192" i="18"/>
  <c r="E192" i="18"/>
  <c r="D193" i="18"/>
  <c r="E193" i="18"/>
  <c r="D194" i="18"/>
  <c r="E194" i="18"/>
  <c r="D195" i="18"/>
  <c r="E195" i="18"/>
  <c r="D196" i="18"/>
  <c r="E196" i="18"/>
  <c r="D197" i="18"/>
  <c r="E197" i="18"/>
  <c r="D198" i="18"/>
  <c r="E198" i="18"/>
  <c r="D199" i="18"/>
  <c r="E199" i="18"/>
  <c r="D200" i="18"/>
  <c r="E200" i="18"/>
  <c r="D201" i="18"/>
  <c r="E201" i="18"/>
  <c r="D202" i="18"/>
  <c r="E202" i="18"/>
  <c r="D203" i="18"/>
  <c r="E203" i="18"/>
  <c r="D204" i="18"/>
  <c r="E204" i="18"/>
  <c r="D205" i="18"/>
  <c r="E205" i="18"/>
  <c r="D206" i="18"/>
  <c r="E206" i="18"/>
  <c r="D207" i="18"/>
  <c r="E207" i="18"/>
  <c r="D208" i="18"/>
  <c r="E208" i="18"/>
  <c r="D209" i="18"/>
  <c r="E209" i="18"/>
  <c r="D210" i="18"/>
  <c r="E210" i="18"/>
  <c r="D211" i="18"/>
  <c r="E211" i="18"/>
  <c r="D212" i="18"/>
  <c r="E212" i="18"/>
  <c r="D213" i="18"/>
  <c r="E213" i="18"/>
  <c r="D214" i="18"/>
  <c r="E214" i="18"/>
  <c r="D215" i="18"/>
  <c r="E215" i="18"/>
  <c r="D216" i="18"/>
  <c r="E216" i="18"/>
  <c r="D217" i="18"/>
  <c r="E217" i="18"/>
  <c r="D218" i="18"/>
  <c r="E218" i="18"/>
  <c r="D219" i="18"/>
  <c r="E219" i="18"/>
  <c r="D220" i="18"/>
  <c r="E220" i="18"/>
  <c r="D221" i="18"/>
  <c r="E221" i="18"/>
  <c r="D222" i="18"/>
  <c r="E222" i="18"/>
  <c r="D223" i="18"/>
  <c r="E223" i="18"/>
  <c r="D224" i="18"/>
  <c r="E224" i="18"/>
  <c r="D225" i="18"/>
  <c r="E225" i="18"/>
  <c r="D226" i="18"/>
  <c r="E226" i="18"/>
  <c r="D227" i="18"/>
  <c r="E227" i="18"/>
  <c r="D228" i="18"/>
  <c r="E228" i="18"/>
  <c r="D229" i="18"/>
  <c r="E229" i="18"/>
  <c r="D230" i="18"/>
  <c r="E230" i="18"/>
  <c r="D231" i="18"/>
  <c r="E231" i="18"/>
  <c r="D232" i="18"/>
  <c r="E232" i="18"/>
  <c r="D233" i="18"/>
  <c r="E233" i="18"/>
  <c r="D234" i="18"/>
  <c r="E234" i="18"/>
  <c r="D235" i="18"/>
  <c r="E235" i="18"/>
  <c r="D236" i="18"/>
  <c r="E236" i="18"/>
  <c r="D237" i="18"/>
  <c r="E237" i="18"/>
  <c r="D238" i="18"/>
  <c r="E238" i="18"/>
  <c r="D239" i="18"/>
  <c r="E239" i="18"/>
  <c r="D240" i="18"/>
  <c r="E240" i="18"/>
  <c r="D241" i="18"/>
  <c r="E241" i="18"/>
  <c r="D242" i="18"/>
  <c r="E242" i="18"/>
  <c r="D243" i="18"/>
  <c r="E243" i="18"/>
  <c r="D244" i="18"/>
  <c r="E244" i="18"/>
  <c r="D245" i="18"/>
  <c r="E245" i="18"/>
  <c r="D246" i="18"/>
  <c r="E246" i="18"/>
  <c r="D247" i="18"/>
  <c r="E247" i="18"/>
  <c r="D248" i="18"/>
  <c r="E248" i="18"/>
  <c r="D249" i="18"/>
  <c r="E249" i="18"/>
  <c r="D250" i="18"/>
  <c r="E250" i="18"/>
  <c r="D251" i="18"/>
  <c r="E251" i="18"/>
  <c r="D252" i="18"/>
  <c r="E252" i="18"/>
  <c r="D253" i="18"/>
  <c r="E253" i="18"/>
  <c r="D254" i="18"/>
  <c r="E254" i="18"/>
  <c r="D255" i="18"/>
  <c r="E255" i="18"/>
  <c r="D256" i="18"/>
  <c r="E256" i="18"/>
  <c r="D257" i="18"/>
  <c r="E257" i="18"/>
  <c r="D258" i="18"/>
  <c r="E258" i="18"/>
  <c r="D259" i="18"/>
  <c r="E259" i="18"/>
  <c r="D260" i="18"/>
  <c r="E260" i="18"/>
  <c r="D261" i="18"/>
  <c r="E261" i="18"/>
  <c r="D262" i="18"/>
  <c r="E262" i="18"/>
  <c r="D263" i="18"/>
  <c r="E263" i="18"/>
  <c r="D264" i="18"/>
  <c r="E264" i="18"/>
  <c r="D265" i="18"/>
  <c r="E265" i="18"/>
  <c r="D266" i="18"/>
  <c r="E266" i="18"/>
  <c r="D267" i="18"/>
  <c r="E267" i="18"/>
  <c r="D268" i="18"/>
  <c r="E268" i="18"/>
  <c r="D269" i="18"/>
  <c r="E269" i="18"/>
  <c r="D270" i="18"/>
  <c r="E270" i="18"/>
  <c r="D271" i="18"/>
  <c r="E271" i="18"/>
  <c r="D272" i="18"/>
  <c r="E272" i="18"/>
  <c r="D273" i="18"/>
  <c r="E273" i="18"/>
  <c r="D274" i="18"/>
  <c r="E274" i="18"/>
  <c r="D275" i="18"/>
  <c r="E275" i="18"/>
  <c r="D276" i="18"/>
  <c r="E276" i="18"/>
  <c r="D277" i="18"/>
  <c r="E277" i="18"/>
  <c r="D278" i="18"/>
  <c r="E278" i="18"/>
  <c r="D279" i="18"/>
  <c r="E279" i="18"/>
  <c r="D280" i="18"/>
  <c r="E280" i="18"/>
  <c r="D281" i="18"/>
  <c r="E281" i="18"/>
  <c r="D282" i="18"/>
  <c r="E282" i="18"/>
  <c r="D283" i="18"/>
  <c r="E283" i="18"/>
  <c r="D284" i="18"/>
  <c r="E284" i="18"/>
  <c r="D285" i="18"/>
  <c r="E285" i="18"/>
  <c r="D286" i="18"/>
  <c r="E286" i="18"/>
  <c r="D287" i="18"/>
  <c r="E287" i="18"/>
  <c r="E2" i="18"/>
  <c r="I1" i="18" s="1"/>
  <c r="H1" i="18" l="1"/>
  <c r="D4" i="27" s="1"/>
  <c r="C4" i="27" l="1"/>
  <c r="D6" i="27"/>
  <c r="D17" i="27" s="1"/>
  <c r="E4" i="27"/>
  <c r="AA4" i="4"/>
  <c r="K131" i="2"/>
  <c r="P115" i="1" l="1"/>
  <c r="J110" i="26"/>
  <c r="E17" i="27"/>
  <c r="E18" i="27" s="1"/>
  <c r="J110" i="25"/>
  <c r="C17" i="27"/>
  <c r="C18" i="27" s="1"/>
  <c r="D18" i="27"/>
  <c r="D142" i="2"/>
  <c r="E142" i="2"/>
  <c r="F142" i="2"/>
  <c r="G142" i="2"/>
  <c r="H142" i="2"/>
  <c r="I142" i="2"/>
  <c r="J142" i="2"/>
  <c r="C142" i="2"/>
  <c r="K49" i="11"/>
  <c r="I118" i="2"/>
  <c r="D40" i="11"/>
  <c r="E40" i="11"/>
  <c r="F40" i="11"/>
  <c r="G40" i="11"/>
  <c r="H40" i="11"/>
  <c r="I40" i="11"/>
  <c r="J40" i="11"/>
  <c r="C40" i="11"/>
  <c r="C37" i="11"/>
  <c r="D37" i="11"/>
  <c r="E37" i="11"/>
  <c r="F37" i="11"/>
  <c r="G37" i="11"/>
  <c r="H37" i="11"/>
  <c r="I37" i="11"/>
  <c r="J37" i="11"/>
  <c r="C30" i="11"/>
  <c r="D30" i="11"/>
  <c r="E30" i="11"/>
  <c r="F30" i="11"/>
  <c r="G30" i="11"/>
  <c r="H30" i="11"/>
  <c r="I30" i="11"/>
  <c r="J30" i="11"/>
  <c r="C27" i="11"/>
  <c r="D27" i="11"/>
  <c r="E27" i="11"/>
  <c r="F27" i="11"/>
  <c r="G27" i="11"/>
  <c r="H27" i="11"/>
  <c r="I27" i="11"/>
  <c r="J27" i="11"/>
  <c r="C24" i="11"/>
  <c r="C55" i="11" s="1"/>
  <c r="D24" i="11"/>
  <c r="D55" i="11" s="1"/>
  <c r="E24" i="11"/>
  <c r="E55" i="11" s="1"/>
  <c r="F24" i="11"/>
  <c r="F55" i="11" s="1"/>
  <c r="G24" i="11"/>
  <c r="G55" i="11" s="1"/>
  <c r="H24" i="11"/>
  <c r="H55" i="11" s="1"/>
  <c r="I24" i="11"/>
  <c r="I55" i="11" s="1"/>
  <c r="J24" i="11"/>
  <c r="J55" i="11" s="1"/>
  <c r="J94" i="2"/>
  <c r="D94" i="2"/>
  <c r="E94" i="2"/>
  <c r="F94" i="2"/>
  <c r="G94" i="2"/>
  <c r="H94" i="2"/>
  <c r="I94" i="2"/>
  <c r="C94" i="2"/>
  <c r="K57" i="2"/>
  <c r="E59" i="2"/>
  <c r="E60" i="2" s="1"/>
  <c r="F59" i="2"/>
  <c r="F60" i="2" s="1"/>
  <c r="G59" i="2"/>
  <c r="G60" i="2" s="1"/>
  <c r="H59" i="2"/>
  <c r="H60" i="2" s="1"/>
  <c r="I59" i="2"/>
  <c r="I60" i="2" s="1"/>
  <c r="J59" i="2"/>
  <c r="J60" i="2" s="1"/>
  <c r="D59" i="2"/>
  <c r="D60" i="2" s="1"/>
  <c r="K52" i="2"/>
  <c r="E2" i="3"/>
  <c r="E21" i="3" s="1"/>
  <c r="E54" i="2"/>
  <c r="E55" i="2" s="1"/>
  <c r="F54" i="2"/>
  <c r="F55" i="2" s="1"/>
  <c r="G54" i="2"/>
  <c r="G55" i="2" s="1"/>
  <c r="H54" i="2"/>
  <c r="H55" i="2" s="1"/>
  <c r="I54" i="2"/>
  <c r="I55" i="2" s="1"/>
  <c r="J54" i="2"/>
  <c r="J55" i="2" s="1"/>
  <c r="D54" i="2"/>
  <c r="D55" i="2" s="1"/>
  <c r="E47" i="2"/>
  <c r="F47" i="2"/>
  <c r="G47" i="2"/>
  <c r="H47" i="2"/>
  <c r="I47" i="2"/>
  <c r="J47" i="2"/>
  <c r="D47" i="2"/>
  <c r="D28" i="2"/>
  <c r="E28" i="2"/>
  <c r="F28" i="2"/>
  <c r="G28" i="2"/>
  <c r="H28" i="2"/>
  <c r="I28" i="2"/>
  <c r="J28" i="2"/>
  <c r="C28" i="2"/>
  <c r="N354" i="9"/>
  <c r="M354" i="9"/>
  <c r="L354" i="9"/>
  <c r="K354" i="9"/>
  <c r="K351" i="9" s="1"/>
  <c r="J354" i="9"/>
  <c r="I354" i="9"/>
  <c r="L351" i="9"/>
  <c r="R348" i="9"/>
  <c r="Q348" i="9"/>
  <c r="P348" i="9"/>
  <c r="O348" i="9"/>
  <c r="R347" i="9"/>
  <c r="Q347" i="9"/>
  <c r="P347" i="9"/>
  <c r="O347" i="9"/>
  <c r="N347" i="9"/>
  <c r="M347" i="9"/>
  <c r="M128" i="9" s="1"/>
  <c r="L347" i="9"/>
  <c r="L343" i="9" s="1"/>
  <c r="K347" i="9"/>
  <c r="K343" i="9" s="1"/>
  <c r="J347" i="9"/>
  <c r="J343" i="9" s="1"/>
  <c r="I347" i="9"/>
  <c r="N345" i="9"/>
  <c r="M345" i="9"/>
  <c r="L345" i="9"/>
  <c r="K345" i="9"/>
  <c r="J345" i="9"/>
  <c r="I345" i="9"/>
  <c r="I343" i="9"/>
  <c r="H335" i="9"/>
  <c r="H333" i="9"/>
  <c r="N326" i="9"/>
  <c r="N335" i="9" s="1"/>
  <c r="M326" i="9"/>
  <c r="M335" i="9" s="1"/>
  <c r="L326" i="9"/>
  <c r="L335" i="9" s="1"/>
  <c r="K326" i="9"/>
  <c r="K335" i="9" s="1"/>
  <c r="J326" i="9"/>
  <c r="J335" i="9" s="1"/>
  <c r="I326" i="9"/>
  <c r="I335" i="9" s="1"/>
  <c r="H326" i="9"/>
  <c r="D324" i="9"/>
  <c r="I325" i="9" s="1"/>
  <c r="J322" i="9"/>
  <c r="I322" i="9"/>
  <c r="I321" i="9" s="1"/>
  <c r="L313" i="9"/>
  <c r="K313" i="9"/>
  <c r="J313" i="9"/>
  <c r="I313" i="9"/>
  <c r="H313" i="9"/>
  <c r="I308" i="9"/>
  <c r="I306" i="9"/>
  <c r="N305" i="9"/>
  <c r="M305" i="9"/>
  <c r="L305" i="9"/>
  <c r="K305" i="9"/>
  <c r="J305" i="9"/>
  <c r="I305" i="9"/>
  <c r="H305" i="9"/>
  <c r="H296" i="9"/>
  <c r="I296" i="9" s="1"/>
  <c r="J296" i="9" s="1"/>
  <c r="K296" i="9" s="1"/>
  <c r="L296" i="9" s="1"/>
  <c r="M296" i="9" s="1"/>
  <c r="N296" i="9" s="1"/>
  <c r="E296" i="9"/>
  <c r="H295" i="9"/>
  <c r="I295" i="9" s="1"/>
  <c r="J295" i="9" s="1"/>
  <c r="K295" i="9" s="1"/>
  <c r="L295" i="9" s="1"/>
  <c r="M295" i="9" s="1"/>
  <c r="N295" i="9" s="1"/>
  <c r="H294" i="9"/>
  <c r="I294" i="9" s="1"/>
  <c r="J294" i="9" s="1"/>
  <c r="K294" i="9" s="1"/>
  <c r="L294" i="9" s="1"/>
  <c r="M294" i="9" s="1"/>
  <c r="N294" i="9" s="1"/>
  <c r="H293" i="9"/>
  <c r="I293" i="9" s="1"/>
  <c r="J293" i="9" s="1"/>
  <c r="K293" i="9" s="1"/>
  <c r="L293" i="9" s="1"/>
  <c r="M293" i="9" s="1"/>
  <c r="N293" i="9" s="1"/>
  <c r="H291" i="9"/>
  <c r="G288" i="9"/>
  <c r="I286" i="9"/>
  <c r="I285" i="9"/>
  <c r="G283" i="9"/>
  <c r="H282" i="9"/>
  <c r="H278" i="9"/>
  <c r="I278" i="9" s="1"/>
  <c r="J278" i="9" s="1"/>
  <c r="K278" i="9" s="1"/>
  <c r="L278" i="9" s="1"/>
  <c r="M278" i="9" s="1"/>
  <c r="N278" i="9" s="1"/>
  <c r="I277" i="9"/>
  <c r="H276" i="9"/>
  <c r="I276" i="9" s="1"/>
  <c r="J276" i="9" s="1"/>
  <c r="K276" i="9" s="1"/>
  <c r="L276" i="9" s="1"/>
  <c r="M276" i="9" s="1"/>
  <c r="N276" i="9" s="1"/>
  <c r="H275" i="9"/>
  <c r="H266" i="9"/>
  <c r="H303" i="9" s="1"/>
  <c r="L262" i="9"/>
  <c r="K262" i="9"/>
  <c r="K253" i="9" s="1"/>
  <c r="J262" i="9"/>
  <c r="I262" i="9"/>
  <c r="H262" i="9"/>
  <c r="N261" i="9"/>
  <c r="M261" i="9"/>
  <c r="L261" i="9"/>
  <c r="K261" i="9"/>
  <c r="J261" i="9"/>
  <c r="J253" i="9" s="1"/>
  <c r="I261" i="9"/>
  <c r="H261" i="9"/>
  <c r="R260" i="9"/>
  <c r="Q260" i="9"/>
  <c r="P260" i="9"/>
  <c r="O260" i="9"/>
  <c r="N260" i="9"/>
  <c r="M260" i="9"/>
  <c r="L260" i="9"/>
  <c r="K260" i="9"/>
  <c r="J260" i="9"/>
  <c r="I260" i="9"/>
  <c r="H260" i="9"/>
  <c r="R259" i="9"/>
  <c r="Q259" i="9"/>
  <c r="P259" i="9"/>
  <c r="O259" i="9"/>
  <c r="N259" i="9"/>
  <c r="M259" i="9"/>
  <c r="M258" i="9" s="1"/>
  <c r="M252" i="9" s="1"/>
  <c r="L259" i="9"/>
  <c r="L258" i="9" s="1"/>
  <c r="L252" i="9" s="1"/>
  <c r="K259" i="9"/>
  <c r="J259" i="9"/>
  <c r="I259" i="9"/>
  <c r="H259" i="9"/>
  <c r="D259" i="9"/>
  <c r="K255" i="9"/>
  <c r="K249" i="9" s="1"/>
  <c r="K248" i="9" s="1"/>
  <c r="L253" i="9"/>
  <c r="I253" i="9"/>
  <c r="R242" i="9"/>
  <c r="Q242" i="9"/>
  <c r="P242" i="9"/>
  <c r="O242" i="9"/>
  <c r="O240" i="9"/>
  <c r="I239" i="9"/>
  <c r="N236" i="9"/>
  <c r="N224" i="9" s="1"/>
  <c r="M236" i="9"/>
  <c r="M313" i="9" s="1"/>
  <c r="D233" i="9"/>
  <c r="I232" i="9" s="1"/>
  <c r="J232" i="9"/>
  <c r="J318" i="9" s="1"/>
  <c r="H232" i="9"/>
  <c r="N231" i="9"/>
  <c r="M231" i="9"/>
  <c r="M225" i="9" s="1"/>
  <c r="L231" i="9"/>
  <c r="L257" i="9" s="1"/>
  <c r="L251" i="9" s="1"/>
  <c r="K231" i="9"/>
  <c r="K257" i="9" s="1"/>
  <c r="K251" i="9" s="1"/>
  <c r="J231" i="9"/>
  <c r="J257" i="9" s="1"/>
  <c r="J251" i="9" s="1"/>
  <c r="I231" i="9"/>
  <c r="I257" i="9" s="1"/>
  <c r="I251" i="9" s="1"/>
  <c r="N230" i="9"/>
  <c r="N256" i="9" s="1"/>
  <c r="M230" i="9"/>
  <c r="L230" i="9"/>
  <c r="L224" i="9" s="1"/>
  <c r="K230" i="9"/>
  <c r="K224" i="9" s="1"/>
  <c r="J230" i="9"/>
  <c r="J256" i="9" s="1"/>
  <c r="J250" i="9" s="1"/>
  <c r="I230" i="9"/>
  <c r="I256" i="9" s="1"/>
  <c r="I250" i="9" s="1"/>
  <c r="N229" i="9"/>
  <c r="N255" i="9" s="1"/>
  <c r="M229" i="9"/>
  <c r="M255" i="9" s="1"/>
  <c r="L229" i="9"/>
  <c r="L255" i="9" s="1"/>
  <c r="L249" i="9" s="1"/>
  <c r="L248" i="9" s="1"/>
  <c r="K229" i="9"/>
  <c r="K223" i="9" s="1"/>
  <c r="K222" i="9" s="1"/>
  <c r="J229" i="9"/>
  <c r="I229" i="9"/>
  <c r="I223" i="9" s="1"/>
  <c r="L227" i="9"/>
  <c r="K227" i="9"/>
  <c r="J227" i="9"/>
  <c r="I227" i="9"/>
  <c r="H227" i="9"/>
  <c r="J226" i="9"/>
  <c r="L225" i="9"/>
  <c r="K225" i="9"/>
  <c r="J225" i="9"/>
  <c r="I225" i="9"/>
  <c r="H225" i="9"/>
  <c r="H224" i="9"/>
  <c r="L223" i="9"/>
  <c r="L222" i="9" s="1"/>
  <c r="H223" i="9"/>
  <c r="N201" i="9"/>
  <c r="M201" i="9"/>
  <c r="L201" i="9"/>
  <c r="K201" i="9"/>
  <c r="J201" i="9"/>
  <c r="I201" i="9"/>
  <c r="H201" i="9"/>
  <c r="N195" i="9"/>
  <c r="M195" i="9"/>
  <c r="L195" i="9"/>
  <c r="K195" i="9"/>
  <c r="J195" i="9"/>
  <c r="I195" i="9"/>
  <c r="H195" i="9"/>
  <c r="N194" i="9"/>
  <c r="N196" i="9" s="1"/>
  <c r="N203" i="9" s="1"/>
  <c r="N185" i="9"/>
  <c r="N191" i="9" s="1"/>
  <c r="M185" i="9"/>
  <c r="M191" i="9" s="1"/>
  <c r="M194" i="9" s="1"/>
  <c r="M196" i="9" s="1"/>
  <c r="M203" i="9" s="1"/>
  <c r="L185" i="9"/>
  <c r="L191" i="9" s="1"/>
  <c r="L194" i="9" s="1"/>
  <c r="L196" i="9" s="1"/>
  <c r="L203" i="9" s="1"/>
  <c r="K185" i="9"/>
  <c r="K191" i="9" s="1"/>
  <c r="K194" i="9" s="1"/>
  <c r="J185" i="9"/>
  <c r="J191" i="9" s="1"/>
  <c r="I185" i="9"/>
  <c r="I191" i="9" s="1"/>
  <c r="H185" i="9"/>
  <c r="H191" i="9" s="1"/>
  <c r="H194" i="9" s="1"/>
  <c r="H196" i="9" s="1"/>
  <c r="H203" i="9" s="1"/>
  <c r="N173" i="9"/>
  <c r="M173" i="9"/>
  <c r="L173" i="9"/>
  <c r="L216" i="9" s="1"/>
  <c r="K173" i="9"/>
  <c r="K216" i="9" s="1"/>
  <c r="J173" i="9"/>
  <c r="J216" i="9" s="1"/>
  <c r="I171" i="9"/>
  <c r="I173" i="9" s="1"/>
  <c r="I216" i="9" s="1"/>
  <c r="N162" i="9"/>
  <c r="M162" i="9"/>
  <c r="L162" i="9"/>
  <c r="K162" i="9"/>
  <c r="J162" i="9"/>
  <c r="I162" i="9"/>
  <c r="N158" i="9"/>
  <c r="N156" i="9" s="1"/>
  <c r="N155" i="9" s="1"/>
  <c r="M158" i="9"/>
  <c r="M156" i="9" s="1"/>
  <c r="M155" i="9" s="1"/>
  <c r="L158" i="9"/>
  <c r="L156" i="9"/>
  <c r="L155" i="9" s="1"/>
  <c r="L20" i="9" s="1"/>
  <c r="K156" i="9"/>
  <c r="K155" i="9" s="1"/>
  <c r="J156" i="9"/>
  <c r="J155" i="9" s="1"/>
  <c r="J20" i="9" s="1"/>
  <c r="I156" i="9"/>
  <c r="I155" i="9" s="1"/>
  <c r="H155" i="9"/>
  <c r="N152" i="9"/>
  <c r="N67" i="9" s="1"/>
  <c r="M152" i="9"/>
  <c r="L152" i="9"/>
  <c r="K152" i="9"/>
  <c r="J152" i="9"/>
  <c r="J67" i="9" s="1"/>
  <c r="I152" i="9"/>
  <c r="I67" i="9" s="1"/>
  <c r="N143" i="9"/>
  <c r="N146" i="9" s="1"/>
  <c r="M143" i="9"/>
  <c r="M146" i="9" s="1"/>
  <c r="L143" i="9"/>
  <c r="L17" i="9" s="1"/>
  <c r="K143" i="9"/>
  <c r="J143" i="9"/>
  <c r="J146" i="9" s="1"/>
  <c r="I143" i="9"/>
  <c r="I146" i="9" s="1"/>
  <c r="K132" i="9"/>
  <c r="J132" i="9"/>
  <c r="J130" i="9" s="1"/>
  <c r="I130" i="9"/>
  <c r="L128" i="9"/>
  <c r="K128" i="9"/>
  <c r="J128" i="9"/>
  <c r="I125" i="9"/>
  <c r="I115" i="9"/>
  <c r="H115" i="9"/>
  <c r="J113" i="9"/>
  <c r="J93" i="9" s="1"/>
  <c r="J100" i="9" s="1"/>
  <c r="N109" i="9"/>
  <c r="M109" i="9"/>
  <c r="L109" i="9"/>
  <c r="K109" i="9"/>
  <c r="J109" i="9"/>
  <c r="I109" i="9"/>
  <c r="K102" i="9"/>
  <c r="J102" i="9"/>
  <c r="I100" i="9"/>
  <c r="Q96" i="9"/>
  <c r="O96" i="9"/>
  <c r="R93" i="9"/>
  <c r="Q93" i="9"/>
  <c r="P93" i="9"/>
  <c r="O93" i="9"/>
  <c r="N93" i="9"/>
  <c r="N100" i="9" s="1"/>
  <c r="M93" i="9"/>
  <c r="M100" i="9" s="1"/>
  <c r="L93" i="9"/>
  <c r="L100" i="9" s="1"/>
  <c r="K93" i="9"/>
  <c r="K100" i="9" s="1"/>
  <c r="I93" i="9"/>
  <c r="R92" i="9"/>
  <c r="R96" i="9" s="1"/>
  <c r="Q92" i="9"/>
  <c r="Q240" i="9" s="1"/>
  <c r="P92" i="9"/>
  <c r="P96" i="9" s="1"/>
  <c r="O92" i="9"/>
  <c r="N92" i="9"/>
  <c r="M92" i="9"/>
  <c r="M240" i="9" s="1"/>
  <c r="L92" i="9"/>
  <c r="K92" i="9"/>
  <c r="J92" i="9"/>
  <c r="I92" i="9"/>
  <c r="I240" i="9" s="1"/>
  <c r="N91" i="9"/>
  <c r="N90" i="9" s="1"/>
  <c r="M91" i="9"/>
  <c r="L91" i="9"/>
  <c r="K91" i="9"/>
  <c r="J91" i="9"/>
  <c r="J96" i="9" s="1"/>
  <c r="J97" i="9" s="1"/>
  <c r="I91" i="9"/>
  <c r="I90" i="9" s="1"/>
  <c r="H90" i="9"/>
  <c r="G90" i="9"/>
  <c r="F90" i="9"/>
  <c r="E90" i="9"/>
  <c r="H89" i="9"/>
  <c r="G89" i="9"/>
  <c r="F89" i="9"/>
  <c r="E89" i="9"/>
  <c r="H83" i="9"/>
  <c r="G83" i="9"/>
  <c r="F83" i="9"/>
  <c r="E83" i="9"/>
  <c r="D83" i="9"/>
  <c r="R82" i="9"/>
  <c r="Q82" i="9"/>
  <c r="P82" i="9"/>
  <c r="O82" i="9"/>
  <c r="N82" i="9"/>
  <c r="M82" i="9"/>
  <c r="L82" i="9"/>
  <c r="K82" i="9"/>
  <c r="J82" i="9"/>
  <c r="I82" i="9"/>
  <c r="H80" i="9"/>
  <c r="G80" i="9"/>
  <c r="F80" i="9"/>
  <c r="E80" i="9"/>
  <c r="D80" i="9"/>
  <c r="H77" i="9"/>
  <c r="G77" i="9"/>
  <c r="F77" i="9"/>
  <c r="E77" i="9"/>
  <c r="D77" i="9"/>
  <c r="E74" i="9"/>
  <c r="R73" i="9"/>
  <c r="Q73" i="9"/>
  <c r="P73" i="9"/>
  <c r="O73" i="9"/>
  <c r="K73" i="9"/>
  <c r="J73" i="9"/>
  <c r="J74" i="9" s="1"/>
  <c r="G71" i="9"/>
  <c r="F71" i="9"/>
  <c r="E71" i="9"/>
  <c r="D71" i="9"/>
  <c r="R70" i="9"/>
  <c r="R45" i="9" s="1"/>
  <c r="Q70" i="9"/>
  <c r="P70" i="9"/>
  <c r="O70" i="9"/>
  <c r="G68" i="9"/>
  <c r="F68" i="9"/>
  <c r="E68" i="9"/>
  <c r="D68" i="9"/>
  <c r="R67" i="9"/>
  <c r="Q67" i="9"/>
  <c r="P67" i="9"/>
  <c r="O67" i="9"/>
  <c r="M67" i="9"/>
  <c r="L67" i="9"/>
  <c r="K67" i="9"/>
  <c r="G65" i="9"/>
  <c r="F65" i="9"/>
  <c r="E65" i="9"/>
  <c r="D65" i="9"/>
  <c r="R64" i="9"/>
  <c r="R62" i="9"/>
  <c r="Q62" i="9"/>
  <c r="P62" i="9"/>
  <c r="O62" i="9"/>
  <c r="N62" i="9"/>
  <c r="M62" i="9"/>
  <c r="L62" i="9"/>
  <c r="K62" i="9"/>
  <c r="J62" i="9"/>
  <c r="I62" i="9"/>
  <c r="H62" i="9"/>
  <c r="G62" i="9"/>
  <c r="F62" i="9"/>
  <c r="E62" i="9"/>
  <c r="D62" i="9"/>
  <c r="H58" i="9"/>
  <c r="G58" i="9"/>
  <c r="F58" i="9"/>
  <c r="E58" i="9"/>
  <c r="D58" i="9"/>
  <c r="R57" i="9"/>
  <c r="Q57" i="9"/>
  <c r="P57" i="9"/>
  <c r="O57" i="9"/>
  <c r="N57" i="9"/>
  <c r="M57" i="9"/>
  <c r="L57" i="9"/>
  <c r="K57" i="9"/>
  <c r="J57" i="9"/>
  <c r="I57" i="9"/>
  <c r="B57" i="9"/>
  <c r="B82" i="9" s="1"/>
  <c r="H55" i="9"/>
  <c r="G55" i="9"/>
  <c r="F55" i="9"/>
  <c r="E55" i="9"/>
  <c r="D55" i="9"/>
  <c r="B54" i="9"/>
  <c r="B79" i="9" s="1"/>
  <c r="H52" i="9"/>
  <c r="G52" i="9"/>
  <c r="F52" i="9"/>
  <c r="E52" i="9"/>
  <c r="D52" i="9"/>
  <c r="B51" i="9"/>
  <c r="B76" i="9" s="1"/>
  <c r="F49" i="9"/>
  <c r="R48" i="9"/>
  <c r="J48" i="9"/>
  <c r="B48" i="9"/>
  <c r="B73" i="9" s="1"/>
  <c r="G46" i="9"/>
  <c r="F46" i="9"/>
  <c r="E46" i="9"/>
  <c r="D46" i="9"/>
  <c r="B45" i="9"/>
  <c r="B70" i="9" s="1"/>
  <c r="G43" i="9"/>
  <c r="F43" i="9"/>
  <c r="E43" i="9"/>
  <c r="D43" i="9"/>
  <c r="Q42" i="9"/>
  <c r="B42" i="9"/>
  <c r="B67" i="9" s="1"/>
  <c r="G40" i="9"/>
  <c r="F40" i="9"/>
  <c r="E40" i="9"/>
  <c r="D40" i="9"/>
  <c r="R39" i="9"/>
  <c r="Q39" i="9"/>
  <c r="P39" i="9"/>
  <c r="O39" i="9"/>
  <c r="B39" i="9"/>
  <c r="B64" i="9" s="1"/>
  <c r="R37" i="9"/>
  <c r="Q37" i="9"/>
  <c r="P37" i="9"/>
  <c r="O37" i="9"/>
  <c r="N37" i="9"/>
  <c r="M37" i="9"/>
  <c r="L37" i="9"/>
  <c r="K37" i="9"/>
  <c r="J37" i="9"/>
  <c r="I37" i="9"/>
  <c r="H37" i="9"/>
  <c r="G37" i="9"/>
  <c r="F37" i="9"/>
  <c r="E37" i="9"/>
  <c r="D37" i="9"/>
  <c r="H33" i="9"/>
  <c r="G33" i="9"/>
  <c r="F33" i="9"/>
  <c r="E33" i="9"/>
  <c r="H30" i="9"/>
  <c r="G30" i="9"/>
  <c r="F30" i="9"/>
  <c r="E30" i="9"/>
  <c r="K29" i="9"/>
  <c r="K54" i="9" s="1"/>
  <c r="J29" i="9"/>
  <c r="J79" i="9" s="1"/>
  <c r="I29" i="9"/>
  <c r="I79" i="9" s="1"/>
  <c r="H27" i="9"/>
  <c r="G27" i="9"/>
  <c r="F27" i="9"/>
  <c r="E27" i="9"/>
  <c r="I26" i="9"/>
  <c r="I76" i="9" s="1"/>
  <c r="E24" i="9"/>
  <c r="R23" i="9"/>
  <c r="Q23" i="9"/>
  <c r="P23" i="9"/>
  <c r="P48" i="9" s="1"/>
  <c r="O23" i="9"/>
  <c r="O48" i="9" s="1"/>
  <c r="N23" i="9"/>
  <c r="M23" i="9"/>
  <c r="L23" i="9"/>
  <c r="K23" i="9"/>
  <c r="J23" i="9"/>
  <c r="G23" i="9"/>
  <c r="F23" i="9"/>
  <c r="F74" i="9" s="1"/>
  <c r="E23" i="9"/>
  <c r="E49" i="9" s="1"/>
  <c r="D23" i="9"/>
  <c r="D74" i="9" s="1"/>
  <c r="H21" i="9"/>
  <c r="G21" i="9"/>
  <c r="F21" i="9"/>
  <c r="E21" i="9"/>
  <c r="R20" i="9"/>
  <c r="Q20" i="9"/>
  <c r="Q45" i="9" s="1"/>
  <c r="P20" i="9"/>
  <c r="P45" i="9" s="1"/>
  <c r="O20" i="9"/>
  <c r="O45" i="9" s="1"/>
  <c r="N20" i="9"/>
  <c r="H20" i="9"/>
  <c r="H46" i="9" s="1"/>
  <c r="G18" i="9"/>
  <c r="F18" i="9"/>
  <c r="E18" i="9"/>
  <c r="R17" i="9"/>
  <c r="R42" i="9" s="1"/>
  <c r="Q17" i="9"/>
  <c r="P17" i="9"/>
  <c r="O17" i="9"/>
  <c r="O42" i="9" s="1"/>
  <c r="N17" i="9"/>
  <c r="N68" i="9" s="1"/>
  <c r="M17" i="9"/>
  <c r="J17" i="9"/>
  <c r="I17" i="9"/>
  <c r="I68" i="9" s="1"/>
  <c r="H17" i="9"/>
  <c r="H43" i="9" s="1"/>
  <c r="G15" i="9"/>
  <c r="F15" i="9"/>
  <c r="E15" i="9"/>
  <c r="R14" i="9"/>
  <c r="Q14" i="9"/>
  <c r="Q64" i="9" s="1"/>
  <c r="P14" i="9"/>
  <c r="P64" i="9" s="1"/>
  <c r="O14" i="9"/>
  <c r="O64" i="9" s="1"/>
  <c r="H14" i="9"/>
  <c r="T13" i="9"/>
  <c r="R12" i="9"/>
  <c r="Q12" i="9"/>
  <c r="P12" i="9"/>
  <c r="O12" i="9"/>
  <c r="N12" i="9"/>
  <c r="M12" i="9"/>
  <c r="L12" i="9"/>
  <c r="K12" i="9"/>
  <c r="J12" i="9"/>
  <c r="I12" i="9"/>
  <c r="H12" i="9"/>
  <c r="G12" i="9"/>
  <c r="F12" i="9"/>
  <c r="E12" i="9"/>
  <c r="T11" i="9"/>
  <c r="I9" i="9"/>
  <c r="J9" i="9" s="1"/>
  <c r="K9" i="9" s="1"/>
  <c r="L9" i="9" s="1"/>
  <c r="M9" i="9" s="1"/>
  <c r="N9" i="9" s="1"/>
  <c r="O9" i="9" s="1"/>
  <c r="P9" i="9" s="1"/>
  <c r="Q9" i="9" s="1"/>
  <c r="R9" i="9" s="1"/>
  <c r="B7" i="9"/>
  <c r="F38" i="7"/>
  <c r="E38" i="7"/>
  <c r="D38" i="7"/>
  <c r="B7" i="7"/>
  <c r="B8" i="7" s="1"/>
  <c r="F49" i="6"/>
  <c r="C49" i="6"/>
  <c r="K25" i="6"/>
  <c r="J25" i="6"/>
  <c r="I25" i="6"/>
  <c r="H25" i="6"/>
  <c r="G25" i="6"/>
  <c r="J24" i="6"/>
  <c r="I24" i="6"/>
  <c r="H24" i="6"/>
  <c r="G24" i="6"/>
  <c r="F24" i="6"/>
  <c r="L21" i="6"/>
  <c r="K21" i="6"/>
  <c r="J21" i="6"/>
  <c r="I21" i="6"/>
  <c r="H21" i="6"/>
  <c r="K20" i="6"/>
  <c r="J20" i="6"/>
  <c r="I20" i="6"/>
  <c r="H20" i="6"/>
  <c r="G20" i="6"/>
  <c r="F19" i="6"/>
  <c r="H18" i="6"/>
  <c r="G18" i="6"/>
  <c r="F18" i="6"/>
  <c r="G17" i="6"/>
  <c r="F17" i="6"/>
  <c r="I16" i="6"/>
  <c r="H16" i="6"/>
  <c r="G16" i="6"/>
  <c r="F16" i="6"/>
  <c r="G15" i="6"/>
  <c r="F15" i="6"/>
  <c r="I14" i="6"/>
  <c r="H14" i="6"/>
  <c r="G14" i="6"/>
  <c r="F14" i="6"/>
  <c r="H13" i="6"/>
  <c r="G13" i="6"/>
  <c r="F13" i="6"/>
  <c r="L12" i="6"/>
  <c r="K12" i="6"/>
  <c r="J12" i="6"/>
  <c r="I12" i="6"/>
  <c r="H12" i="6"/>
  <c r="G12" i="6"/>
  <c r="G11" i="6"/>
  <c r="F11" i="6"/>
  <c r="D10" i="6"/>
  <c r="L5" i="6"/>
  <c r="K5" i="6"/>
  <c r="F3" i="6"/>
  <c r="E4" i="6" s="1"/>
  <c r="F1" i="6"/>
  <c r="G1" i="6" s="1"/>
  <c r="H1" i="6" s="1"/>
  <c r="I1" i="6" s="1"/>
  <c r="J1" i="6" s="1"/>
  <c r="K1" i="6" s="1"/>
  <c r="L1" i="6" s="1"/>
  <c r="M1" i="6" s="1"/>
  <c r="N1" i="6" s="1"/>
  <c r="O1" i="6" s="1"/>
  <c r="P1" i="6" s="1"/>
  <c r="D31" i="5"/>
  <c r="C31" i="5"/>
  <c r="B31" i="5"/>
  <c r="D22" i="5"/>
  <c r="C22" i="5"/>
  <c r="B22" i="5"/>
  <c r="D21" i="5"/>
  <c r="D20" i="5"/>
  <c r="D18" i="5"/>
  <c r="D15" i="5"/>
  <c r="D17" i="5" s="1"/>
  <c r="C15" i="5"/>
  <c r="C21" i="5" s="1"/>
  <c r="B15" i="5"/>
  <c r="Z60" i="4"/>
  <c r="Z59" i="4"/>
  <c r="Z58" i="4"/>
  <c r="Z57" i="4"/>
  <c r="Z56" i="4"/>
  <c r="Z55" i="4"/>
  <c r="Z54" i="4"/>
  <c r="Z53" i="4"/>
  <c r="Z52" i="4"/>
  <c r="Z51" i="4"/>
  <c r="Z50" i="4"/>
  <c r="Z49" i="4"/>
  <c r="Z48" i="4"/>
  <c r="Z47" i="4"/>
  <c r="Z46" i="4"/>
  <c r="Z45" i="4"/>
  <c r="AD44" i="4"/>
  <c r="I36" i="5" s="1"/>
  <c r="AC44" i="4"/>
  <c r="H36" i="5" s="1"/>
  <c r="AB44" i="4"/>
  <c r="G36" i="5" s="1"/>
  <c r="AA44" i="4"/>
  <c r="Y44" i="4"/>
  <c r="X44" i="4"/>
  <c r="W43" i="4"/>
  <c r="V43" i="4"/>
  <c r="U43" i="4"/>
  <c r="T43" i="4"/>
  <c r="S43" i="4"/>
  <c r="R43" i="4"/>
  <c r="Q43" i="4"/>
  <c r="P43" i="4"/>
  <c r="O43" i="4"/>
  <c r="N43" i="4"/>
  <c r="M43" i="4"/>
  <c r="L43" i="4"/>
  <c r="K43" i="4"/>
  <c r="J43" i="4"/>
  <c r="I43" i="4"/>
  <c r="H43" i="4"/>
  <c r="G43" i="4"/>
  <c r="X42" i="4"/>
  <c r="Y42" i="4" s="1"/>
  <c r="Z42" i="4" s="1"/>
  <c r="AA42" i="4" s="1"/>
  <c r="AB42" i="4" s="1"/>
  <c r="AC42" i="4" s="1"/>
  <c r="AD42" i="4" s="1"/>
  <c r="U42" i="4"/>
  <c r="F27" i="7" s="1"/>
  <c r="F36" i="7" s="1"/>
  <c r="P42" i="4"/>
  <c r="E27" i="7" s="1"/>
  <c r="E36" i="7" s="1"/>
  <c r="K42" i="4"/>
  <c r="D27" i="7" s="1"/>
  <c r="D36" i="7" s="1"/>
  <c r="W40" i="4"/>
  <c r="V40" i="4"/>
  <c r="V44" i="4" s="1"/>
  <c r="U40" i="4"/>
  <c r="T40" i="4"/>
  <c r="S40" i="4"/>
  <c r="R40" i="4"/>
  <c r="Q40" i="4"/>
  <c r="P40" i="4"/>
  <c r="O40" i="4"/>
  <c r="N40" i="4"/>
  <c r="M40" i="4"/>
  <c r="L40" i="4"/>
  <c r="K40" i="4"/>
  <c r="J40" i="4"/>
  <c r="I40" i="4"/>
  <c r="H40" i="4"/>
  <c r="G40" i="4"/>
  <c r="X39" i="4"/>
  <c r="U39" i="4"/>
  <c r="F28" i="7" s="1"/>
  <c r="F37" i="7" s="1"/>
  <c r="P39" i="4"/>
  <c r="E28" i="7" s="1"/>
  <c r="E37" i="7" s="1"/>
  <c r="K39" i="4"/>
  <c r="D28" i="7" s="1"/>
  <c r="D37" i="7" s="1"/>
  <c r="W37" i="4"/>
  <c r="V37" i="4"/>
  <c r="T37" i="4"/>
  <c r="S37" i="4"/>
  <c r="R37" i="4"/>
  <c r="Q37" i="4"/>
  <c r="O37" i="4"/>
  <c r="N37" i="4"/>
  <c r="M37" i="4"/>
  <c r="L37" i="4"/>
  <c r="J37" i="4"/>
  <c r="I37" i="4"/>
  <c r="H37" i="4"/>
  <c r="U35" i="4"/>
  <c r="Z37" i="4" s="1"/>
  <c r="P35" i="4"/>
  <c r="K35" i="4"/>
  <c r="U34" i="4"/>
  <c r="Z34" i="4" s="1"/>
  <c r="P34" i="4"/>
  <c r="K34" i="4"/>
  <c r="Z32" i="4"/>
  <c r="V32" i="4"/>
  <c r="T32" i="4"/>
  <c r="S32" i="4"/>
  <c r="R32" i="4"/>
  <c r="Q32" i="4"/>
  <c r="O32" i="4"/>
  <c r="N32" i="4"/>
  <c r="M32" i="4"/>
  <c r="L32" i="4"/>
  <c r="J32" i="4"/>
  <c r="I32" i="4"/>
  <c r="H32" i="4"/>
  <c r="Z31" i="4"/>
  <c r="U29" i="4"/>
  <c r="P29" i="4"/>
  <c r="K29" i="4"/>
  <c r="AD28" i="4"/>
  <c r="AC28" i="4"/>
  <c r="AB28" i="4"/>
  <c r="AA28" i="4"/>
  <c r="Z28" i="4"/>
  <c r="V26" i="4"/>
  <c r="Z26" i="4" s="1"/>
  <c r="T26" i="4"/>
  <c r="S26" i="4"/>
  <c r="R26" i="4"/>
  <c r="Q26" i="4"/>
  <c r="O26" i="4"/>
  <c r="N26" i="4"/>
  <c r="M26" i="4"/>
  <c r="L26" i="4"/>
  <c r="J26" i="4"/>
  <c r="I26" i="4"/>
  <c r="H26" i="4"/>
  <c r="V25" i="4"/>
  <c r="T25" i="4"/>
  <c r="S25" i="4"/>
  <c r="R25" i="4"/>
  <c r="W24" i="4"/>
  <c r="W23" i="4"/>
  <c r="U23" i="4"/>
  <c r="P23" i="4"/>
  <c r="K23" i="4"/>
  <c r="V16" i="4"/>
  <c r="T16" i="4"/>
  <c r="S16" i="4"/>
  <c r="R16" i="4"/>
  <c r="Q16" i="4"/>
  <c r="W15" i="4"/>
  <c r="V15" i="4"/>
  <c r="U15" i="4"/>
  <c r="T15" i="4"/>
  <c r="S15" i="4"/>
  <c r="R15" i="4"/>
  <c r="Q15" i="4"/>
  <c r="P15" i="4"/>
  <c r="O15" i="4"/>
  <c r="N15" i="4"/>
  <c r="M15" i="4"/>
  <c r="L15" i="4"/>
  <c r="K15" i="4"/>
  <c r="J15" i="4"/>
  <c r="I15" i="4"/>
  <c r="H15" i="4"/>
  <c r="V14" i="4"/>
  <c r="T14" i="4"/>
  <c r="S14" i="4"/>
  <c r="R14" i="4"/>
  <c r="Q14" i="4"/>
  <c r="O14" i="4"/>
  <c r="N14" i="4"/>
  <c r="M14" i="4"/>
  <c r="L14" i="4"/>
  <c r="J14" i="4"/>
  <c r="I14" i="4"/>
  <c r="H14" i="4"/>
  <c r="X13" i="4"/>
  <c r="Y13" i="4" s="1"/>
  <c r="Z13" i="4" s="1"/>
  <c r="AA13" i="4" s="1"/>
  <c r="AB13" i="4" s="1"/>
  <c r="AC13" i="4" s="1"/>
  <c r="AD13" i="4" s="1"/>
  <c r="U13" i="4"/>
  <c r="P13" i="4"/>
  <c r="K13" i="4"/>
  <c r="Y12" i="4"/>
  <c r="X12" i="4"/>
  <c r="W12" i="4"/>
  <c r="W11" i="4" s="1"/>
  <c r="U12" i="4"/>
  <c r="F17" i="7" s="1"/>
  <c r="P12" i="4"/>
  <c r="K12" i="4"/>
  <c r="V11" i="4"/>
  <c r="T11" i="4"/>
  <c r="S11" i="4"/>
  <c r="R11" i="4"/>
  <c r="Q11" i="4"/>
  <c r="O11" i="4"/>
  <c r="N11" i="4"/>
  <c r="M11" i="4"/>
  <c r="L11" i="4"/>
  <c r="J11" i="4"/>
  <c r="I11" i="4"/>
  <c r="H11" i="4"/>
  <c r="G11" i="4"/>
  <c r="Y9" i="4"/>
  <c r="X9" i="4"/>
  <c r="W9" i="4"/>
  <c r="V9" i="4"/>
  <c r="Z9" i="4" s="1"/>
  <c r="U9" i="4"/>
  <c r="T9" i="4"/>
  <c r="S9" i="4"/>
  <c r="R9" i="4"/>
  <c r="Q9" i="4"/>
  <c r="P9" i="4"/>
  <c r="O9" i="4"/>
  <c r="N9" i="4"/>
  <c r="M9" i="4"/>
  <c r="L9" i="4"/>
  <c r="K9" i="4"/>
  <c r="J9" i="4"/>
  <c r="I9" i="4"/>
  <c r="H9" i="4"/>
  <c r="G9" i="4"/>
  <c r="F9" i="4"/>
  <c r="E9" i="4"/>
  <c r="D9" i="4"/>
  <c r="V8" i="4"/>
  <c r="T8" i="4"/>
  <c r="S8" i="4"/>
  <c r="R8" i="4"/>
  <c r="Q8" i="4"/>
  <c r="O8" i="4"/>
  <c r="N8" i="4"/>
  <c r="M8" i="4"/>
  <c r="L8" i="4"/>
  <c r="Z7" i="4"/>
  <c r="T7" i="4"/>
  <c r="S7" i="4"/>
  <c r="R7" i="4"/>
  <c r="O7" i="4"/>
  <c r="N7" i="4"/>
  <c r="M7" i="4"/>
  <c r="J7" i="4"/>
  <c r="I7" i="4"/>
  <c r="H7" i="4"/>
  <c r="AD5" i="4"/>
  <c r="Y5" i="4"/>
  <c r="Y4" i="4" s="1"/>
  <c r="X5" i="4"/>
  <c r="X4" i="4" s="1"/>
  <c r="W5" i="4"/>
  <c r="W4" i="4" s="1"/>
  <c r="U5" i="4"/>
  <c r="P5" i="4"/>
  <c r="K5" i="4"/>
  <c r="V4" i="4"/>
  <c r="T4" i="4"/>
  <c r="S4" i="4"/>
  <c r="R4" i="4"/>
  <c r="Q4" i="4"/>
  <c r="O4" i="4"/>
  <c r="N4" i="4"/>
  <c r="M4" i="4"/>
  <c r="L4" i="4"/>
  <c r="J4" i="4"/>
  <c r="I4" i="4"/>
  <c r="H4" i="4"/>
  <c r="G4" i="4"/>
  <c r="Y1" i="4"/>
  <c r="X1" i="4"/>
  <c r="W1" i="4"/>
  <c r="V1" i="4"/>
  <c r="T1" i="4"/>
  <c r="S1" i="4"/>
  <c r="R1" i="4"/>
  <c r="Q1" i="4"/>
  <c r="O1" i="4"/>
  <c r="N1" i="4"/>
  <c r="M1" i="4"/>
  <c r="L1" i="4"/>
  <c r="J1" i="4"/>
  <c r="I1" i="4"/>
  <c r="H1" i="4"/>
  <c r="G1" i="4"/>
  <c r="F1" i="4"/>
  <c r="E1" i="4"/>
  <c r="D1" i="4"/>
  <c r="C1" i="4"/>
  <c r="E27" i="3"/>
  <c r="E3" i="3" s="1"/>
  <c r="B15" i="3"/>
  <c r="C13" i="3" s="1"/>
  <c r="C15" i="3" s="1"/>
  <c r="D13" i="3" s="1"/>
  <c r="D15" i="3" s="1"/>
  <c r="E13" i="3" s="1"/>
  <c r="E15" i="3" s="1"/>
  <c r="D5" i="3"/>
  <c r="C5" i="3"/>
  <c r="F21" i="3"/>
  <c r="G21" i="3" s="1"/>
  <c r="H21" i="3" s="1"/>
  <c r="K127" i="2"/>
  <c r="L127" i="2" s="1"/>
  <c r="K121" i="2"/>
  <c r="K45" i="11" s="1"/>
  <c r="J118" i="2"/>
  <c r="H118" i="2"/>
  <c r="G118" i="2"/>
  <c r="F118" i="2"/>
  <c r="E118" i="2"/>
  <c r="D118" i="2"/>
  <c r="O117" i="2"/>
  <c r="N117" i="2"/>
  <c r="M117" i="2"/>
  <c r="L117" i="2"/>
  <c r="K117" i="2"/>
  <c r="K37" i="11" s="1"/>
  <c r="K113" i="2"/>
  <c r="L113" i="2" s="1"/>
  <c r="M113" i="2" s="1"/>
  <c r="N113" i="2" s="1"/>
  <c r="O113" i="2" s="1"/>
  <c r="K108" i="2"/>
  <c r="L108" i="2" s="1"/>
  <c r="J104" i="2"/>
  <c r="I104" i="2"/>
  <c r="H104" i="2"/>
  <c r="G104" i="2"/>
  <c r="F104" i="2"/>
  <c r="E104" i="2"/>
  <c r="D104" i="2"/>
  <c r="J103" i="2"/>
  <c r="I103" i="2"/>
  <c r="H103" i="2"/>
  <c r="G103" i="2"/>
  <c r="F103" i="2"/>
  <c r="E103" i="2"/>
  <c r="D103" i="2"/>
  <c r="C103" i="2"/>
  <c r="K102" i="2"/>
  <c r="K96" i="2"/>
  <c r="K95" i="2"/>
  <c r="K92" i="2"/>
  <c r="L92" i="2" s="1"/>
  <c r="K91" i="2"/>
  <c r="J88" i="2"/>
  <c r="I88" i="2"/>
  <c r="H88" i="2"/>
  <c r="G88" i="2"/>
  <c r="F88" i="2"/>
  <c r="E88" i="2"/>
  <c r="D88" i="2"/>
  <c r="C88" i="2"/>
  <c r="K86" i="2"/>
  <c r="L86" i="2" s="1"/>
  <c r="M86" i="2" s="1"/>
  <c r="N86" i="2" s="1"/>
  <c r="O86" i="2" s="1"/>
  <c r="J85" i="2"/>
  <c r="I85" i="2"/>
  <c r="H85" i="2"/>
  <c r="G85" i="2"/>
  <c r="F85" i="2"/>
  <c r="E85" i="2"/>
  <c r="D85" i="2"/>
  <c r="C85" i="2"/>
  <c r="K83" i="2"/>
  <c r="L83" i="2" s="1"/>
  <c r="J82" i="2"/>
  <c r="I82" i="2"/>
  <c r="H82" i="2"/>
  <c r="G82" i="2"/>
  <c r="F82" i="2"/>
  <c r="E82" i="2"/>
  <c r="D82" i="2"/>
  <c r="C82" i="2"/>
  <c r="K81" i="2"/>
  <c r="J79" i="2"/>
  <c r="I79" i="2"/>
  <c r="H79" i="2"/>
  <c r="G79" i="2"/>
  <c r="F79" i="2"/>
  <c r="E79" i="2"/>
  <c r="D79" i="2"/>
  <c r="K70" i="2"/>
  <c r="L70" i="2" s="1"/>
  <c r="M70" i="2" s="1"/>
  <c r="N70" i="2" s="1"/>
  <c r="O70" i="2" s="1"/>
  <c r="K64" i="2"/>
  <c r="L64" i="2" s="1"/>
  <c r="K35" i="2"/>
  <c r="L35" i="2" s="1"/>
  <c r="M35" i="2" s="1"/>
  <c r="N35" i="2" s="1"/>
  <c r="O35" i="2" s="1"/>
  <c r="J24" i="2"/>
  <c r="I24" i="2"/>
  <c r="H24" i="2"/>
  <c r="G24" i="2"/>
  <c r="F24" i="2"/>
  <c r="E24" i="2"/>
  <c r="D24" i="2"/>
  <c r="C24" i="2"/>
  <c r="J23" i="2"/>
  <c r="I23" i="2"/>
  <c r="H23" i="2"/>
  <c r="G23" i="2"/>
  <c r="F23" i="2"/>
  <c r="E23" i="2"/>
  <c r="D23" i="2"/>
  <c r="C23" i="2"/>
  <c r="K21" i="2"/>
  <c r="L21" i="2" s="1"/>
  <c r="K20" i="2"/>
  <c r="L20" i="2" s="1"/>
  <c r="J19" i="2"/>
  <c r="I19" i="2"/>
  <c r="H19" i="2"/>
  <c r="G19" i="2"/>
  <c r="F19" i="2"/>
  <c r="E19" i="2"/>
  <c r="D19" i="2"/>
  <c r="K14" i="2"/>
  <c r="J13" i="2"/>
  <c r="I13" i="2"/>
  <c r="H13" i="2"/>
  <c r="G13" i="2"/>
  <c r="F13" i="2"/>
  <c r="E13" i="2"/>
  <c r="D13" i="2"/>
  <c r="C13" i="2"/>
  <c r="J11" i="2"/>
  <c r="I11" i="2"/>
  <c r="H11" i="2"/>
  <c r="G11" i="2"/>
  <c r="F11" i="2"/>
  <c r="E11" i="2"/>
  <c r="D11" i="2"/>
  <c r="C11" i="2"/>
  <c r="G73" i="1"/>
  <c r="C9" i="28" s="1"/>
  <c r="E73" i="1"/>
  <c r="D73" i="1"/>
  <c r="C73" i="1"/>
  <c r="J76" i="1"/>
  <c r="I76" i="1"/>
  <c r="H76" i="1"/>
  <c r="G76" i="1"/>
  <c r="F76" i="1"/>
  <c r="E76" i="1"/>
  <c r="D76" i="1"/>
  <c r="C76" i="1"/>
  <c r="J72" i="1"/>
  <c r="I72" i="1"/>
  <c r="H72" i="1"/>
  <c r="G72" i="1"/>
  <c r="F72" i="1"/>
  <c r="E72" i="1"/>
  <c r="D72" i="1"/>
  <c r="J70" i="1"/>
  <c r="I70" i="1"/>
  <c r="H70" i="1"/>
  <c r="G70" i="1"/>
  <c r="F70" i="1"/>
  <c r="E70" i="1"/>
  <c r="D70" i="1"/>
  <c r="C70" i="1"/>
  <c r="J68" i="1"/>
  <c r="I68" i="1"/>
  <c r="H68" i="1"/>
  <c r="G68" i="1"/>
  <c r="F68" i="1"/>
  <c r="E68" i="1"/>
  <c r="D68" i="1"/>
  <c r="C68" i="1"/>
  <c r="J62" i="1"/>
  <c r="I62" i="1"/>
  <c r="H62" i="1"/>
  <c r="G62" i="1"/>
  <c r="F62" i="1"/>
  <c r="E62" i="1"/>
  <c r="D62" i="1"/>
  <c r="C62" i="1"/>
  <c r="J60" i="1"/>
  <c r="I60" i="1"/>
  <c r="H60" i="1"/>
  <c r="G60" i="1"/>
  <c r="F60" i="1"/>
  <c r="E60" i="1"/>
  <c r="D60" i="1"/>
  <c r="C60" i="1"/>
  <c r="J57" i="1"/>
  <c r="I57" i="1"/>
  <c r="H57" i="1"/>
  <c r="G57" i="1"/>
  <c r="F57" i="1"/>
  <c r="E57" i="1"/>
  <c r="D57" i="1"/>
  <c r="J55" i="1"/>
  <c r="I55" i="1"/>
  <c r="H55" i="1"/>
  <c r="G55" i="1"/>
  <c r="F55" i="1"/>
  <c r="E55" i="1"/>
  <c r="D55" i="1"/>
  <c r="C55" i="1"/>
  <c r="J53" i="1"/>
  <c r="I53" i="1"/>
  <c r="H53" i="1"/>
  <c r="G53" i="1"/>
  <c r="F53" i="1"/>
  <c r="E53" i="1"/>
  <c r="D53" i="1"/>
  <c r="C53" i="1"/>
  <c r="J51" i="1"/>
  <c r="I51" i="1"/>
  <c r="H51" i="1"/>
  <c r="G51" i="1"/>
  <c r="F51" i="1"/>
  <c r="E51" i="1"/>
  <c r="D51" i="1"/>
  <c r="C51" i="1"/>
  <c r="J48" i="1"/>
  <c r="I48" i="1"/>
  <c r="H48" i="1"/>
  <c r="G48" i="1"/>
  <c r="F48" i="1"/>
  <c r="E48" i="1"/>
  <c r="D48" i="1"/>
  <c r="J47" i="1"/>
  <c r="I47" i="1"/>
  <c r="H47" i="1"/>
  <c r="G47" i="1"/>
  <c r="F47" i="1"/>
  <c r="E47" i="1"/>
  <c r="D47" i="1"/>
  <c r="C47" i="1"/>
  <c r="J44" i="1"/>
  <c r="I44" i="1"/>
  <c r="H44" i="1"/>
  <c r="G44" i="1"/>
  <c r="F44" i="1"/>
  <c r="E44" i="1"/>
  <c r="K41" i="1"/>
  <c r="L41" i="1" s="1"/>
  <c r="K39" i="1"/>
  <c r="L39" i="1" s="1"/>
  <c r="J38" i="1"/>
  <c r="I38" i="1"/>
  <c r="H38" i="1"/>
  <c r="G38" i="1"/>
  <c r="F38" i="1"/>
  <c r="E38" i="1"/>
  <c r="K32" i="1"/>
  <c r="J29" i="1"/>
  <c r="I29" i="1"/>
  <c r="H29" i="1"/>
  <c r="G29" i="1"/>
  <c r="F29" i="1"/>
  <c r="E29" i="1"/>
  <c r="D29" i="1"/>
  <c r="C29" i="1"/>
  <c r="J25" i="1"/>
  <c r="I25" i="1"/>
  <c r="H25" i="1"/>
  <c r="G25" i="1"/>
  <c r="F25" i="1"/>
  <c r="E25" i="1"/>
  <c r="J23" i="1"/>
  <c r="I23" i="1"/>
  <c r="H23" i="1"/>
  <c r="G23" i="1"/>
  <c r="F23" i="1"/>
  <c r="E23" i="1"/>
  <c r="J21" i="1"/>
  <c r="I21" i="1"/>
  <c r="H21" i="1"/>
  <c r="G21" i="1"/>
  <c r="F21" i="1"/>
  <c r="E21" i="1"/>
  <c r="J18" i="1"/>
  <c r="F8" i="28" s="1"/>
  <c r="I18" i="1"/>
  <c r="E8" i="28" s="1"/>
  <c r="H18" i="1"/>
  <c r="D8" i="28" s="1"/>
  <c r="G18" i="1"/>
  <c r="C8" i="28" s="1"/>
  <c r="E18" i="1"/>
  <c r="D18" i="1"/>
  <c r="C18" i="1"/>
  <c r="J16" i="1"/>
  <c r="I16" i="1"/>
  <c r="H16" i="1"/>
  <c r="G16" i="1"/>
  <c r="F16" i="1"/>
  <c r="E16" i="1"/>
  <c r="D16" i="1"/>
  <c r="J15" i="1"/>
  <c r="I15" i="1"/>
  <c r="H15" i="1"/>
  <c r="G15" i="1"/>
  <c r="F15" i="1"/>
  <c r="E15" i="1"/>
  <c r="D15" i="1"/>
  <c r="C15" i="1"/>
  <c r="J11" i="1"/>
  <c r="I11" i="1"/>
  <c r="H11" i="1"/>
  <c r="G11" i="1"/>
  <c r="F11" i="1"/>
  <c r="E11" i="1"/>
  <c r="D11" i="1"/>
  <c r="C11" i="1"/>
  <c r="J8" i="1"/>
  <c r="I8" i="1"/>
  <c r="H8" i="1"/>
  <c r="G8" i="1"/>
  <c r="F8" i="1"/>
  <c r="E8" i="1"/>
  <c r="D8" i="1"/>
  <c r="C8" i="1"/>
  <c r="I6" i="1"/>
  <c r="H6" i="1"/>
  <c r="G6" i="1"/>
  <c r="F6" i="1"/>
  <c r="E6" i="1"/>
  <c r="D6" i="1"/>
  <c r="C6" i="1"/>
  <c r="J4" i="1"/>
  <c r="I4" i="1"/>
  <c r="H4" i="1"/>
  <c r="G4" i="1"/>
  <c r="F4" i="1"/>
  <c r="E4" i="1"/>
  <c r="D4" i="1"/>
  <c r="C4" i="1"/>
  <c r="J3" i="1"/>
  <c r="I3" i="1"/>
  <c r="H3" i="1"/>
  <c r="G3" i="1"/>
  <c r="F3" i="1"/>
  <c r="E3" i="1"/>
  <c r="D3" i="1"/>
  <c r="F36" i="5" l="1"/>
  <c r="AF44" i="4"/>
  <c r="AI42" i="4" s="1"/>
  <c r="S44" i="4"/>
  <c r="J107" i="1"/>
  <c r="F28" i="28" s="1"/>
  <c r="H107" i="1"/>
  <c r="D28" i="28" s="1"/>
  <c r="F107" i="1"/>
  <c r="B28" i="28" s="1"/>
  <c r="G107" i="1"/>
  <c r="C28" i="28" s="1"/>
  <c r="K94" i="2"/>
  <c r="L94" i="2" s="1"/>
  <c r="F9" i="7"/>
  <c r="N44" i="4"/>
  <c r="P44" i="4"/>
  <c r="X11" i="4"/>
  <c r="Z15" i="4"/>
  <c r="K14" i="4"/>
  <c r="P8" i="4"/>
  <c r="K167" i="9"/>
  <c r="K70" i="9" s="1"/>
  <c r="K20" i="9"/>
  <c r="K45" i="9" s="1"/>
  <c r="I194" i="9"/>
  <c r="I196" i="9" s="1"/>
  <c r="I203" i="9" s="1"/>
  <c r="I244" i="9"/>
  <c r="K301" i="9"/>
  <c r="K221" i="9"/>
  <c r="M167" i="9"/>
  <c r="M70" i="9" s="1"/>
  <c r="M20" i="9"/>
  <c r="M45" i="9" s="1"/>
  <c r="K247" i="9"/>
  <c r="K238" i="9" s="1"/>
  <c r="J100" i="25"/>
  <c r="J102" i="25" s="1"/>
  <c r="J99" i="1"/>
  <c r="J100" i="26"/>
  <c r="J102" i="26" s="1"/>
  <c r="H23" i="9"/>
  <c r="H74" i="9" s="1"/>
  <c r="H133" i="9"/>
  <c r="P4" i="4"/>
  <c r="J26" i="9"/>
  <c r="J51" i="9" s="1"/>
  <c r="M68" i="9"/>
  <c r="N223" i="9"/>
  <c r="N222" i="9" s="1"/>
  <c r="M257" i="9"/>
  <c r="N343" i="9"/>
  <c r="N225" i="9"/>
  <c r="J325" i="9"/>
  <c r="R44" i="4"/>
  <c r="I54" i="9"/>
  <c r="I224" i="9"/>
  <c r="N258" i="9"/>
  <c r="N252" i="9" s="1"/>
  <c r="K325" i="9"/>
  <c r="N118" i="9"/>
  <c r="N37" i="11"/>
  <c r="E4" i="5"/>
  <c r="K98" i="1"/>
  <c r="K99" i="26"/>
  <c r="K99" i="25"/>
  <c r="J54" i="9"/>
  <c r="H71" i="9"/>
  <c r="J224" i="9"/>
  <c r="H258" i="9"/>
  <c r="L325" i="9"/>
  <c r="I107" i="1"/>
  <c r="E28" i="28" s="1"/>
  <c r="I23" i="9"/>
  <c r="N232" i="9"/>
  <c r="N226" i="9" s="1"/>
  <c r="I99" i="1"/>
  <c r="I100" i="25"/>
  <c r="I102" i="25" s="1"/>
  <c r="I100" i="26"/>
  <c r="I102" i="26" s="1"/>
  <c r="E5" i="3"/>
  <c r="E4" i="3" s="1"/>
  <c r="U44" i="4"/>
  <c r="K240" i="9"/>
  <c r="F23" i="6"/>
  <c r="F27" i="6" s="1"/>
  <c r="G23" i="6"/>
  <c r="K48" i="9"/>
  <c r="I73" i="9"/>
  <c r="I96" i="9"/>
  <c r="J42" i="9"/>
  <c r="I42" i="9"/>
  <c r="L73" i="9"/>
  <c r="J23" i="6"/>
  <c r="L42" i="9"/>
  <c r="K196" i="9"/>
  <c r="K203" i="9" s="1"/>
  <c r="K118" i="9" s="1"/>
  <c r="K79" i="9"/>
  <c r="Q48" i="9"/>
  <c r="P240" i="9"/>
  <c r="M214" i="9"/>
  <c r="R240" i="9"/>
  <c r="I333" i="9"/>
  <c r="I332" i="9" s="1"/>
  <c r="M44" i="4"/>
  <c r="N214" i="9"/>
  <c r="L256" i="9"/>
  <c r="L250" i="9" s="1"/>
  <c r="P116" i="1"/>
  <c r="P117" i="1" s="1"/>
  <c r="P114" i="1"/>
  <c r="P113" i="1" s="1"/>
  <c r="K46" i="2"/>
  <c r="K47" i="2" s="1"/>
  <c r="K53" i="1"/>
  <c r="L53" i="1" s="1"/>
  <c r="K55" i="1"/>
  <c r="L55" i="1" s="1"/>
  <c r="K44" i="1"/>
  <c r="L44" i="1" s="1"/>
  <c r="H30" i="1"/>
  <c r="K11" i="1"/>
  <c r="E97" i="1"/>
  <c r="E56" i="11"/>
  <c r="E57" i="11" s="1"/>
  <c r="F97" i="1"/>
  <c r="F101" i="1" s="1"/>
  <c r="F56" i="11"/>
  <c r="F57" i="11" s="1"/>
  <c r="H97" i="1"/>
  <c r="H101" i="1" s="1"/>
  <c r="H56" i="11"/>
  <c r="H57" i="11" s="1"/>
  <c r="G97" i="1"/>
  <c r="G101" i="1" s="1"/>
  <c r="G56" i="11"/>
  <c r="G57" i="11" s="1"/>
  <c r="I97" i="1"/>
  <c r="I56" i="11"/>
  <c r="I57" i="11" s="1"/>
  <c r="J97" i="1"/>
  <c r="J56" i="11"/>
  <c r="J57" i="11" s="1"/>
  <c r="K8" i="1"/>
  <c r="C97" i="1"/>
  <c r="C56" i="11"/>
  <c r="C57" i="11" s="1"/>
  <c r="D97" i="1"/>
  <c r="D56" i="11"/>
  <c r="D57" i="11" s="1"/>
  <c r="D25" i="5"/>
  <c r="D27" i="5"/>
  <c r="Z5" i="4"/>
  <c r="Z4" i="4" s="1"/>
  <c r="Y11" i="4"/>
  <c r="U14" i="4"/>
  <c r="Z43" i="4"/>
  <c r="P14" i="4"/>
  <c r="O44" i="4"/>
  <c r="W44" i="4"/>
  <c r="U16" i="4"/>
  <c r="AA34" i="4"/>
  <c r="Z33" i="4"/>
  <c r="Q44" i="4"/>
  <c r="U11" i="4"/>
  <c r="K44" i="4"/>
  <c r="L44" i="4"/>
  <c r="T44" i="4"/>
  <c r="L37" i="11"/>
  <c r="O37" i="11"/>
  <c r="M37" i="11"/>
  <c r="J30" i="1"/>
  <c r="E30" i="1"/>
  <c r="K62" i="1"/>
  <c r="L62" i="1" s="1"/>
  <c r="D24" i="5"/>
  <c r="E34" i="5" s="1"/>
  <c r="K60" i="2"/>
  <c r="K55" i="2"/>
  <c r="K54" i="2" s="1"/>
  <c r="L52" i="2"/>
  <c r="M52" i="2" s="1"/>
  <c r="N52" i="2" s="1"/>
  <c r="O52" i="2" s="1"/>
  <c r="L57" i="2"/>
  <c r="K30" i="11"/>
  <c r="L30" i="11"/>
  <c r="K28" i="2"/>
  <c r="L28" i="2" s="1"/>
  <c r="F30" i="1"/>
  <c r="K29" i="1"/>
  <c r="L29" i="1" s="1"/>
  <c r="M29" i="1" s="1"/>
  <c r="K60" i="1"/>
  <c r="L60" i="1" s="1"/>
  <c r="G30" i="1"/>
  <c r="M41" i="1"/>
  <c r="N41" i="1" s="1"/>
  <c r="O41" i="1" s="1"/>
  <c r="C28" i="5"/>
  <c r="I30" i="1"/>
  <c r="D28" i="5"/>
  <c r="K24" i="2"/>
  <c r="L24" i="2" s="1"/>
  <c r="M24" i="2" s="1"/>
  <c r="K11" i="2"/>
  <c r="L11" i="2" s="1"/>
  <c r="K13" i="2"/>
  <c r="K88" i="2"/>
  <c r="L88" i="2" s="1"/>
  <c r="M88" i="2" s="1"/>
  <c r="K107" i="2"/>
  <c r="L107" i="2" s="1"/>
  <c r="M107" i="2" s="1"/>
  <c r="K23" i="2"/>
  <c r="L23" i="2" s="1"/>
  <c r="L95" i="2"/>
  <c r="M95" i="2" s="1"/>
  <c r="M92" i="2"/>
  <c r="N92" i="2" s="1"/>
  <c r="K21" i="1"/>
  <c r="I21" i="3"/>
  <c r="F29" i="6"/>
  <c r="K109" i="2"/>
  <c r="G22" i="6"/>
  <c r="G27" i="6" s="1"/>
  <c r="K51" i="1"/>
  <c r="L51" i="1" s="1"/>
  <c r="M20" i="2"/>
  <c r="N20" i="2" s="1"/>
  <c r="O20" i="2" s="1"/>
  <c r="E22" i="7"/>
  <c r="E21" i="7"/>
  <c r="E24" i="7"/>
  <c r="E23" i="7"/>
  <c r="F22" i="7"/>
  <c r="F24" i="7"/>
  <c r="F23" i="7"/>
  <c r="F21" i="7"/>
  <c r="W16" i="4"/>
  <c r="X23" i="4"/>
  <c r="B17" i="3"/>
  <c r="F23" i="3"/>
  <c r="G23" i="3" s="1"/>
  <c r="H23" i="3" s="1"/>
  <c r="I23" i="3" s="1"/>
  <c r="L81" i="2"/>
  <c r="L32" i="1"/>
  <c r="M32" i="1" s="1"/>
  <c r="M21" i="2"/>
  <c r="N21" i="2" s="1"/>
  <c r="K38" i="1"/>
  <c r="M39" i="1"/>
  <c r="N39" i="1" s="1"/>
  <c r="K70" i="1"/>
  <c r="L17" i="2"/>
  <c r="K19" i="2"/>
  <c r="L19" i="2" s="1"/>
  <c r="K85" i="2"/>
  <c r="L85" i="2" s="1"/>
  <c r="M108" i="2"/>
  <c r="N108" i="2" s="1"/>
  <c r="Z40" i="4"/>
  <c r="B20" i="5"/>
  <c r="B27" i="5" s="1"/>
  <c r="B17" i="5"/>
  <c r="B24" i="5" s="1"/>
  <c r="C34" i="5" s="1"/>
  <c r="B21" i="5"/>
  <c r="B28" i="5" s="1"/>
  <c r="B19" i="5"/>
  <c r="B26" i="5" s="1"/>
  <c r="B18" i="5"/>
  <c r="B25" i="5" s="1"/>
  <c r="K130" i="9"/>
  <c r="L132" i="9"/>
  <c r="L102" i="2"/>
  <c r="B16" i="3"/>
  <c r="X24" i="4"/>
  <c r="Y24" i="4" s="1"/>
  <c r="AA24" i="4" s="1"/>
  <c r="AA17" i="4" s="1"/>
  <c r="AA19" i="4" s="1"/>
  <c r="C20" i="5"/>
  <c r="C27" i="5" s="1"/>
  <c r="C17" i="5"/>
  <c r="C24" i="5" s="1"/>
  <c r="D34" i="5" s="1"/>
  <c r="C19" i="5"/>
  <c r="C26" i="5" s="1"/>
  <c r="C18" i="5"/>
  <c r="C25" i="5" s="1"/>
  <c r="L301" i="9"/>
  <c r="L221" i="9"/>
  <c r="I318" i="9"/>
  <c r="I226" i="9"/>
  <c r="K26" i="9"/>
  <c r="J76" i="9"/>
  <c r="L14" i="2"/>
  <c r="M14" i="2" s="1"/>
  <c r="N14" i="2" s="1"/>
  <c r="H23" i="6"/>
  <c r="N48" i="9"/>
  <c r="J306" i="9"/>
  <c r="J127" i="9"/>
  <c r="J117" i="9"/>
  <c r="K146" i="9"/>
  <c r="K214" i="9" s="1"/>
  <c r="K17" i="9"/>
  <c r="K42" i="9" s="1"/>
  <c r="M83" i="2"/>
  <c r="N83" i="2" s="1"/>
  <c r="L91" i="2"/>
  <c r="M91" i="2" s="1"/>
  <c r="N91" i="2" s="1"/>
  <c r="E17" i="7"/>
  <c r="E15" i="7"/>
  <c r="E16" i="7"/>
  <c r="E14" i="7"/>
  <c r="P11" i="4"/>
  <c r="Y39" i="4"/>
  <c r="Z39" i="4" s="1"/>
  <c r="AA39" i="4" s="1"/>
  <c r="AB39" i="4" s="1"/>
  <c r="AC39" i="4" s="1"/>
  <c r="AD39" i="4" s="1"/>
  <c r="M42" i="9"/>
  <c r="K306" i="9"/>
  <c r="L102" i="9"/>
  <c r="M216" i="9"/>
  <c r="M73" i="9"/>
  <c r="N301" i="9"/>
  <c r="N221" i="9"/>
  <c r="F7" i="7"/>
  <c r="U8" i="4"/>
  <c r="F10" i="7"/>
  <c r="F8" i="7"/>
  <c r="U4" i="4"/>
  <c r="I291" i="9"/>
  <c r="I89" i="9"/>
  <c r="M64" i="2"/>
  <c r="M127" i="2"/>
  <c r="F15" i="7"/>
  <c r="Z12" i="4"/>
  <c r="F14" i="7"/>
  <c r="F16" i="7"/>
  <c r="J90" i="9"/>
  <c r="D17" i="7"/>
  <c r="D15" i="7"/>
  <c r="D16" i="7"/>
  <c r="D14" i="7"/>
  <c r="D22" i="7"/>
  <c r="D24" i="7"/>
  <c r="D21" i="7"/>
  <c r="N291" i="9"/>
  <c r="I118" i="9"/>
  <c r="D10" i="7"/>
  <c r="D8" i="7"/>
  <c r="D9" i="7"/>
  <c r="K11" i="4"/>
  <c r="N42" i="9"/>
  <c r="G74" i="9"/>
  <c r="G24" i="9"/>
  <c r="G49" i="9"/>
  <c r="K74" i="9"/>
  <c r="L146" i="9"/>
  <c r="L214" i="9" s="1"/>
  <c r="N73" i="9"/>
  <c r="N74" i="9" s="1"/>
  <c r="N216" i="9"/>
  <c r="L96" i="2"/>
  <c r="L121" i="2"/>
  <c r="L45" i="11" s="1"/>
  <c r="E10" i="7"/>
  <c r="E8" i="7"/>
  <c r="E9" i="7"/>
  <c r="E7" i="7"/>
  <c r="D19" i="5"/>
  <c r="D26" i="5" s="1"/>
  <c r="D23" i="7"/>
  <c r="L29" i="9"/>
  <c r="L74" i="9"/>
  <c r="L48" i="9"/>
  <c r="L96" i="9"/>
  <c r="L97" i="9" s="1"/>
  <c r="L90" i="9"/>
  <c r="N240" i="9"/>
  <c r="N96" i="9"/>
  <c r="N97" i="9" s="1"/>
  <c r="K215" i="9"/>
  <c r="N167" i="9"/>
  <c r="N70" i="9" s="1"/>
  <c r="N71" i="9" s="1"/>
  <c r="L167" i="9"/>
  <c r="L70" i="9" s="1"/>
  <c r="L71" i="9" s="1"/>
  <c r="I284" i="9"/>
  <c r="J277" i="9"/>
  <c r="N318" i="9"/>
  <c r="H40" i="9"/>
  <c r="H15" i="9"/>
  <c r="H65" i="9"/>
  <c r="P42" i="9"/>
  <c r="K68" i="9"/>
  <c r="J68" i="9"/>
  <c r="I167" i="9"/>
  <c r="I70" i="9" s="1"/>
  <c r="I20" i="9"/>
  <c r="I45" i="9" s="1"/>
  <c r="M118" i="9"/>
  <c r="J223" i="9"/>
  <c r="J222" i="9" s="1"/>
  <c r="J255" i="9"/>
  <c r="J249" i="9" s="1"/>
  <c r="J248" i="9" s="1"/>
  <c r="J247" i="9" s="1"/>
  <c r="K4" i="4"/>
  <c r="I23" i="6"/>
  <c r="D7" i="7"/>
  <c r="I51" i="9"/>
  <c r="L68" i="9"/>
  <c r="J214" i="9"/>
  <c r="J244" i="9"/>
  <c r="J194" i="9"/>
  <c r="J196" i="9" s="1"/>
  <c r="J203" i="9" s="1"/>
  <c r="J118" i="9" s="1"/>
  <c r="M256" i="9"/>
  <c r="M224" i="9"/>
  <c r="H318" i="9"/>
  <c r="H314" i="9" s="1"/>
  <c r="H312" i="9" s="1"/>
  <c r="H226" i="9"/>
  <c r="H222" i="9" s="1"/>
  <c r="N257" i="9"/>
  <c r="H283" i="9"/>
  <c r="H274" i="9"/>
  <c r="I275" i="9"/>
  <c r="J321" i="9"/>
  <c r="K322" i="9"/>
  <c r="J333" i="9"/>
  <c r="J332" i="9" s="1"/>
  <c r="D49" i="9"/>
  <c r="L240" i="9"/>
  <c r="L247" i="9" s="1"/>
  <c r="L238" i="9" s="1"/>
  <c r="H68" i="9"/>
  <c r="K96" i="9"/>
  <c r="K97" i="9" s="1"/>
  <c r="J314" i="9"/>
  <c r="J312" i="9" s="1"/>
  <c r="J348" i="9"/>
  <c r="J344" i="9" s="1"/>
  <c r="J342" i="9" s="1"/>
  <c r="J341" i="9" s="1"/>
  <c r="K256" i="9"/>
  <c r="K250" i="9" s="1"/>
  <c r="H18" i="9"/>
  <c r="F24" i="9"/>
  <c r="M96" i="9"/>
  <c r="M97" i="9" s="1"/>
  <c r="M232" i="9"/>
  <c r="L232" i="9"/>
  <c r="K232" i="9"/>
  <c r="K90" i="9"/>
  <c r="I214" i="9"/>
  <c r="M262" i="9"/>
  <c r="M227" i="9"/>
  <c r="M343" i="9"/>
  <c r="I255" i="9"/>
  <c r="I249" i="9" s="1"/>
  <c r="K258" i="9"/>
  <c r="K252" i="9" s="1"/>
  <c r="J258" i="9"/>
  <c r="I258" i="9"/>
  <c r="M90" i="9"/>
  <c r="J215" i="9"/>
  <c r="J167" i="9"/>
  <c r="J70" i="9" s="1"/>
  <c r="M223" i="9"/>
  <c r="M222" i="9" s="1"/>
  <c r="I222" i="9"/>
  <c r="N262" i="9"/>
  <c r="N253" i="9" s="1"/>
  <c r="N227" i="9"/>
  <c r="N313" i="9"/>
  <c r="M325" i="9"/>
  <c r="H267" i="9"/>
  <c r="N325" i="9"/>
  <c r="Z11" i="4" l="1"/>
  <c r="Z44" i="4"/>
  <c r="E36" i="5" s="1"/>
  <c r="H49" i="9"/>
  <c r="H24" i="9"/>
  <c r="J101" i="1"/>
  <c r="H5" i="3"/>
  <c r="M71" i="9"/>
  <c r="N249" i="9"/>
  <c r="N248" i="9" s="1"/>
  <c r="N247" i="9" s="1"/>
  <c r="N238" i="9" s="1"/>
  <c r="K91" i="26"/>
  <c r="K91" i="25"/>
  <c r="K90" i="1"/>
  <c r="I101" i="1"/>
  <c r="M215" i="9"/>
  <c r="I48" i="9"/>
  <c r="I74" i="9"/>
  <c r="N251" i="9"/>
  <c r="M250" i="9"/>
  <c r="L55" i="2"/>
  <c r="M55" i="2" s="1"/>
  <c r="K71" i="9"/>
  <c r="G5" i="3"/>
  <c r="K100" i="25"/>
  <c r="K99" i="1"/>
  <c r="K100" i="26"/>
  <c r="K45" i="2"/>
  <c r="F22" i="3"/>
  <c r="G22" i="3" s="1"/>
  <c r="H22" i="3" s="1"/>
  <c r="I22" i="3" s="1"/>
  <c r="F5" i="3"/>
  <c r="M53" i="1"/>
  <c r="N53" i="1" s="1"/>
  <c r="L13" i="2"/>
  <c r="M13" i="2" s="1"/>
  <c r="AA16" i="4"/>
  <c r="AB24" i="4"/>
  <c r="AA33" i="4"/>
  <c r="AB34" i="4"/>
  <c r="Z24" i="4"/>
  <c r="AA16" i="23" s="1"/>
  <c r="AB4" i="4"/>
  <c r="K53" i="2"/>
  <c r="K51" i="2" s="1"/>
  <c r="M30" i="11"/>
  <c r="M57" i="2"/>
  <c r="K59" i="2"/>
  <c r="K58" i="2" s="1"/>
  <c r="L60" i="2"/>
  <c r="M60" i="1"/>
  <c r="N60" i="1" s="1"/>
  <c r="O60" i="1" s="1"/>
  <c r="L38" i="1"/>
  <c r="M38" i="1" s="1"/>
  <c r="K99" i="2"/>
  <c r="G32" i="28" s="1"/>
  <c r="M28" i="2"/>
  <c r="N107" i="2"/>
  <c r="O107" i="2" s="1"/>
  <c r="N64" i="2"/>
  <c r="N30" i="11" s="1"/>
  <c r="O83" i="2"/>
  <c r="N95" i="2"/>
  <c r="O95" i="2" s="1"/>
  <c r="O92" i="2"/>
  <c r="L21" i="1"/>
  <c r="H301" i="9"/>
  <c r="H221" i="9"/>
  <c r="G29" i="6"/>
  <c r="L109" i="2"/>
  <c r="L99" i="2" s="1"/>
  <c r="H32" i="28" s="1"/>
  <c r="H22" i="6"/>
  <c r="H27" i="6" s="1"/>
  <c r="L318" i="9"/>
  <c r="L226" i="9"/>
  <c r="M318" i="9"/>
  <c r="M226" i="9"/>
  <c r="J275" i="9"/>
  <c r="I274" i="9"/>
  <c r="I215" i="9"/>
  <c r="N348" i="9"/>
  <c r="N344" i="9" s="1"/>
  <c r="N342" i="9" s="1"/>
  <c r="N341" i="9" s="1"/>
  <c r="N314" i="9"/>
  <c r="E3" i="7"/>
  <c r="L306" i="9"/>
  <c r="M102" i="9"/>
  <c r="L26" i="9"/>
  <c r="K51" i="9"/>
  <c r="K76" i="9"/>
  <c r="F27" i="3"/>
  <c r="F3" i="3" s="1"/>
  <c r="M62" i="1"/>
  <c r="M96" i="2"/>
  <c r="N96" i="2" s="1"/>
  <c r="O96" i="2" s="1"/>
  <c r="N29" i="1"/>
  <c r="O29" i="1" s="1"/>
  <c r="M291" i="9"/>
  <c r="J331" i="9"/>
  <c r="J330" i="9" s="1"/>
  <c r="J311" i="9"/>
  <c r="J328" i="9" s="1"/>
  <c r="M74" i="9"/>
  <c r="M48" i="9"/>
  <c r="N24" i="2"/>
  <c r="O24" i="2" s="1"/>
  <c r="N312" i="9"/>
  <c r="H311" i="9"/>
  <c r="H331" i="9"/>
  <c r="M132" i="9"/>
  <c r="L130" i="9"/>
  <c r="I71" i="9"/>
  <c r="M253" i="9"/>
  <c r="M249" i="9"/>
  <c r="M248" i="9" s="1"/>
  <c r="M247" i="9" s="1"/>
  <c r="M238" i="9" s="1"/>
  <c r="N250" i="9"/>
  <c r="H281" i="9"/>
  <c r="I283" i="9"/>
  <c r="M251" i="9"/>
  <c r="L215" i="9"/>
  <c r="F3" i="7"/>
  <c r="J115" i="9"/>
  <c r="K117" i="9"/>
  <c r="M51" i="1"/>
  <c r="N51" i="1" s="1"/>
  <c r="M85" i="2"/>
  <c r="N85" i="2" s="1"/>
  <c r="I314" i="9"/>
  <c r="I312" i="9" s="1"/>
  <c r="I348" i="9"/>
  <c r="I344" i="9" s="1"/>
  <c r="I342" i="9" s="1"/>
  <c r="I341" i="9" s="1"/>
  <c r="M11" i="2"/>
  <c r="N11" i="2" s="1"/>
  <c r="L89" i="9"/>
  <c r="L291" i="9"/>
  <c r="O91" i="2"/>
  <c r="X16" i="4"/>
  <c r="Y23" i="4"/>
  <c r="M23" i="2"/>
  <c r="I301" i="9"/>
  <c r="I221" i="9"/>
  <c r="M301" i="9"/>
  <c r="M221" i="9"/>
  <c r="J243" i="9"/>
  <c r="J242" i="9" s="1"/>
  <c r="J238" i="9" s="1"/>
  <c r="G16" i="7"/>
  <c r="G14" i="7"/>
  <c r="G17" i="7"/>
  <c r="G15" i="7"/>
  <c r="AA12" i="4"/>
  <c r="AA11" i="4" s="1"/>
  <c r="L118" i="9"/>
  <c r="J125" i="9"/>
  <c r="K127" i="9"/>
  <c r="A12" i="4"/>
  <c r="O21" i="2"/>
  <c r="O39" i="1"/>
  <c r="M44" i="1"/>
  <c r="N44" i="1" s="1"/>
  <c r="J252" i="9"/>
  <c r="J245" i="9"/>
  <c r="L54" i="9"/>
  <c r="L79" i="9"/>
  <c r="M29" i="9"/>
  <c r="K318" i="9"/>
  <c r="K226" i="9"/>
  <c r="K321" i="9"/>
  <c r="L322" i="9"/>
  <c r="K333" i="9"/>
  <c r="K332" i="9" s="1"/>
  <c r="N127" i="2"/>
  <c r="O127" i="2" s="1"/>
  <c r="M81" i="2"/>
  <c r="H323" i="9"/>
  <c r="I267" i="9"/>
  <c r="D3" i="7"/>
  <c r="J89" i="9"/>
  <c r="J291" i="9"/>
  <c r="J284" i="9"/>
  <c r="K277" i="9"/>
  <c r="N45" i="9"/>
  <c r="M19" i="2"/>
  <c r="N19" i="2" s="1"/>
  <c r="K18" i="2"/>
  <c r="L18" i="2" s="1"/>
  <c r="N88" i="2"/>
  <c r="J71" i="9"/>
  <c r="J45" i="9"/>
  <c r="I252" i="9"/>
  <c r="I248" i="9" s="1"/>
  <c r="I247" i="9" s="1"/>
  <c r="I245" i="9"/>
  <c r="I243" i="9" s="1"/>
  <c r="I242" i="9" s="1"/>
  <c r="K291" i="9"/>
  <c r="K89" i="9"/>
  <c r="J221" i="9"/>
  <c r="J301" i="9"/>
  <c r="N215" i="9"/>
  <c r="M121" i="2"/>
  <c r="M45" i="11" s="1"/>
  <c r="L45" i="9"/>
  <c r="I133" i="9"/>
  <c r="I14" i="9"/>
  <c r="O14" i="2"/>
  <c r="M102" i="2"/>
  <c r="O108" i="2"/>
  <c r="L70" i="1"/>
  <c r="M17" i="2"/>
  <c r="N32" i="1"/>
  <c r="O32" i="1" s="1"/>
  <c r="M18" i="2" l="1"/>
  <c r="AC24" i="4"/>
  <c r="AC17" i="4" s="1"/>
  <c r="AC19" i="4" s="1"/>
  <c r="AB17" i="4"/>
  <c r="AB19" i="4" s="1"/>
  <c r="Y16" i="4"/>
  <c r="L98" i="1"/>
  <c r="L99" i="26"/>
  <c r="L99" i="25"/>
  <c r="L54" i="2"/>
  <c r="L53" i="2" s="1"/>
  <c r="L100" i="25"/>
  <c r="L99" i="1"/>
  <c r="L100" i="26"/>
  <c r="L91" i="26"/>
  <c r="L91" i="25"/>
  <c r="L90" i="1"/>
  <c r="K24" i="11"/>
  <c r="K55" i="11" s="1"/>
  <c r="L45" i="2"/>
  <c r="M45" i="2" s="1"/>
  <c r="N45" i="2" s="1"/>
  <c r="N24" i="11" s="1"/>
  <c r="N55" i="11" s="1"/>
  <c r="K44" i="2"/>
  <c r="AB16" i="23"/>
  <c r="AA14" i="23"/>
  <c r="AA8" i="23" s="1"/>
  <c r="K4" i="25" s="1"/>
  <c r="L4" i="1"/>
  <c r="AA10" i="4"/>
  <c r="H25" i="3"/>
  <c r="I25" i="3" s="1"/>
  <c r="N100" i="25"/>
  <c r="N100" i="26"/>
  <c r="N99" i="1"/>
  <c r="M100" i="25"/>
  <c r="M99" i="1"/>
  <c r="M100" i="26"/>
  <c r="N13" i="2"/>
  <c r="O13" i="2" s="1"/>
  <c r="F4" i="5"/>
  <c r="L46" i="2"/>
  <c r="AC34" i="4"/>
  <c r="AB33" i="4"/>
  <c r="AD4" i="4"/>
  <c r="M60" i="2"/>
  <c r="L59" i="2"/>
  <c r="L58" i="2" s="1"/>
  <c r="K56" i="2"/>
  <c r="O64" i="2"/>
  <c r="O30" i="11" s="1"/>
  <c r="N57" i="2"/>
  <c r="K5" i="11"/>
  <c r="L51" i="2"/>
  <c r="N55" i="2"/>
  <c r="M54" i="2"/>
  <c r="M53" i="2" s="1"/>
  <c r="N38" i="1"/>
  <c r="O38" i="1" s="1"/>
  <c r="N28" i="2"/>
  <c r="N18" i="2"/>
  <c r="O19" i="2"/>
  <c r="M21" i="1"/>
  <c r="N17" i="2"/>
  <c r="O17" i="2" s="1"/>
  <c r="K314" i="9"/>
  <c r="K312" i="9" s="1"/>
  <c r="K348" i="9"/>
  <c r="K344" i="9" s="1"/>
  <c r="K342" i="9" s="1"/>
  <c r="K341" i="9" s="1"/>
  <c r="K356" i="9" s="1"/>
  <c r="K14" i="9"/>
  <c r="K133" i="9"/>
  <c r="M79" i="9"/>
  <c r="N29" i="9"/>
  <c r="M54" i="9"/>
  <c r="F2" i="3"/>
  <c r="F4" i="3" s="1"/>
  <c r="K43" i="2"/>
  <c r="H304" i="9"/>
  <c r="H302" i="9" s="1"/>
  <c r="H300" i="9" s="1"/>
  <c r="H265" i="9"/>
  <c r="J337" i="9"/>
  <c r="J212" i="9"/>
  <c r="M70" i="1"/>
  <c r="L51" i="9"/>
  <c r="L76" i="9"/>
  <c r="M26" i="9"/>
  <c r="K275" i="9"/>
  <c r="J274" i="9"/>
  <c r="O44" i="1"/>
  <c r="N23" i="2"/>
  <c r="M306" i="9"/>
  <c r="N102" i="9"/>
  <c r="H298" i="9"/>
  <c r="N121" i="2"/>
  <c r="I238" i="9"/>
  <c r="O51" i="1"/>
  <c r="K115" i="9"/>
  <c r="L117" i="9"/>
  <c r="N331" i="9"/>
  <c r="N311" i="9"/>
  <c r="M348" i="9"/>
  <c r="M344" i="9" s="1"/>
  <c r="M342" i="9" s="1"/>
  <c r="M341" i="9" s="1"/>
  <c r="M314" i="9"/>
  <c r="M312" i="9" s="1"/>
  <c r="H29" i="6"/>
  <c r="I22" i="6"/>
  <c r="I27" i="6" s="1"/>
  <c r="M109" i="2"/>
  <c r="M99" i="2" s="1"/>
  <c r="I32" i="28" s="1"/>
  <c r="Z16" i="4"/>
  <c r="A23" i="4"/>
  <c r="G9" i="7"/>
  <c r="G8" i="7"/>
  <c r="G7" i="7"/>
  <c r="G10" i="7"/>
  <c r="L127" i="9"/>
  <c r="K125" i="9"/>
  <c r="N81" i="2"/>
  <c r="I5" i="3"/>
  <c r="G24" i="3"/>
  <c r="N62" i="1"/>
  <c r="O62" i="1" s="1"/>
  <c r="L348" i="9"/>
  <c r="L344" i="9" s="1"/>
  <c r="L342" i="9" s="1"/>
  <c r="L341" i="9" s="1"/>
  <c r="L356" i="9" s="1"/>
  <c r="L314" i="9"/>
  <c r="L312" i="9" s="1"/>
  <c r="K284" i="9"/>
  <c r="L277" i="9"/>
  <c r="AB12" i="4"/>
  <c r="AB11" i="4" s="1"/>
  <c r="M89" i="9"/>
  <c r="O85" i="2"/>
  <c r="O88" i="2"/>
  <c r="O53" i="1"/>
  <c r="N132" i="9"/>
  <c r="N130" i="9" s="1"/>
  <c r="M130" i="9"/>
  <c r="O11" i="2"/>
  <c r="I281" i="9"/>
  <c r="I304" i="9" s="1"/>
  <c r="J283" i="9"/>
  <c r="J133" i="9"/>
  <c r="J14" i="9"/>
  <c r="J267" i="9"/>
  <c r="I323" i="9"/>
  <c r="N102" i="2"/>
  <c r="H334" i="9"/>
  <c r="H332" i="9" s="1"/>
  <c r="H330" i="9" s="1"/>
  <c r="I353" i="9"/>
  <c r="I351" i="9" s="1"/>
  <c r="I356" i="9" s="1"/>
  <c r="H321" i="9"/>
  <c r="H328" i="9" s="1"/>
  <c r="L321" i="9"/>
  <c r="M322" i="9"/>
  <c r="L333" i="9"/>
  <c r="L332" i="9" s="1"/>
  <c r="I331" i="9"/>
  <c r="I330" i="9" s="1"/>
  <c r="I311" i="9"/>
  <c r="I328" i="9" s="1"/>
  <c r="AD24" i="4" l="1"/>
  <c r="AD16" i="4" s="1"/>
  <c r="AC16" i="4"/>
  <c r="M24" i="11"/>
  <c r="M55" i="11" s="1"/>
  <c r="K4" i="1"/>
  <c r="Z10" i="4"/>
  <c r="M91" i="26"/>
  <c r="M91" i="25"/>
  <c r="M90" i="1"/>
  <c r="AC16" i="23"/>
  <c r="AB14" i="23"/>
  <c r="AB8" i="23" s="1"/>
  <c r="L4" i="25" s="1"/>
  <c r="I26" i="3"/>
  <c r="O100" i="25"/>
  <c r="O100" i="26"/>
  <c r="O99" i="1"/>
  <c r="L24" i="11"/>
  <c r="L55" i="11" s="1"/>
  <c r="K2" i="25"/>
  <c r="K5" i="25" s="1"/>
  <c r="L47" i="2"/>
  <c r="L5" i="11" s="1"/>
  <c r="L44" i="2"/>
  <c r="L43" i="2" s="1"/>
  <c r="AC33" i="4"/>
  <c r="AD34" i="4"/>
  <c r="AD33" i="4" s="1"/>
  <c r="L56" i="2"/>
  <c r="O57" i="2"/>
  <c r="N60" i="2"/>
  <c r="M59" i="2"/>
  <c r="M58" i="2" s="1"/>
  <c r="O121" i="2"/>
  <c r="O45" i="11" s="1"/>
  <c r="N45" i="11"/>
  <c r="K34" i="2"/>
  <c r="O45" i="2"/>
  <c r="M51" i="2"/>
  <c r="O55" i="2"/>
  <c r="O54" i="2" s="1"/>
  <c r="N54" i="2"/>
  <c r="N53" i="2" s="1"/>
  <c r="O18" i="2"/>
  <c r="O28" i="2"/>
  <c r="N21" i="1"/>
  <c r="I334" i="9"/>
  <c r="J353" i="9"/>
  <c r="J351" i="9" s="1"/>
  <c r="J356" i="9" s="1"/>
  <c r="J281" i="9"/>
  <c r="J304" i="9" s="1"/>
  <c r="K283" i="9"/>
  <c r="O81" i="2"/>
  <c r="AB16" i="4"/>
  <c r="I357" i="9"/>
  <c r="I213" i="9"/>
  <c r="M117" i="9"/>
  <c r="L115" i="9"/>
  <c r="I29" i="6"/>
  <c r="N109" i="2"/>
  <c r="N99" i="2" s="1"/>
  <c r="J32" i="28" s="1"/>
  <c r="J22" i="6"/>
  <c r="J27" i="6" s="1"/>
  <c r="N306" i="9"/>
  <c r="N89" i="9"/>
  <c r="G2" i="3"/>
  <c r="A5" i="4"/>
  <c r="AA27" i="4" s="1"/>
  <c r="F37" i="5" s="1"/>
  <c r="M321" i="9"/>
  <c r="N322" i="9"/>
  <c r="M333" i="9"/>
  <c r="M332" i="9" s="1"/>
  <c r="L331" i="9"/>
  <c r="L330" i="9" s="1"/>
  <c r="L311" i="9"/>
  <c r="L328" i="9" s="1"/>
  <c r="J323" i="9"/>
  <c r="J334" i="9" s="1"/>
  <c r="K267" i="9"/>
  <c r="L213" i="9"/>
  <c r="I337" i="9"/>
  <c r="I212" i="9"/>
  <c r="AC12" i="4"/>
  <c r="AC11" i="4" s="1"/>
  <c r="O102" i="2"/>
  <c r="M277" i="9"/>
  <c r="L284" i="9"/>
  <c r="H24" i="3"/>
  <c r="G27" i="3"/>
  <c r="G3" i="3" s="1"/>
  <c r="L275" i="9"/>
  <c r="K274" i="9"/>
  <c r="O23" i="2"/>
  <c r="K357" i="9"/>
  <c r="K213" i="9"/>
  <c r="N70" i="1"/>
  <c r="M127" i="9"/>
  <c r="L125" i="9"/>
  <c r="L357" i="9" s="1"/>
  <c r="M331" i="9"/>
  <c r="M311" i="9"/>
  <c r="N26" i="9"/>
  <c r="M76" i="9"/>
  <c r="M51" i="9"/>
  <c r="N54" i="9"/>
  <c r="O29" i="9"/>
  <c r="N79" i="9"/>
  <c r="K331" i="9"/>
  <c r="K330" i="9" s="1"/>
  <c r="K311" i="9"/>
  <c r="K328" i="9" s="1"/>
  <c r="AD17" i="4" l="1"/>
  <c r="AD19" i="4" s="1"/>
  <c r="AB10" i="4"/>
  <c r="G4" i="5"/>
  <c r="M99" i="26"/>
  <c r="M98" i="1"/>
  <c r="M99" i="25"/>
  <c r="L2" i="25"/>
  <c r="L5" i="25" s="1"/>
  <c r="K62" i="25"/>
  <c r="K10" i="25"/>
  <c r="K38" i="25" s="1"/>
  <c r="K29" i="25"/>
  <c r="K9" i="25"/>
  <c r="K44" i="25"/>
  <c r="K60" i="25"/>
  <c r="K64" i="25" s="1"/>
  <c r="K53" i="25"/>
  <c r="K55" i="25"/>
  <c r="K51" i="25"/>
  <c r="AD16" i="23"/>
  <c r="AC14" i="23"/>
  <c r="AC8" i="23" s="1"/>
  <c r="M4" i="25" s="1"/>
  <c r="N91" i="26"/>
  <c r="N91" i="25"/>
  <c r="N90" i="1"/>
  <c r="L34" i="2"/>
  <c r="N4" i="1"/>
  <c r="AC10" i="4"/>
  <c r="M330" i="9"/>
  <c r="M4" i="1"/>
  <c r="M46" i="2"/>
  <c r="AD27" i="4"/>
  <c r="I37" i="5" s="1"/>
  <c r="AB27" i="4"/>
  <c r="G37" i="5" s="1"/>
  <c r="AC27" i="4"/>
  <c r="H37" i="5" s="1"/>
  <c r="O24" i="11"/>
  <c r="O55" i="11" s="1"/>
  <c r="M56" i="2"/>
  <c r="O60" i="2"/>
  <c r="O59" i="2" s="1"/>
  <c r="N59" i="2"/>
  <c r="N58" i="2" s="1"/>
  <c r="O53" i="2"/>
  <c r="O51" i="2" s="1"/>
  <c r="N51" i="2"/>
  <c r="O21" i="1"/>
  <c r="O54" i="9"/>
  <c r="O79" i="9"/>
  <c r="P29" i="9"/>
  <c r="I24" i="3"/>
  <c r="I27" i="3" s="1"/>
  <c r="I3" i="3" s="1"/>
  <c r="H27" i="3"/>
  <c r="H3" i="3" s="1"/>
  <c r="AD12" i="4"/>
  <c r="AD11" i="4" s="1"/>
  <c r="L283" i="9"/>
  <c r="K281" i="9"/>
  <c r="K304" i="9" s="1"/>
  <c r="N117" i="9"/>
  <c r="N115" i="9" s="1"/>
  <c r="M115" i="9"/>
  <c r="O26" i="9"/>
  <c r="N51" i="9"/>
  <c r="N76" i="9"/>
  <c r="K337" i="9"/>
  <c r="K212" i="9"/>
  <c r="N277" i="9"/>
  <c r="N284" i="9" s="1"/>
  <c r="M284" i="9"/>
  <c r="L337" i="9"/>
  <c r="L212" i="9"/>
  <c r="G4" i="3"/>
  <c r="J357" i="9"/>
  <c r="J213" i="9"/>
  <c r="J29" i="6"/>
  <c r="K22" i="6"/>
  <c r="K27" i="6" s="1"/>
  <c r="O109" i="2"/>
  <c r="O99" i="2" s="1"/>
  <c r="K32" i="28" s="1"/>
  <c r="M328" i="9"/>
  <c r="L274" i="9"/>
  <c r="M275" i="9"/>
  <c r="Z27" i="4"/>
  <c r="E37" i="5" s="1"/>
  <c r="E39" i="5" s="1"/>
  <c r="F34" i="5" s="1"/>
  <c r="F39" i="5" s="1"/>
  <c r="G34" i="5" s="1"/>
  <c r="N127" i="9"/>
  <c r="N125" i="9" s="1"/>
  <c r="N133" i="9" s="1"/>
  <c r="M125" i="9"/>
  <c r="N14" i="9" s="1"/>
  <c r="N321" i="9"/>
  <c r="N328" i="9" s="1"/>
  <c r="N333" i="9"/>
  <c r="N332" i="9" s="1"/>
  <c r="N330" i="9" s="1"/>
  <c r="L133" i="9"/>
  <c r="L14" i="9"/>
  <c r="O70" i="1"/>
  <c r="L267" i="9"/>
  <c r="K323" i="9"/>
  <c r="K334" i="9" s="1"/>
  <c r="O4" i="1" l="1"/>
  <c r="O4" i="25"/>
  <c r="O4" i="26"/>
  <c r="AD10" i="4"/>
  <c r="H4" i="5"/>
  <c r="N99" i="26"/>
  <c r="N99" i="25"/>
  <c r="N98" i="1"/>
  <c r="L44" i="25"/>
  <c r="L55" i="25"/>
  <c r="L60" i="25"/>
  <c r="L62" i="25"/>
  <c r="L29" i="25"/>
  <c r="L53" i="25"/>
  <c r="L10" i="25"/>
  <c r="L38" i="25" s="1"/>
  <c r="L9" i="25"/>
  <c r="L51" i="25"/>
  <c r="M2" i="25"/>
  <c r="M5" i="25" s="1"/>
  <c r="AE16" i="23"/>
  <c r="AE14" i="23" s="1"/>
  <c r="AE8" i="23" s="1"/>
  <c r="AD14" i="23"/>
  <c r="AD8" i="23" s="1"/>
  <c r="N4" i="25" s="1"/>
  <c r="I4" i="5"/>
  <c r="O99" i="25"/>
  <c r="O99" i="26"/>
  <c r="O98" i="1"/>
  <c r="O91" i="26"/>
  <c r="O91" i="25"/>
  <c r="O90" i="1"/>
  <c r="K12" i="25"/>
  <c r="M44" i="2"/>
  <c r="M43" i="2" s="1"/>
  <c r="M34" i="2" s="1"/>
  <c r="N46" i="2"/>
  <c r="N47" i="2" s="1"/>
  <c r="N5" i="11" s="1"/>
  <c r="M47" i="2"/>
  <c r="M5" i="11" s="1"/>
  <c r="G39" i="5"/>
  <c r="H34" i="5" s="1"/>
  <c r="H39" i="5" s="1"/>
  <c r="I34" i="5" s="1"/>
  <c r="I39" i="5" s="1"/>
  <c r="O58" i="2"/>
  <c r="O56" i="2" s="1"/>
  <c r="N56" i="2"/>
  <c r="M274" i="9"/>
  <c r="N275" i="9"/>
  <c r="N274" i="9" s="1"/>
  <c r="M14" i="9"/>
  <c r="M133" i="9"/>
  <c r="M267" i="9"/>
  <c r="L323" i="9"/>
  <c r="N212" i="9"/>
  <c r="N337" i="9"/>
  <c r="M212" i="9"/>
  <c r="M337" i="9"/>
  <c r="L22" i="6"/>
  <c r="L27" i="6" s="1"/>
  <c r="K29" i="6"/>
  <c r="P54" i="9"/>
  <c r="P79" i="9"/>
  <c r="Q29" i="9"/>
  <c r="P26" i="9"/>
  <c r="O51" i="9"/>
  <c r="O76" i="9"/>
  <c r="M283" i="9"/>
  <c r="L281" i="9"/>
  <c r="L304" i="9" s="1"/>
  <c r="H2" i="3"/>
  <c r="H4" i="3" s="1"/>
  <c r="L64" i="25" l="1"/>
  <c r="N2" i="25"/>
  <c r="N5" i="25" s="1"/>
  <c r="L12" i="25"/>
  <c r="M53" i="25"/>
  <c r="M44" i="25"/>
  <c r="M29" i="25"/>
  <c r="M9" i="25"/>
  <c r="M10" i="25"/>
  <c r="M38" i="25" s="1"/>
  <c r="M60" i="25"/>
  <c r="M12" i="25"/>
  <c r="M62" i="25"/>
  <c r="M51" i="25"/>
  <c r="M55" i="25"/>
  <c r="O2" i="26"/>
  <c r="O5" i="26" s="1"/>
  <c r="O2" i="25"/>
  <c r="O5" i="25" s="1"/>
  <c r="O46" i="2"/>
  <c r="N44" i="2"/>
  <c r="N43" i="2"/>
  <c r="N34" i="2" s="1"/>
  <c r="I2" i="3"/>
  <c r="I4" i="3" s="1"/>
  <c r="N267" i="9"/>
  <c r="M323" i="9"/>
  <c r="M353" i="9"/>
  <c r="M351" i="9" s="1"/>
  <c r="M356" i="9" s="1"/>
  <c r="L334" i="9"/>
  <c r="M22" i="6"/>
  <c r="M27" i="6" s="1"/>
  <c r="L29" i="6"/>
  <c r="N283" i="9"/>
  <c r="N281" i="9" s="1"/>
  <c r="N304" i="9" s="1"/>
  <c r="M281" i="9"/>
  <c r="M304" i="9" s="1"/>
  <c r="P51" i="9"/>
  <c r="P76" i="9"/>
  <c r="Q26" i="9"/>
  <c r="Q79" i="9"/>
  <c r="R29" i="9"/>
  <c r="Q54" i="9"/>
  <c r="M64" i="25" l="1"/>
  <c r="N9" i="25"/>
  <c r="N10" i="25"/>
  <c r="N38" i="25" s="1"/>
  <c r="N62" i="25"/>
  <c r="N44" i="25"/>
  <c r="N29" i="25"/>
  <c r="N60" i="25"/>
  <c r="N53" i="25"/>
  <c r="N51" i="25"/>
  <c r="N55" i="25"/>
  <c r="N12" i="25"/>
  <c r="O44" i="26"/>
  <c r="O29" i="26"/>
  <c r="O10" i="26"/>
  <c r="O38" i="26" s="1"/>
  <c r="O60" i="26"/>
  <c r="O51" i="26"/>
  <c r="O55" i="26"/>
  <c r="O62" i="26"/>
  <c r="O9" i="26"/>
  <c r="O53" i="26"/>
  <c r="O51" i="25"/>
  <c r="O29" i="25"/>
  <c r="O55" i="25"/>
  <c r="O60" i="25"/>
  <c r="O44" i="25"/>
  <c r="O10" i="25"/>
  <c r="O38" i="25" s="1"/>
  <c r="O53" i="25"/>
  <c r="O9" i="25"/>
  <c r="O62" i="25"/>
  <c r="O47" i="2"/>
  <c r="O5" i="11" s="1"/>
  <c r="O44" i="2"/>
  <c r="O43" i="2" s="1"/>
  <c r="O34" i="2" s="1"/>
  <c r="M357" i="9"/>
  <c r="M213" i="9"/>
  <c r="N323" i="9"/>
  <c r="N334" i="9" s="1"/>
  <c r="N353" i="9"/>
  <c r="N351" i="9" s="1"/>
  <c r="N356" i="9" s="1"/>
  <c r="M334" i="9"/>
  <c r="R54" i="9"/>
  <c r="R79" i="9"/>
  <c r="N22" i="6"/>
  <c r="N27" i="6" s="1"/>
  <c r="O22" i="6" s="1"/>
  <c r="O27" i="6" s="1"/>
  <c r="P22" i="6" s="1"/>
  <c r="P27" i="6" s="1"/>
  <c r="M29" i="6"/>
  <c r="Q76" i="9"/>
  <c r="R26" i="9"/>
  <c r="Q51" i="9"/>
  <c r="O12" i="25" l="1"/>
  <c r="O64" i="26"/>
  <c r="N64" i="25"/>
  <c r="O12" i="26"/>
  <c r="O64" i="25"/>
  <c r="N357" i="9"/>
  <c r="N213" i="9"/>
  <c r="R76" i="9"/>
  <c r="R51" i="9"/>
  <c r="L11" i="1" l="1"/>
  <c r="M11" i="1" s="1"/>
  <c r="K2" i="1"/>
  <c r="K12" i="2" s="1"/>
  <c r="L8" i="1"/>
  <c r="M8" i="1" s="1"/>
  <c r="N11" i="1" l="1"/>
  <c r="O11" i="1" s="1"/>
  <c r="K9" i="1"/>
  <c r="K28" i="1"/>
  <c r="K22" i="2"/>
  <c r="K13" i="11" s="1"/>
  <c r="K52" i="1"/>
  <c r="K54" i="1"/>
  <c r="K87" i="2"/>
  <c r="K84" i="2"/>
  <c r="K5" i="1"/>
  <c r="K10" i="2"/>
  <c r="K12" i="11" s="1"/>
  <c r="K43" i="1"/>
  <c r="K59" i="1"/>
  <c r="E31" i="5"/>
  <c r="E5" i="5" s="1"/>
  <c r="K61" i="1"/>
  <c r="K63" i="1" s="1"/>
  <c r="N8" i="1"/>
  <c r="O8" i="1" s="1"/>
  <c r="M2" i="1"/>
  <c r="L2" i="1"/>
  <c r="K10" i="1"/>
  <c r="K37" i="1" s="1"/>
  <c r="K50" i="1"/>
  <c r="E2" i="5" l="1"/>
  <c r="E6" i="5"/>
  <c r="K14" i="11"/>
  <c r="K12" i="1"/>
  <c r="G3" i="28" s="1"/>
  <c r="G4" i="28" s="1"/>
  <c r="E3" i="5"/>
  <c r="L9" i="1"/>
  <c r="L5" i="1"/>
  <c r="M9" i="1"/>
  <c r="M5" i="1"/>
  <c r="M84" i="2"/>
  <c r="M10" i="1"/>
  <c r="M37" i="1" s="1"/>
  <c r="M50" i="1"/>
  <c r="M22" i="2"/>
  <c r="M28" i="1"/>
  <c r="M59" i="1"/>
  <c r="M12" i="2"/>
  <c r="M10" i="2" s="1"/>
  <c r="M87" i="2"/>
  <c r="M43" i="1"/>
  <c r="G31" i="5"/>
  <c r="M61" i="1"/>
  <c r="M52" i="1"/>
  <c r="L50" i="1"/>
  <c r="L52" i="1"/>
  <c r="L87" i="2"/>
  <c r="L84" i="2"/>
  <c r="F31" i="5"/>
  <c r="L22" i="2"/>
  <c r="L12" i="2"/>
  <c r="L10" i="2" s="1"/>
  <c r="L43" i="1"/>
  <c r="L28" i="1"/>
  <c r="L59" i="1"/>
  <c r="L61" i="1"/>
  <c r="L10" i="1"/>
  <c r="L37" i="1" s="1"/>
  <c r="O2" i="1"/>
  <c r="N2" i="1"/>
  <c r="K86" i="25" l="1"/>
  <c r="K88" i="25" s="1"/>
  <c r="K93" i="25" s="1"/>
  <c r="K85" i="1"/>
  <c r="K87" i="1" s="1"/>
  <c r="K92" i="1" s="1"/>
  <c r="K86" i="26"/>
  <c r="K88" i="26" s="1"/>
  <c r="K93" i="26" s="1"/>
  <c r="E7" i="5"/>
  <c r="O9" i="1"/>
  <c r="O5" i="1"/>
  <c r="M12" i="1"/>
  <c r="N9" i="1"/>
  <c r="N5" i="1"/>
  <c r="M13" i="11"/>
  <c r="L13" i="11"/>
  <c r="L14" i="11"/>
  <c r="L12" i="1"/>
  <c r="H3" i="28" s="1"/>
  <c r="H4" i="28" s="1"/>
  <c r="G5" i="5"/>
  <c r="G6" i="5"/>
  <c r="G2" i="5"/>
  <c r="G3" i="5"/>
  <c r="L63" i="1"/>
  <c r="N84" i="2"/>
  <c r="N10" i="1"/>
  <c r="N37" i="1" s="1"/>
  <c r="N43" i="1"/>
  <c r="N22" i="2"/>
  <c r="N13" i="11" s="1"/>
  <c r="N61" i="1"/>
  <c r="N12" i="2"/>
  <c r="N10" i="2" s="1"/>
  <c r="N12" i="11" s="1"/>
  <c r="N59" i="1"/>
  <c r="H31" i="5"/>
  <c r="N52" i="1"/>
  <c r="N87" i="2"/>
  <c r="N50" i="1"/>
  <c r="N28" i="1"/>
  <c r="M14" i="11"/>
  <c r="F2" i="5"/>
  <c r="F5" i="5"/>
  <c r="F6" i="5"/>
  <c r="F3" i="5"/>
  <c r="L12" i="11"/>
  <c r="M12" i="11"/>
  <c r="M63" i="1"/>
  <c r="K27" i="2"/>
  <c r="F5" i="6" l="1"/>
  <c r="F6" i="6" s="1"/>
  <c r="F8" i="6" s="1"/>
  <c r="F31" i="6" s="1"/>
  <c r="K14" i="25"/>
  <c r="K15" i="25" s="1"/>
  <c r="K14" i="26"/>
  <c r="K15" i="26" s="1"/>
  <c r="K14" i="1"/>
  <c r="K15" i="1" s="1"/>
  <c r="M27" i="2"/>
  <c r="M93" i="2" s="1"/>
  <c r="M80" i="2" s="1"/>
  <c r="I3" i="28"/>
  <c r="I4" i="28" s="1"/>
  <c r="L86" i="26"/>
  <c r="L88" i="26" s="1"/>
  <c r="L93" i="26" s="1"/>
  <c r="L86" i="25"/>
  <c r="L88" i="25" s="1"/>
  <c r="L93" i="25" s="1"/>
  <c r="M86" i="26"/>
  <c r="M88" i="26" s="1"/>
  <c r="M93" i="26" s="1"/>
  <c r="M86" i="25"/>
  <c r="M88" i="25" s="1"/>
  <c r="M93" i="25" s="1"/>
  <c r="N63" i="1"/>
  <c r="H6" i="5"/>
  <c r="H3" i="5"/>
  <c r="H5" i="5"/>
  <c r="H2" i="5"/>
  <c r="N14" i="11"/>
  <c r="I31" i="5"/>
  <c r="O10" i="1"/>
  <c r="O37" i="1" s="1"/>
  <c r="O50" i="1"/>
  <c r="O61" i="1"/>
  <c r="O12" i="2"/>
  <c r="O10" i="2" s="1"/>
  <c r="O12" i="11" s="1"/>
  <c r="O59" i="1"/>
  <c r="O43" i="1"/>
  <c r="O84" i="2"/>
  <c r="O87" i="2"/>
  <c r="O22" i="2"/>
  <c r="O13" i="11" s="1"/>
  <c r="O52" i="1"/>
  <c r="O28" i="1"/>
  <c r="G7" i="5"/>
  <c r="M85" i="1"/>
  <c r="K15" i="11"/>
  <c r="K93" i="2"/>
  <c r="F7" i="5"/>
  <c r="L85" i="1"/>
  <c r="N12" i="1"/>
  <c r="J3" i="28" s="1"/>
  <c r="L27" i="2"/>
  <c r="L15" i="11" s="1"/>
  <c r="K17" i="1" l="1"/>
  <c r="G6" i="28" s="1"/>
  <c r="K17" i="25"/>
  <c r="K18" i="25" s="1"/>
  <c r="K17" i="26"/>
  <c r="K18" i="26" s="1"/>
  <c r="G3" i="6"/>
  <c r="G4" i="6" s="1"/>
  <c r="J4" i="28"/>
  <c r="M78" i="2"/>
  <c r="I31" i="28"/>
  <c r="K36" i="25"/>
  <c r="K35" i="25" s="1"/>
  <c r="K36" i="26"/>
  <c r="K35" i="26" s="1"/>
  <c r="N86" i="26"/>
  <c r="N88" i="26" s="1"/>
  <c r="N93" i="26" s="1"/>
  <c r="N86" i="25"/>
  <c r="N88" i="25" s="1"/>
  <c r="N93" i="25" s="1"/>
  <c r="M14" i="26"/>
  <c r="M14" i="25"/>
  <c r="L14" i="26"/>
  <c r="L14" i="25"/>
  <c r="O63" i="1"/>
  <c r="O12" i="1"/>
  <c r="K3" i="28" s="1"/>
  <c r="M87" i="1"/>
  <c r="M92" i="1" s="1"/>
  <c r="H5" i="6"/>
  <c r="O14" i="11"/>
  <c r="K35" i="1"/>
  <c r="I2" i="5"/>
  <c r="I5" i="5"/>
  <c r="I3" i="5"/>
  <c r="I6" i="5"/>
  <c r="N27" i="2"/>
  <c r="L87" i="1"/>
  <c r="L92" i="1" s="1"/>
  <c r="G5" i="6"/>
  <c r="N85" i="1"/>
  <c r="H7" i="5"/>
  <c r="M14" i="1"/>
  <c r="L14" i="1"/>
  <c r="M15" i="11"/>
  <c r="L93" i="2"/>
  <c r="K40" i="11"/>
  <c r="K80" i="2"/>
  <c r="K18" i="1" l="1"/>
  <c r="G8" i="28" s="1"/>
  <c r="O27" i="2"/>
  <c r="O93" i="2" s="1"/>
  <c r="O80" i="2" s="1"/>
  <c r="K78" i="2"/>
  <c r="G31" i="28"/>
  <c r="K4" i="28"/>
  <c r="L3" i="28"/>
  <c r="M82" i="2"/>
  <c r="I30" i="28"/>
  <c r="L15" i="26"/>
  <c r="L17" i="26"/>
  <c r="L18" i="26" s="1"/>
  <c r="N14" i="26"/>
  <c r="N14" i="25"/>
  <c r="L15" i="25"/>
  <c r="L17" i="25"/>
  <c r="L18" i="25" s="1"/>
  <c r="O86" i="26"/>
  <c r="O88" i="26" s="1"/>
  <c r="O93" i="26" s="1"/>
  <c r="O86" i="25"/>
  <c r="O88" i="25" s="1"/>
  <c r="O93" i="25" s="1"/>
  <c r="M15" i="25"/>
  <c r="M17" i="25"/>
  <c r="M18" i="25" s="1"/>
  <c r="M15" i="26"/>
  <c r="M17" i="26"/>
  <c r="M18" i="26" s="1"/>
  <c r="G6" i="6"/>
  <c r="H3" i="6" s="1"/>
  <c r="N15" i="11"/>
  <c r="N93" i="2"/>
  <c r="M15" i="1"/>
  <c r="M17" i="1"/>
  <c r="N14" i="1"/>
  <c r="K56" i="11"/>
  <c r="K57" i="11" s="1"/>
  <c r="K9" i="11"/>
  <c r="K17" i="11" s="1"/>
  <c r="K34" i="1"/>
  <c r="L40" i="11"/>
  <c r="L80" i="2"/>
  <c r="M40" i="11"/>
  <c r="L15" i="1"/>
  <c r="L17" i="1"/>
  <c r="I5" i="6"/>
  <c r="N87" i="1"/>
  <c r="N92" i="1" s="1"/>
  <c r="I7" i="5"/>
  <c r="O85" i="1"/>
  <c r="O15" i="11" l="1"/>
  <c r="I6" i="28"/>
  <c r="AB18" i="4"/>
  <c r="AB21" i="4" s="1"/>
  <c r="H6" i="28"/>
  <c r="AA18" i="4"/>
  <c r="AA21" i="4" s="1"/>
  <c r="L78" i="2"/>
  <c r="H31" i="28"/>
  <c r="O78" i="2"/>
  <c r="K31" i="28"/>
  <c r="K82" i="2"/>
  <c r="G30" i="28"/>
  <c r="O14" i="1"/>
  <c r="O15" i="1" s="1"/>
  <c r="O14" i="26"/>
  <c r="O14" i="25"/>
  <c r="N15" i="25"/>
  <c r="N17" i="25"/>
  <c r="N18" i="25" s="1"/>
  <c r="N15" i="26"/>
  <c r="N17" i="26"/>
  <c r="N18" i="26" s="1"/>
  <c r="G8" i="6"/>
  <c r="G31" i="6" s="1"/>
  <c r="L18" i="1"/>
  <c r="H8" i="28" s="1"/>
  <c r="M18" i="1"/>
  <c r="I8" i="28" s="1"/>
  <c r="H4" i="6"/>
  <c r="H6" i="6" s="1"/>
  <c r="N15" i="1"/>
  <c r="N17" i="1"/>
  <c r="O87" i="1"/>
  <c r="O92" i="1" s="1"/>
  <c r="J5" i="6"/>
  <c r="N40" i="11"/>
  <c r="N80" i="2"/>
  <c r="O40" i="11"/>
  <c r="J6" i="28" l="1"/>
  <c r="AC18" i="4"/>
  <c r="AC21" i="4" s="1"/>
  <c r="O17" i="1"/>
  <c r="O82" i="2"/>
  <c r="K30" i="28"/>
  <c r="N78" i="2"/>
  <c r="J31" i="28"/>
  <c r="L82" i="2"/>
  <c r="H30" i="28"/>
  <c r="L35" i="1"/>
  <c r="L9" i="11" s="1"/>
  <c r="L17" i="11" s="1"/>
  <c r="L36" i="25"/>
  <c r="L35" i="25" s="1"/>
  <c r="L36" i="26"/>
  <c r="L35" i="26" s="1"/>
  <c r="O15" i="26"/>
  <c r="O17" i="26"/>
  <c r="O18" i="26" s="1"/>
  <c r="O15" i="25"/>
  <c r="O17" i="25"/>
  <c r="O18" i="25" s="1"/>
  <c r="H8" i="6"/>
  <c r="H31" i="6" s="1"/>
  <c r="I3" i="6"/>
  <c r="N18" i="1"/>
  <c r="J8" i="28" s="1"/>
  <c r="K6" i="28" l="1"/>
  <c r="L6" i="28" s="1"/>
  <c r="AD18" i="4"/>
  <c r="AD21" i="4" s="1"/>
  <c r="L56" i="11"/>
  <c r="L57" i="11" s="1"/>
  <c r="N82" i="2"/>
  <c r="J30" i="28"/>
  <c r="L34" i="1"/>
  <c r="M36" i="25"/>
  <c r="M35" i="25" s="1"/>
  <c r="M36" i="26"/>
  <c r="M35" i="26" s="1"/>
  <c r="O18" i="1"/>
  <c r="K8" i="28" s="1"/>
  <c r="L8" i="28" s="1"/>
  <c r="I4" i="6"/>
  <c r="I6" i="6" s="1"/>
  <c r="M35" i="1"/>
  <c r="J3" i="6" l="1"/>
  <c r="I8" i="6"/>
  <c r="I31" i="6" s="1"/>
  <c r="M56" i="11"/>
  <c r="M57" i="11" s="1"/>
  <c r="M9" i="11"/>
  <c r="M17" i="11" s="1"/>
  <c r="M34" i="1"/>
  <c r="N36" i="26" l="1"/>
  <c r="N35" i="26" s="1"/>
  <c r="N36" i="25"/>
  <c r="N35" i="25" s="1"/>
  <c r="N35" i="1"/>
  <c r="J4" i="6"/>
  <c r="J6" i="6" s="1"/>
  <c r="K3" i="6" l="1"/>
  <c r="J8" i="6"/>
  <c r="J31" i="6" s="1"/>
  <c r="N34" i="1"/>
  <c r="N9" i="11"/>
  <c r="N17" i="11" s="1"/>
  <c r="N56" i="11"/>
  <c r="N57" i="11" s="1"/>
  <c r="O36" i="26" l="1"/>
  <c r="O35" i="26" s="1"/>
  <c r="O36" i="25"/>
  <c r="O35" i="25" s="1"/>
  <c r="O35" i="1"/>
  <c r="K4" i="6"/>
  <c r="K6" i="6" s="1"/>
  <c r="L3" i="6" l="1"/>
  <c r="L6" i="6" s="1"/>
  <c r="K8" i="6"/>
  <c r="K31" i="6" s="1"/>
  <c r="O56" i="11"/>
  <c r="O34" i="1"/>
  <c r="O9" i="11"/>
  <c r="O17" i="11" s="1"/>
  <c r="Q57" i="11" l="1"/>
  <c r="O57" i="11"/>
  <c r="B68" i="11" s="1"/>
  <c r="B74" i="11" s="1"/>
  <c r="B79" i="11" s="1"/>
  <c r="B81" i="11" s="1"/>
  <c r="B83" i="11" s="1"/>
  <c r="M3" i="6"/>
  <c r="M6" i="6" s="1"/>
  <c r="N3" i="6" s="1"/>
  <c r="N6" i="6" s="1"/>
  <c r="O3" i="6" s="1"/>
  <c r="O6" i="6" s="1"/>
  <c r="P3" i="6" s="1"/>
  <c r="P6" i="6" s="1"/>
  <c r="L8" i="6"/>
  <c r="L31" i="6" s="1"/>
  <c r="M55" i="1" l="1"/>
  <c r="N55" i="1" s="1"/>
  <c r="N54" i="1" s="1"/>
  <c r="L54" i="1"/>
  <c r="M54" i="1" l="1"/>
  <c r="O55" i="1"/>
  <c r="O54" i="1" s="1"/>
  <c r="K19" i="1" l="1"/>
  <c r="K56" i="1" s="1"/>
  <c r="K65" i="1" s="1"/>
  <c r="L19" i="1"/>
  <c r="L56" i="1" s="1"/>
  <c r="L65" i="1" s="1"/>
  <c r="M19" i="1"/>
  <c r="M56" i="1" s="1"/>
  <c r="M65" i="1" s="1"/>
  <c r="N19" i="1"/>
  <c r="N56" i="1" s="1"/>
  <c r="N65" i="1" s="1"/>
  <c r="O19" i="1"/>
  <c r="O56" i="1" s="1"/>
  <c r="O65" i="1" s="1"/>
  <c r="O96" i="1" l="1"/>
  <c r="O3" i="11"/>
  <c r="O11" i="11" s="1"/>
  <c r="O69" i="1"/>
  <c r="L3" i="11"/>
  <c r="L11" i="11" s="1"/>
  <c r="L67" i="1"/>
  <c r="L18" i="11" s="1"/>
  <c r="N96" i="1"/>
  <c r="N3" i="11"/>
  <c r="N11" i="11" s="1"/>
  <c r="N69" i="1"/>
  <c r="K3" i="11"/>
  <c r="K11" i="11" s="1"/>
  <c r="K67" i="1"/>
  <c r="K18" i="11" s="1"/>
  <c r="K96" i="1"/>
  <c r="M96" i="1"/>
  <c r="M3" i="11"/>
  <c r="M11" i="11" s="1"/>
  <c r="M67" i="1"/>
  <c r="M18" i="11" s="1"/>
  <c r="M69" i="1"/>
  <c r="K69" i="1"/>
  <c r="O67" i="1"/>
  <c r="O18" i="11" s="1"/>
  <c r="L96" i="1"/>
  <c r="L69" i="1"/>
  <c r="N67" i="1"/>
  <c r="N18" i="11" s="1"/>
  <c r="N21" i="11" l="1"/>
  <c r="N71" i="1"/>
  <c r="N73" i="1" s="1"/>
  <c r="J9" i="28" s="1"/>
  <c r="K21" i="11"/>
  <c r="M21" i="11"/>
  <c r="L21" i="11"/>
  <c r="M97" i="1"/>
  <c r="M107" i="1"/>
  <c r="K97" i="1"/>
  <c r="K107" i="1"/>
  <c r="B152" i="1" s="1"/>
  <c r="O21" i="11"/>
  <c r="O71" i="1"/>
  <c r="O107" i="1"/>
  <c r="O97" i="1"/>
  <c r="N97" i="1"/>
  <c r="N107" i="1"/>
  <c r="L97" i="1"/>
  <c r="L107" i="1"/>
  <c r="B155" i="1" s="1"/>
  <c r="L71" i="1"/>
  <c r="M71" i="1"/>
  <c r="K71" i="1"/>
  <c r="J28" i="28" l="1"/>
  <c r="J7" i="28"/>
  <c r="N132" i="2"/>
  <c r="N133" i="2" s="1"/>
  <c r="N44" i="11" s="1"/>
  <c r="N46" i="11" s="1"/>
  <c r="N74" i="1"/>
  <c r="J27" i="28"/>
  <c r="G28" i="28"/>
  <c r="I28" i="28"/>
  <c r="O132" i="2"/>
  <c r="O133" i="2" s="1"/>
  <c r="O44" i="11" s="1"/>
  <c r="O46" i="11" s="1"/>
  <c r="K7" i="28"/>
  <c r="O74" i="1"/>
  <c r="O73" i="1"/>
  <c r="K9" i="28" s="1"/>
  <c r="K27" i="28"/>
  <c r="H27" i="28"/>
  <c r="L73" i="1"/>
  <c r="H9" i="28" s="1"/>
  <c r="L132" i="2"/>
  <c r="L133" i="2" s="1"/>
  <c r="L44" i="11" s="1"/>
  <c r="L46" i="11" s="1"/>
  <c r="H7" i="28"/>
  <c r="L74" i="1"/>
  <c r="H28" i="28"/>
  <c r="K28" i="28"/>
  <c r="K73" i="1"/>
  <c r="G9" i="28" s="1"/>
  <c r="K132" i="2"/>
  <c r="G7" i="28"/>
  <c r="B140" i="1"/>
  <c r="G27" i="28"/>
  <c r="K74" i="1"/>
  <c r="B139" i="1"/>
  <c r="B141" i="1" s="1"/>
  <c r="I7" i="28"/>
  <c r="I27" i="28"/>
  <c r="M73" i="1"/>
  <c r="I9" i="28" s="1"/>
  <c r="M132" i="2"/>
  <c r="M133" i="2" s="1"/>
  <c r="M44" i="11" s="1"/>
  <c r="M46" i="11" s="1"/>
  <c r="M74" i="1"/>
  <c r="L9" i="28" l="1"/>
  <c r="L7" i="28"/>
  <c r="D146" i="1"/>
  <c r="B142" i="1"/>
  <c r="B144" i="1"/>
  <c r="B145" i="1"/>
  <c r="B146" i="1"/>
  <c r="K133" i="2"/>
  <c r="K44" i="11" s="1"/>
  <c r="K46" i="11" s="1"/>
  <c r="K130" i="2" l="1"/>
  <c r="L131" i="2" s="1"/>
  <c r="L130" i="2" s="1"/>
  <c r="K116" i="2" l="1"/>
  <c r="K115" i="2" s="1"/>
  <c r="G15" i="28" s="1"/>
  <c r="L116" i="2"/>
  <c r="L115" i="2" s="1"/>
  <c r="M131" i="2"/>
  <c r="M130" i="2" s="1"/>
  <c r="K140" i="2" l="1"/>
  <c r="G12" i="28"/>
  <c r="M116" i="2"/>
  <c r="M115" i="2" s="1"/>
  <c r="N131" i="2"/>
  <c r="N130" i="2" s="1"/>
  <c r="L140" i="2"/>
  <c r="H15" i="28"/>
  <c r="H12" i="28"/>
  <c r="N116" i="2" l="1"/>
  <c r="N115" i="2" s="1"/>
  <c r="O131" i="2"/>
  <c r="O130" i="2" s="1"/>
  <c r="O116" i="2" s="1"/>
  <c r="O115" i="2" s="1"/>
  <c r="M140" i="2"/>
  <c r="I15" i="28"/>
  <c r="I12" i="28"/>
  <c r="O140" i="2" l="1"/>
  <c r="K15" i="28"/>
  <c r="K12" i="28"/>
  <c r="L12" i="28" s="1"/>
  <c r="N140" i="2"/>
  <c r="J15" i="28"/>
  <c r="J12" i="28"/>
  <c r="B154" i="1"/>
  <c r="B156" i="1" s="1"/>
  <c r="O27" i="11"/>
  <c r="O34" i="11" s="1"/>
  <c r="O48" i="11" s="1"/>
  <c r="N27" i="11"/>
  <c r="N34" i="11"/>
  <c r="N48" i="11" s="1"/>
  <c r="K27" i="11"/>
  <c r="K34" i="11"/>
  <c r="K48" i="11" s="1"/>
  <c r="K51" i="11" s="1"/>
  <c r="L49" i="11" s="1"/>
  <c r="L27" i="11"/>
  <c r="L34" i="11" s="1"/>
  <c r="L48" i="11" s="1"/>
  <c r="M27" i="11"/>
  <c r="M34" i="11" s="1"/>
  <c r="M48" i="11" s="1"/>
  <c r="K3" i="2" l="1"/>
  <c r="K21" i="25" s="1"/>
  <c r="K19" i="25" s="1"/>
  <c r="K57" i="25" s="1"/>
  <c r="K66" i="25" s="1"/>
  <c r="L51" i="11"/>
  <c r="B151" i="1" l="1"/>
  <c r="B153" i="1" s="1"/>
  <c r="G19" i="28"/>
  <c r="K21" i="26"/>
  <c r="K19" i="26" s="1"/>
  <c r="K57" i="26" s="1"/>
  <c r="K66" i="26" s="1"/>
  <c r="K2" i="2"/>
  <c r="K97" i="25"/>
  <c r="K70" i="25"/>
  <c r="K68" i="25"/>
  <c r="K72" i="25" s="1"/>
  <c r="L3" i="2"/>
  <c r="M49" i="11"/>
  <c r="M51" i="11" s="1"/>
  <c r="K100" i="1" l="1"/>
  <c r="K101" i="1" s="1"/>
  <c r="K76" i="2"/>
  <c r="K101" i="26"/>
  <c r="G18" i="28"/>
  <c r="K101" i="25"/>
  <c r="G20" i="28"/>
  <c r="K68" i="26"/>
  <c r="K72" i="26" s="1"/>
  <c r="K97" i="26"/>
  <c r="K70" i="26"/>
  <c r="L2" i="2"/>
  <c r="L21" i="25"/>
  <c r="L19" i="25" s="1"/>
  <c r="L57" i="25" s="1"/>
  <c r="L66" i="25" s="1"/>
  <c r="H19" i="28"/>
  <c r="L21" i="26"/>
  <c r="L19" i="26" s="1"/>
  <c r="L57" i="26" s="1"/>
  <c r="L66" i="26" s="1"/>
  <c r="N49" i="11"/>
  <c r="N51" i="11" s="1"/>
  <c r="M3" i="2"/>
  <c r="K75" i="25"/>
  <c r="K74" i="25"/>
  <c r="K98" i="25"/>
  <c r="K102" i="25" l="1"/>
  <c r="K103" i="25" s="1"/>
  <c r="G13" i="28"/>
  <c r="G16" i="28"/>
  <c r="K142" i="2"/>
  <c r="K102" i="1"/>
  <c r="K105" i="1"/>
  <c r="K98" i="26"/>
  <c r="K102" i="26" s="1"/>
  <c r="B134" i="26"/>
  <c r="K74" i="26"/>
  <c r="K75" i="26"/>
  <c r="M21" i="26"/>
  <c r="M19" i="26" s="1"/>
  <c r="M57" i="26" s="1"/>
  <c r="M66" i="26" s="1"/>
  <c r="M21" i="25"/>
  <c r="M19" i="25" s="1"/>
  <c r="M57" i="25" s="1"/>
  <c r="M66" i="25" s="1"/>
  <c r="I19" i="28"/>
  <c r="M2" i="2"/>
  <c r="N3" i="2"/>
  <c r="O49" i="11"/>
  <c r="O51" i="11" s="1"/>
  <c r="O3" i="2" s="1"/>
  <c r="L68" i="25"/>
  <c r="L72" i="25" s="1"/>
  <c r="L70" i="25"/>
  <c r="L97" i="25"/>
  <c r="L70" i="26"/>
  <c r="L97" i="26"/>
  <c r="L68" i="26"/>
  <c r="L72" i="26" s="1"/>
  <c r="L101" i="25"/>
  <c r="H18" i="28"/>
  <c r="L76" i="2"/>
  <c r="L100" i="1"/>
  <c r="L101" i="1" s="1"/>
  <c r="L101" i="26"/>
  <c r="H20" i="28"/>
  <c r="K106" i="25" l="1"/>
  <c r="K106" i="26"/>
  <c r="K103" i="26"/>
  <c r="L75" i="26"/>
  <c r="L74" i="26"/>
  <c r="M68" i="26"/>
  <c r="M72" i="26" s="1"/>
  <c r="M70" i="26"/>
  <c r="M97" i="26"/>
  <c r="L98" i="26"/>
  <c r="L102" i="26" s="1"/>
  <c r="L98" i="25"/>
  <c r="L102" i="25" s="1"/>
  <c r="I18" i="28"/>
  <c r="M101" i="25"/>
  <c r="M76" i="2"/>
  <c r="M100" i="1"/>
  <c r="M101" i="1" s="1"/>
  <c r="M101" i="26"/>
  <c r="I20" i="28"/>
  <c r="L102" i="1"/>
  <c r="L105" i="1"/>
  <c r="L75" i="25"/>
  <c r="L74" i="25"/>
  <c r="O21" i="25"/>
  <c r="O19" i="25" s="1"/>
  <c r="O57" i="25" s="1"/>
  <c r="O66" i="25" s="1"/>
  <c r="O21" i="26"/>
  <c r="O19" i="26" s="1"/>
  <c r="O57" i="26" s="1"/>
  <c r="O66" i="26" s="1"/>
  <c r="K19" i="28"/>
  <c r="O2" i="2"/>
  <c r="N21" i="25"/>
  <c r="N19" i="25" s="1"/>
  <c r="N57" i="25" s="1"/>
  <c r="N66" i="25" s="1"/>
  <c r="J19" i="28"/>
  <c r="N21" i="26"/>
  <c r="N19" i="26" s="1"/>
  <c r="N57" i="26" s="1"/>
  <c r="N66" i="26" s="1"/>
  <c r="N2" i="2"/>
  <c r="M97" i="25"/>
  <c r="M70" i="25"/>
  <c r="M68" i="25"/>
  <c r="M72" i="25" s="1"/>
  <c r="H16" i="28"/>
  <c r="L142" i="2"/>
  <c r="H13" i="28"/>
  <c r="L103" i="25" l="1"/>
  <c r="L106" i="25"/>
  <c r="J18" i="28"/>
  <c r="N101" i="26"/>
  <c r="N101" i="25"/>
  <c r="J20" i="28"/>
  <c r="N100" i="1"/>
  <c r="N101" i="1" s="1"/>
  <c r="N76" i="2"/>
  <c r="I16" i="28"/>
  <c r="M142" i="2"/>
  <c r="I13" i="28"/>
  <c r="O76" i="2"/>
  <c r="O100" i="1"/>
  <c r="O101" i="1" s="1"/>
  <c r="O101" i="25"/>
  <c r="K18" i="28"/>
  <c r="K20" i="28"/>
  <c r="O101" i="26"/>
  <c r="M102" i="1"/>
  <c r="M105" i="1"/>
  <c r="L103" i="26"/>
  <c r="L106" i="26"/>
  <c r="M74" i="26"/>
  <c r="M75" i="26"/>
  <c r="M98" i="25"/>
  <c r="M102" i="25" s="1"/>
  <c r="N97" i="25"/>
  <c r="N68" i="25"/>
  <c r="N72" i="25" s="1"/>
  <c r="N70" i="25"/>
  <c r="O70" i="25"/>
  <c r="O68" i="25"/>
  <c r="O72" i="25" s="1"/>
  <c r="O97" i="25"/>
  <c r="M74" i="25"/>
  <c r="M75" i="25"/>
  <c r="N70" i="26"/>
  <c r="N68" i="26"/>
  <c r="N72" i="26" s="1"/>
  <c r="N97" i="26"/>
  <c r="O70" i="26"/>
  <c r="O97" i="26"/>
  <c r="O68" i="26"/>
  <c r="O72" i="26" s="1"/>
  <c r="M98" i="26"/>
  <c r="M102" i="26" s="1"/>
  <c r="O75" i="26" l="1"/>
  <c r="O74" i="26"/>
  <c r="N74" i="25"/>
  <c r="N75" i="25"/>
  <c r="O75" i="25"/>
  <c r="O74" i="25"/>
  <c r="O98" i="26"/>
  <c r="O102" i="26" s="1"/>
  <c r="N98" i="26"/>
  <c r="N102" i="26" s="1"/>
  <c r="O102" i="1"/>
  <c r="O105" i="1"/>
  <c r="N115" i="1" s="1"/>
  <c r="N116" i="1" s="1"/>
  <c r="N98" i="25"/>
  <c r="N102" i="25" s="1"/>
  <c r="M103" i="25"/>
  <c r="M106" i="25"/>
  <c r="K16" i="28"/>
  <c r="O142" i="2"/>
  <c r="K13" i="28"/>
  <c r="L13" i="28" s="1"/>
  <c r="N75" i="26"/>
  <c r="N74" i="26"/>
  <c r="N142" i="2"/>
  <c r="J13" i="28"/>
  <c r="J16" i="28"/>
  <c r="M103" i="26"/>
  <c r="M106" i="26"/>
  <c r="N105" i="1"/>
  <c r="N102" i="1"/>
  <c r="O98" i="25"/>
  <c r="O102" i="25" s="1"/>
  <c r="N111" i="1" l="1"/>
  <c r="N117" i="1" s="1"/>
  <c r="N122" i="1" s="1"/>
  <c r="N124" i="1" s="1"/>
  <c r="N106" i="25"/>
  <c r="N103" i="25"/>
  <c r="O103" i="26"/>
  <c r="O106" i="26"/>
  <c r="J115" i="26" s="1"/>
  <c r="J116" i="26" s="1"/>
  <c r="N106" i="26"/>
  <c r="N103" i="26"/>
  <c r="O106" i="25"/>
  <c r="J115" i="25" s="1"/>
  <c r="J116" i="25" s="1"/>
  <c r="O103" i="25"/>
  <c r="B147" i="1" l="1"/>
  <c r="P112" i="1" s="1"/>
  <c r="G171" i="1"/>
  <c r="J111" i="26"/>
  <c r="J117" i="26" s="1"/>
  <c r="J122" i="26" s="1"/>
  <c r="J124" i="26" s="1"/>
  <c r="N125" i="1"/>
  <c r="J111" i="25"/>
  <c r="J117" i="25" s="1"/>
  <c r="J122" i="25" s="1"/>
  <c r="J124" i="25" s="1"/>
  <c r="E147" i="1" l="1"/>
  <c r="K217" i="9"/>
  <c r="K211" i="9"/>
  <c r="J39" i="9"/>
  <c r="J64" i="9"/>
  <c r="J65" i="9"/>
  <c r="N65" i="9"/>
  <c r="N64" i="9"/>
  <c r="N39" i="9"/>
  <c r="M65" i="9"/>
  <c r="M64" i="9"/>
  <c r="M39" i="9"/>
  <c r="N303" i="9"/>
  <c r="N302" i="9"/>
  <c r="N300" i="9"/>
  <c r="I65" i="9"/>
  <c r="I64" i="9"/>
  <c r="I39" i="9"/>
  <c r="J307" i="9"/>
  <c r="I300" i="9"/>
  <c r="I302" i="9"/>
  <c r="I303" i="9"/>
  <c r="K300" i="9"/>
  <c r="K302" i="9"/>
  <c r="K303" i="9"/>
  <c r="L39" i="9"/>
  <c r="L64" i="9"/>
  <c r="L65" i="9"/>
  <c r="M307" i="9"/>
  <c r="K307" i="9"/>
  <c r="N217" i="9"/>
  <c r="N211" i="9"/>
  <c r="L217" i="9"/>
  <c r="L211" i="9"/>
  <c r="J265" i="9"/>
  <c r="J298" i="9"/>
  <c r="J211" i="9"/>
  <c r="J217" i="9"/>
  <c r="I307" i="9"/>
  <c r="I266" i="9"/>
  <c r="I265" i="9"/>
  <c r="I298" i="9"/>
  <c r="I211" i="9"/>
  <c r="I217" i="9"/>
  <c r="M303" i="9"/>
  <c r="M302" i="9"/>
  <c r="M300" i="9"/>
  <c r="M271" i="9"/>
  <c r="M266" i="9"/>
  <c r="M265" i="9"/>
  <c r="M298" i="9"/>
  <c r="M211" i="9"/>
  <c r="M217" i="9"/>
  <c r="L303" i="9"/>
  <c r="L302" i="9"/>
  <c r="L300" i="9"/>
  <c r="J300" i="9"/>
  <c r="J271" i="9"/>
  <c r="J266" i="9"/>
  <c r="J303" i="9"/>
  <c r="J302" i="9"/>
  <c r="L271" i="9"/>
  <c r="L266" i="9"/>
  <c r="L265" i="9"/>
  <c r="L298" i="9"/>
  <c r="L307" i="9"/>
  <c r="N271" i="9"/>
  <c r="N266" i="9"/>
  <c r="N265" i="9"/>
  <c r="N298" i="9"/>
  <c r="N307" i="9"/>
  <c r="I271" i="9"/>
  <c r="D271" i="9"/>
  <c r="K271" i="9"/>
  <c r="K266" i="9"/>
  <c r="K265" i="9"/>
  <c r="K298" i="9"/>
  <c r="K39" i="9"/>
  <c r="K64" i="9"/>
  <c r="K65" i="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tc={FC39749B-C869-4A64-B664-D480364E6DEE}</author>
    <author>Dzuy Lee</author>
    <author>tc={F47377C3-BE52-4430-BD55-E972871959A3}</author>
    <author>tc={0F4BAC6F-9DD9-46B8-9DD4-F7AF765E20CE}</author>
    <author>tc={F4BD94B1-A428-41E2-A89E-C70E61096AC0}</author>
    <author>tc={2336525B-42F7-4952-98A9-7A5C98B9B49B}</author>
  </authors>
  <commentList>
    <comment ref="I6" authorId="0" shapeId="0" xr:uid="{FC39749B-C869-4A64-B664-D480364E6DEE}">
      <text>
        <r>
          <rPr>
            <sz val="11"/>
            <color theme="1"/>
            <rFont val="Calibri"/>
            <scheme val="minor"/>
          </rPr>
          <t xml:space="preserve">[Threaded comment]
Your version of Excel allows you to read this threaded comment; however, any edits to it will get removed if the file is opened in a newer version of Excel. Learn more: https://go.microsoft.com/fwlink/?linkid=870924
Comment:
    Cổng TTĐT Kho Bạc Nhà Nước VN (mof.gov.vn) </t>
        </r>
      </text>
    </comment>
    <comment ref="Q7" authorId="1" shapeId="0" xr:uid="{B1DDBFF3-4227-4A2E-B21A-46BB4EEEBCF6}">
      <text>
        <r>
          <rPr>
            <b/>
            <sz val="9"/>
            <color indexed="81"/>
            <rFont val="Tahoma"/>
            <family val="2"/>
          </rPr>
          <t>Dzuy Lee:</t>
        </r>
        <r>
          <rPr>
            <sz val="9"/>
            <color indexed="81"/>
            <rFont val="Tahoma"/>
            <family val="2"/>
          </rPr>
          <t xml:space="preserve">
Check if Resulted E/V, D/V ~ Target E/V, D/V?</t>
        </r>
      </text>
    </comment>
    <comment ref="I8" authorId="2" shapeId="0" xr:uid="{F47377C3-BE52-4430-BD55-E972871959A3}">
      <text>
        <r>
          <rPr>
            <sz val="11"/>
            <color theme="1"/>
            <rFont val="Calibri"/>
            <scheme val="minor"/>
          </rPr>
          <t>[Threaded comment]
Your version of Excel allows you to read this threaded comment; however, any edits to it will get removed if the file is opened in a newer version of Excel. Learn more: https://go.microsoft.com/fwlink/?linkid=870924
Comment:
    Thuees binfh quana tuwong lai, update looj trinfh thues</t>
        </r>
      </text>
    </comment>
    <comment ref="J10" authorId="3" shapeId="0" xr:uid="{0F4BAC6F-9DD9-46B8-9DD4-F7AF765E20CE}">
      <text>
        <r>
          <rPr>
            <sz val="11"/>
            <color theme="1"/>
            <rFont val="Calibri"/>
            <scheme val="minor"/>
          </rPr>
          <t>[Threaded comment]
Your version of Excel allows you to read this threaded comment; however, any edits to it will get removed if the file is opened in a newer version of Excel. Learn more: https://go.microsoft.com/fwlink/?linkid=870924
Comment:
    Nene ddeer laf 12-18%
Reply:
    Co the dung ham Max = (12,..)</t>
        </r>
      </text>
    </comment>
    <comment ref="L10" authorId="4" shapeId="0" xr:uid="{F4BD94B1-A428-41E2-A89E-C70E61096AC0}">
      <text>
        <r>
          <rPr>
            <sz val="11"/>
            <color theme="1"/>
            <rFont val="Calibri"/>
            <scheme val="minor"/>
          </rPr>
          <t>[Threaded comment]
Your version of Excel allows you to read this threaded comment; however, any edits to it will get removed if the file is opened in a newer version of Excel. Learn more: https://go.microsoft.com/fwlink/?linkid=870924
Comment:
    Giam do tra no o sheet Debt Waterfall nx nam toi</t>
        </r>
      </text>
    </comment>
    <comment ref="O10" authorId="5" shapeId="0" xr:uid="{2336525B-42F7-4952-98A9-7A5C98B9B49B}">
      <text>
        <r>
          <rPr>
            <sz val="11"/>
            <color theme="1"/>
            <rFont val="Calibri"/>
            <scheme val="minor"/>
          </rPr>
          <t xml:space="preserve">[Threaded comment]
Your version of Excel allows you to read this threaded comment; however, any edits to it will get removed if the file is opened in a newer version of Excel. Learn more: https://go.microsoft.com/fwlink/?linkid=870924
Comment:
    Slide trang 41
</t>
        </r>
      </text>
    </comment>
  </commentList>
</comments>
</file>

<file path=xl/sharedStrings.xml><?xml version="1.0" encoding="utf-8"?>
<sst xmlns="http://schemas.openxmlformats.org/spreadsheetml/2006/main" count="2060" uniqueCount="1013">
  <si>
    <t>Column1</t>
  </si>
  <si>
    <t>2016</t>
  </si>
  <si>
    <t>2017</t>
  </si>
  <si>
    <t>2018</t>
  </si>
  <si>
    <t>2019</t>
  </si>
  <si>
    <t>2020</t>
  </si>
  <si>
    <t>2021</t>
  </si>
  <si>
    <t>2022</t>
  </si>
  <si>
    <t>2023</t>
  </si>
  <si>
    <t>2024</t>
  </si>
  <si>
    <t>2025</t>
  </si>
  <si>
    <t>2026</t>
  </si>
  <si>
    <t>2027</t>
  </si>
  <si>
    <t>2028</t>
  </si>
  <si>
    <t>1. Doanh thu bán hàng và cung cấp dịch vụ</t>
  </si>
  <si>
    <t>yoy growth</t>
  </si>
  <si>
    <t xml:space="preserve">   Thép</t>
  </si>
  <si>
    <t xml:space="preserve">   Nông nghiệp</t>
  </si>
  <si>
    <t xml:space="preserve">   Bất động sản</t>
  </si>
  <si>
    <t>2. Các khoản giảm trừ doanh thu</t>
  </si>
  <si>
    <t>%sale</t>
  </si>
  <si>
    <t>4. Giá vốn hàng bán</t>
  </si>
  <si>
    <t>% sales</t>
  </si>
  <si>
    <t>6. Doanh thu hoạt động tài chính</t>
  </si>
  <si>
    <t>Lãi tiền gửi</t>
  </si>
  <si>
    <t>lãi chênh lệch tỉ giá đã thực hiện</t>
  </si>
  <si>
    <t>lãi chênh lệch tỉ giá chưa thực hiện</t>
  </si>
  <si>
    <t>Chiết khấu thanh khoản</t>
  </si>
  <si>
    <t>Doanh thu hoạt động tài chính khác</t>
  </si>
  <si>
    <t>Lãi chuyển nhưỡng các hdđt</t>
  </si>
  <si>
    <t>7. Chi phí tài chính</t>
  </si>
  <si>
    <t>Chi phí đi vay</t>
  </si>
  <si>
    <t>Chiết kháu thanh toán</t>
  </si>
  <si>
    <t>Lỗ chênh lệch tỉ giá đã thực hiện</t>
  </si>
  <si>
    <t>Lỗ chênh lệch tỉ giá chwua được thực hiện</t>
  </si>
  <si>
    <t>Chi phí tài chsnh khác</t>
  </si>
  <si>
    <t>Lỗ chuyển nhượng các khoản đầu tư</t>
  </si>
  <si>
    <t>- Trong đó: Chi phí lãi vay</t>
  </si>
  <si>
    <t>8. Phần lãi lỗ trong công ty liên doanh, liên kết</t>
  </si>
  <si>
    <t>9. Chi phí bán hàng</t>
  </si>
  <si>
    <t>10. Chi phí quản lý doanh nghiệp</t>
  </si>
  <si>
    <t>12. Thu nhập khác</t>
  </si>
  <si>
    <t>13. Chi phí khác</t>
  </si>
  <si>
    <t>14. Lợi nhuận khác(40=31-32)</t>
  </si>
  <si>
    <t>15. Tổng lợi nhuận kế toán trước thuế(50=30+40)</t>
  </si>
  <si>
    <t>16. Chi phí thuế TNDN hiện hành</t>
  </si>
  <si>
    <t>17. Chi phí thuế TNDN hoãn lại</t>
  </si>
  <si>
    <t>18. Lợi nhuận sau thuế thu nhập doanh nghiệp(60=50-51-52)</t>
  </si>
  <si>
    <t>19. Lợi nhuận sau thuế công ty mẹ</t>
  </si>
  <si>
    <t>20. Lợi nhuận sau thuế công ty mẹ không kiểm soát</t>
  </si>
  <si>
    <t>21.Basic EPS</t>
  </si>
  <si>
    <t>22. Lãi suy giảm trên cổ phiếu (*)</t>
  </si>
  <si>
    <t>biên lợi nhuận ròng</t>
  </si>
  <si>
    <t>IV. Hàng tồn kho</t>
  </si>
  <si>
    <t>Vay ngắn hạn</t>
  </si>
  <si>
    <t>Vay dài hạn</t>
  </si>
  <si>
    <t>TÀI SẢN</t>
  </si>
  <si>
    <t>A- TÀI SẢN NGẮN HẠN</t>
  </si>
  <si>
    <t>I. Tiền và các khoản tương đương tiền</t>
  </si>
  <si>
    <t>1. Tiền</t>
  </si>
  <si>
    <t>2. Các khoản tương đương tiền</t>
  </si>
  <si>
    <t>II. Các khoản đầu tư tài chính ngắn hạn</t>
  </si>
  <si>
    <t>1. Chứng khoán kinh doanh</t>
  </si>
  <si>
    <t>2. Dự phòng giảm giá chứng khoán kinh doanh</t>
  </si>
  <si>
    <t>3. Đầu tư nắm giữ đến ngày đáo hạn</t>
  </si>
  <si>
    <t>III. Các khoản phải thu ngắn hạn</t>
  </si>
  <si>
    <t>1. Phải thu ngắn hạn của khách hàng</t>
  </si>
  <si>
    <t>2. Trả trước cho người bán ngắn hạn</t>
  </si>
  <si>
    <t>3. Phải thu nội bộ ngắn hạn</t>
  </si>
  <si>
    <t>4. Phải thu theo tiến độ kế hoạch hợp đồng xây dựng</t>
  </si>
  <si>
    <t>5. Phải thu về cho vay ngắn hạn</t>
  </si>
  <si>
    <t>6. Phải thu ngắn hạn khác</t>
  </si>
  <si>
    <t>7. Dự phòng phải thu ngắn hạn khó đòi</t>
  </si>
  <si>
    <t>8. Tài sản Thiếu chờ xử lý</t>
  </si>
  <si>
    <t xml:space="preserve">% tài sản </t>
  </si>
  <si>
    <t>1. Hàng tồn kho</t>
  </si>
  <si>
    <t>2. Dự phòng giảm giá hàng tồn kho</t>
  </si>
  <si>
    <t>V.Tài sản ngắn hạn khác</t>
  </si>
  <si>
    <t>1. Chi phí trả trước ngắn hạn</t>
  </si>
  <si>
    <t>2. Thuế GTGT được khấu trừ</t>
  </si>
  <si>
    <t>3. Thuế và các khoản khác phải thu Nhà nước</t>
  </si>
  <si>
    <t>4. Giao dịch mua bán lại trái phiếu Chính phủ</t>
  </si>
  <si>
    <t>5. Tài sản ngắn hạn khác</t>
  </si>
  <si>
    <t>B. TÀI SẢN DÀI HẠN</t>
  </si>
  <si>
    <t>I. Các khoản phải thu dài hạn</t>
  </si>
  <si>
    <t>1. Phải thu dài hạn của khách hàng</t>
  </si>
  <si>
    <t>2. Trả trước cho người bán dài hạn</t>
  </si>
  <si>
    <t>3. Vốn kinh doanh ở đơn vị trực thuộc</t>
  </si>
  <si>
    <t>4. Phải thu nội bộ dài hạn</t>
  </si>
  <si>
    <t>5. Phải thu về cho vay dài hạn</t>
  </si>
  <si>
    <t>6. Phải thu dài hạn khác</t>
  </si>
  <si>
    <t>7. Dự phòng phải thu dài hạn khó đòi</t>
  </si>
  <si>
    <t>II.Tài sản cố định</t>
  </si>
  <si>
    <t>1. Tài sản cố định hữu hình</t>
  </si>
  <si>
    <t>- Nguyên giá</t>
  </si>
  <si>
    <t>- Giá trị hao mòn lũy kế</t>
  </si>
  <si>
    <t>2. Tài sản cố định thuê tài chính</t>
  </si>
  <si>
    <t>3. Tài sản cố định vô hình</t>
  </si>
  <si>
    <t>III. Bất động sản đầu tư</t>
  </si>
  <si>
    <t>IV. Tài sản dở dang dài hạn</t>
  </si>
  <si>
    <t>1. Chi phí sản xuất, kinh doanh dở dang dài hạn</t>
  </si>
  <si>
    <t>2. Chi phí xây dựng cơ bản dở dang</t>
  </si>
  <si>
    <t>V. Đầu tư tài chính dài hạn</t>
  </si>
  <si>
    <t>1. Đầu tư vào công ty con</t>
  </si>
  <si>
    <t>2. Đầu tư vào công ty liên kết, liên doanh</t>
  </si>
  <si>
    <t>3. Đầu tư góp vốn vào đơn vị khác</t>
  </si>
  <si>
    <t>4. Dự phòng đầu tư tài chính dài hạn</t>
  </si>
  <si>
    <t>5. Đầu tư nắm giữ đến ngày đáo hạn</t>
  </si>
  <si>
    <t>VI. Tài sản dài hạn khác</t>
  </si>
  <si>
    <t>1. Chi phí trả trước dài hạn</t>
  </si>
  <si>
    <t>2. Tài sản thuế thu nhập hoãn lại</t>
  </si>
  <si>
    <t>3. Thiết bị, vật tư, phụ tùng thay thế dài hạn</t>
  </si>
  <si>
    <t>4. Tài sản dài hạn khác</t>
  </si>
  <si>
    <t>5. Lợi thế thương mại</t>
  </si>
  <si>
    <t>TỔNG CỘNG TÀI SẢN</t>
  </si>
  <si>
    <t>NGUỒN VỐN</t>
  </si>
  <si>
    <t>C. NỢ PHẢI TRẢ</t>
  </si>
  <si>
    <t>I. Nợ ngắn hạn</t>
  </si>
  <si>
    <t>1. Phải trả người bán ngắn hạn</t>
  </si>
  <si>
    <t>% nợ</t>
  </si>
  <si>
    <t>2. Người mua trả tiền trước ngắn hạn</t>
  </si>
  <si>
    <t>3. Thuế và các khoản phải nộp nhà nước</t>
  </si>
  <si>
    <t>4. Phải trả người lao động</t>
  </si>
  <si>
    <t>5. Chi phí phải trả ngắn hạn</t>
  </si>
  <si>
    <t>6. Phải trả nội bộ ngắn hạn</t>
  </si>
  <si>
    <t>7. Phải trả theo tiến độ kế hoạch hợp đồng xây dựng</t>
  </si>
  <si>
    <t>8. Doanh thu chưa thực hiện ngắn hạn</t>
  </si>
  <si>
    <t>9. Phải trả ngắn hạn khác</t>
  </si>
  <si>
    <t>10. Vay và nợ thuê tài chính ngắn hạn</t>
  </si>
  <si>
    <t>11. Dự phòng phải trả ngắn hạn</t>
  </si>
  <si>
    <t>12. Quỹ khen thưởng phúc lợi</t>
  </si>
  <si>
    <t>13. Quỹ bình ổn giá</t>
  </si>
  <si>
    <t>14. Giao dịch mua bán lại trái phiếu Chính phủ</t>
  </si>
  <si>
    <t>II. Nợ dài hạn</t>
  </si>
  <si>
    <t>1. Phải trả người bán dài hạn</t>
  </si>
  <si>
    <t>2. Người mua trả tiền trước dài hạn</t>
  </si>
  <si>
    <t>3. Chi phí phải trả dài hạn</t>
  </si>
  <si>
    <t>4. Phải trả nội bộ về vốn kinh doanh</t>
  </si>
  <si>
    <t>5. Phải trả nội bộ dài hạn</t>
  </si>
  <si>
    <t>6. Doanh thu chưa thực hiện dài hạn</t>
  </si>
  <si>
    <t>7. Phải trả dài hạn khác</t>
  </si>
  <si>
    <t>8. Vay và nợ thuê tài chính dài hạn</t>
  </si>
  <si>
    <t>9. Trái phiếu chuyển đổi</t>
  </si>
  <si>
    <t>10. Cổ phiếu ưu đãi</t>
  </si>
  <si>
    <t>11. Thuế thu nhập hoãn lại phải trả</t>
  </si>
  <si>
    <t>12. Dự phòng phải trả dài hạn</t>
  </si>
  <si>
    <t>13. Quỹ phát triển khoa học và công nghệ</t>
  </si>
  <si>
    <t>D.VỐN CHỦ SỞ HỮU</t>
  </si>
  <si>
    <t>I. Vốn chủ sở hữu</t>
  </si>
  <si>
    <t>1. Vốn góp của chủ sở hữu</t>
  </si>
  <si>
    <t>- Cổ phiếu phổ thông có quyền biểu quyết</t>
  </si>
  <si>
    <t>- Cổ phiếu ưu đãi</t>
  </si>
  <si>
    <t>2. Thặng dư vốn cổ phần</t>
  </si>
  <si>
    <t>3. Quyền chọn chuyển đổi trái phiếu</t>
  </si>
  <si>
    <t>4. Vốn khác của chủ sở hữu</t>
  </si>
  <si>
    <t>5. Cổ phiếu quỹ</t>
  </si>
  <si>
    <t>6. Chênh lệch đánh giá lại tài sản</t>
  </si>
  <si>
    <t>7. Chênh lệch tỷ giá hối đoái</t>
  </si>
  <si>
    <t>8. Quỹ đầu tư phát triển</t>
  </si>
  <si>
    <t>9. Quỹ hỗ trợ sắp xếp doanh nghiệp</t>
  </si>
  <si>
    <t>10. Quỹ khác thuộc vốn chủ sở hữu</t>
  </si>
  <si>
    <t>11. Lợi nhuận sau thuế chưa phân phối</t>
  </si>
  <si>
    <t>- LNST chưa phân phối lũy kế đến cuối kỳ trước</t>
  </si>
  <si>
    <t>- LNST chưa phân phối kỳ này</t>
  </si>
  <si>
    <t>12. Nguồn vốn đầu tư XDCB</t>
  </si>
  <si>
    <t>13. Lợi ích cổ đông không kiểm soát</t>
  </si>
  <si>
    <t>II. Nguồn kinh phí và quỹ khác</t>
  </si>
  <si>
    <t>1. Nguồn kinh phí</t>
  </si>
  <si>
    <t>2. Nguồn kinh phí đã hình thành TSCĐ</t>
  </si>
  <si>
    <t>TỔNG CỘNG NGUỒN VỐN</t>
  </si>
  <si>
    <t>Tổng hợp Capex</t>
  </si>
  <si>
    <t>TSCĐ đầu kỳ</t>
  </si>
  <si>
    <t>Khấu hao trong kỳ</t>
  </si>
  <si>
    <t>TSCĐ cuối kỳ</t>
  </si>
  <si>
    <t>Capex</t>
  </si>
  <si>
    <t>//Assume: thời gian trích khấu hao của KLH Dung quất 2 (năm)</t>
  </si>
  <si>
    <t>Thời gian trích khấu hao của tài sản hiện hữu (năm)</t>
  </si>
  <si>
    <t>Assume: Ghi nghiệm thu với nhà thầu từng phân kỳ -&gt; Chuyển thẳng tài sản vào TSCĐ</t>
  </si>
  <si>
    <t>Tổng đầu tư Hòa Phát Dung Quất 2</t>
  </si>
  <si>
    <t>Q1.2025</t>
  </si>
  <si>
    <t>Q2.2025</t>
  </si>
  <si>
    <t>Q3.2025</t>
  </si>
  <si>
    <t>Q4.2025</t>
  </si>
  <si>
    <t>Số dư đầu quý</t>
  </si>
  <si>
    <t>Tăng trong quý</t>
  </si>
  <si>
    <t>Số dư cuối quý</t>
  </si>
  <si>
    <t>Giá trị khấu hao, năm 2025</t>
  </si>
  <si>
    <t>Khấu hao mỗi năm, từ 2026 trở đi</t>
  </si>
  <si>
    <t>Tổng hợp khấu hao</t>
  </si>
  <si>
    <t>(Tài sản hiện hữu)</t>
  </si>
  <si>
    <t>(Dung Quất 2)</t>
  </si>
  <si>
    <t>Tổng</t>
  </si>
  <si>
    <t>Mặt hàng</t>
  </si>
  <si>
    <t>22A</t>
  </si>
  <si>
    <t>23A</t>
  </si>
  <si>
    <t>24F</t>
  </si>
  <si>
    <t>25F</t>
  </si>
  <si>
    <t>26F</t>
  </si>
  <si>
    <t>27F</t>
  </si>
  <si>
    <t>28F</t>
  </si>
  <si>
    <t>thép xây dựng</t>
  </si>
  <si>
    <t>lượng</t>
  </si>
  <si>
    <t>giá</t>
  </si>
  <si>
    <t>%lượng</t>
  </si>
  <si>
    <t>%yoy lượng</t>
  </si>
  <si>
    <t>%giá</t>
  </si>
  <si>
    <t>thép ống</t>
  </si>
  <si>
    <t>hrc</t>
  </si>
  <si>
    <t>revenue (nghìn đồng)</t>
  </si>
  <si>
    <t>lượng (nghìn tấn)</t>
  </si>
  <si>
    <t>giá (triệu đồng/kg)</t>
  </si>
  <si>
    <t>Tốc độ tăng giá bán sản phẩm thép bình quân</t>
  </si>
  <si>
    <t>phôi thép</t>
  </si>
  <si>
    <t>tôn mạ</t>
  </si>
  <si>
    <t>than cốc</t>
  </si>
  <si>
    <t>link</t>
  </si>
  <si>
    <t>giá (usd/ton)</t>
  </si>
  <si>
    <t>quặng sắt</t>
  </si>
  <si>
    <t>Tốc độ tăng giá nvl bình quân</t>
  </si>
  <si>
    <t>EXPORT</t>
  </si>
  <si>
    <t>recovery of domestic demand</t>
  </si>
  <si>
    <t>giá tăng 2%, nma vì sao</t>
  </si>
  <si>
    <t>từ cuối 23 - đầu 24: stable and resilient HRC sales volume was mainly driven by
strong export demand. (do cầu phục hồi chậm nên phải đẩy mạnh xuất khẩu để giảm bớt áp lực nội địa).</t>
  </si>
  <si>
    <t>HRC will continue to be the main
growth driver for HPG in this period with 20% growth per annum in the FY24-25 period
and another 15% y/y growth in FY26 on the new capacity added from 1Q25 and the
recovery in domestic demand.</t>
  </si>
  <si>
    <t>FY23’s ASP dropped by 13.7% y/y for construction steel and 11% y/y for HRC
products. For FY24, we keep unchanged our ASPs assumptions with a 3% y/y
increase for construction steel and 2% y/y for HRC product. For FY25-26, we now
forecast a 2% y/y in selling prices across product types vs. 3% previous forecast for
FY25.</t>
  </si>
  <si>
    <r>
      <rPr>
        <sz val="11"/>
        <color theme="1"/>
        <rFont val="Lora"/>
      </rPr>
      <t xml:space="preserve">Trong năm 2025, chúng tôi kỳ vọng lợi nhuận của công ty sẽ tăng 31% svck đạt 16,7 nghìn tỷ đồng nhờ </t>
    </r>
    <r>
      <rPr>
        <b/>
        <sz val="11"/>
        <color theme="1"/>
        <rFont val="Lora"/>
      </rPr>
      <t>sản
lượng HRC tăng 65% svck đạt 5,2 triệu tấn nhờ lò đầu tiên của Dung Quất 2 đi vào hoạt động</t>
    </r>
    <r>
      <rPr>
        <sz val="11"/>
        <color theme="1"/>
        <rFont val="Lora"/>
      </rPr>
      <t xml:space="preserve"> (mặc dù chúng
tôi giả định giá </t>
    </r>
    <r>
      <rPr>
        <b/>
        <sz val="11"/>
        <color theme="1"/>
        <rFont val="Lora"/>
      </rPr>
      <t>HRC trung bình sẽ giảm 3% để đẩy sản lượng bán hàng</t>
    </r>
    <r>
      <rPr>
        <sz val="11"/>
        <color theme="1"/>
        <rFont val="Lora"/>
      </rPr>
      <t>).</t>
    </r>
  </si>
  <si>
    <t>Q2/2024</t>
  </si>
  <si>
    <t>- giá thép TQ điều chỉnh
- đã giải quyết hàng tồn kho chi phí cao, có thể mua nguyên liệu giá rẻ</t>
  </si>
  <si>
    <t>Chúng tôi giả định sản lượng HRC của công ty sẽ đạt khoảng
 3 triệu tấn (tăng 13,7% svck) trong năm 2024. Ngoài ra, chúng tôi giả định
giá  HRC sẽ giảm 1,7% so với mức giảm 5% của giá quặng sắt và than luyện cốc.</t>
  </si>
  <si>
    <t>- DQ2 vẫn đi đúng tiến độ
-&gt; Trong năm 2025, chúng tôi kỳ vọng lợi nhuận của công ty sẽ tăng 31% svck đạt 16,7 nghìn tỷ đồng, nhờ sản
lượng HRC tăng 65% svck đạt 5,2 triệu tấn nhờ lò đầu tiên của Dung Quất 2 đi vào hoạt động (mặc dù chúng
tôi giả định giá HRC trung bình giảm 3% để thúc đẩy sản lượng tiêu thụ) và tăng trưởng sản lượng một chữ số
của các sản phẩm thép khác.</t>
  </si>
  <si>
    <t>- DQ2 hoàn thành
- thuế chống bán phá giá HRC có hiệu lực -&gt; giá có thể tăng nhưng ko nhiều vì vẫn có những quốc gia khác offer similar product như malay indo hàn nhật đài</t>
  </si>
  <si>
    <t>* Products with high export exposure (i.e., HRC and
galvanized steel sheets) experienced a faster
recovery compared to domestic-driven products
(i.e., construction steel).
* Average domestic steel selling price declined 10%
YoY in 2023; average HRC prices also declined 15%
YoY in 2023.</t>
  </si>
  <si>
    <r>
      <rPr>
        <sz val="11"/>
        <color theme="1"/>
        <rFont val="Lora"/>
      </rPr>
      <t xml:space="preserve">Export-driven products like hot-rolled-coil (HRC)
continued to post improvement in sales in Q3 2023 (+4% QoQ and 25% YoY) and Q4 2023 (+5%
QoQ and 36% YoY). </t>
    </r>
    <r>
      <rPr>
        <b/>
        <sz val="11"/>
        <color theme="1"/>
        <rFont val="Lora"/>
      </rPr>
      <t>As such, we maintain our 2024F sales volumes of 2.8 million tonnes (flat YoY)
as HPG reaches full capacity of HRC ahead of Dung Quat Steel Complex - Phase 2 (DQSC 2).</t>
    </r>
  </si>
  <si>
    <t>Tổng hợp COGS</t>
  </si>
  <si>
    <t>NVL trực tiếp</t>
  </si>
  <si>
    <t>Lao động trực tiếp</t>
  </si>
  <si>
    <t>Khấu hao</t>
  </si>
  <si>
    <t>Dịch vụ mua ngoài</t>
  </si>
  <si>
    <t>Chi phí khác</t>
  </si>
  <si>
    <t xml:space="preserve">Tổng </t>
  </si>
  <si>
    <t>Tổng hợp Chi phí Sản xuất</t>
  </si>
  <si>
    <t>%Do với giá vốn</t>
  </si>
  <si>
    <t>Biên lợi nhuận gộp</t>
  </si>
  <si>
    <t>%So với doanh thu</t>
  </si>
  <si>
    <t>Doanh thu thuần forecast</t>
  </si>
  <si>
    <t>Doanh thu thuần</t>
  </si>
  <si>
    <t>Tổng hợp NVL trực tiếp</t>
  </si>
  <si>
    <t>NVL trực tiếp/Doanh thu thuần năm trước đó</t>
  </si>
  <si>
    <t>Điều chỉnh:</t>
  </si>
  <si>
    <t>Tiết kiệm chi phí do gia tăng quy mô</t>
  </si>
  <si>
    <t>NVL trực tiếp/Doanh thu thuần trong năm dự báo</t>
  </si>
  <si>
    <t>Tổng hợp chi phí khấu hao</t>
  </si>
  <si>
    <t>Chi phí khấu hao</t>
  </si>
  <si>
    <t>ITEMS</t>
  </si>
  <si>
    <t>Interest Rate</t>
  </si>
  <si>
    <t>Term</t>
  </si>
  <si>
    <t>Outstanding Bal.</t>
  </si>
  <si>
    <t>SHORT TERM BORROWINGS</t>
  </si>
  <si>
    <t>Beginning Balance</t>
  </si>
  <si>
    <t>Principal Repayment</t>
  </si>
  <si>
    <t>Borrowings</t>
  </si>
  <si>
    <t>Ending Balance</t>
  </si>
  <si>
    <t>Interest expense</t>
  </si>
  <si>
    <t>LONG TERM BORROWINGS</t>
  </si>
  <si>
    <t>khoản vay 1</t>
  </si>
  <si>
    <t>khoản vay 2</t>
  </si>
  <si>
    <t>khoản vay 3</t>
  </si>
  <si>
    <t>khoản vay 4</t>
  </si>
  <si>
    <t>khoản vay 5</t>
  </si>
  <si>
    <t>khoản vay 6</t>
  </si>
  <si>
    <t>khoản vay 7</t>
  </si>
  <si>
    <t>khoản vay 8</t>
  </si>
  <si>
    <t>khoản vay 9</t>
  </si>
  <si>
    <t>Dq2 khoản vay phân kì 1</t>
  </si>
  <si>
    <t>DQ2 khoản vay phân kì 2</t>
  </si>
  <si>
    <t>TOTAL INTEREST EXPENSE</t>
  </si>
  <si>
    <t>ST BORROWINGS</t>
  </si>
  <si>
    <t>ngắn/nvl</t>
  </si>
  <si>
    <t>TOTAL</t>
  </si>
  <si>
    <t>Direct material</t>
  </si>
  <si>
    <t>Tổng direct material</t>
  </si>
  <si>
    <t>Thép xây dựng và HRC</t>
  </si>
  <si>
    <t>Cost per ton</t>
  </si>
  <si>
    <t>Consumption</t>
  </si>
  <si>
    <t>Iron ore (ton)</t>
  </si>
  <si>
    <t>Coke (ton)</t>
  </si>
  <si>
    <t>Scrap (ton)</t>
  </si>
  <si>
    <t>Electricity (kwh)</t>
  </si>
  <si>
    <t>Ống thép = HRC*1,04 + 120 electricity</t>
  </si>
  <si>
    <t>Consume</t>
  </si>
  <si>
    <t>Phôi thép</t>
  </si>
  <si>
    <t>Giá thành phần (USD)</t>
  </si>
  <si>
    <t>Iron ore (usd/ton)</t>
  </si>
  <si>
    <t>Coke (usd/ton)</t>
  </si>
  <si>
    <t>Scrap (usd/ton)</t>
  </si>
  <si>
    <t>Electricity (vnd/kwh)</t>
  </si>
  <si>
    <t>VND/USD</t>
  </si>
  <si>
    <t>Giá thành phần (VND)</t>
  </si>
  <si>
    <t>Iron ore (vnd/ton)</t>
  </si>
  <si>
    <t>Coke (vnd/ton)</t>
  </si>
  <si>
    <t>Scrap (vnd/ton)</t>
  </si>
  <si>
    <t>Unit: mil. VND</t>
  </si>
  <si>
    <t>Historical</t>
  </si>
  <si>
    <t>Year 1</t>
  </si>
  <si>
    <t xml:space="preserve"> Year 2</t>
  </si>
  <si>
    <t xml:space="preserve"> Year 3</t>
  </si>
  <si>
    <t xml:space="preserve"> Year 4</t>
  </si>
  <si>
    <t xml:space="preserve"> Year 5</t>
  </si>
  <si>
    <t xml:space="preserve"> Year 6</t>
  </si>
  <si>
    <t xml:space="preserve"> Year 7</t>
  </si>
  <si>
    <t xml:space="preserve"> Year 8</t>
  </si>
  <si>
    <t xml:space="preserve"> Year 9</t>
  </si>
  <si>
    <t xml:space="preserve"> Year 10</t>
  </si>
  <si>
    <t>SALES &amp; COGS FORECAST</t>
  </si>
  <si>
    <t>Note</t>
  </si>
  <si>
    <t>Sustainable growth rate (maintaining debt ratio)</t>
  </si>
  <si>
    <t>X</t>
  </si>
  <si>
    <t>Revenue</t>
  </si>
  <si>
    <t>% growth</t>
  </si>
  <si>
    <t>Internal growth rate (no new debt)</t>
  </si>
  <si>
    <t>Thép</t>
  </si>
  <si>
    <t>BĐS</t>
  </si>
  <si>
    <t>Nông nghiệp</t>
  </si>
  <si>
    <t>Khác</t>
  </si>
  <si>
    <t>Cost of goods sold</t>
  </si>
  <si>
    <t>% of revenue</t>
  </si>
  <si>
    <t>Gross profit</t>
  </si>
  <si>
    <t>Breakdown analysis</t>
  </si>
  <si>
    <t>Steel sector</t>
  </si>
  <si>
    <t>Construction steel</t>
  </si>
  <si>
    <t>Sale volume (ton)</t>
  </si>
  <si>
    <t>Hải Dương complex and Hưng Yên plant</t>
  </si>
  <si>
    <t>Dung Quất phase 1</t>
  </si>
  <si>
    <t>Dung Quất phase 2</t>
  </si>
  <si>
    <t>From billet</t>
  </si>
  <si>
    <t>Long steel</t>
  </si>
  <si>
    <t>Billet</t>
  </si>
  <si>
    <t>HRC</t>
  </si>
  <si>
    <t>Price (VND mn per ton)</t>
  </si>
  <si>
    <t xml:space="preserve">%yoy </t>
  </si>
  <si>
    <t>Projects capacity</t>
  </si>
  <si>
    <t>Hải Dương complex and Hưng Yên plant (long steel)</t>
  </si>
  <si>
    <t>Dung Quất phase 1 (long steel)</t>
  </si>
  <si>
    <t>Nhà máy Cán thép công suất 500k tấn/năm có khả năng chạy trong quý 2/2018</t>
  </si>
  <si>
    <t>Dung Quất phase 2 (HRC)</t>
  </si>
  <si>
    <t>Total capacity (crude steel)</t>
  </si>
  <si>
    <t>Utilization rate</t>
  </si>
  <si>
    <t>Giả định Dung Quất 90% công suất ngay năm đầu, sản lượng tăng đã bao gồm cả thương mại chiếm 10% tổng sản lượng</t>
  </si>
  <si>
    <t>Steel pipe</t>
  </si>
  <si>
    <t>Tăng sản lượng ống thép với tốc độ 15%/năm cho tới năm 2020</t>
  </si>
  <si>
    <t xml:space="preserve">Price adjusted following steel </t>
  </si>
  <si>
    <t>New project</t>
  </si>
  <si>
    <t>Bình Dương - Long An</t>
  </si>
  <si>
    <t>Đà Nẵng</t>
  </si>
  <si>
    <t>Galvanized sheet</t>
  </si>
  <si>
    <t>Steel sector revenue</t>
  </si>
  <si>
    <t>COGS</t>
  </si>
  <si>
    <t>GPM</t>
  </si>
  <si>
    <t>Real estate</t>
  </si>
  <si>
    <t>Price/unit</t>
  </si>
  <si>
    <t>Mandarin Garden project</t>
  </si>
  <si>
    <t>Mandarin Garden 1</t>
  </si>
  <si>
    <t>Mandarin Garden 2</t>
  </si>
  <si>
    <t>70 Nguyen Duc Canh</t>
  </si>
  <si>
    <t>Industrial park</t>
  </si>
  <si>
    <t>Pho Noi Industrial Park</t>
  </si>
  <si>
    <t>Total sector revenue</t>
  </si>
  <si>
    <t>GPM from MG1</t>
  </si>
  <si>
    <t>GPM from MG2</t>
  </si>
  <si>
    <t>GPM from 70 Nguyen Duc Canh</t>
  </si>
  <si>
    <t>GPM from industrial park</t>
  </si>
  <si>
    <t>Agriculture</t>
  </si>
  <si>
    <t>price/unit</t>
  </si>
  <si>
    <t>Agriculture sector revenue</t>
  </si>
  <si>
    <t>Animal feed</t>
  </si>
  <si>
    <t>% capacity</t>
  </si>
  <si>
    <t>Plant capacity</t>
  </si>
  <si>
    <t>Hưng Yên</t>
  </si>
  <si>
    <t>Đồng Nai</t>
  </si>
  <si>
    <t>Phú Thọ</t>
  </si>
  <si>
    <t>Breeding</t>
  </si>
  <si>
    <t>Ox</t>
  </si>
  <si>
    <t>Pig</t>
  </si>
  <si>
    <t>Gross margin of agriculture</t>
  </si>
  <si>
    <t>Gross profit of agriculture</t>
  </si>
  <si>
    <t>Other</t>
  </si>
  <si>
    <t>Other sector revenue</t>
  </si>
  <si>
    <t>Gross margin from others</t>
  </si>
  <si>
    <t>Pricing generation</t>
  </si>
  <si>
    <t>Tiêu hao</t>
  </si>
  <si>
    <t>Cost analysis</t>
  </si>
  <si>
    <t>Iron ore</t>
  </si>
  <si>
    <t>Coke</t>
  </si>
  <si>
    <t xml:space="preserve">Scrap </t>
  </si>
  <si>
    <t>Gas</t>
  </si>
  <si>
    <t>Fixed cost</t>
  </si>
  <si>
    <t>Production cost</t>
  </si>
  <si>
    <t>Transportation cost - 20 usd</t>
  </si>
  <si>
    <t>Chinese producer NPM</t>
  </si>
  <si>
    <t>Lợi nhuận của các nhà sx tại TQ có xu hướng giảm do yếu tố đầu cơ chấm dứt</t>
  </si>
  <si>
    <t>Chinese domestic price</t>
  </si>
  <si>
    <t>VAT refund - 13%</t>
  </si>
  <si>
    <t>Tariff according to 2968 Decision</t>
  </si>
  <si>
    <t>Thuế tự vệ bổ sung hết hiệu lực từ tháng 3/2020</t>
  </si>
  <si>
    <t>Effective tariff</t>
  </si>
  <si>
    <t>Exchange rate</t>
  </si>
  <si>
    <t>Import to Vietnam</t>
  </si>
  <si>
    <t>Casting to steel</t>
  </si>
  <si>
    <t>Electricity</t>
  </si>
  <si>
    <t>Domestic steel COGS</t>
  </si>
  <si>
    <t>SG&amp;A</t>
  </si>
  <si>
    <t>Ước tính từ bloomberg</t>
  </si>
  <si>
    <t>Financing cost</t>
  </si>
  <si>
    <t>Total cost per ton of EAF producers</t>
  </si>
  <si>
    <t>Pricing</t>
  </si>
  <si>
    <t>TRUNG BÌNH</t>
  </si>
  <si>
    <t>GIÁ NHẬP KHẨU</t>
  </si>
  <si>
    <t>GIÁ NỘI ĐỊA</t>
  </si>
  <si>
    <t>x</t>
  </si>
  <si>
    <t>(2) COGS BREAKDOWN</t>
  </si>
  <si>
    <t>Customized</t>
  </si>
  <si>
    <t>as % of revenue (stated in revenue analysis)</t>
  </si>
  <si>
    <t>Others</t>
  </si>
  <si>
    <t>Total</t>
  </si>
  <si>
    <t>Steel COGS</t>
  </si>
  <si>
    <t>Raw material in Hai Duong</t>
  </si>
  <si>
    <t xml:space="preserve"> </t>
  </si>
  <si>
    <t>Gas (m3)</t>
  </si>
  <si>
    <t>Iron ore (USD/ton)</t>
  </si>
  <si>
    <t>Coke (USD/ton)</t>
  </si>
  <si>
    <t>Scrap (USD/ton)</t>
  </si>
  <si>
    <t>Average electricity</t>
  </si>
  <si>
    <t>Buy from EVN</t>
  </si>
  <si>
    <t xml:space="preserve">Generate from the plants </t>
  </si>
  <si>
    <t>Gas (USD)</t>
  </si>
  <si>
    <t>USD/VND exchange rate</t>
  </si>
  <si>
    <t>Raw material in Dung Quat (both 2 phases)</t>
  </si>
  <si>
    <t>Transportation cost</t>
  </si>
  <si>
    <t>Volume from billet</t>
  </si>
  <si>
    <t>Volume from iron ore</t>
  </si>
  <si>
    <t>Production from billet</t>
  </si>
  <si>
    <t>Billet import</t>
  </si>
  <si>
    <t>Production from iron ore</t>
  </si>
  <si>
    <t>Labour</t>
  </si>
  <si>
    <t>Worker salary (annual)</t>
  </si>
  <si>
    <t>Salary growth rate (base on 2% inflation)</t>
  </si>
  <si>
    <t>Number of steel workers</t>
  </si>
  <si>
    <t>Number of workers/ton of steel per year</t>
  </si>
  <si>
    <t>Depreciation</t>
  </si>
  <si>
    <t>Cost of complex</t>
  </si>
  <si>
    <t>Hải Dương phase 1</t>
  </si>
  <si>
    <t>Hải Dương phase 2</t>
  </si>
  <si>
    <t>Hải Dương phase 3</t>
  </si>
  <si>
    <t>Coke plants</t>
  </si>
  <si>
    <t>Nhà máy cán thép GĐ1</t>
  </si>
  <si>
    <t>Depreciation of steel sector</t>
  </si>
  <si>
    <t>Compared to Q2.2015</t>
  </si>
  <si>
    <t>Phase 1 + 2</t>
  </si>
  <si>
    <t>Phase 3</t>
  </si>
  <si>
    <t>The phase 3 started depreciating in Q2.2016</t>
  </si>
  <si>
    <t>Khấu hao 10 năm</t>
  </si>
  <si>
    <t>Year of depreciation</t>
  </si>
  <si>
    <t>Phase 1+2</t>
  </si>
  <si>
    <t>Dung Quất</t>
  </si>
  <si>
    <t>Transportation cost (domestically)</t>
  </si>
  <si>
    <t>Average transportation cost</t>
  </si>
  <si>
    <t>Cost per unit (VND mn)</t>
  </si>
  <si>
    <t>portion</t>
  </si>
  <si>
    <t>North - highway road</t>
  </si>
  <si>
    <t>Central - river</t>
  </si>
  <si>
    <t>South - river</t>
  </si>
  <si>
    <t>Export -CIF</t>
  </si>
  <si>
    <t>Total cost</t>
  </si>
  <si>
    <t>Total cost per unit</t>
  </si>
  <si>
    <t>Raw material - From Hai Duong &amp; Hung Yen</t>
  </si>
  <si>
    <t>Labor</t>
  </si>
  <si>
    <t>Transportation</t>
  </si>
  <si>
    <t>Output price</t>
  </si>
  <si>
    <t>Steel pipe COGS</t>
  </si>
  <si>
    <t>Raw material</t>
  </si>
  <si>
    <t>Cost per unit</t>
  </si>
  <si>
    <t>Tariff</t>
  </si>
  <si>
    <t>CRC</t>
  </si>
  <si>
    <t>HRC price (USD per ton)</t>
  </si>
  <si>
    <t>Sau khi lò cao hoạt động, HRC đầu vào của HPG sẽ rẻ hơn</t>
  </si>
  <si>
    <t>Electricity price (VND per Kwh)</t>
  </si>
  <si>
    <t>CRC price (USD per ton)</t>
  </si>
  <si>
    <t>áp thuế nk 20%</t>
  </si>
  <si>
    <t>Number of labor per ton</t>
  </si>
  <si>
    <t>Total labor</t>
  </si>
  <si>
    <t>Cost per unit of steel pipe</t>
  </si>
  <si>
    <t xml:space="preserve">Transportation </t>
  </si>
  <si>
    <t>GPM of steel pipe</t>
  </si>
  <si>
    <t>Galvanized sheet COGS</t>
  </si>
  <si>
    <t>Consumed</t>
  </si>
  <si>
    <t>Color ingredient</t>
  </si>
  <si>
    <t>HRC (USD per ton)\</t>
  </si>
  <si>
    <t>Electricity (VND)</t>
  </si>
  <si>
    <t>Color ingredient (VND)</t>
  </si>
  <si>
    <t>I. Lưu chuyển tiền từ hoạt động kinh doanh</t>
  </si>
  <si>
    <t>1. Lợi nhuận trước thuế</t>
  </si>
  <si>
    <t>2. Điều chỉnh cho các khoản</t>
  </si>
  <si>
    <t>- Khấu hao TSCĐ và BĐSĐT</t>
  </si>
  <si>
    <t>- Các khoản dự phòng</t>
  </si>
  <si>
    <t>- Lãi, lỗ chênh lệch tỷ giá hối đoái do đánh giá lại các khoản mục tiền tệ có gốc ngoại tệ</t>
  </si>
  <si>
    <t>- Lãi, lỗ từ hoạt động đầu tư</t>
  </si>
  <si>
    <t>- Chi phí lãi vay</t>
  </si>
  <si>
    <t>- Các khoản điều chỉnh khác</t>
  </si>
  <si>
    <t>3. Lợi nhuận từ hoạt động kinh doanh trước thay đổi vốn lưu động</t>
  </si>
  <si>
    <t>- Tăng, giảm các khoản phải thu</t>
  </si>
  <si>
    <t>- Tăng, giảm hàng tồn kho</t>
  </si>
  <si>
    <t>- Tăng, giảm các khoản phải trả (Không kể lãi vay phải trả, thuế thu nhập doanh nghiệp phải nộp)</t>
  </si>
  <si>
    <t>- Tăng, giảm chi phí trả trước</t>
  </si>
  <si>
    <t>- Tăng, giảm chứng khoán kinh doanh</t>
  </si>
  <si>
    <t>- Tiền lãi vay đã trả</t>
  </si>
  <si>
    <t>- Thuế thu nhập doanh nghiệp đã nộp</t>
  </si>
  <si>
    <t>- Tiền thu khác từ hoạt động kinh doanh</t>
  </si>
  <si>
    <t>- Tiền chi khác cho hoạt động kinh doanh</t>
  </si>
  <si>
    <t>Lưu chuyển tiền thuần từ hoạt động kinh doanh</t>
  </si>
  <si>
    <t>II. Lưu chuyển tiền từ hoạt động đầu tư</t>
  </si>
  <si>
    <t>1.Tiền chi để mua sắm, xây dựng TSCĐ và các tài sản dài hạn khác</t>
  </si>
  <si>
    <t>2.Tiền thu từ thanh lý, nhượng bán TSCĐ và các tài sản dài hạn khác</t>
  </si>
  <si>
    <t>3.Tiền chi cho vay, mua các công cụ nợ của đơn vị khác</t>
  </si>
  <si>
    <t>4.Tiền thu hồi cho vay, bán lại các công cụ nợ của đơn vị khác</t>
  </si>
  <si>
    <t>5.Tiền chi đầu tư góp vốn vào đơn vị khác</t>
  </si>
  <si>
    <t>6.Tiền thu hồi đầu tư góp vốn vào đơn vị khác</t>
  </si>
  <si>
    <t>7.Tiền thu lãi cho vay, cổ tức và lợi nhuận được chia</t>
  </si>
  <si>
    <t>Lưu chuyển tiền thuần từ hoạt động đầu tư</t>
  </si>
  <si>
    <t>III. Lưu chuyển tiền từ hoạt động tài chính</t>
  </si>
  <si>
    <t>1.Tiền thu từ phát hành cổ phiếu, nhận vốn góp của chủ sở hữu</t>
  </si>
  <si>
    <t>2.Tiền trả lại vón góp cho các chủ sở hữu, mua lại cổ phiếu của doanh nghiệp đã phát hành</t>
  </si>
  <si>
    <t>3.Tiền thu từ đi vay</t>
  </si>
  <si>
    <t>4.Tiền chi trả nợ gốc vay</t>
  </si>
  <si>
    <t>5.Tiền chi trả nợ gốc thuê tài chính</t>
  </si>
  <si>
    <t>Lưu chuyển tiền thuần từ hoạt động tài chính</t>
  </si>
  <si>
    <t>Lưu chuyển tiền thuần trong kỳ (50 = 20+30+40)</t>
  </si>
  <si>
    <t>Tiền và tương đương tiền đầu kỳ</t>
  </si>
  <si>
    <t>Ảnh hưởng của thay đổi tỷ giá hối đoái quy đổi ngoại tệ</t>
  </si>
  <si>
    <t>Tiền và tương đương tiền cuối kỳ (70 = 50+60+61)</t>
  </si>
  <si>
    <t>Steel</t>
  </si>
  <si>
    <t>#REF!</t>
  </si>
  <si>
    <t>#ERROR!</t>
  </si>
  <si>
    <t>2024F</t>
  </si>
  <si>
    <t>11. Lợi nhuận thuần từ hoạt động kinh doanh</t>
  </si>
  <si>
    <t>3. Doanh thu thuần về bán hàng và cung cấp dịch vụ</t>
  </si>
  <si>
    <t>5. Lợi nhuận gộp về bán hàng và cung cấp dịch vụ</t>
  </si>
  <si>
    <t>%sales</t>
  </si>
  <si>
    <t>% Rev</t>
  </si>
  <si>
    <t>- CP khấu hao</t>
  </si>
  <si>
    <t>tỷ lệ khấu hao</t>
  </si>
  <si>
    <t>% (Phải thu ngắn hạn + HTK + TS ngắn hạn khác)</t>
  </si>
  <si>
    <t>Thay đổi TSCĐ</t>
  </si>
  <si>
    <t>Thay đổi đầu tư công cụ nợ</t>
  </si>
  <si>
    <t>Thay đổi đầu tư vào đơn vị khác</t>
  </si>
  <si>
    <t>Thay đổi vốn góp CSH</t>
  </si>
  <si>
    <t>Thay đổi vốn vay</t>
  </si>
  <si>
    <t>Thay đổi khác trong vốn chủ</t>
  </si>
  <si>
    <t>Cổ tức, lợi nhuận đã trả cho chủ sở hữu</t>
  </si>
  <si>
    <t>CHECK BALANCE</t>
  </si>
  <si>
    <t>2025F</t>
  </si>
  <si>
    <t>2026F</t>
  </si>
  <si>
    <t>2027F</t>
  </si>
  <si>
    <t>2028F</t>
  </si>
  <si>
    <t>- Trả cổ tức</t>
  </si>
  <si>
    <t>Div Ratio</t>
  </si>
  <si>
    <t>1. Revenue from sales and service provision</t>
  </si>
  <si>
    <t>2. Revenue deductions</t>
  </si>
  <si>
    <t>3. Net revenue from sales and service provision</t>
  </si>
  <si>
    <t>4. Cost of goods sold</t>
  </si>
  <si>
    <t>5. Gross profit on sales and service provision</t>
  </si>
  <si>
    <t>6. Revenue from financial activities</t>
  </si>
  <si>
    <t>Liquidity discount</t>
  </si>
  <si>
    <t>Revenue from other financial activities</t>
  </si>
  <si>
    <t>Interest on transfer of land assets</t>
  </si>
  <si>
    <t>7. Financial costs</t>
  </si>
  <si>
    <t>Payment discount</t>
  </si>
  <si>
    <t>Other financial expenses</t>
  </si>
  <si>
    <t>Loss from transfer of investments</t>
  </si>
  <si>
    <t>- In which: interest expenses</t>
  </si>
  <si>
    <t>8. Share of profit and loss in joint ventures and affiliated companies</t>
  </si>
  <si>
    <t>9. Selling expenses</t>
  </si>
  <si>
    <t>10. Business management costs</t>
  </si>
  <si>
    <t>11. Net profit from business activities</t>
  </si>
  <si>
    <t>12. Other income</t>
  </si>
  <si>
    <t>13. Other expenses</t>
  </si>
  <si>
    <t>14. Other profits (40=31-32)</t>
  </si>
  <si>
    <t>15. Total accounting profit before tax (50=30+40)</t>
  </si>
  <si>
    <t>18. Profit after corporate income tax (60=50-51-52)</t>
  </si>
  <si>
    <t>net profit margin</t>
  </si>
  <si>
    <t>19. Profit after tax of the parent company</t>
  </si>
  <si>
    <t>20. Profit after tax is not controlled by the parent company</t>
  </si>
  <si>
    <t>22. Diluted earnings per share (*)</t>
  </si>
  <si>
    <t>IV. Inventory</t>
  </si>
  <si>
    <t>Short-term loans</t>
  </si>
  <si>
    <t>Long-term loans</t>
  </si>
  <si>
    <t>A- SHORT-TERM ASSETS</t>
  </si>
  <si>
    <t>I. Cash and cash equivalents</t>
  </si>
  <si>
    <t>2. Cash equivalents</t>
  </si>
  <si>
    <t>II. Short-term financial investments</t>
  </si>
  <si>
    <t>3. Investment held until maturity</t>
  </si>
  <si>
    <t>III. Short-term receivables</t>
  </si>
  <si>
    <t>1. Short-term receivables from customers</t>
  </si>
  <si>
    <t>2. Short-term advance payments to sellers</t>
  </si>
  <si>
    <t>3. Short-term internal receivables</t>
  </si>
  <si>
    <t>4. Receivables according to construction contract plan progress</t>
  </si>
  <si>
    <t>5. Receivables from short-term loans</t>
  </si>
  <si>
    <t>6. Other short-term receivables</t>
  </si>
  <si>
    <t>7. Provision for short-term doubtful receivables</t>
  </si>
  <si>
    <t>8. Deficiency of Assets pending resolution</t>
  </si>
  <si>
    <t>% asset</t>
  </si>
  <si>
    <t>1. Inventory</t>
  </si>
  <si>
    <t>V.Other short-term assets</t>
  </si>
  <si>
    <t>1. Short-term prepaid expenses</t>
  </si>
  <si>
    <t>4. Repurchase transactions of Government bonds</t>
  </si>
  <si>
    <t>5. Other short-term assets</t>
  </si>
  <si>
    <t>B. NON-TERM ASSETS</t>
  </si>
  <si>
    <t>I. Long-term receivables</t>
  </si>
  <si>
    <t>1. Long-term receivables from customers</t>
  </si>
  <si>
    <t>2. Long-term advance payments to sellers</t>
  </si>
  <si>
    <t>3. Business capital in affiliated units</t>
  </si>
  <si>
    <t>4. Long-term internal receivables</t>
  </si>
  <si>
    <t>5. Receivables from long-term loans</t>
  </si>
  <si>
    <t>6. Other long-term receivables</t>
  </si>
  <si>
    <t>II.Fixed assets</t>
  </si>
  <si>
    <t>1. Tangible fixed assets</t>
  </si>
  <si>
    <t>- Original price</t>
  </si>
  <si>
    <t>- Accumulated depreciation</t>
  </si>
  <si>
    <t>- Depreciation costs</t>
  </si>
  <si>
    <t>2. Financial leased fixed assets</t>
  </si>
  <si>
    <t>3. Intangible fixed assets</t>
  </si>
  <si>
    <t>depreciation rates</t>
  </si>
  <si>
    <t>III. Investment real estate</t>
  </si>
  <si>
    <t>IV. Long-term unfinished assets</t>
  </si>
  <si>
    <t>V. Long-term financial investment</t>
  </si>
  <si>
    <t>1. Invest in subsidiaries</t>
  </si>
  <si>
    <t>2. Invest in affiliated companies and joint ventures</t>
  </si>
  <si>
    <t>3. Invest and contribute capital to other units</t>
  </si>
  <si>
    <t>4. Long-term financial investment provisions</t>
  </si>
  <si>
    <t>5. Investment held until maturity</t>
  </si>
  <si>
    <t>BECAUSE. Other long-term assets</t>
  </si>
  <si>
    <t>1. Long-term prepaid expenses</t>
  </si>
  <si>
    <t>2. Deferred tax assets</t>
  </si>
  <si>
    <t>3. Equipment, supplies, and long-term replacement parts</t>
  </si>
  <si>
    <t>4. Other long-term assets</t>
  </si>
  <si>
    <t>5. Goodwill</t>
  </si>
  <si>
    <t>TOTAL ASSETS</t>
  </si>
  <si>
    <t>C. LIABILITIES</t>
  </si>
  <si>
    <t>I. Short-term debt</t>
  </si>
  <si>
    <t>1. Short-term payables to suppliers</t>
  </si>
  <si>
    <t>% in debt</t>
  </si>
  <si>
    <t>3. Taxes and other amounts payable to the state</t>
  </si>
  <si>
    <t>4. Payable to employees</t>
  </si>
  <si>
    <t>5. Short-term payable expenses</t>
  </si>
  <si>
    <t>8. Short-term unearned revenue</t>
  </si>
  <si>
    <t>9. Other short-term payables</t>
  </si>
  <si>
    <t>10. Short-term finance lease loans and debt</t>
  </si>
  <si>
    <t>% (Short-term receivables + Inventory + Other short-term assets)</t>
  </si>
  <si>
    <t>11. Provision for short-term payables</t>
  </si>
  <si>
    <t>12. Bonus and welfare fund</t>
  </si>
  <si>
    <t>II. Long-term liabilities</t>
  </si>
  <si>
    <t>1. Long-term payables to suppliers</t>
  </si>
  <si>
    <t>2. Buyer pays in advance long term</t>
  </si>
  <si>
    <t>3. Long-term expenses</t>
  </si>
  <si>
    <t>4. Internal payables for business capital</t>
  </si>
  <si>
    <t>5. Long-term internal payables</t>
  </si>
  <si>
    <t>6. Long-term unearned revenue</t>
  </si>
  <si>
    <t>7. Other long-term payables</t>
  </si>
  <si>
    <t>8. Long-term financial lease loans and debt</t>
  </si>
  <si>
    <t>11. Deferred income tax payable</t>
  </si>
  <si>
    <t>12. Long-term provisions for payables</t>
  </si>
  <si>
    <t>I. Equity</t>
  </si>
  <si>
    <t>1. Owner's capital contribution</t>
  </si>
  <si>
    <t>- Ordinary shares have voting rights</t>
  </si>
  <si>
    <t>2. Share surplus</t>
  </si>
  <si>
    <t>8. Development investment fund</t>
  </si>
  <si>
    <t>- Dividend Payment</t>
  </si>
  <si>
    <t>12. Source of investment capital for capital construction</t>
  </si>
  <si>
    <t>13. Non-controlling shareholder interests</t>
  </si>
  <si>
    <t>II. Other sources of funding and funds</t>
  </si>
  <si>
    <t>1. Funding source</t>
  </si>
  <si>
    <t>2. Funding source to form fixed assets</t>
  </si>
  <si>
    <t>1. Long-term unfinished production and business costs</t>
  </si>
  <si>
    <t>2. Construction in progress costs</t>
  </si>
  <si>
    <t>I. Cash flow from business activities</t>
  </si>
  <si>
    <t>1. Profit before tax</t>
  </si>
  <si>
    <t>2. Adjustments for accounts</t>
  </si>
  <si>
    <t>- Depreciation of fixed assets and investment real estate</t>
  </si>
  <si>
    <t>- Provisions</t>
  </si>
  <si>
    <t>- Gains and losses from exchange rate differences due to revaluation of monetary items originating in foreign currencies</t>
  </si>
  <si>
    <t>- Profits and losses from investment activities</t>
  </si>
  <si>
    <t>- Interest expenses</t>
  </si>
  <si>
    <t>- Other adjustments</t>
  </si>
  <si>
    <t>3. Profit from business activities before changes in working capital</t>
  </si>
  <si>
    <t>- Increase and decrease accounts receivable</t>
  </si>
  <si>
    <t>- Increase and decrease inventory</t>
  </si>
  <si>
    <t>- Increase or decrease in payables (Excluding loan interest payable and corporate income tax payable)</t>
  </si>
  <si>
    <t>- Increase or decrease the upfront cost</t>
  </si>
  <si>
    <t>- Increase and decrease in trading securities</t>
  </si>
  <si>
    <t>- Interest paid</t>
  </si>
  <si>
    <t>- Corporate income tax paid</t>
  </si>
  <si>
    <t>- Other revenues from business activities</t>
  </si>
  <si>
    <t>- Other expenses for business activities</t>
  </si>
  <si>
    <t>Net cash flow from operating activities</t>
  </si>
  <si>
    <t>II. Cash flow from investment activities</t>
  </si>
  <si>
    <t>Change of fixed assets</t>
  </si>
  <si>
    <t>1. Money spent on purchasing and constructing fixed assets and other long-term assets</t>
  </si>
  <si>
    <t>2. Proceeds from liquidation and sale of fixed assets and other long-term assets</t>
  </si>
  <si>
    <t>Changes in debt instrument investment</t>
  </si>
  <si>
    <t>3. Money spent on lending and purchasing debt instruments of other units</t>
  </si>
  <si>
    <t>4. Loan recovery, resale of debt instruments of other units</t>
  </si>
  <si>
    <t>Change investment in other units</t>
  </si>
  <si>
    <t>5. Money spent on investment and capital contribution to other units</t>
  </si>
  <si>
    <t>6. Cash recovered from investment in capital contributions to other units</t>
  </si>
  <si>
    <t>7. Loan interest income, dividends and profits are distributed</t>
  </si>
  <si>
    <t>Net cash flow from investing activities</t>
  </si>
  <si>
    <t>III. Cash flow from financial activities</t>
  </si>
  <si>
    <t>Change in equity capital contribution</t>
  </si>
  <si>
    <t>1. Proceeds from issuing shares and receiving capital contributions from owners</t>
  </si>
  <si>
    <t>2. Money to return capital contributions to owners, buy back shares of issued enterprises</t>
  </si>
  <si>
    <t>Change loan capital</t>
  </si>
  <si>
    <t>3. Proceeds from borrowing</t>
  </si>
  <si>
    <t>4. Loan principal payment</t>
  </si>
  <si>
    <t>5. Financial lease principal payment</t>
  </si>
  <si>
    <t>Dividends and profits paid to owners</t>
  </si>
  <si>
    <t>Other changes in equity</t>
  </si>
  <si>
    <t>Net cash flow from financial activities</t>
  </si>
  <si>
    <t>Net cash flow during the period (50 = 20+30+40)</t>
  </si>
  <si>
    <t>Cash and cash equivalents at the beginning of the period</t>
  </si>
  <si>
    <t>Effects of changes in foreign currency exchange rates</t>
  </si>
  <si>
    <t>Cash and cash equivalents at the end of the period (70 = 50+60+61)</t>
  </si>
  <si>
    <t>Interest income</t>
  </si>
  <si>
    <t>Unrealized FX gains</t>
  </si>
  <si>
    <t>Realized FX gains</t>
  </si>
  <si>
    <t>Realized FX losses</t>
  </si>
  <si>
    <t>Unrealized FX losses</t>
  </si>
  <si>
    <t xml:space="preserve">17. Deferred corporate income tax </t>
  </si>
  <si>
    <t>16. Corporate income tax</t>
  </si>
  <si>
    <t>1. Cash</t>
  </si>
  <si>
    <t>1. Short-term Investments</t>
  </si>
  <si>
    <t>2. Allowance</t>
  </si>
  <si>
    <t>2. Provision for Inventories</t>
  </si>
  <si>
    <t>2. VAT Deductibles</t>
  </si>
  <si>
    <t>3. Taxes</t>
  </si>
  <si>
    <t>7. Provision for Doubtful Accounts</t>
  </si>
  <si>
    <t>2. Advance from Customers</t>
  </si>
  <si>
    <t>6. Short-term internal payables</t>
  </si>
  <si>
    <t>7. Payable according to construction contract plan progress</t>
  </si>
  <si>
    <t>13. Price stabilization fund</t>
  </si>
  <si>
    <t>14. Resale transactions of Government bonds</t>
  </si>
  <si>
    <t>9. Convertible bonds</t>
  </si>
  <si>
    <t>10. Preferred shares</t>
  </si>
  <si>
    <t>3. Bond conversion option</t>
  </si>
  <si>
    <t>4. Other capital of the owner</t>
  </si>
  <si>
    <t>5. Treasury shares</t>
  </si>
  <si>
    <t>6. Differences in asset revaluation</t>
  </si>
  <si>
    <t>- Preferred shares</t>
  </si>
  <si>
    <t>9. Fund to support business arrangements</t>
  </si>
  <si>
    <t>10. Other equity funds</t>
  </si>
  <si>
    <t>Total equity</t>
  </si>
  <si>
    <t>13. R&amp;D fund</t>
  </si>
  <si>
    <t>D. Equity shareholder</t>
  </si>
  <si>
    <t>7. FX differences</t>
  </si>
  <si>
    <t>5. Retained Earnings</t>
  </si>
  <si>
    <t>Retained earnings beginning</t>
  </si>
  <si>
    <t>Retained earnings this period</t>
  </si>
  <si>
    <t>Rf</t>
  </si>
  <si>
    <t>Adj Beta</t>
  </si>
  <si>
    <t>Tax rate</t>
  </si>
  <si>
    <t>Market Risk Premium</t>
  </si>
  <si>
    <t>Current Capital Structure</t>
  </si>
  <si>
    <t>E</t>
  </si>
  <si>
    <t>D</t>
  </si>
  <si>
    <t>E/V</t>
  </si>
  <si>
    <t>D/V</t>
  </si>
  <si>
    <t>WACC</t>
  </si>
  <si>
    <t>NPV of FCFF</t>
  </si>
  <si>
    <t>Perpetual growth rate</t>
  </si>
  <si>
    <t>Terminal Value - Perpetuity approach</t>
  </si>
  <si>
    <t>Terminal value</t>
  </si>
  <si>
    <t>PV of TV</t>
  </si>
  <si>
    <t>Enterprise value</t>
  </si>
  <si>
    <t>+ Cash and cash equivalent</t>
  </si>
  <si>
    <t>- Debt</t>
  </si>
  <si>
    <t>- Non-controlling interest</t>
  </si>
  <si>
    <t>- Preferred stock</t>
  </si>
  <si>
    <t>Equity Value</t>
  </si>
  <si>
    <t>Num of outstanding share</t>
  </si>
  <si>
    <t>Target share price (DCF method)</t>
  </si>
  <si>
    <t xml:space="preserve">Upside </t>
  </si>
  <si>
    <t>Ngày</t>
  </si>
  <si>
    <t>Lần cuối</t>
  </si>
  <si>
    <t>VNI</t>
  </si>
  <si>
    <t>HPG</t>
  </si>
  <si>
    <t>FCFF Method</t>
  </si>
  <si>
    <t>Ke</t>
  </si>
  <si>
    <t>Kd</t>
  </si>
  <si>
    <t>Target E/V</t>
  </si>
  <si>
    <t>Target D/V</t>
  </si>
  <si>
    <t>r0</t>
  </si>
  <si>
    <t>Resulted E/V</t>
  </si>
  <si>
    <t>Resulted D/V</t>
  </si>
  <si>
    <t>- Damodaran 1</t>
  </si>
  <si>
    <t>- Damodaran 2</t>
  </si>
  <si>
    <t>- Survey</t>
  </si>
  <si>
    <t>24Fbase</t>
  </si>
  <si>
    <t>24F bear</t>
  </si>
  <si>
    <t>24F bull</t>
  </si>
  <si>
    <t>25f bear</t>
  </si>
  <si>
    <t>25f bull</t>
  </si>
  <si>
    <t>26f bear</t>
  </si>
  <si>
    <t>26f bull</t>
  </si>
  <si>
    <t>27f bear</t>
  </si>
  <si>
    <t>27F bull</t>
  </si>
  <si>
    <t>28 bear</t>
  </si>
  <si>
    <t>28f bull</t>
  </si>
  <si>
    <t>FCFF APPROACH</t>
  </si>
  <si>
    <t>I(1-t)</t>
  </si>
  <si>
    <t>FCFF</t>
  </si>
  <si>
    <t>PV(FCFF) or Enterprise Value</t>
  </si>
  <si>
    <t>Debt (ST+LT) Balance</t>
  </si>
  <si>
    <t>Cash and ST Investment Balance</t>
  </si>
  <si>
    <t>Intrinsic Value of Equity</t>
  </si>
  <si>
    <t>Number of shares outstanding</t>
  </si>
  <si>
    <t>Intrinsic Value of Share</t>
  </si>
  <si>
    <t>Check D/V</t>
  </si>
  <si>
    <t>Check E/V</t>
  </si>
  <si>
    <t>Terminal Value</t>
  </si>
  <si>
    <t>EV/EBITDA</t>
  </si>
  <si>
    <t>Perpetual Growth</t>
  </si>
  <si>
    <t>Implied g</t>
  </si>
  <si>
    <t>2016A</t>
  </si>
  <si>
    <t>2017A</t>
  </si>
  <si>
    <t>2018A</t>
  </si>
  <si>
    <t>2019A</t>
  </si>
  <si>
    <t>2020A</t>
  </si>
  <si>
    <t>2021A</t>
  </si>
  <si>
    <t>2022A</t>
  </si>
  <si>
    <t>2023A</t>
  </si>
  <si>
    <t>EBIT</t>
  </si>
  <si>
    <t>Less: Ebit*Tax</t>
  </si>
  <si>
    <t>Plus: Depreciation and Amortization</t>
  </si>
  <si>
    <t>Less: Capex (FCInv)</t>
  </si>
  <si>
    <t>Plus: (increase) / decreace in NWC (WCInv)</t>
  </si>
  <si>
    <t>Unlevered free cash flow</t>
  </si>
  <si>
    <t>FCFE Growth rate</t>
  </si>
  <si>
    <t>Years from Present</t>
  </si>
  <si>
    <t>Discount coefficient as of 6/2024</t>
  </si>
  <si>
    <t>PV of unlevered free cash flow</t>
  </si>
  <si>
    <t>Target share price</t>
  </si>
  <si>
    <t>Multiple:</t>
  </si>
  <si>
    <t>P/E</t>
  </si>
  <si>
    <t xml:space="preserve"> P/E forward 2025</t>
  </si>
  <si>
    <t xml:space="preserve"> P/E forward 2024</t>
  </si>
  <si>
    <t>EPS 2024</t>
  </si>
  <si>
    <t>EPS 2025</t>
  </si>
  <si>
    <t>KLCP đang lưu hành</t>
  </si>
  <si>
    <t>Giá cổ phiếu hiện tại</t>
  </si>
  <si>
    <t>Trailing P/E</t>
  </si>
  <si>
    <t>Net profit Q3/23</t>
  </si>
  <si>
    <t>Net profit Q4/23</t>
  </si>
  <si>
    <t>Net profit Q1/24</t>
  </si>
  <si>
    <t>Net profit Q2/23</t>
  </si>
  <si>
    <t>Trailing EPS</t>
  </si>
  <si>
    <t>EV 2024</t>
  </si>
  <si>
    <t>Market Capitalization</t>
  </si>
  <si>
    <t>EBITDA 2024</t>
  </si>
  <si>
    <t>EBITDA</t>
  </si>
  <si>
    <t>EV/EBITDA 2024</t>
  </si>
  <si>
    <t>EBITDA 2025</t>
  </si>
  <si>
    <t>EV/EBITDA forward</t>
  </si>
  <si>
    <t xml:space="preserve">Low </t>
  </si>
  <si>
    <t xml:space="preserve">Mid </t>
  </si>
  <si>
    <t xml:space="preserve">High </t>
  </si>
  <si>
    <t xml:space="preserve">Source </t>
  </si>
  <si>
    <t xml:space="preserve">Cost of Equity, Ke </t>
  </si>
  <si>
    <t xml:space="preserve">Risk free rate, Rf </t>
  </si>
  <si>
    <t>Vietcombank 12-month deposit interest rate</t>
  </si>
  <si>
    <t xml:space="preserve">5-year Equity beta, b </t>
  </si>
  <si>
    <t>HPG's 5-year equity adjusted beta</t>
  </si>
  <si>
    <t xml:space="preserve">Market risk premium, Rm-Rf </t>
  </si>
  <si>
    <t>Damodaran T1/2024</t>
  </si>
  <si>
    <t xml:space="preserve">Cost  of equity, Ke </t>
  </si>
  <si>
    <t xml:space="preserve">Cost of Debt, Kd </t>
  </si>
  <si>
    <t xml:space="preserve">Pre tax cost of debt </t>
  </si>
  <si>
    <t>Interest rate of HPG long-term loan</t>
  </si>
  <si>
    <t xml:space="preserve">Corporate tax rate, t </t>
  </si>
  <si>
    <t xml:space="preserve">HPG's 3-year average tax rate </t>
  </si>
  <si>
    <t xml:space="preserve">After tax cost of debt, Kd </t>
  </si>
  <si>
    <t xml:space="preserve">Optimum Mix of Equity and Debt </t>
  </si>
  <si>
    <t xml:space="preserve">Proportion of Equity, E/(D+E) </t>
  </si>
  <si>
    <t xml:space="preserve">HPG's debt - equity ratio of 2023 </t>
  </si>
  <si>
    <t xml:space="preserve">Proportion of Debt, D/(D+E) </t>
  </si>
  <si>
    <t xml:space="preserve">Weighted Average Cost of Capital, WACC </t>
  </si>
  <si>
    <t xml:space="preserve">Ke * E/(D+E)  +  Kd * (1-t) * D/(D+E) </t>
  </si>
  <si>
    <t xml:space="preserve">Rounding (nearest 0.5%) </t>
  </si>
  <si>
    <t>PGR</t>
  </si>
  <si>
    <t>215 giữa năm 2020</t>
  </si>
  <si>
    <t>236 đầu năm 2020</t>
  </si>
  <si>
    <t>223 tháng 4 năm 2020</t>
  </si>
  <si>
    <t>Hoa Phat's latest twelve months p/e ratio is 20.5x</t>
  </si>
  <si>
    <t>Hoa Phat's p/e ratio for fiscal years ending January 2020 to 2023 averaged 24.9x.</t>
  </si>
  <si>
    <t>Hoa Phat's operated at median p/e ratio of 8.8x from fiscal years ending January 2020 to 2023.</t>
  </si>
  <si>
    <t>Looking back at the last 5 years, Hoa Phat's p/e ratio peaked in December 2023 at 88.9x.</t>
  </si>
  <si>
    <t>Hoa Phat's p/e ratio hit its 5-year low in January 2023 of 6.5x.</t>
  </si>
  <si>
    <t>Hoa Phat's p/e ratio decreased in 2022 (6.8x, -50.0%) and 2023 (6.5x, -5.2%) and increased in 2020 (8.8x, +23.5%), 2021 (13.6x, +54.4%), and 2023 (88.9x, +1,275.6%).</t>
  </si>
  <si>
    <t>Historical P/E</t>
  </si>
  <si>
    <t>EPS forward</t>
  </si>
  <si>
    <t>Target Price (lấy EPS forward*current P/E)</t>
  </si>
  <si>
    <t>https://www.gurufocus.com/term/enterprise-value-to-ebitda/STC:HPG</t>
  </si>
  <si>
    <t>Current EV/EBITDA</t>
  </si>
  <si>
    <t>CapIQ</t>
  </si>
  <si>
    <t>EV 2025</t>
  </si>
  <si>
    <t>cái này đang thấp quá, về tầm 10x-11x thì đẹp</t>
  </si>
  <si>
    <t>Key Financial Metrics</t>
  </si>
  <si>
    <t>Year</t>
  </si>
  <si>
    <t>CAGR 2024F-2028F</t>
  </si>
  <si>
    <t>Net Revenue (VND)</t>
  </si>
  <si>
    <t>Net Revenue Growth (%)</t>
  </si>
  <si>
    <t>Dupont Analysis</t>
  </si>
  <si>
    <t>Gross profit (VND)</t>
  </si>
  <si>
    <t>Net profit (VND)</t>
  </si>
  <si>
    <t>Gross margin (%)</t>
  </si>
  <si>
    <t>Net profit margin (%)</t>
  </si>
  <si>
    <t>Asset Turnover (times)</t>
  </si>
  <si>
    <t>Financial Leverage (times)</t>
  </si>
  <si>
    <t>Return on Equity (%)</t>
  </si>
  <si>
    <t>Return on Asset (%)</t>
  </si>
  <si>
    <t>Leverage Metrics</t>
  </si>
  <si>
    <t>Debt to Equity (times)</t>
  </si>
  <si>
    <t>Debt to Asset (times)</t>
  </si>
  <si>
    <t>Liquidity Metrics</t>
  </si>
  <si>
    <t>Current ratio (times)</t>
  </si>
  <si>
    <t>Quick ratio (times)</t>
  </si>
  <si>
    <t>Efficiency Metrics</t>
  </si>
  <si>
    <t>Days receivable (days)</t>
  </si>
  <si>
    <t>Days Inventories (days)</t>
  </si>
  <si>
    <t>Days Payables (days)</t>
  </si>
  <si>
    <t>Cash Cycle</t>
  </si>
  <si>
    <t>Shareholders Ratio</t>
  </si>
  <si>
    <t>EPS (VND)</t>
  </si>
  <si>
    <t>CFO/EBITDA</t>
  </si>
  <si>
    <t>Cash ratio</t>
  </si>
  <si>
    <t>Lấy target P/E bằng 17.5 luôn, lấy EPS forward nhân với target P/E thì ra giá bằng 37k luôn</t>
  </si>
  <si>
    <t>Total liabilities</t>
  </si>
  <si>
    <t>Current liabilities</t>
  </si>
  <si>
    <t>Non-current libilities</t>
  </si>
  <si>
    <t>BOF</t>
  </si>
  <si>
    <t>EAF</t>
  </si>
  <si>
    <t>25 USD</t>
  </si>
  <si>
    <t>15 USD</t>
  </si>
  <si>
    <t>35 USD</t>
  </si>
  <si>
    <t>20 USD</t>
  </si>
  <si>
    <t>Components</t>
  </si>
  <si>
    <t>Unit Price</t>
  </si>
  <si>
    <t>Notes</t>
  </si>
  <si>
    <t>Iron Ore</t>
  </si>
  <si>
    <t>Coking Coal</t>
  </si>
  <si>
    <t>Steel Scrap</t>
  </si>
  <si>
    <t>Depreciation Expense</t>
  </si>
  <si>
    <t>Other Expenses</t>
  </si>
  <si>
    <t>Total Expenses</t>
  </si>
  <si>
    <t>0.13 ton</t>
  </si>
  <si>
    <t>0.70 ton</t>
  </si>
  <si>
    <t>1.70 ton</t>
  </si>
  <si>
    <t>250 KWh</t>
  </si>
  <si>
    <t>380-430 USD/ton</t>
  </si>
  <si>
    <t>0 ton</t>
  </si>
  <si>
    <t>1.13 ton</t>
  </si>
  <si>
    <t>450 KWh</t>
  </si>
  <si>
    <t>437-470 USD/ton</t>
  </si>
  <si>
    <t>80-110 USD/ton</t>
  </si>
  <si>
    <t>210-230 USD/ton</t>
  </si>
  <si>
    <t>330-360 USD/ton</t>
  </si>
  <si>
    <t>0.08 USD/KWh</t>
  </si>
  <si>
    <t>Average price of Fe 62% ore
from 2017 - 2024</t>
  </si>
  <si>
    <t>Average coke price from 2017 - 2024</t>
  </si>
  <si>
    <t>Steel price list approved 2017 - 2024</t>
  </si>
  <si>
    <t>Electricity price in Vietnam</t>
  </si>
  <si>
    <t>Assume the furnace is depreciated over 20 years.</t>
  </si>
  <si>
    <t>Includes $15 labor cost</t>
  </si>
  <si>
    <t>Cost difference from 10%-15%</t>
  </si>
  <si>
    <t>tự tính tay</t>
  </si>
  <si>
    <t>vietstock</t>
  </si>
  <si>
    <t>average</t>
  </si>
  <si>
    <t>Target Price (lấy EPS forward*HPG 5-year average P/E)</t>
  </si>
  <si>
    <t>HPG 5-year average P/E</t>
  </si>
  <si>
    <t>P/E Trung bình ngành trong nước</t>
  </si>
  <si>
    <t>HSG</t>
  </si>
  <si>
    <t>NKG</t>
  </si>
  <si>
    <t>TARGET PRICE</t>
  </si>
  <si>
    <t>Sensitivity Analysis</t>
  </si>
  <si>
    <t>Iskenderun Demir Ve Celik As</t>
  </si>
  <si>
    <t>Baoshan Iron &amp; Steel Co</t>
  </si>
  <si>
    <t>Posco</t>
  </si>
  <si>
    <t>Jsw Steel Ltd</t>
  </si>
  <si>
    <t>Daido Steel Co., Ltd</t>
  </si>
  <si>
    <t>Upside</t>
  </si>
  <si>
    <t>Target Price (lấy EPS forward*trailing PE trung bình ngành)</t>
  </si>
  <si>
    <t>% Capacity DQ2</t>
  </si>
  <si>
    <t>Revenue from DQ2</t>
  </si>
  <si>
    <t>Gross from DQ2</t>
  </si>
  <si>
    <t>Fin Exp</t>
  </si>
  <si>
    <t>Net Profit from DQ2</t>
  </si>
  <si>
    <t>Tốc độ tăng giá thép</t>
  </si>
  <si>
    <t>TB:</t>
  </si>
  <si>
    <t xml:space="preserve">Tốc độ tăng giá thép </t>
  </si>
  <si>
    <t>Tốc độ nguyên vật liệu</t>
  </si>
  <si>
    <t>Tốc độ tăng giá NVL</t>
  </si>
  <si>
    <t>TB Giá thép</t>
  </si>
  <si>
    <t>TB Giá NVl</t>
  </si>
  <si>
    <t>Tốc độ tăng giá thép Trung bình</t>
  </si>
  <si>
    <t>Tốc độ tăng giá NVL Trung bình</t>
  </si>
  <si>
    <t xml:space="preserve">Điều chỉnhTốc độ tăng giá thép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</si>
</sst>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1">
    <numFmt numFmtId="164" formatCode="&quot;$&quot;#,##0.00_);[Red]\(&quot;$&quot;#,##0.00\)"/>
    <numFmt numFmtId="165" formatCode="_(* #,##0.00_);_(* \(#,##0.00\);_(* &quot;-&quot;??_);_(@_)"/>
    <numFmt numFmtId="166" formatCode="_(* #,##0_);_(* \(#,##0\);_(* &quot;-&quot;??_);_(@_)"/>
    <numFmt numFmtId="167" formatCode="General\A"/>
    <numFmt numFmtId="168" formatCode="_(* #,##0.00_);_(* \(#,##0.00\);_(* &quot;-&quot;??.00_);_(@_)"/>
    <numFmt numFmtId="169" formatCode="0.0%"/>
    <numFmt numFmtId="170" formatCode="_-* #,##0.0\ _X_D_R_-;\-* #,##0.0\ _X_D_R_-;_-* &quot;-&quot;?\ _X_D_R_-;_-@"/>
    <numFmt numFmtId="171" formatCode="_(* #,##0.0_);_(* \(#,##0.0\);_(* &quot;-&quot;??_);_(@_)"/>
    <numFmt numFmtId="172" formatCode="###0\ ;[Red]\(###0\);&quot;- &quot;;&quot;- &quot;"/>
    <numFmt numFmtId="173" formatCode="0&quot;E&quot;"/>
    <numFmt numFmtId="174" formatCode="_-* #,##0_-;\-* #,##0_-;_-* &quot;-&quot;??_-;_-@"/>
    <numFmt numFmtId="175" formatCode="_(* #,##0.000_);_(* \(#,##0.000\);_(* &quot;-&quot;??_);_(@_)"/>
    <numFmt numFmtId="176" formatCode="_-* #,##0.00_-;\-* #,##0.00_-;_-* &quot;-&quot;??_-;_-@"/>
    <numFmt numFmtId="177" formatCode="_(* #,##0.0000_);_(* \(#,##0.0000\);_(* &quot;-&quot;??_);_(@_)"/>
    <numFmt numFmtId="178" formatCode="_(* #,##0.0000000_);_(* \(#,##0.0000000\);_(* &quot;-&quot;??_);_(@_)"/>
    <numFmt numFmtId="179" formatCode="#,##0\ [$đ-42A]"/>
    <numFmt numFmtId="180" formatCode="0.000000"/>
    <numFmt numFmtId="181" formatCode="_-* #,##0.00\ _X_D_R_-;\-* #,##0.00\ _X_D_R_-;_-* &quot;-&quot;??\ _X_D_R_-;_-@_-"/>
    <numFmt numFmtId="182" formatCode="0.00000000%"/>
    <numFmt numFmtId="183" formatCode="0.0000"/>
    <numFmt numFmtId="184" formatCode="#,##0.0"/>
  </numFmts>
  <fonts count="90">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font>
    <font>
      <sz val="11"/>
      <color theme="1"/>
      <name val="Calibri"/>
      <family val="2"/>
      <scheme val="minor"/>
    </font>
    <font>
      <b/>
      <sz val="11"/>
      <color theme="1"/>
      <name val="Calibri"/>
      <family val="2"/>
    </font>
    <font>
      <b/>
      <sz val="11"/>
      <color rgb="FF000000"/>
      <name val="Calibri"/>
      <family val="2"/>
    </font>
    <font>
      <b/>
      <sz val="12"/>
      <color theme="1"/>
      <name val="Calibri"/>
      <family val="2"/>
    </font>
    <font>
      <b/>
      <sz val="11"/>
      <color theme="1"/>
      <name val="Calibri"/>
      <family val="2"/>
      <scheme val="minor"/>
    </font>
    <font>
      <sz val="11"/>
      <color rgb="FF000000"/>
      <name val="Calibri"/>
      <family val="2"/>
    </font>
    <font>
      <b/>
      <i/>
      <sz val="11"/>
      <color rgb="FF000000"/>
      <name val="Calibri"/>
      <family val="2"/>
    </font>
    <font>
      <sz val="11"/>
      <color theme="1"/>
      <name val="Lora"/>
    </font>
    <font>
      <b/>
      <i/>
      <sz val="11"/>
      <color theme="1"/>
      <name val="Lora"/>
    </font>
    <font>
      <b/>
      <sz val="11"/>
      <color rgb="FFFF0000"/>
      <name val="Lora"/>
    </font>
    <font>
      <b/>
      <i/>
      <sz val="11"/>
      <color rgb="FFFF0000"/>
      <name val="Lora"/>
    </font>
    <font>
      <b/>
      <sz val="11"/>
      <color theme="1"/>
      <name val="Lora"/>
    </font>
    <font>
      <sz val="11"/>
      <color theme="1"/>
      <name val="Lora"/>
    </font>
    <font>
      <sz val="11"/>
      <color rgb="FF0000FF"/>
      <name val="Lora"/>
    </font>
    <font>
      <b/>
      <sz val="11"/>
      <color theme="1"/>
      <name val="Lora"/>
    </font>
    <font>
      <u/>
      <sz val="11"/>
      <color rgb="FF0000FF"/>
      <name val="Lora"/>
    </font>
    <font>
      <u/>
      <sz val="11"/>
      <color rgb="FF0000FF"/>
      <name val="Lora"/>
    </font>
    <font>
      <b/>
      <i/>
      <sz val="11"/>
      <color theme="1"/>
      <name val="Calibri"/>
      <family val="2"/>
      <scheme val="minor"/>
    </font>
    <font>
      <b/>
      <sz val="11"/>
      <color rgb="FFFFFFFF"/>
      <name val="Tahoma"/>
      <family val="2"/>
    </font>
    <font>
      <b/>
      <sz val="11"/>
      <color theme="1"/>
      <name val="Tahoma"/>
      <family val="2"/>
    </font>
    <font>
      <sz val="11"/>
      <color theme="1"/>
      <name val="Tahoma"/>
      <family val="2"/>
    </font>
    <font>
      <i/>
      <sz val="11"/>
      <color theme="1"/>
      <name val="Tahoma"/>
      <family val="2"/>
    </font>
    <font>
      <sz val="11"/>
      <color theme="1"/>
      <name val="Cabin"/>
    </font>
    <font>
      <b/>
      <sz val="8"/>
      <color rgb="FF000000"/>
      <name val="&quot;Times New Roman&quot;"/>
    </font>
    <font>
      <sz val="8"/>
      <color rgb="FF000000"/>
      <name val="&quot;Times New Roman&quot;"/>
    </font>
    <font>
      <b/>
      <i/>
      <sz val="8"/>
      <color rgb="FF000000"/>
      <name val="&quot;Times New Roman&quot;"/>
    </font>
    <font>
      <sz val="9"/>
      <color theme="1"/>
      <name val="Arial"/>
      <family val="2"/>
    </font>
    <font>
      <b/>
      <sz val="9"/>
      <color rgb="FFFF0000"/>
      <name val="Arial"/>
      <family val="2"/>
    </font>
    <font>
      <i/>
      <sz val="8"/>
      <color rgb="FFFF0000"/>
      <name val="&quot;Times New Roman&quot;"/>
    </font>
    <font>
      <b/>
      <sz val="8"/>
      <color rgb="FF005030"/>
      <name val="&quot;Times New Roman&quot;"/>
    </font>
    <font>
      <b/>
      <sz val="8"/>
      <color theme="1"/>
      <name val="&quot;Times New Roman&quot;"/>
    </font>
    <font>
      <sz val="8"/>
      <color theme="1"/>
      <name val="&quot;Times New Roman&quot;"/>
    </font>
    <font>
      <b/>
      <sz val="8"/>
      <color rgb="FF333399"/>
      <name val="&quot;Times New Roman&quot;"/>
    </font>
    <font>
      <sz val="5"/>
      <color rgb="FFFF0000"/>
      <name val="&quot;Times New Roman&quot;"/>
    </font>
    <font>
      <b/>
      <sz val="8"/>
      <color rgb="FF008000"/>
      <name val="&quot;Times New Roman&quot;"/>
    </font>
    <font>
      <i/>
      <sz val="8"/>
      <color theme="1"/>
      <name val="&quot;Times New Roman&quot;"/>
    </font>
    <font>
      <sz val="8"/>
      <color rgb="FF0000FF"/>
      <name val="&quot;Times New Roman&quot;"/>
    </font>
    <font>
      <b/>
      <sz val="8"/>
      <color rgb="FFFFFFFF"/>
      <name val="&quot;Times New Roman&quot;"/>
    </font>
    <font>
      <sz val="8"/>
      <color rgb="FFFFFFFF"/>
      <name val="&quot;Times New Roman&quot;"/>
    </font>
    <font>
      <b/>
      <i/>
      <sz val="8"/>
      <color theme="1"/>
      <name val="&quot;Times New Roman&quot;"/>
    </font>
    <font>
      <sz val="8"/>
      <color theme="1"/>
      <name val="Arial"/>
      <family val="2"/>
    </font>
    <font>
      <b/>
      <sz val="11"/>
      <color rgb="FFFFFFFF"/>
      <name val="Calibri"/>
      <family val="2"/>
    </font>
    <font>
      <sz val="11"/>
      <color theme="1"/>
      <name val="Calibri"/>
      <family val="2"/>
      <scheme val="minor"/>
    </font>
    <font>
      <sz val="10"/>
      <color theme="0"/>
      <name val="Aptos"/>
      <family val="2"/>
    </font>
    <font>
      <b/>
      <sz val="10"/>
      <color theme="0"/>
      <name val="Aptos"/>
      <family val="2"/>
    </font>
    <font>
      <sz val="10"/>
      <color theme="1"/>
      <name val="Aptos"/>
      <family val="2"/>
    </font>
    <font>
      <b/>
      <sz val="10"/>
      <color theme="1"/>
      <name val="Aptos"/>
      <family val="2"/>
    </font>
    <font>
      <sz val="10"/>
      <color rgb="FF000000"/>
      <name val="Aptos"/>
      <family val="2"/>
    </font>
    <font>
      <b/>
      <sz val="10"/>
      <color rgb="FFFF0000"/>
      <name val="Aptos"/>
      <family val="2"/>
    </font>
    <font>
      <b/>
      <sz val="10"/>
      <color rgb="FF000000"/>
      <name val="Aptos"/>
      <family val="2"/>
    </font>
    <font>
      <sz val="10"/>
      <color theme="3"/>
      <name val="Aptos"/>
      <family val="2"/>
    </font>
    <font>
      <i/>
      <sz val="10"/>
      <color theme="1"/>
      <name val="Aptos"/>
      <family val="2"/>
    </font>
    <font>
      <b/>
      <i/>
      <sz val="10"/>
      <color theme="1"/>
      <name val="Aptos"/>
      <family val="2"/>
    </font>
    <font>
      <i/>
      <sz val="10"/>
      <color rgb="FF000000"/>
      <name val="Aptos"/>
      <family val="2"/>
    </font>
    <font>
      <sz val="11"/>
      <color theme="1"/>
      <name val="Aptos Narrow"/>
      <family val="2"/>
    </font>
    <font>
      <sz val="8"/>
      <color theme="1"/>
      <name val="Tahoma"/>
      <family val="2"/>
    </font>
    <font>
      <b/>
      <sz val="11"/>
      <color rgb="FF000000"/>
      <name val="Calibri"/>
      <family val="2"/>
      <scheme val="minor"/>
    </font>
    <font>
      <b/>
      <sz val="9"/>
      <color indexed="81"/>
      <name val="Tahoma"/>
      <family val="2"/>
    </font>
    <font>
      <sz val="9"/>
      <color indexed="81"/>
      <name val="Tahoma"/>
      <family val="2"/>
    </font>
    <font>
      <sz val="14"/>
      <color rgb="FF000000"/>
      <name val="Calibri"/>
      <family val="2"/>
    </font>
    <font>
      <sz val="11"/>
      <color rgb="FFFF0000"/>
      <name val="Calibri"/>
      <family val="2"/>
      <scheme val="minor"/>
    </font>
    <font>
      <sz val="8"/>
      <color rgb="FFFF0000"/>
      <name val="Tahoma"/>
      <family val="2"/>
    </font>
    <font>
      <b/>
      <sz val="11"/>
      <color rgb="FFFF0000"/>
      <name val="Calibri"/>
      <family val="2"/>
      <scheme val="minor"/>
    </font>
    <font>
      <b/>
      <sz val="8"/>
      <color theme="0"/>
      <name val="Tahoma"/>
      <family val="2"/>
    </font>
    <font>
      <b/>
      <sz val="8"/>
      <color theme="1"/>
      <name val="Tahoma"/>
      <family val="2"/>
    </font>
    <font>
      <sz val="8"/>
      <name val="Tahoma"/>
      <family val="2"/>
    </font>
    <font>
      <b/>
      <sz val="11"/>
      <color theme="0"/>
      <name val="Calibri"/>
      <family val="2"/>
      <scheme val="minor"/>
    </font>
    <font>
      <b/>
      <sz val="11"/>
      <color rgb="FFFFFFFF"/>
      <name val="Calibri"/>
      <family val="2"/>
      <scheme val="minor"/>
    </font>
    <font>
      <sz val="11"/>
      <color theme="1"/>
      <name val="Calibri"/>
      <family val="2"/>
      <scheme val="minor"/>
    </font>
    <font>
      <b/>
      <sz val="10"/>
      <color theme="1"/>
      <name val="Aptos"/>
    </font>
    <font>
      <sz val="8"/>
      <color rgb="FF212529"/>
      <name val="Arial"/>
      <family val="2"/>
    </font>
    <font>
      <b/>
      <sz val="8"/>
      <color rgb="FF212529"/>
      <name val="Arial"/>
      <family val="2"/>
    </font>
    <font>
      <b/>
      <sz val="10"/>
      <color theme="1"/>
      <name val="Times New Roman"/>
      <family val="1"/>
    </font>
    <font>
      <sz val="10"/>
      <color theme="1"/>
      <name val="Times New Roman"/>
      <family val="1"/>
    </font>
    <font>
      <b/>
      <sz val="11"/>
      <color theme="9"/>
      <name val="Calibri"/>
      <family val="2"/>
      <scheme val="minor"/>
    </font>
    <font>
      <sz val="10"/>
      <color theme="1"/>
      <name val="Arial"/>
      <family val="2"/>
    </font>
    <font>
      <b/>
      <sz val="11"/>
      <color theme="1"/>
      <name val="Aptos"/>
    </font>
    <font>
      <b/>
      <sz val="10"/>
      <color theme="1"/>
      <name val="Aptos"/>
      <charset val="163"/>
    </font>
    <font>
      <b/>
      <u/>
      <sz val="10"/>
      <color theme="1"/>
      <name val="Aptos"/>
      <charset val="163"/>
    </font>
    <font>
      <b/>
      <i/>
      <u/>
      <sz val="10"/>
      <color theme="1"/>
      <name val="Aptos"/>
      <charset val="163"/>
    </font>
  </fonts>
  <fills count="37">
    <fill>
      <patternFill patternType="none"/>
    </fill>
    <fill>
      <patternFill patternType="gray125"/>
    </fill>
    <fill>
      <patternFill patternType="solid">
        <fgColor rgb="FFEEECE1"/>
        <bgColor rgb="FFEEECE1"/>
      </patternFill>
    </fill>
    <fill>
      <patternFill patternType="solid">
        <fgColor rgb="FFCFE2F3"/>
        <bgColor rgb="FFCFE2F3"/>
      </patternFill>
    </fill>
    <fill>
      <patternFill patternType="solid">
        <fgColor rgb="FFD9D2E9"/>
        <bgColor rgb="FFD9D2E9"/>
      </patternFill>
    </fill>
    <fill>
      <patternFill patternType="solid">
        <fgColor rgb="FFB4A7D6"/>
        <bgColor rgb="FFB4A7D6"/>
      </patternFill>
    </fill>
    <fill>
      <patternFill patternType="solid">
        <fgColor rgb="FFFFF2CC"/>
        <bgColor rgb="FFFFF2CC"/>
      </patternFill>
    </fill>
    <fill>
      <patternFill patternType="solid">
        <fgColor rgb="FFFFD966"/>
        <bgColor rgb="FFFFD966"/>
      </patternFill>
    </fill>
    <fill>
      <patternFill patternType="solid">
        <fgColor rgb="FFD9EAD3"/>
        <bgColor rgb="FFD9EAD3"/>
      </patternFill>
    </fill>
    <fill>
      <patternFill patternType="solid">
        <fgColor rgb="FFD0E0E3"/>
        <bgColor rgb="FFD0E0E3"/>
      </patternFill>
    </fill>
    <fill>
      <patternFill patternType="solid">
        <fgColor rgb="FF99CC00"/>
        <bgColor rgb="FF99CC00"/>
      </patternFill>
    </fill>
    <fill>
      <patternFill patternType="solid">
        <fgColor rgb="FFFEF2CB"/>
        <bgColor rgb="FFFEF2CB"/>
      </patternFill>
    </fill>
    <fill>
      <patternFill patternType="solid">
        <fgColor rgb="FFB6D7A8"/>
        <bgColor rgb="FFB6D7A8"/>
      </patternFill>
    </fill>
    <fill>
      <patternFill patternType="solid">
        <fgColor rgb="FFC5E0B3"/>
        <bgColor rgb="FFC5E0B3"/>
      </patternFill>
    </fill>
    <fill>
      <patternFill patternType="solid">
        <fgColor rgb="FFFFFF00"/>
        <bgColor rgb="FFFFFF00"/>
      </patternFill>
    </fill>
    <fill>
      <patternFill patternType="solid">
        <fgColor rgb="FFC0C0C0"/>
        <bgColor rgb="FFC0C0C0"/>
      </patternFill>
    </fill>
    <fill>
      <patternFill patternType="solid">
        <fgColor rgb="FFBFBFBF"/>
        <bgColor rgb="FFBFBFBF"/>
      </patternFill>
    </fill>
    <fill>
      <patternFill patternType="solid">
        <fgColor rgb="FF00B050"/>
        <bgColor rgb="FF00B050"/>
      </patternFill>
    </fill>
    <fill>
      <patternFill patternType="solid">
        <fgColor rgb="FF005030"/>
        <bgColor rgb="FF005030"/>
      </patternFill>
    </fill>
    <fill>
      <patternFill patternType="solid">
        <fgColor rgb="FFFBD4B4"/>
        <bgColor rgb="FFFBD4B4"/>
      </patternFill>
    </fill>
    <fill>
      <patternFill patternType="solid">
        <fgColor rgb="FFD8D8D8"/>
        <bgColor rgb="FFD8D8D8"/>
      </patternFill>
    </fill>
    <fill>
      <patternFill patternType="solid">
        <fgColor rgb="FF002060"/>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4" tint="-0.249977111117893"/>
        <bgColor rgb="FFF79646"/>
      </patternFill>
    </fill>
    <fill>
      <patternFill patternType="solid">
        <fgColor theme="9" tint="0.59999389629810485"/>
        <bgColor indexed="64"/>
      </patternFill>
    </fill>
    <fill>
      <patternFill patternType="solid">
        <fgColor rgb="FFFFFF00"/>
        <bgColor indexed="64"/>
      </patternFill>
    </fill>
    <fill>
      <patternFill patternType="solid">
        <fgColor rgb="FF99CC00"/>
        <bgColor indexed="31"/>
      </patternFill>
    </fill>
    <fill>
      <patternFill patternType="solid">
        <fgColor rgb="FFFFFFFF"/>
        <bgColor indexed="64"/>
      </patternFill>
    </fill>
    <fill>
      <patternFill patternType="solid">
        <fgColor rgb="FFE8F0FE"/>
        <bgColor indexed="64"/>
      </patternFill>
    </fill>
    <fill>
      <patternFill patternType="solid">
        <fgColor theme="4"/>
        <bgColor indexed="64"/>
      </patternFill>
    </fill>
    <fill>
      <patternFill patternType="solid">
        <fgColor rgb="FF1155CC"/>
        <bgColor indexed="64"/>
      </patternFill>
    </fill>
    <fill>
      <patternFill patternType="solid">
        <fgColor rgb="FF5B95F9"/>
        <bgColor indexed="64"/>
      </patternFill>
    </fill>
    <fill>
      <patternFill patternType="solid">
        <fgColor rgb="FFFAFAFA"/>
        <bgColor indexed="64"/>
      </patternFill>
    </fill>
    <fill>
      <patternFill patternType="solid">
        <fgColor theme="0"/>
        <bgColor indexed="64"/>
      </patternFill>
    </fill>
  </fills>
  <borders count="48">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right/>
      <top style="thin">
        <color rgb="FF000000"/>
      </top>
      <bottom/>
      <diagonal/>
    </border>
    <border>
      <left/>
      <right style="double">
        <color rgb="FF000000"/>
      </right>
      <top style="thin">
        <color rgb="FF000000"/>
      </top>
      <bottom/>
      <diagonal/>
    </border>
    <border>
      <left/>
      <right style="double">
        <color rgb="FF000000"/>
      </right>
      <top/>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top/>
      <bottom style="thin">
        <color rgb="FF000000"/>
      </bottom>
      <diagonal/>
    </border>
    <border>
      <left/>
      <right style="thin">
        <color rgb="FF000000"/>
      </right>
      <top/>
      <bottom style="medium">
        <color rgb="FF000000"/>
      </bottom>
      <diagonal/>
    </border>
    <border>
      <left/>
      <right style="medium">
        <color rgb="FF000000"/>
      </right>
      <top/>
      <bottom style="thin">
        <color rgb="FF000000"/>
      </bottom>
      <diagonal/>
    </border>
    <border>
      <left style="thin">
        <color rgb="FF000000"/>
      </left>
      <right style="thin">
        <color rgb="FF000000"/>
      </right>
      <top/>
      <bottom style="medium">
        <color rgb="FF000000"/>
      </bottom>
      <diagonal/>
    </border>
    <border>
      <left style="medium">
        <color rgb="FF000000"/>
      </left>
      <right style="medium">
        <color rgb="FF000000"/>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bottom/>
      <diagonal/>
    </border>
    <border>
      <left/>
      <right style="medium">
        <color rgb="FF000000"/>
      </right>
      <top/>
      <bottom/>
      <diagonal/>
    </border>
    <border>
      <left/>
      <right style="thin">
        <color rgb="FF000000"/>
      </right>
      <top/>
      <bottom/>
      <diagonal/>
    </border>
    <border>
      <left/>
      <right/>
      <top/>
      <bottom style="medium">
        <color rgb="FF92D050"/>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thin">
        <color rgb="FF000000"/>
      </top>
      <bottom style="medium">
        <color indexed="64"/>
      </bottom>
      <diagonal/>
    </border>
    <border>
      <left/>
      <right style="medium">
        <color indexed="64"/>
      </right>
      <top style="thin">
        <color rgb="FF000000"/>
      </top>
      <bottom style="medium">
        <color indexed="64"/>
      </bottom>
      <diagonal/>
    </border>
    <border>
      <left style="thin">
        <color indexed="64"/>
      </left>
      <right style="thin">
        <color indexed="64"/>
      </right>
      <top style="thin">
        <color indexed="64"/>
      </top>
      <bottom style="thin">
        <color indexed="64"/>
      </bottom>
      <diagonal/>
    </border>
    <border>
      <left style="thin">
        <color auto="1"/>
      </left>
      <right/>
      <top/>
      <bottom/>
      <diagonal/>
    </border>
    <border>
      <left style="thin">
        <color indexed="55"/>
      </left>
      <right style="thin">
        <color indexed="55"/>
      </right>
      <top style="thin">
        <color indexed="55"/>
      </top>
      <bottom style="medium">
        <color indexed="55"/>
      </bottom>
      <diagonal/>
    </border>
    <border>
      <left style="thin">
        <color auto="1"/>
      </left>
      <right style="thin">
        <color auto="1"/>
      </right>
      <top style="thin">
        <color auto="1"/>
      </top>
      <bottom style="thin">
        <color auto="1"/>
      </bottom>
      <diagonal/>
    </border>
    <border>
      <left style="medium">
        <color rgb="FF000000"/>
      </left>
      <right style="medium">
        <color rgb="FF000000"/>
      </right>
      <top style="medium">
        <color rgb="FF000000"/>
      </top>
      <bottom style="medium">
        <color rgb="FF000000"/>
      </bottom>
      <diagonal/>
    </border>
    <border>
      <left style="medium">
        <color rgb="FFCCCCCC"/>
      </left>
      <right style="medium">
        <color rgb="FF000000"/>
      </right>
      <top style="medium">
        <color rgb="FF000000"/>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style="medium">
        <color rgb="FFCCCCCC"/>
      </left>
      <right style="medium">
        <color rgb="FFCCCCCC"/>
      </right>
      <top style="medium">
        <color rgb="FFCCCCCC"/>
      </top>
      <bottom style="medium">
        <color rgb="FF000000"/>
      </bottom>
      <diagonal/>
    </border>
    <border>
      <left style="medium">
        <color rgb="FFCCCCCC"/>
      </left>
      <right style="medium">
        <color rgb="FFCCCCCC"/>
      </right>
      <top style="medium">
        <color rgb="FFCCCCCC"/>
      </top>
      <bottom style="medium">
        <color rgb="FFCCCCCC"/>
      </bottom>
      <diagonal/>
    </border>
    <border>
      <left style="medium">
        <color rgb="FFCCCCCC"/>
      </left>
      <right/>
      <top style="medium">
        <color rgb="FFCCCCCC"/>
      </top>
      <bottom style="medium">
        <color rgb="FFCCCCCC"/>
      </bottom>
      <diagonal/>
    </border>
    <border>
      <left/>
      <right style="medium">
        <color rgb="FFCCCCCC"/>
      </right>
      <top style="medium">
        <color rgb="FFCCCCCC"/>
      </top>
      <bottom style="medium">
        <color rgb="FFCCCCCC"/>
      </bottom>
      <diagonal/>
    </border>
    <border>
      <left/>
      <right/>
      <top style="medium">
        <color indexed="64"/>
      </top>
      <bottom/>
      <diagonal/>
    </border>
    <border>
      <left style="medium">
        <color rgb="FFCCCCCC"/>
      </left>
      <right style="medium">
        <color rgb="FFCCCCCC"/>
      </right>
      <top style="medium">
        <color rgb="FFCCCCCC"/>
      </top>
      <bottom/>
      <diagonal/>
    </border>
    <border>
      <left/>
      <right/>
      <top style="medium">
        <color rgb="FFCCCCCC"/>
      </top>
      <bottom style="medium">
        <color rgb="FFCCCCCC"/>
      </bottom>
      <diagonal/>
    </border>
    <border>
      <left style="medium">
        <color rgb="FFCCCCCC"/>
      </left>
      <right style="medium">
        <color rgb="FFCCCCCC"/>
      </right>
      <top/>
      <bottom/>
      <diagonal/>
    </border>
    <border>
      <left style="medium">
        <color rgb="FFDEE2E6"/>
      </left>
      <right style="medium">
        <color rgb="FFDEE2E6"/>
      </right>
      <top style="medium">
        <color rgb="FFDEE2E6"/>
      </top>
      <bottom style="medium">
        <color rgb="FFDEE2E6"/>
      </bottom>
      <diagonal/>
    </border>
    <border>
      <left style="medium">
        <color rgb="FF000000"/>
      </left>
      <right/>
      <top/>
      <bottom/>
      <diagonal/>
    </border>
    <border>
      <left style="medium">
        <color rgb="FFCCCCCC"/>
      </left>
      <right style="medium">
        <color rgb="FFCCCCCC"/>
      </right>
      <top style="medium">
        <color rgb="FF000000"/>
      </top>
      <bottom style="medium">
        <color rgb="FFCCCCCC"/>
      </bottom>
      <diagonal/>
    </border>
    <border>
      <left style="medium">
        <color rgb="FF000000"/>
      </left>
      <right style="medium">
        <color rgb="FF000000"/>
      </right>
      <top style="medium">
        <color rgb="FF000000"/>
      </top>
      <bottom style="medium">
        <color rgb="FFCCCCCC"/>
      </bottom>
      <diagonal/>
    </border>
    <border>
      <left style="medium">
        <color rgb="FF000000"/>
      </left>
      <right style="medium">
        <color rgb="FF000000"/>
      </right>
      <top style="medium">
        <color rgb="FFCCCCCC"/>
      </top>
      <bottom style="medium">
        <color rgb="FFCCCCCC"/>
      </bottom>
      <diagonal/>
    </border>
  </borders>
  <cellStyleXfs count="9">
    <xf numFmtId="0" fontId="0" fillId="0" borderId="0"/>
    <xf numFmtId="165" fontId="52" fillId="0" borderId="0" applyFont="0" applyFill="0" applyBorder="0" applyAlignment="0" applyProtection="0"/>
    <xf numFmtId="9" fontId="52" fillId="0" borderId="0" applyFont="0" applyFill="0" applyBorder="0" applyAlignment="0" applyProtection="0"/>
    <xf numFmtId="0" fontId="8" fillId="0" borderId="1"/>
    <xf numFmtId="9" fontId="8" fillId="0" borderId="1" applyFont="0" applyFill="0" applyBorder="0" applyAlignment="0" applyProtection="0"/>
    <xf numFmtId="0" fontId="5" fillId="0" borderId="1"/>
    <xf numFmtId="9" fontId="5" fillId="0" borderId="1" applyFont="0" applyFill="0" applyBorder="0" applyAlignment="0" applyProtection="0"/>
    <xf numFmtId="0" fontId="5" fillId="0" borderId="1"/>
    <xf numFmtId="9" fontId="5" fillId="0" borderId="1" applyFont="0" applyFill="0" applyBorder="0" applyAlignment="0" applyProtection="0"/>
  </cellStyleXfs>
  <cellXfs count="632">
    <xf numFmtId="0" fontId="0" fillId="0" borderId="0" xfId="0"/>
    <xf numFmtId="10" fontId="10" fillId="0" borderId="0" xfId="0" applyNumberFormat="1" applyFont="1"/>
    <xf numFmtId="0" fontId="11" fillId="0" borderId="0" xfId="0" applyFont="1"/>
    <xf numFmtId="166" fontId="9" fillId="0" borderId="0" xfId="0" applyNumberFormat="1" applyFont="1"/>
    <xf numFmtId="0" fontId="10" fillId="0" borderId="0" xfId="0" applyFont="1"/>
    <xf numFmtId="166" fontId="11" fillId="0" borderId="0" xfId="0" applyNumberFormat="1" applyFont="1"/>
    <xf numFmtId="3" fontId="10" fillId="0" borderId="0" xfId="0" applyNumberFormat="1" applyFont="1"/>
    <xf numFmtId="10" fontId="9" fillId="0" borderId="0" xfId="0" applyNumberFormat="1" applyFont="1"/>
    <xf numFmtId="3" fontId="14" fillId="0" borderId="0" xfId="0" applyNumberFormat="1" applyFont="1"/>
    <xf numFmtId="0" fontId="14" fillId="0" borderId="0" xfId="0" applyFont="1"/>
    <xf numFmtId="166" fontId="10" fillId="0" borderId="0" xfId="0" applyNumberFormat="1" applyFont="1"/>
    <xf numFmtId="0" fontId="12" fillId="0" borderId="0" xfId="0" applyFont="1" applyAlignment="1">
      <alignment horizontal="right"/>
    </xf>
    <xf numFmtId="0" fontId="16" fillId="0" borderId="0" xfId="0" applyFont="1" applyAlignment="1">
      <alignment horizontal="right"/>
    </xf>
    <xf numFmtId="0" fontId="10" fillId="0" borderId="0" xfId="0" applyFont="1" applyAlignment="1">
      <alignment wrapText="1"/>
    </xf>
    <xf numFmtId="0" fontId="14" fillId="0" borderId="2" xfId="0" applyFont="1" applyBorder="1" applyAlignment="1">
      <alignment wrapText="1"/>
    </xf>
    <xf numFmtId="0" fontId="12" fillId="0" borderId="2" xfId="0" applyFont="1" applyBorder="1" applyAlignment="1">
      <alignment horizontal="right"/>
    </xf>
    <xf numFmtId="0" fontId="10" fillId="0" borderId="2" xfId="0" applyFont="1" applyBorder="1"/>
    <xf numFmtId="3" fontId="10" fillId="0" borderId="2" xfId="0" applyNumberFormat="1" applyFont="1" applyBorder="1"/>
    <xf numFmtId="0" fontId="14" fillId="0" borderId="2" xfId="0" applyFont="1" applyBorder="1"/>
    <xf numFmtId="3" fontId="14" fillId="0" borderId="2" xfId="0" applyNumberFormat="1" applyFont="1" applyBorder="1"/>
    <xf numFmtId="0" fontId="17" fillId="0" borderId="0" xfId="0" applyFont="1" applyAlignment="1">
      <alignment horizontal="center" vertical="center" wrapText="1"/>
    </xf>
    <xf numFmtId="167" fontId="18" fillId="2" borderId="3" xfId="0" applyNumberFormat="1" applyFont="1" applyFill="1" applyBorder="1" applyAlignment="1">
      <alignment horizontal="center" vertical="center" wrapText="1"/>
    </xf>
    <xf numFmtId="167" fontId="18" fillId="2" borderId="4" xfId="0" applyNumberFormat="1" applyFont="1" applyFill="1" applyBorder="1" applyAlignment="1">
      <alignment horizontal="center" vertical="center" wrapText="1"/>
    </xf>
    <xf numFmtId="167" fontId="19" fillId="2" borderId="3" xfId="0" applyNumberFormat="1" applyFont="1" applyFill="1" applyBorder="1" applyAlignment="1">
      <alignment horizontal="center" vertical="center" wrapText="1"/>
    </xf>
    <xf numFmtId="3" fontId="20" fillId="2" borderId="3" xfId="0" applyNumberFormat="1" applyFont="1" applyFill="1" applyBorder="1" applyAlignment="1">
      <alignment horizontal="center" vertical="center" wrapText="1"/>
    </xf>
    <xf numFmtId="168" fontId="18" fillId="2" borderId="3" xfId="0" applyNumberFormat="1" applyFont="1" applyFill="1" applyBorder="1" applyAlignment="1">
      <alignment horizontal="center" vertical="center" wrapText="1"/>
    </xf>
    <xf numFmtId="168" fontId="18" fillId="2" borderId="4" xfId="0" applyNumberFormat="1" applyFont="1" applyFill="1" applyBorder="1" applyAlignment="1">
      <alignment horizontal="center" vertical="center" wrapText="1"/>
    </xf>
    <xf numFmtId="166" fontId="19" fillId="2" borderId="3" xfId="0" applyNumberFormat="1" applyFont="1" applyFill="1" applyBorder="1" applyAlignment="1">
      <alignment horizontal="center" vertical="center" wrapText="1"/>
    </xf>
    <xf numFmtId="0" fontId="21" fillId="0" borderId="0" xfId="0" applyFont="1" applyAlignment="1">
      <alignment horizontal="center" vertical="center" wrapText="1"/>
    </xf>
    <xf numFmtId="0" fontId="17" fillId="3" borderId="0" xfId="0" applyFont="1" applyFill="1" applyAlignment="1">
      <alignment horizontal="center" vertical="center" wrapText="1"/>
    </xf>
    <xf numFmtId="0" fontId="9" fillId="3" borderId="0" xfId="0" applyFont="1" applyFill="1" applyAlignment="1">
      <alignment horizontal="center" vertical="center" wrapText="1"/>
    </xf>
    <xf numFmtId="0" fontId="17" fillId="3" borderId="5" xfId="0" applyFont="1" applyFill="1" applyBorder="1" applyAlignment="1">
      <alignment horizontal="center" vertical="center" wrapText="1"/>
    </xf>
    <xf numFmtId="4" fontId="17" fillId="3" borderId="0" xfId="0" applyNumberFormat="1" applyFont="1" applyFill="1" applyAlignment="1">
      <alignment horizontal="center" vertical="center" wrapText="1"/>
    </xf>
    <xf numFmtId="4" fontId="21" fillId="3" borderId="0" xfId="0" applyNumberFormat="1" applyFont="1" applyFill="1" applyAlignment="1">
      <alignment horizontal="center" vertical="center" wrapText="1"/>
    </xf>
    <xf numFmtId="10" fontId="17" fillId="3" borderId="0" xfId="0" applyNumberFormat="1" applyFont="1" applyFill="1" applyAlignment="1">
      <alignment horizontal="center" vertical="center" wrapText="1"/>
    </xf>
    <xf numFmtId="0" fontId="22" fillId="3" borderId="0" xfId="0" applyFont="1" applyFill="1" applyAlignment="1">
      <alignment horizontal="center" vertical="center" wrapText="1"/>
    </xf>
    <xf numFmtId="3" fontId="17" fillId="3" borderId="0" xfId="0" applyNumberFormat="1" applyFont="1" applyFill="1" applyAlignment="1">
      <alignment horizontal="center" vertical="center" wrapText="1"/>
    </xf>
    <xf numFmtId="3" fontId="17" fillId="3" borderId="5" xfId="0" applyNumberFormat="1" applyFont="1" applyFill="1" applyBorder="1" applyAlignment="1">
      <alignment horizontal="center" vertical="center" wrapText="1"/>
    </xf>
    <xf numFmtId="3" fontId="19" fillId="3" borderId="0" xfId="0" applyNumberFormat="1" applyFont="1" applyFill="1" applyAlignment="1">
      <alignment horizontal="center" vertical="center" wrapText="1"/>
    </xf>
    <xf numFmtId="165" fontId="19" fillId="3" borderId="0" xfId="0" applyNumberFormat="1" applyFont="1" applyFill="1" applyAlignment="1">
      <alignment horizontal="center" vertical="center" wrapText="1"/>
    </xf>
    <xf numFmtId="165" fontId="19" fillId="3" borderId="5" xfId="0" applyNumberFormat="1" applyFont="1" applyFill="1" applyBorder="1" applyAlignment="1">
      <alignment horizontal="center" vertical="center" wrapText="1"/>
    </xf>
    <xf numFmtId="165" fontId="23" fillId="3" borderId="0" xfId="0" applyNumberFormat="1" applyFont="1" applyFill="1" applyAlignment="1">
      <alignment horizontal="center" vertical="center" wrapText="1"/>
    </xf>
    <xf numFmtId="165" fontId="23" fillId="3" borderId="5" xfId="0" applyNumberFormat="1" applyFont="1" applyFill="1" applyBorder="1" applyAlignment="1">
      <alignment horizontal="center" vertical="center" wrapText="1"/>
    </xf>
    <xf numFmtId="168" fontId="23" fillId="3" borderId="0" xfId="0" applyNumberFormat="1" applyFont="1" applyFill="1" applyAlignment="1">
      <alignment horizontal="center" vertical="center" wrapText="1"/>
    </xf>
    <xf numFmtId="168" fontId="23" fillId="3" borderId="5" xfId="0" applyNumberFormat="1" applyFont="1" applyFill="1" applyBorder="1" applyAlignment="1">
      <alignment horizontal="center" vertical="center" wrapText="1"/>
    </xf>
    <xf numFmtId="168" fontId="19" fillId="3" borderId="0" xfId="0" applyNumberFormat="1" applyFont="1" applyFill="1" applyAlignment="1">
      <alignment horizontal="center" vertical="center" wrapText="1"/>
    </xf>
    <xf numFmtId="10" fontId="19" fillId="3" borderId="0" xfId="0" applyNumberFormat="1" applyFont="1" applyFill="1" applyAlignment="1">
      <alignment horizontal="center" vertical="center" wrapText="1"/>
    </xf>
    <xf numFmtId="9" fontId="17" fillId="3" borderId="0" xfId="0" applyNumberFormat="1" applyFont="1" applyFill="1" applyAlignment="1">
      <alignment horizontal="center" vertical="center" wrapText="1"/>
    </xf>
    <xf numFmtId="10" fontId="17" fillId="3" borderId="5" xfId="0" applyNumberFormat="1" applyFont="1" applyFill="1" applyBorder="1" applyAlignment="1">
      <alignment horizontal="center" vertical="center" wrapText="1"/>
    </xf>
    <xf numFmtId="0" fontId="24" fillId="3" borderId="0" xfId="0" applyFont="1" applyFill="1" applyAlignment="1">
      <alignment horizontal="center" vertical="center" wrapText="1"/>
    </xf>
    <xf numFmtId="0" fontId="21" fillId="3" borderId="0" xfId="0" applyFont="1" applyFill="1" applyAlignment="1">
      <alignment horizontal="center" vertical="center" wrapText="1"/>
    </xf>
    <xf numFmtId="10" fontId="21" fillId="3" borderId="0" xfId="0" applyNumberFormat="1" applyFont="1" applyFill="1" applyAlignment="1">
      <alignment horizontal="center" vertical="center" wrapText="1"/>
    </xf>
    <xf numFmtId="10" fontId="21" fillId="3" borderId="5" xfId="0" applyNumberFormat="1" applyFont="1" applyFill="1" applyBorder="1" applyAlignment="1">
      <alignment horizontal="center" vertical="center" wrapText="1"/>
    </xf>
    <xf numFmtId="9" fontId="21" fillId="3" borderId="0" xfId="0" applyNumberFormat="1" applyFont="1" applyFill="1" applyAlignment="1">
      <alignment horizontal="center" vertical="center" wrapText="1"/>
    </xf>
    <xf numFmtId="0" fontId="17" fillId="4" borderId="0" xfId="0" applyFont="1" applyFill="1" applyAlignment="1">
      <alignment horizontal="center" vertical="center" wrapText="1"/>
    </xf>
    <xf numFmtId="0" fontId="9" fillId="4" borderId="0" xfId="0" applyFont="1" applyFill="1" applyAlignment="1">
      <alignment horizontal="center" vertical="center" wrapText="1"/>
    </xf>
    <xf numFmtId="0" fontId="17" fillId="4" borderId="5" xfId="0" applyFont="1" applyFill="1" applyBorder="1" applyAlignment="1">
      <alignment horizontal="center" vertical="center" wrapText="1"/>
    </xf>
    <xf numFmtId="4" fontId="17" fillId="4" borderId="0" xfId="0" applyNumberFormat="1" applyFont="1" applyFill="1" applyAlignment="1">
      <alignment horizontal="center" vertical="center" wrapText="1"/>
    </xf>
    <xf numFmtId="4" fontId="21" fillId="4" borderId="0" xfId="0" applyNumberFormat="1" applyFont="1" applyFill="1" applyAlignment="1">
      <alignment horizontal="center" vertical="center" wrapText="1"/>
    </xf>
    <xf numFmtId="10" fontId="17" fillId="4" borderId="0" xfId="0" applyNumberFormat="1" applyFont="1" applyFill="1" applyAlignment="1">
      <alignment horizontal="center" vertical="center" wrapText="1"/>
    </xf>
    <xf numFmtId="0" fontId="22" fillId="4" borderId="0" xfId="0" applyFont="1" applyFill="1" applyAlignment="1">
      <alignment horizontal="center" vertical="center" wrapText="1"/>
    </xf>
    <xf numFmtId="3" fontId="17" fillId="4" borderId="0" xfId="0" applyNumberFormat="1" applyFont="1" applyFill="1" applyAlignment="1">
      <alignment horizontal="center" vertical="center" wrapText="1"/>
    </xf>
    <xf numFmtId="3" fontId="17" fillId="4" borderId="5" xfId="0" applyNumberFormat="1" applyFont="1" applyFill="1" applyBorder="1" applyAlignment="1">
      <alignment horizontal="center" vertical="center" wrapText="1"/>
    </xf>
    <xf numFmtId="3" fontId="19" fillId="4" borderId="0" xfId="0" applyNumberFormat="1" applyFont="1" applyFill="1" applyAlignment="1">
      <alignment horizontal="center" vertical="center" wrapText="1"/>
    </xf>
    <xf numFmtId="4" fontId="17" fillId="4" borderId="5" xfId="0" applyNumberFormat="1" applyFont="1" applyFill="1" applyBorder="1" applyAlignment="1">
      <alignment horizontal="center" vertical="center" wrapText="1"/>
    </xf>
    <xf numFmtId="4" fontId="19" fillId="4" borderId="0" xfId="0" applyNumberFormat="1" applyFont="1" applyFill="1" applyAlignment="1">
      <alignment horizontal="center" vertical="center" wrapText="1"/>
    </xf>
    <xf numFmtId="10" fontId="17" fillId="5" borderId="0" xfId="0" applyNumberFormat="1" applyFont="1" applyFill="1" applyAlignment="1">
      <alignment horizontal="center" vertical="center" wrapText="1"/>
    </xf>
    <xf numFmtId="9" fontId="17" fillId="4" borderId="0" xfId="0" applyNumberFormat="1" applyFont="1" applyFill="1" applyAlignment="1">
      <alignment horizontal="center" vertical="center" wrapText="1"/>
    </xf>
    <xf numFmtId="0" fontId="24" fillId="4" borderId="0" xfId="0" applyFont="1" applyFill="1" applyAlignment="1">
      <alignment horizontal="center" vertical="center" wrapText="1"/>
    </xf>
    <xf numFmtId="0" fontId="21" fillId="4" borderId="0" xfId="0" applyFont="1" applyFill="1" applyAlignment="1">
      <alignment horizontal="center" vertical="center" wrapText="1"/>
    </xf>
    <xf numFmtId="0" fontId="21" fillId="4" borderId="5" xfId="0" applyFont="1" applyFill="1" applyBorder="1" applyAlignment="1">
      <alignment horizontal="center" vertical="center" wrapText="1"/>
    </xf>
    <xf numFmtId="10" fontId="21" fillId="4" borderId="0" xfId="0" applyNumberFormat="1" applyFont="1" applyFill="1" applyAlignment="1">
      <alignment horizontal="center" vertical="center" wrapText="1"/>
    </xf>
    <xf numFmtId="10" fontId="21" fillId="4" borderId="5" xfId="0" applyNumberFormat="1" applyFont="1" applyFill="1" applyBorder="1" applyAlignment="1">
      <alignment horizontal="center" vertical="center" wrapText="1"/>
    </xf>
    <xf numFmtId="10" fontId="19" fillId="4" borderId="0" xfId="0" applyNumberFormat="1" applyFont="1" applyFill="1" applyAlignment="1">
      <alignment horizontal="center" vertical="center" wrapText="1"/>
    </xf>
    <xf numFmtId="0" fontId="17" fillId="6" borderId="0" xfId="0" applyFont="1" applyFill="1" applyAlignment="1">
      <alignment horizontal="center" vertical="center" wrapText="1"/>
    </xf>
    <xf numFmtId="0" fontId="22" fillId="6" borderId="0" xfId="0" applyFont="1" applyFill="1" applyAlignment="1">
      <alignment horizontal="center" vertical="center" wrapText="1"/>
    </xf>
    <xf numFmtId="0" fontId="17" fillId="6" borderId="5" xfId="0" applyFont="1" applyFill="1" applyBorder="1" applyAlignment="1">
      <alignment horizontal="center" vertical="center" wrapText="1"/>
    </xf>
    <xf numFmtId="0" fontId="19" fillId="6" borderId="0" xfId="0" applyFont="1" applyFill="1" applyAlignment="1">
      <alignment horizontal="center" vertical="center" wrapText="1"/>
    </xf>
    <xf numFmtId="3" fontId="17" fillId="6" borderId="0" xfId="0" applyNumberFormat="1" applyFont="1" applyFill="1" applyAlignment="1">
      <alignment horizontal="center" vertical="center" wrapText="1"/>
    </xf>
    <xf numFmtId="3" fontId="17" fillId="6" borderId="5" xfId="0" applyNumberFormat="1" applyFont="1" applyFill="1" applyBorder="1" applyAlignment="1">
      <alignment horizontal="center" vertical="center" wrapText="1"/>
    </xf>
    <xf numFmtId="3" fontId="19" fillId="6" borderId="0" xfId="0" applyNumberFormat="1" applyFont="1" applyFill="1" applyAlignment="1">
      <alignment horizontal="center" vertical="center" wrapText="1"/>
    </xf>
    <xf numFmtId="3" fontId="21" fillId="6" borderId="0" xfId="0" applyNumberFormat="1" applyFont="1" applyFill="1" applyAlignment="1">
      <alignment horizontal="center" vertical="center" wrapText="1"/>
    </xf>
    <xf numFmtId="10" fontId="17" fillId="6" borderId="0" xfId="0" applyNumberFormat="1" applyFont="1" applyFill="1" applyAlignment="1">
      <alignment horizontal="center" vertical="center" wrapText="1"/>
    </xf>
    <xf numFmtId="4" fontId="17" fillId="6" borderId="0" xfId="0" applyNumberFormat="1" applyFont="1" applyFill="1" applyAlignment="1">
      <alignment horizontal="center" vertical="center" wrapText="1"/>
    </xf>
    <xf numFmtId="2" fontId="17" fillId="7" borderId="0" xfId="0" applyNumberFormat="1" applyFont="1" applyFill="1" applyAlignment="1">
      <alignment horizontal="center" vertical="center" wrapText="1"/>
    </xf>
    <xf numFmtId="4" fontId="21" fillId="6" borderId="0" xfId="0" applyNumberFormat="1" applyFont="1" applyFill="1" applyAlignment="1">
      <alignment horizontal="center" vertical="center" wrapText="1"/>
    </xf>
    <xf numFmtId="2" fontId="17" fillId="6" borderId="0" xfId="0" applyNumberFormat="1" applyFont="1" applyFill="1" applyAlignment="1">
      <alignment horizontal="center" vertical="center" wrapText="1"/>
    </xf>
    <xf numFmtId="10" fontId="17" fillId="6" borderId="5" xfId="0" applyNumberFormat="1" applyFont="1" applyFill="1" applyBorder="1" applyAlignment="1">
      <alignment horizontal="center" vertical="center" wrapText="1"/>
    </xf>
    <xf numFmtId="10" fontId="19" fillId="6" borderId="0" xfId="0" applyNumberFormat="1" applyFont="1" applyFill="1" applyAlignment="1">
      <alignment horizontal="center" vertical="center" wrapText="1"/>
    </xf>
    <xf numFmtId="9" fontId="17" fillId="6" borderId="0" xfId="0" applyNumberFormat="1" applyFont="1" applyFill="1" applyAlignment="1">
      <alignment horizontal="center" vertical="center" wrapText="1"/>
    </xf>
    <xf numFmtId="0" fontId="24" fillId="6" borderId="0" xfId="0" applyFont="1" applyFill="1" applyAlignment="1">
      <alignment horizontal="center" vertical="center" wrapText="1"/>
    </xf>
    <xf numFmtId="0" fontId="21" fillId="6" borderId="0" xfId="0" applyFont="1" applyFill="1" applyAlignment="1">
      <alignment horizontal="center" vertical="center" wrapText="1"/>
    </xf>
    <xf numFmtId="0" fontId="21" fillId="6" borderId="5" xfId="0" applyFont="1" applyFill="1" applyBorder="1" applyAlignment="1">
      <alignment horizontal="center" vertical="center" wrapText="1"/>
    </xf>
    <xf numFmtId="10" fontId="21" fillId="6" borderId="0" xfId="0" applyNumberFormat="1" applyFont="1" applyFill="1" applyAlignment="1">
      <alignment horizontal="center" vertical="center" wrapText="1"/>
    </xf>
    <xf numFmtId="10" fontId="21" fillId="6" borderId="5" xfId="0" applyNumberFormat="1" applyFont="1" applyFill="1" applyBorder="1" applyAlignment="1">
      <alignment horizontal="center" vertical="center" wrapText="1"/>
    </xf>
    <xf numFmtId="9" fontId="21" fillId="6" borderId="0" xfId="0" applyNumberFormat="1" applyFont="1" applyFill="1" applyAlignment="1">
      <alignment horizontal="center" vertical="center" wrapText="1"/>
    </xf>
    <xf numFmtId="0" fontId="17" fillId="8" borderId="0" xfId="0" applyFont="1" applyFill="1" applyAlignment="1">
      <alignment horizontal="center" vertical="center" wrapText="1"/>
    </xf>
    <xf numFmtId="0" fontId="9" fillId="8" borderId="0" xfId="0" applyFont="1" applyFill="1" applyAlignment="1">
      <alignment horizontal="center" vertical="center" wrapText="1"/>
    </xf>
    <xf numFmtId="0" fontId="17" fillId="8" borderId="5" xfId="0" applyFont="1" applyFill="1" applyBorder="1" applyAlignment="1">
      <alignment horizontal="center" vertical="center" wrapText="1"/>
    </xf>
    <xf numFmtId="0" fontId="19" fillId="8" borderId="0" xfId="0" applyFont="1" applyFill="1" applyAlignment="1">
      <alignment horizontal="center" vertical="center" wrapText="1"/>
    </xf>
    <xf numFmtId="10" fontId="17" fillId="8" borderId="0" xfId="0" applyNumberFormat="1" applyFont="1" applyFill="1" applyAlignment="1">
      <alignment horizontal="center" vertical="center" wrapText="1"/>
    </xf>
    <xf numFmtId="0" fontId="22" fillId="8" borderId="0" xfId="0" applyFont="1" applyFill="1" applyAlignment="1">
      <alignment horizontal="center" vertical="center" wrapText="1"/>
    </xf>
    <xf numFmtId="0" fontId="21" fillId="8" borderId="0" xfId="0" applyFont="1" applyFill="1" applyAlignment="1">
      <alignment horizontal="center" vertical="center" wrapText="1"/>
    </xf>
    <xf numFmtId="0" fontId="24" fillId="8" borderId="0" xfId="0" applyFont="1" applyFill="1" applyAlignment="1">
      <alignment horizontal="center" vertical="center" wrapText="1"/>
    </xf>
    <xf numFmtId="0" fontId="21" fillId="8" borderId="5" xfId="0" applyFont="1" applyFill="1" applyBorder="1" applyAlignment="1">
      <alignment horizontal="center" vertical="center" wrapText="1"/>
    </xf>
    <xf numFmtId="10" fontId="21" fillId="8" borderId="0" xfId="0" applyNumberFormat="1" applyFont="1" applyFill="1" applyAlignment="1">
      <alignment horizontal="center" vertical="center" wrapText="1"/>
    </xf>
    <xf numFmtId="10" fontId="21" fillId="8" borderId="5" xfId="0" applyNumberFormat="1" applyFont="1" applyFill="1" applyBorder="1" applyAlignment="1">
      <alignment horizontal="center" vertical="center" wrapText="1"/>
    </xf>
    <xf numFmtId="10" fontId="19" fillId="8" borderId="0" xfId="0" applyNumberFormat="1" applyFont="1" applyFill="1" applyAlignment="1">
      <alignment horizontal="center" vertical="center" wrapText="1"/>
    </xf>
    <xf numFmtId="0" fontId="19" fillId="3" borderId="0" xfId="0" applyFont="1" applyFill="1" applyAlignment="1">
      <alignment horizontal="center" vertical="center" wrapText="1"/>
    </xf>
    <xf numFmtId="0" fontId="21" fillId="3" borderId="5" xfId="0" applyFont="1" applyFill="1" applyBorder="1" applyAlignment="1">
      <alignment horizontal="center" vertical="center" wrapText="1"/>
    </xf>
    <xf numFmtId="0" fontId="9" fillId="6" borderId="0" xfId="0" applyFont="1" applyFill="1" applyAlignment="1">
      <alignment horizontal="center" vertical="center" wrapText="1"/>
    </xf>
    <xf numFmtId="0" fontId="25" fillId="6" borderId="0" xfId="0" applyFont="1" applyFill="1" applyAlignment="1">
      <alignment horizontal="center" vertical="center" wrapText="1"/>
    </xf>
    <xf numFmtId="10" fontId="17" fillId="9" borderId="0" xfId="0" applyNumberFormat="1" applyFont="1" applyFill="1" applyAlignment="1">
      <alignment horizontal="center" vertical="center" wrapText="1"/>
    </xf>
    <xf numFmtId="10" fontId="19" fillId="9" borderId="0" xfId="0" applyNumberFormat="1" applyFont="1" applyFill="1" applyAlignment="1">
      <alignment horizontal="center" vertical="center" wrapText="1"/>
    </xf>
    <xf numFmtId="9" fontId="17" fillId="9" borderId="0" xfId="0" applyNumberFormat="1" applyFont="1" applyFill="1" applyAlignment="1">
      <alignment horizontal="center" vertical="center" wrapText="1"/>
    </xf>
    <xf numFmtId="0" fontId="17" fillId="9" borderId="0" xfId="0" applyFont="1" applyFill="1" applyAlignment="1">
      <alignment horizontal="center" vertical="center" wrapText="1"/>
    </xf>
    <xf numFmtId="0" fontId="9" fillId="9" borderId="0" xfId="0" applyFont="1" applyFill="1" applyAlignment="1">
      <alignment horizontal="center" vertical="center" wrapText="1"/>
    </xf>
    <xf numFmtId="0" fontId="17" fillId="9" borderId="5" xfId="0" applyFont="1" applyFill="1" applyBorder="1" applyAlignment="1">
      <alignment horizontal="center" vertical="center" wrapText="1"/>
    </xf>
    <xf numFmtId="0" fontId="19" fillId="9" borderId="0" xfId="0" applyFont="1" applyFill="1" applyAlignment="1">
      <alignment horizontal="center" vertical="center" wrapText="1"/>
    </xf>
    <xf numFmtId="0" fontId="26" fillId="9" borderId="0" xfId="0" applyFont="1" applyFill="1" applyAlignment="1">
      <alignment horizontal="center" vertical="center" wrapText="1"/>
    </xf>
    <xf numFmtId="0" fontId="22" fillId="9" borderId="0" xfId="0" applyFont="1" applyFill="1" applyAlignment="1">
      <alignment horizontal="center" vertical="center" wrapText="1"/>
    </xf>
    <xf numFmtId="2" fontId="19" fillId="9" borderId="0" xfId="0" applyNumberFormat="1" applyFont="1" applyFill="1" applyAlignment="1">
      <alignment horizontal="center" vertical="center" wrapText="1"/>
    </xf>
    <xf numFmtId="2" fontId="17" fillId="9" borderId="0" xfId="0" applyNumberFormat="1" applyFont="1" applyFill="1" applyAlignment="1">
      <alignment horizontal="center" vertical="center" wrapText="1"/>
    </xf>
    <xf numFmtId="169" fontId="17" fillId="9" borderId="0" xfId="0" applyNumberFormat="1" applyFont="1" applyFill="1" applyAlignment="1">
      <alignment horizontal="center" vertical="center" wrapText="1"/>
    </xf>
    <xf numFmtId="0" fontId="17" fillId="0" borderId="5" xfId="0" applyFont="1" applyBorder="1" applyAlignment="1">
      <alignment horizontal="center" vertical="center" wrapText="1"/>
    </xf>
    <xf numFmtId="10" fontId="19" fillId="0" borderId="0" xfId="0" applyNumberFormat="1" applyFont="1" applyAlignment="1">
      <alignment horizontal="center" vertical="center" wrapText="1"/>
    </xf>
    <xf numFmtId="10" fontId="21" fillId="0" borderId="0" xfId="0" applyNumberFormat="1" applyFont="1" applyAlignment="1">
      <alignment horizontal="center" vertical="center" wrapText="1"/>
    </xf>
    <xf numFmtId="0" fontId="19" fillId="0" borderId="0" xfId="0" applyFont="1" applyAlignment="1">
      <alignment horizontal="center" vertical="center" wrapText="1"/>
    </xf>
    <xf numFmtId="0" fontId="14" fillId="0" borderId="0" xfId="0" applyFont="1" applyAlignment="1">
      <alignment wrapText="1"/>
    </xf>
    <xf numFmtId="9" fontId="10" fillId="0" borderId="0" xfId="0" applyNumberFormat="1" applyFont="1"/>
    <xf numFmtId="166" fontId="15" fillId="0" borderId="0" xfId="0" applyNumberFormat="1" applyFont="1" applyAlignment="1">
      <alignment horizontal="right"/>
    </xf>
    <xf numFmtId="3" fontId="15" fillId="0" borderId="0" xfId="0" applyNumberFormat="1" applyFont="1" applyAlignment="1">
      <alignment horizontal="right"/>
    </xf>
    <xf numFmtId="0" fontId="15" fillId="0" borderId="0" xfId="0" applyFont="1" applyAlignment="1">
      <alignment horizontal="right"/>
    </xf>
    <xf numFmtId="0" fontId="27" fillId="0" borderId="0" xfId="0" applyFont="1" applyAlignment="1">
      <alignment wrapText="1"/>
    </xf>
    <xf numFmtId="10" fontId="14" fillId="0" borderId="0" xfId="0" applyNumberFormat="1" applyFont="1"/>
    <xf numFmtId="0" fontId="28" fillId="10" borderId="6" xfId="0" applyFont="1" applyFill="1" applyBorder="1" applyAlignment="1">
      <alignment horizontal="center"/>
    </xf>
    <xf numFmtId="0" fontId="28" fillId="10" borderId="7" xfId="0" applyFont="1" applyFill="1" applyBorder="1" applyAlignment="1">
      <alignment horizontal="center"/>
    </xf>
    <xf numFmtId="0" fontId="28" fillId="10" borderId="7" xfId="0" applyFont="1" applyFill="1" applyBorder="1" applyAlignment="1">
      <alignment horizontal="right"/>
    </xf>
    <xf numFmtId="0" fontId="28" fillId="10" borderId="8" xfId="0" applyFont="1" applyFill="1" applyBorder="1" applyAlignment="1">
      <alignment horizontal="right"/>
    </xf>
    <xf numFmtId="0" fontId="9" fillId="0" borderId="0" xfId="0" applyFont="1"/>
    <xf numFmtId="166" fontId="29" fillId="11" borderId="6" xfId="0" applyNumberFormat="1" applyFont="1" applyFill="1" applyBorder="1"/>
    <xf numFmtId="10" fontId="29" fillId="11" borderId="7" xfId="0" applyNumberFormat="1" applyFont="1" applyFill="1" applyBorder="1" applyAlignment="1">
      <alignment horizontal="right"/>
    </xf>
    <xf numFmtId="169" fontId="30" fillId="11" borderId="7" xfId="0" applyNumberFormat="1" applyFont="1" applyFill="1" applyBorder="1" applyAlignment="1">
      <alignment horizontal="right"/>
    </xf>
    <xf numFmtId="169" fontId="9" fillId="12" borderId="7" xfId="0" applyNumberFormat="1" applyFont="1" applyFill="1" applyBorder="1"/>
    <xf numFmtId="169" fontId="9" fillId="13" borderId="7" xfId="0" applyNumberFormat="1" applyFont="1" applyFill="1" applyBorder="1"/>
    <xf numFmtId="166" fontId="30" fillId="11" borderId="6" xfId="0" applyNumberFormat="1" applyFont="1" applyFill="1" applyBorder="1"/>
    <xf numFmtId="166" fontId="9" fillId="11" borderId="7" xfId="0" applyNumberFormat="1" applyFont="1" applyFill="1" applyBorder="1"/>
    <xf numFmtId="169" fontId="9" fillId="11" borderId="7" xfId="0" applyNumberFormat="1" applyFont="1" applyFill="1" applyBorder="1"/>
    <xf numFmtId="166" fontId="9" fillId="12" borderId="7" xfId="0" applyNumberFormat="1" applyFont="1" applyFill="1" applyBorder="1"/>
    <xf numFmtId="166" fontId="30" fillId="13" borderId="7" xfId="0" applyNumberFormat="1" applyFont="1" applyFill="1" applyBorder="1" applyAlignment="1">
      <alignment horizontal="right"/>
    </xf>
    <xf numFmtId="166" fontId="30" fillId="13" borderId="9" xfId="0" applyNumberFormat="1" applyFont="1" applyFill="1" applyBorder="1" applyAlignment="1">
      <alignment horizontal="right"/>
    </xf>
    <xf numFmtId="166" fontId="9" fillId="13" borderId="9" xfId="0" applyNumberFormat="1" applyFont="1" applyFill="1" applyBorder="1"/>
    <xf numFmtId="169" fontId="9" fillId="11" borderId="10" xfId="0" applyNumberFormat="1" applyFont="1" applyFill="1" applyBorder="1"/>
    <xf numFmtId="166" fontId="9" fillId="14" borderId="9" xfId="0" applyNumberFormat="1" applyFont="1" applyFill="1" applyBorder="1"/>
    <xf numFmtId="166" fontId="30" fillId="11" borderId="7" xfId="0" applyNumberFormat="1" applyFont="1" applyFill="1" applyBorder="1" applyAlignment="1">
      <alignment horizontal="right"/>
    </xf>
    <xf numFmtId="166" fontId="9" fillId="11" borderId="6" xfId="0" applyNumberFormat="1" applyFont="1" applyFill="1" applyBorder="1"/>
    <xf numFmtId="166" fontId="9" fillId="13" borderId="7" xfId="0" applyNumberFormat="1" applyFont="1" applyFill="1" applyBorder="1"/>
    <xf numFmtId="166" fontId="9" fillId="13" borderId="8" xfId="0" applyNumberFormat="1" applyFont="1" applyFill="1" applyBorder="1"/>
    <xf numFmtId="166" fontId="29" fillId="13" borderId="7" xfId="0" applyNumberFormat="1" applyFont="1" applyFill="1" applyBorder="1" applyAlignment="1">
      <alignment horizontal="right"/>
    </xf>
    <xf numFmtId="166" fontId="31" fillId="11" borderId="6" xfId="0" applyNumberFormat="1" applyFont="1" applyFill="1" applyBorder="1"/>
    <xf numFmtId="166" fontId="32" fillId="13" borderId="7" xfId="0" applyNumberFormat="1" applyFont="1" applyFill="1" applyBorder="1"/>
    <xf numFmtId="169" fontId="32" fillId="13" borderId="7" xfId="0" applyNumberFormat="1" applyFont="1" applyFill="1" applyBorder="1"/>
    <xf numFmtId="166" fontId="32" fillId="13" borderId="7" xfId="0" applyNumberFormat="1" applyFont="1" applyFill="1" applyBorder="1" applyAlignment="1">
      <alignment horizontal="right"/>
    </xf>
    <xf numFmtId="0" fontId="29" fillId="11" borderId="7" xfId="0" applyFont="1" applyFill="1" applyBorder="1" applyAlignment="1">
      <alignment horizontal="right"/>
    </xf>
    <xf numFmtId="166" fontId="32" fillId="14" borderId="9" xfId="0" applyNumberFormat="1" applyFont="1" applyFill="1" applyBorder="1"/>
    <xf numFmtId="170" fontId="29" fillId="13" borderId="7" xfId="0" applyNumberFormat="1" applyFont="1" applyFill="1" applyBorder="1" applyAlignment="1">
      <alignment horizontal="right"/>
    </xf>
    <xf numFmtId="166" fontId="9" fillId="11" borderId="11" xfId="0" applyNumberFormat="1" applyFont="1" applyFill="1" applyBorder="1"/>
    <xf numFmtId="166" fontId="9" fillId="11" borderId="9" xfId="0" applyNumberFormat="1" applyFont="1" applyFill="1" applyBorder="1"/>
    <xf numFmtId="169" fontId="9" fillId="11" borderId="9" xfId="0" applyNumberFormat="1" applyFont="1" applyFill="1" applyBorder="1"/>
    <xf numFmtId="0" fontId="9" fillId="0" borderId="12" xfId="0" applyFont="1" applyBorder="1"/>
    <xf numFmtId="0" fontId="29" fillId="0" borderId="13" xfId="0" applyFont="1" applyBorder="1"/>
    <xf numFmtId="0" fontId="9" fillId="0" borderId="13" xfId="0" applyFont="1" applyBorder="1"/>
    <xf numFmtId="0" fontId="9" fillId="0" borderId="14" xfId="0" applyFont="1" applyBorder="1"/>
    <xf numFmtId="0" fontId="30" fillId="0" borderId="15" xfId="0" applyFont="1" applyBorder="1" applyAlignment="1">
      <alignment horizontal="center"/>
    </xf>
    <xf numFmtId="171" fontId="9" fillId="0" borderId="16" xfId="0" applyNumberFormat="1" applyFont="1" applyBorder="1"/>
    <xf numFmtId="171" fontId="9" fillId="0" borderId="0" xfId="0" applyNumberFormat="1" applyFont="1"/>
    <xf numFmtId="0" fontId="30" fillId="0" borderId="12" xfId="0" applyFont="1" applyBorder="1" applyAlignment="1">
      <alignment horizontal="center"/>
    </xf>
    <xf numFmtId="10" fontId="9" fillId="0" borderId="13" xfId="0" applyNumberFormat="1" applyFont="1" applyBorder="1"/>
    <xf numFmtId="166" fontId="9" fillId="0" borderId="13" xfId="0" applyNumberFormat="1" applyFont="1" applyBorder="1"/>
    <xf numFmtId="171" fontId="9" fillId="0" borderId="14" xfId="0" applyNumberFormat="1" applyFont="1" applyBorder="1"/>
    <xf numFmtId="0" fontId="29" fillId="0" borderId="12" xfId="0" applyFont="1" applyBorder="1" applyAlignment="1">
      <alignment horizontal="center"/>
    </xf>
    <xf numFmtId="0" fontId="29" fillId="0" borderId="13" xfId="0" applyFont="1" applyBorder="1" applyAlignment="1">
      <alignment horizontal="center"/>
    </xf>
    <xf numFmtId="166" fontId="29" fillId="0" borderId="13" xfId="0" applyNumberFormat="1" applyFont="1" applyBorder="1" applyAlignment="1">
      <alignment horizontal="right"/>
    </xf>
    <xf numFmtId="2" fontId="9" fillId="0" borderId="14" xfId="0" applyNumberFormat="1" applyFont="1" applyBorder="1"/>
    <xf numFmtId="171" fontId="30" fillId="0" borderId="0" xfId="0" applyNumberFormat="1" applyFont="1" applyAlignment="1">
      <alignment horizontal="right"/>
    </xf>
    <xf numFmtId="169" fontId="9" fillId="0" borderId="0" xfId="0" applyNumberFormat="1" applyFont="1"/>
    <xf numFmtId="9" fontId="9" fillId="0" borderId="0" xfId="0" applyNumberFormat="1" applyFont="1"/>
    <xf numFmtId="0" fontId="15" fillId="0" borderId="0" xfId="0" applyFont="1"/>
    <xf numFmtId="0" fontId="33" fillId="0" borderId="0" xfId="0" applyFont="1"/>
    <xf numFmtId="0" fontId="34" fillId="0" borderId="0" xfId="0" applyFont="1"/>
    <xf numFmtId="3" fontId="15" fillId="0" borderId="0" xfId="0" applyNumberFormat="1" applyFont="1"/>
    <xf numFmtId="0" fontId="35" fillId="0" borderId="0" xfId="0" applyFont="1" applyAlignment="1">
      <alignment horizontal="left"/>
    </xf>
    <xf numFmtId="10" fontId="35" fillId="0" borderId="0" xfId="0" applyNumberFormat="1" applyFont="1" applyAlignment="1">
      <alignment horizontal="left"/>
    </xf>
    <xf numFmtId="10" fontId="33" fillId="0" borderId="0" xfId="0" applyNumberFormat="1" applyFont="1" applyAlignment="1">
      <alignment horizontal="left"/>
    </xf>
    <xf numFmtId="2" fontId="15" fillId="0" borderId="0" xfId="0" applyNumberFormat="1" applyFont="1"/>
    <xf numFmtId="0" fontId="13" fillId="0" borderId="0" xfId="0" applyFont="1"/>
    <xf numFmtId="166" fontId="13" fillId="0" borderId="0" xfId="0" applyNumberFormat="1" applyFont="1"/>
    <xf numFmtId="0" fontId="36" fillId="0" borderId="0" xfId="0" applyFont="1"/>
    <xf numFmtId="169" fontId="36" fillId="0" borderId="0" xfId="0" applyNumberFormat="1" applyFont="1"/>
    <xf numFmtId="9" fontId="36" fillId="0" borderId="0" xfId="0" applyNumberFormat="1" applyFont="1"/>
    <xf numFmtId="0" fontId="37" fillId="0" borderId="0" xfId="0" applyFont="1" applyAlignment="1">
      <alignment horizontal="center"/>
    </xf>
    <xf numFmtId="0" fontId="38" fillId="0" borderId="0" xfId="0" applyFont="1"/>
    <xf numFmtId="0" fontId="39" fillId="0" borderId="0" xfId="0" applyFont="1"/>
    <xf numFmtId="0" fontId="40" fillId="0" borderId="0" xfId="0" applyFont="1" applyAlignment="1">
      <alignment horizontal="right"/>
    </xf>
    <xf numFmtId="172" fontId="36" fillId="15" borderId="8" xfId="0" applyNumberFormat="1" applyFont="1" applyFill="1" applyBorder="1"/>
    <xf numFmtId="172" fontId="41" fillId="15" borderId="8" xfId="0" applyNumberFormat="1" applyFont="1" applyFill="1" applyBorder="1" applyAlignment="1">
      <alignment horizontal="right"/>
    </xf>
    <xf numFmtId="172" fontId="41" fillId="0" borderId="8" xfId="0" applyNumberFormat="1" applyFont="1" applyBorder="1" applyAlignment="1">
      <alignment horizontal="right"/>
    </xf>
    <xf numFmtId="172" fontId="36" fillId="0" borderId="8" xfId="0" applyNumberFormat="1" applyFont="1" applyBorder="1"/>
    <xf numFmtId="169" fontId="42" fillId="0" borderId="8" xfId="0" applyNumberFormat="1" applyFont="1" applyBorder="1" applyAlignment="1">
      <alignment horizontal="center"/>
    </xf>
    <xf numFmtId="172" fontId="36" fillId="15" borderId="0" xfId="0" applyNumberFormat="1" applyFont="1" applyFill="1"/>
    <xf numFmtId="172" fontId="36" fillId="0" borderId="0" xfId="0" applyNumberFormat="1" applyFont="1"/>
    <xf numFmtId="0" fontId="40" fillId="0" borderId="0" xfId="0" applyFont="1"/>
    <xf numFmtId="0" fontId="43" fillId="0" borderId="0" xfId="0" applyFont="1"/>
    <xf numFmtId="0" fontId="40" fillId="0" borderId="0" xfId="0" applyFont="1" applyAlignment="1">
      <alignment vertical="top"/>
    </xf>
    <xf numFmtId="3" fontId="36" fillId="15" borderId="0" xfId="0" applyNumberFormat="1" applyFont="1" applyFill="1"/>
    <xf numFmtId="3" fontId="44" fillId="15" borderId="0" xfId="0" applyNumberFormat="1" applyFont="1" applyFill="1" applyAlignment="1">
      <alignment horizontal="right"/>
    </xf>
    <xf numFmtId="3" fontId="40" fillId="0" borderId="0" xfId="0" applyNumberFormat="1" applyFont="1" applyAlignment="1">
      <alignment horizontal="right"/>
    </xf>
    <xf numFmtId="3" fontId="36" fillId="0" borderId="0" xfId="0" applyNumberFormat="1" applyFont="1"/>
    <xf numFmtId="169" fontId="41" fillId="0" borderId="0" xfId="0" applyNumberFormat="1" applyFont="1" applyAlignment="1">
      <alignment horizontal="right"/>
    </xf>
    <xf numFmtId="0" fontId="45" fillId="0" borderId="0" xfId="0" applyFont="1" applyAlignment="1">
      <alignment vertical="top"/>
    </xf>
    <xf numFmtId="169" fontId="45" fillId="15" borderId="0" xfId="0" applyNumberFormat="1" applyFont="1" applyFill="1" applyAlignment="1">
      <alignment horizontal="right"/>
    </xf>
    <xf numFmtId="169" fontId="45" fillId="0" borderId="0" xfId="0" applyNumberFormat="1" applyFont="1" applyAlignment="1">
      <alignment horizontal="right"/>
    </xf>
    <xf numFmtId="0" fontId="36" fillId="0" borderId="8" xfId="0" applyFont="1" applyBorder="1" applyAlignment="1">
      <alignment vertical="top"/>
    </xf>
    <xf numFmtId="0" fontId="36" fillId="0" borderId="17" xfId="0" applyFont="1" applyBorder="1"/>
    <xf numFmtId="0" fontId="41" fillId="14" borderId="7" xfId="0" applyFont="1" applyFill="1" applyBorder="1" applyAlignment="1">
      <alignment vertical="top"/>
    </xf>
    <xf numFmtId="3" fontId="46" fillId="15" borderId="0" xfId="0" applyNumberFormat="1" applyFont="1" applyFill="1" applyAlignment="1">
      <alignment horizontal="right"/>
    </xf>
    <xf numFmtId="166" fontId="41" fillId="0" borderId="8" xfId="0" applyNumberFormat="1" applyFont="1" applyBorder="1" applyAlignment="1">
      <alignment horizontal="right"/>
    </xf>
    <xf numFmtId="166" fontId="36" fillId="0" borderId="0" xfId="0" applyNumberFormat="1" applyFont="1"/>
    <xf numFmtId="169" fontId="45" fillId="16" borderId="17" xfId="0" applyNumberFormat="1" applyFont="1" applyFill="1" applyBorder="1" applyAlignment="1">
      <alignment horizontal="right"/>
    </xf>
    <xf numFmtId="169" fontId="36" fillId="14" borderId="8" xfId="0" applyNumberFormat="1" applyFont="1" applyFill="1" applyBorder="1"/>
    <xf numFmtId="169" fontId="36" fillId="14" borderId="7" xfId="0" applyNumberFormat="1" applyFont="1" applyFill="1" applyBorder="1"/>
    <xf numFmtId="169" fontId="36" fillId="15" borderId="0" xfId="0" applyNumberFormat="1" applyFont="1" applyFill="1"/>
    <xf numFmtId="0" fontId="41" fillId="0" borderId="0" xfId="0" applyFont="1" applyAlignment="1">
      <alignment vertical="top"/>
    </xf>
    <xf numFmtId="169" fontId="45" fillId="15" borderId="17" xfId="0" applyNumberFormat="1" applyFont="1" applyFill="1" applyBorder="1" applyAlignment="1">
      <alignment horizontal="right"/>
    </xf>
    <xf numFmtId="166" fontId="36" fillId="0" borderId="8" xfId="0" applyNumberFormat="1" applyFont="1" applyBorder="1"/>
    <xf numFmtId="0" fontId="36" fillId="14" borderId="7" xfId="0" applyFont="1" applyFill="1" applyBorder="1" applyAlignment="1">
      <alignment vertical="top"/>
    </xf>
    <xf numFmtId="3" fontId="36" fillId="15" borderId="8" xfId="0" applyNumberFormat="1" applyFont="1" applyFill="1" applyBorder="1"/>
    <xf numFmtId="0" fontId="36" fillId="0" borderId="0" xfId="0" applyFont="1" applyAlignment="1">
      <alignment vertical="top"/>
    </xf>
    <xf numFmtId="37" fontId="41" fillId="0" borderId="8" xfId="0" applyNumberFormat="1" applyFont="1" applyBorder="1" applyAlignment="1">
      <alignment horizontal="center"/>
    </xf>
    <xf numFmtId="37" fontId="41" fillId="0" borderId="8" xfId="0" applyNumberFormat="1" applyFont="1" applyBorder="1" applyAlignment="1">
      <alignment horizontal="right"/>
    </xf>
    <xf numFmtId="3" fontId="41" fillId="15" borderId="0" xfId="0" applyNumberFormat="1" applyFont="1" applyFill="1" applyAlignment="1">
      <alignment horizontal="right"/>
    </xf>
    <xf numFmtId="169" fontId="36" fillId="0" borderId="8" xfId="0" applyNumberFormat="1" applyFont="1" applyBorder="1"/>
    <xf numFmtId="169" fontId="45" fillId="14" borderId="8" xfId="0" applyNumberFormat="1" applyFont="1" applyFill="1" applyBorder="1" applyAlignment="1">
      <alignment horizontal="right"/>
    </xf>
    <xf numFmtId="37" fontId="36" fillId="0" borderId="8" xfId="0" applyNumberFormat="1" applyFont="1" applyBorder="1"/>
    <xf numFmtId="0" fontId="36" fillId="0" borderId="8" xfId="0" applyFont="1" applyBorder="1"/>
    <xf numFmtId="0" fontId="40" fillId="0" borderId="18" xfId="0" applyFont="1" applyBorder="1"/>
    <xf numFmtId="166" fontId="47" fillId="17" borderId="0" xfId="0" applyNumberFormat="1" applyFont="1" applyFill="1"/>
    <xf numFmtId="0" fontId="36" fillId="18" borderId="0" xfId="0" applyFont="1" applyFill="1"/>
    <xf numFmtId="173" fontId="36" fillId="17" borderId="0" xfId="0" applyNumberFormat="1" applyFont="1" applyFill="1"/>
    <xf numFmtId="166" fontId="40" fillId="19" borderId="0" xfId="0" applyNumberFormat="1" applyFont="1" applyFill="1"/>
    <xf numFmtId="166" fontId="36" fillId="19" borderId="0" xfId="0" applyNumberFormat="1" applyFont="1" applyFill="1"/>
    <xf numFmtId="166" fontId="40" fillId="19" borderId="0" xfId="0" applyNumberFormat="1" applyFont="1" applyFill="1" applyAlignment="1">
      <alignment horizontal="right"/>
    </xf>
    <xf numFmtId="166" fontId="40" fillId="20" borderId="0" xfId="0" applyNumberFormat="1" applyFont="1" applyFill="1" applyAlignment="1">
      <alignment horizontal="right"/>
    </xf>
    <xf numFmtId="166" fontId="41" fillId="0" borderId="0" xfId="0" applyNumberFormat="1" applyFont="1"/>
    <xf numFmtId="166" fontId="41" fillId="0" borderId="0" xfId="0" applyNumberFormat="1" applyFont="1" applyAlignment="1">
      <alignment horizontal="right"/>
    </xf>
    <xf numFmtId="166" fontId="46" fillId="0" borderId="0" xfId="0" applyNumberFormat="1" applyFont="1" applyAlignment="1">
      <alignment horizontal="right"/>
    </xf>
    <xf numFmtId="166" fontId="45" fillId="0" borderId="0" xfId="0" applyNumberFormat="1" applyFont="1" applyAlignment="1">
      <alignment horizontal="right"/>
    </xf>
    <xf numFmtId="166" fontId="40" fillId="0" borderId="0" xfId="0" applyNumberFormat="1" applyFont="1"/>
    <xf numFmtId="166" fontId="40" fillId="0" borderId="0" xfId="0" applyNumberFormat="1" applyFont="1" applyAlignment="1">
      <alignment horizontal="right"/>
    </xf>
    <xf numFmtId="0" fontId="41" fillId="0" borderId="0" xfId="0" applyFont="1"/>
    <xf numFmtId="171" fontId="41" fillId="0" borderId="0" xfId="0" applyNumberFormat="1" applyFont="1" applyAlignment="1">
      <alignment horizontal="right"/>
    </xf>
    <xf numFmtId="9" fontId="46" fillId="0" borderId="0" xfId="0" applyNumberFormat="1" applyFont="1" applyAlignment="1">
      <alignment horizontal="right"/>
    </xf>
    <xf numFmtId="165" fontId="36" fillId="0" borderId="0" xfId="0" applyNumberFormat="1" applyFont="1"/>
    <xf numFmtId="169" fontId="41" fillId="0" borderId="0" xfId="0" applyNumberFormat="1" applyFont="1"/>
    <xf numFmtId="9" fontId="41" fillId="14" borderId="0" xfId="0" applyNumberFormat="1" applyFont="1" applyFill="1" applyAlignment="1">
      <alignment horizontal="right"/>
    </xf>
    <xf numFmtId="165" fontId="41" fillId="0" borderId="0" xfId="0" applyNumberFormat="1" applyFont="1" applyAlignment="1">
      <alignment horizontal="right"/>
    </xf>
    <xf numFmtId="171" fontId="41" fillId="14" borderId="0" xfId="0" applyNumberFormat="1" applyFont="1" applyFill="1" applyAlignment="1">
      <alignment horizontal="right"/>
    </xf>
    <xf numFmtId="0" fontId="36" fillId="0" borderId="18" xfId="0" applyFont="1" applyBorder="1"/>
    <xf numFmtId="166" fontId="47" fillId="17" borderId="8" xfId="0" applyNumberFormat="1" applyFont="1" applyFill="1" applyBorder="1"/>
    <xf numFmtId="0" fontId="47" fillId="18" borderId="8" xfId="0" applyFont="1" applyFill="1" applyBorder="1"/>
    <xf numFmtId="0" fontId="36" fillId="18" borderId="8" xfId="0" applyFont="1" applyFill="1" applyBorder="1"/>
    <xf numFmtId="173" fontId="36" fillId="17" borderId="8" xfId="0" applyNumberFormat="1" applyFont="1" applyFill="1" applyBorder="1"/>
    <xf numFmtId="1" fontId="41" fillId="0" borderId="0" xfId="0" applyNumberFormat="1" applyFont="1" applyAlignment="1">
      <alignment horizontal="right"/>
    </xf>
    <xf numFmtId="1" fontId="36" fillId="0" borderId="0" xfId="0" applyNumberFormat="1" applyFont="1"/>
    <xf numFmtId="0" fontId="41" fillId="0" borderId="8" xfId="0" applyFont="1" applyBorder="1"/>
    <xf numFmtId="1" fontId="41" fillId="0" borderId="8" xfId="0" applyNumberFormat="1" applyFont="1" applyBorder="1" applyAlignment="1">
      <alignment horizontal="right"/>
    </xf>
    <xf numFmtId="1" fontId="36" fillId="0" borderId="8" xfId="0" applyNumberFormat="1" applyFont="1" applyBorder="1"/>
    <xf numFmtId="9" fontId="41" fillId="0" borderId="8" xfId="0" applyNumberFormat="1" applyFont="1" applyBorder="1" applyAlignment="1">
      <alignment horizontal="right"/>
    </xf>
    <xf numFmtId="2" fontId="36" fillId="0" borderId="0" xfId="0" applyNumberFormat="1" applyFont="1"/>
    <xf numFmtId="166" fontId="48" fillId="17" borderId="0" xfId="0" applyNumberFormat="1" applyFont="1" applyFill="1"/>
    <xf numFmtId="0" fontId="41" fillId="0" borderId="0" xfId="0" applyFont="1" applyAlignment="1">
      <alignment horizontal="right"/>
    </xf>
    <xf numFmtId="166" fontId="41" fillId="14" borderId="0" xfId="0" applyNumberFormat="1" applyFont="1" applyFill="1" applyAlignment="1">
      <alignment horizontal="right"/>
    </xf>
    <xf numFmtId="166" fontId="41" fillId="14" borderId="8" xfId="0" applyNumberFormat="1" applyFont="1" applyFill="1" applyBorder="1" applyAlignment="1">
      <alignment horizontal="right"/>
    </xf>
    <xf numFmtId="9" fontId="41" fillId="0" borderId="0" xfId="0" applyNumberFormat="1" applyFont="1" applyAlignment="1">
      <alignment horizontal="right"/>
    </xf>
    <xf numFmtId="169" fontId="41" fillId="14" borderId="8" xfId="0" applyNumberFormat="1" applyFont="1" applyFill="1" applyBorder="1" applyAlignment="1">
      <alignment horizontal="right"/>
    </xf>
    <xf numFmtId="1" fontId="40" fillId="0" borderId="0" xfId="0" applyNumberFormat="1" applyFont="1" applyAlignment="1">
      <alignment horizontal="right"/>
    </xf>
    <xf numFmtId="10" fontId="36" fillId="0" borderId="0" xfId="0" applyNumberFormat="1" applyFont="1"/>
    <xf numFmtId="0" fontId="41" fillId="14" borderId="0" xfId="0" applyFont="1" applyFill="1"/>
    <xf numFmtId="0" fontId="48" fillId="0" borderId="0" xfId="0" applyFont="1"/>
    <xf numFmtId="0" fontId="48" fillId="0" borderId="8" xfId="0" applyFont="1" applyBorder="1"/>
    <xf numFmtId="0" fontId="47" fillId="17" borderId="18" xfId="0" applyFont="1" applyFill="1" applyBorder="1"/>
    <xf numFmtId="166" fontId="41" fillId="0" borderId="0" xfId="0" applyNumberFormat="1" applyFont="1" applyAlignment="1">
      <alignment horizontal="center"/>
    </xf>
    <xf numFmtId="166" fontId="40" fillId="20" borderId="0" xfId="0" applyNumberFormat="1" applyFont="1" applyFill="1" applyAlignment="1">
      <alignment horizontal="center"/>
    </xf>
    <xf numFmtId="174" fontId="40" fillId="0" borderId="0" xfId="0" applyNumberFormat="1" applyFont="1" applyAlignment="1">
      <alignment horizontal="right"/>
    </xf>
    <xf numFmtId="166" fontId="49" fillId="0" borderId="0" xfId="0" applyNumberFormat="1" applyFont="1"/>
    <xf numFmtId="175" fontId="41" fillId="0" borderId="0" xfId="0" applyNumberFormat="1" applyFont="1" applyAlignment="1">
      <alignment horizontal="right"/>
    </xf>
    <xf numFmtId="176" fontId="41" fillId="0" borderId="0" xfId="0" applyNumberFormat="1" applyFont="1" applyAlignment="1">
      <alignment horizontal="right"/>
    </xf>
    <xf numFmtId="175" fontId="36" fillId="0" borderId="0" xfId="0" applyNumberFormat="1" applyFont="1"/>
    <xf numFmtId="174" fontId="41" fillId="0" borderId="0" xfId="0" applyNumberFormat="1" applyFont="1" applyAlignment="1">
      <alignment horizontal="right"/>
    </xf>
    <xf numFmtId="166" fontId="45" fillId="0" borderId="0" xfId="0" applyNumberFormat="1" applyFont="1"/>
    <xf numFmtId="166" fontId="36" fillId="14" borderId="0" xfId="0" applyNumberFormat="1" applyFont="1" applyFill="1"/>
    <xf numFmtId="166" fontId="49" fillId="0" borderId="0" xfId="0" applyNumberFormat="1" applyFont="1" applyAlignment="1">
      <alignment horizontal="right"/>
    </xf>
    <xf numFmtId="177" fontId="41" fillId="0" borderId="0" xfId="0" applyNumberFormat="1" applyFont="1" applyAlignment="1">
      <alignment horizontal="right"/>
    </xf>
    <xf numFmtId="166" fontId="40" fillId="0" borderId="0" xfId="0" applyNumberFormat="1" applyFont="1" applyAlignment="1">
      <alignment horizontal="center"/>
    </xf>
    <xf numFmtId="0" fontId="49" fillId="0" borderId="0" xfId="0" applyFont="1"/>
    <xf numFmtId="174" fontId="40" fillId="0" borderId="0" xfId="0" applyNumberFormat="1" applyFont="1" applyAlignment="1">
      <alignment horizontal="center"/>
    </xf>
    <xf numFmtId="178" fontId="41" fillId="0" borderId="0" xfId="0" applyNumberFormat="1" applyFont="1" applyAlignment="1">
      <alignment horizontal="center"/>
    </xf>
    <xf numFmtId="178" fontId="36" fillId="0" borderId="0" xfId="0" applyNumberFormat="1" applyFont="1"/>
    <xf numFmtId="174" fontId="36" fillId="0" borderId="0" xfId="0" applyNumberFormat="1" applyFont="1"/>
    <xf numFmtId="0" fontId="45" fillId="0" borderId="0" xfId="0" applyFont="1"/>
    <xf numFmtId="176" fontId="36" fillId="0" borderId="0" xfId="0" applyNumberFormat="1" applyFont="1"/>
    <xf numFmtId="165" fontId="41" fillId="0" borderId="0" xfId="0" applyNumberFormat="1" applyFont="1"/>
    <xf numFmtId="165" fontId="49" fillId="0" borderId="0" xfId="0" applyNumberFormat="1" applyFont="1" applyAlignment="1">
      <alignment horizontal="right"/>
    </xf>
    <xf numFmtId="169" fontId="41" fillId="0" borderId="0" xfId="0" applyNumberFormat="1" applyFont="1" applyAlignment="1">
      <alignment horizontal="center"/>
    </xf>
    <xf numFmtId="171" fontId="36" fillId="0" borderId="0" xfId="0" applyNumberFormat="1" applyFont="1"/>
    <xf numFmtId="1" fontId="50" fillId="14" borderId="0" xfId="0" applyNumberFormat="1" applyFont="1" applyFill="1" applyAlignment="1">
      <alignment horizontal="right"/>
    </xf>
    <xf numFmtId="1" fontId="36" fillId="14" borderId="0" xfId="0" applyNumberFormat="1" applyFont="1" applyFill="1"/>
    <xf numFmtId="0" fontId="53" fillId="21" borderId="1" xfId="0" applyFont="1" applyFill="1" applyBorder="1"/>
    <xf numFmtId="0" fontId="54" fillId="21" borderId="1" xfId="0" applyFont="1" applyFill="1" applyBorder="1" applyAlignment="1">
      <alignment horizontal="right"/>
    </xf>
    <xf numFmtId="0" fontId="55" fillId="0" borderId="1" xfId="0" applyFont="1" applyBorder="1"/>
    <xf numFmtId="0" fontId="56" fillId="0" borderId="1" xfId="0" applyFont="1" applyBorder="1"/>
    <xf numFmtId="0" fontId="56" fillId="0" borderId="1" xfId="0" applyFont="1" applyBorder="1" applyAlignment="1">
      <alignment horizontal="right"/>
    </xf>
    <xf numFmtId="0" fontId="55" fillId="0" borderId="1" xfId="0" applyFont="1" applyBorder="1" applyAlignment="1">
      <alignment horizontal="right"/>
    </xf>
    <xf numFmtId="166" fontId="56" fillId="0" borderId="1" xfId="0" applyNumberFormat="1" applyFont="1" applyBorder="1" applyAlignment="1">
      <alignment horizontal="right"/>
    </xf>
    <xf numFmtId="3" fontId="56" fillId="0" borderId="1" xfId="0" applyNumberFormat="1" applyFont="1" applyBorder="1" applyAlignment="1">
      <alignment horizontal="right"/>
    </xf>
    <xf numFmtId="166" fontId="55" fillId="0" borderId="1" xfId="0" applyNumberFormat="1" applyFont="1" applyBorder="1" applyAlignment="1">
      <alignment horizontal="right"/>
    </xf>
    <xf numFmtId="4" fontId="55" fillId="0" borderId="1" xfId="0" applyNumberFormat="1" applyFont="1" applyBorder="1" applyAlignment="1">
      <alignment horizontal="right"/>
    </xf>
    <xf numFmtId="10" fontId="55" fillId="0" borderId="1" xfId="0" applyNumberFormat="1" applyFont="1" applyBorder="1" applyAlignment="1">
      <alignment horizontal="right"/>
    </xf>
    <xf numFmtId="3" fontId="55" fillId="0" borderId="1" xfId="0" applyNumberFormat="1" applyFont="1" applyBorder="1" applyAlignment="1">
      <alignment horizontal="right"/>
    </xf>
    <xf numFmtId="9" fontId="56" fillId="0" borderId="1" xfId="0" applyNumberFormat="1" applyFont="1" applyBorder="1" applyAlignment="1">
      <alignment horizontal="right"/>
    </xf>
    <xf numFmtId="0" fontId="57" fillId="0" borderId="1" xfId="0" applyFont="1" applyBorder="1"/>
    <xf numFmtId="9" fontId="58" fillId="0" borderId="1" xfId="0" applyNumberFormat="1" applyFont="1" applyBorder="1" applyAlignment="1">
      <alignment horizontal="right"/>
    </xf>
    <xf numFmtId="0" fontId="59" fillId="0" borderId="1" xfId="0" applyFont="1" applyBorder="1"/>
    <xf numFmtId="0" fontId="54" fillId="21" borderId="1" xfId="0" applyFont="1" applyFill="1" applyBorder="1" applyAlignment="1">
      <alignment horizontal="center"/>
    </xf>
    <xf numFmtId="0" fontId="60" fillId="0" borderId="1" xfId="0" applyFont="1" applyBorder="1"/>
    <xf numFmtId="0" fontId="56" fillId="22" borderId="1" xfId="0" applyFont="1" applyFill="1" applyBorder="1"/>
    <xf numFmtId="166" fontId="56" fillId="22" borderId="1" xfId="0" applyNumberFormat="1" applyFont="1" applyFill="1" applyBorder="1" applyAlignment="1">
      <alignment horizontal="right"/>
    </xf>
    <xf numFmtId="3" fontId="56" fillId="22" borderId="1" xfId="0" applyNumberFormat="1" applyFont="1" applyFill="1" applyBorder="1" applyAlignment="1">
      <alignment horizontal="right"/>
    </xf>
    <xf numFmtId="0" fontId="54" fillId="21" borderId="1" xfId="0" applyFont="1" applyFill="1" applyBorder="1"/>
    <xf numFmtId="166" fontId="54" fillId="21" borderId="1" xfId="0" applyNumberFormat="1" applyFont="1" applyFill="1" applyBorder="1" applyAlignment="1">
      <alignment horizontal="right"/>
    </xf>
    <xf numFmtId="3" fontId="54" fillId="21" borderId="1" xfId="0" applyNumberFormat="1" applyFont="1" applyFill="1" applyBorder="1" applyAlignment="1">
      <alignment horizontal="right"/>
    </xf>
    <xf numFmtId="0" fontId="59" fillId="22" borderId="1" xfId="0" applyFont="1" applyFill="1" applyBorder="1"/>
    <xf numFmtId="4" fontId="56" fillId="0" borderId="1" xfId="0" applyNumberFormat="1" applyFont="1" applyBorder="1" applyAlignment="1">
      <alignment horizontal="right"/>
    </xf>
    <xf numFmtId="0" fontId="58" fillId="0" borderId="1" xfId="0" applyFont="1" applyBorder="1"/>
    <xf numFmtId="166" fontId="59" fillId="0" borderId="1" xfId="0" applyNumberFormat="1" applyFont="1" applyBorder="1" applyAlignment="1">
      <alignment horizontal="right"/>
    </xf>
    <xf numFmtId="0" fontId="61" fillId="0" borderId="1" xfId="0" applyFont="1" applyBorder="1"/>
    <xf numFmtId="9" fontId="61" fillId="0" borderId="1" xfId="0" applyNumberFormat="1" applyFont="1" applyBorder="1" applyAlignment="1">
      <alignment horizontal="right"/>
    </xf>
    <xf numFmtId="10" fontId="61" fillId="0" borderId="1" xfId="0" applyNumberFormat="1" applyFont="1" applyBorder="1" applyAlignment="1">
      <alignment horizontal="right"/>
    </xf>
    <xf numFmtId="169" fontId="61" fillId="0" borderId="1" xfId="2" applyNumberFormat="1" applyFont="1" applyFill="1" applyBorder="1"/>
    <xf numFmtId="169" fontId="61" fillId="0" borderId="1" xfId="2" applyNumberFormat="1" applyFont="1" applyFill="1" applyBorder="1" applyAlignment="1">
      <alignment horizontal="right"/>
    </xf>
    <xf numFmtId="169" fontId="61" fillId="0" borderId="1" xfId="2" applyNumberFormat="1" applyFont="1" applyBorder="1"/>
    <xf numFmtId="0" fontId="56" fillId="23" borderId="1" xfId="0" applyFont="1" applyFill="1" applyBorder="1"/>
    <xf numFmtId="166" fontId="56" fillId="23" borderId="1" xfId="0" applyNumberFormat="1" applyFont="1" applyFill="1" applyBorder="1" applyAlignment="1">
      <alignment horizontal="right"/>
    </xf>
    <xf numFmtId="3" fontId="56" fillId="23" borderId="1" xfId="0" applyNumberFormat="1" applyFont="1" applyFill="1" applyBorder="1" applyAlignment="1">
      <alignment horizontal="right"/>
    </xf>
    <xf numFmtId="0" fontId="59" fillId="23" borderId="1" xfId="0" applyFont="1" applyFill="1" applyBorder="1"/>
    <xf numFmtId="10" fontId="55" fillId="0" borderId="0" xfId="0" applyNumberFormat="1" applyFont="1" applyAlignment="1">
      <alignment vertical="center"/>
    </xf>
    <xf numFmtId="10" fontId="55" fillId="0" borderId="0" xfId="0" applyNumberFormat="1" applyFont="1"/>
    <xf numFmtId="3" fontId="55" fillId="0" borderId="0" xfId="0" applyNumberFormat="1" applyFont="1" applyAlignment="1">
      <alignment vertical="center"/>
    </xf>
    <xf numFmtId="3" fontId="55" fillId="0" borderId="0" xfId="0" applyNumberFormat="1" applyFont="1"/>
    <xf numFmtId="3" fontId="56" fillId="0" borderId="0" xfId="0" applyNumberFormat="1" applyFont="1" applyAlignment="1">
      <alignment vertical="center"/>
    </xf>
    <xf numFmtId="3" fontId="56" fillId="23" borderId="0" xfId="0" applyNumberFormat="1" applyFont="1" applyFill="1" applyAlignment="1">
      <alignment vertical="center"/>
    </xf>
    <xf numFmtId="3" fontId="56" fillId="22" borderId="0" xfId="0" applyNumberFormat="1" applyFont="1" applyFill="1" applyAlignment="1">
      <alignment vertical="center"/>
    </xf>
    <xf numFmtId="166" fontId="61" fillId="0" borderId="1" xfId="0" applyNumberFormat="1" applyFont="1" applyBorder="1" applyAlignment="1">
      <alignment horizontal="right"/>
    </xf>
    <xf numFmtId="166" fontId="55" fillId="0" borderId="1" xfId="1" applyNumberFormat="1" applyFont="1" applyFill="1" applyBorder="1" applyAlignment="1">
      <alignment horizontal="right"/>
    </xf>
    <xf numFmtId="166" fontId="56" fillId="0" borderId="1" xfId="1" applyNumberFormat="1" applyFont="1" applyFill="1" applyBorder="1" applyAlignment="1">
      <alignment horizontal="right"/>
    </xf>
    <xf numFmtId="0" fontId="62" fillId="0" borderId="1" xfId="0" applyFont="1" applyBorder="1"/>
    <xf numFmtId="166" fontId="62" fillId="0" borderId="1" xfId="0" applyNumberFormat="1" applyFont="1" applyBorder="1" applyAlignment="1">
      <alignment horizontal="right"/>
    </xf>
    <xf numFmtId="0" fontId="62" fillId="0" borderId="1" xfId="0" applyFont="1" applyBorder="1" applyAlignment="1">
      <alignment horizontal="right"/>
    </xf>
    <xf numFmtId="3" fontId="62" fillId="0" borderId="1" xfId="0" applyNumberFormat="1" applyFont="1" applyBorder="1" applyAlignment="1">
      <alignment horizontal="right"/>
    </xf>
    <xf numFmtId="0" fontId="55" fillId="0" borderId="1" xfId="0" quotePrefix="1" applyFont="1" applyBorder="1"/>
    <xf numFmtId="0" fontId="61" fillId="0" borderId="1" xfId="0" quotePrefix="1" applyFont="1" applyBorder="1"/>
    <xf numFmtId="169" fontId="61" fillId="0" borderId="1" xfId="0" applyNumberFormat="1" applyFont="1" applyBorder="1" applyAlignment="1">
      <alignment horizontal="right"/>
    </xf>
    <xf numFmtId="0" fontId="63" fillId="0" borderId="1" xfId="0" applyFont="1" applyBorder="1"/>
    <xf numFmtId="169" fontId="63" fillId="0" borderId="1" xfId="2" applyNumberFormat="1" applyFont="1" applyFill="1" applyBorder="1"/>
    <xf numFmtId="0" fontId="55" fillId="0" borderId="1" xfId="0" applyFont="1" applyBorder="1" applyAlignment="1">
      <alignment horizontal="left" indent="3"/>
    </xf>
    <xf numFmtId="0" fontId="59" fillId="24" borderId="1" xfId="0" applyFont="1" applyFill="1" applyBorder="1"/>
    <xf numFmtId="166" fontId="56" fillId="24" borderId="1" xfId="0" applyNumberFormat="1" applyFont="1" applyFill="1" applyBorder="1" applyAlignment="1">
      <alignment horizontal="right"/>
    </xf>
    <xf numFmtId="3" fontId="56" fillId="24" borderId="1" xfId="0" applyNumberFormat="1" applyFont="1" applyFill="1" applyBorder="1" applyAlignment="1">
      <alignment horizontal="right"/>
    </xf>
    <xf numFmtId="0" fontId="56" fillId="23" borderId="1" xfId="0" applyFont="1" applyFill="1" applyBorder="1" applyAlignment="1">
      <alignment horizontal="right"/>
    </xf>
    <xf numFmtId="0" fontId="57" fillId="0" borderId="1" xfId="0" quotePrefix="1" applyFont="1" applyBorder="1"/>
    <xf numFmtId="0" fontId="63" fillId="0" borderId="1" xfId="0" quotePrefix="1" applyFont="1" applyBorder="1"/>
    <xf numFmtId="0" fontId="55" fillId="25" borderId="1" xfId="0" applyFont="1" applyFill="1" applyBorder="1"/>
    <xf numFmtId="166" fontId="55" fillId="25" borderId="1" xfId="0" applyNumberFormat="1" applyFont="1" applyFill="1" applyBorder="1" applyAlignment="1">
      <alignment horizontal="right"/>
    </xf>
    <xf numFmtId="0" fontId="55" fillId="0" borderId="1" xfId="0" applyFont="1" applyBorder="1" applyAlignment="1">
      <alignment horizontal="left"/>
    </xf>
    <xf numFmtId="0" fontId="64" fillId="0" borderId="1" xfId="0" applyFont="1" applyBorder="1" applyAlignment="1">
      <alignment horizontal="left" wrapText="1"/>
    </xf>
    <xf numFmtId="0" fontId="64" fillId="0" borderId="1" xfId="0" applyFont="1" applyBorder="1" applyAlignment="1">
      <alignment horizontal="left" vertical="center"/>
    </xf>
    <xf numFmtId="4" fontId="0" fillId="0" borderId="0" xfId="0" applyNumberFormat="1"/>
    <xf numFmtId="3" fontId="66" fillId="0" borderId="1" xfId="3" applyNumberFormat="1" applyFont="1"/>
    <xf numFmtId="0" fontId="69" fillId="0" borderId="0" xfId="0" applyFont="1"/>
    <xf numFmtId="0" fontId="15" fillId="0" borderId="19" xfId="0" applyFont="1" applyBorder="1"/>
    <xf numFmtId="10" fontId="15" fillId="0" borderId="20" xfId="0" applyNumberFormat="1" applyFont="1" applyBorder="1" applyAlignment="1">
      <alignment horizontal="right"/>
    </xf>
    <xf numFmtId="0" fontId="15" fillId="0" borderId="23" xfId="0" applyFont="1" applyBorder="1"/>
    <xf numFmtId="179" fontId="15" fillId="0" borderId="24" xfId="0" applyNumberFormat="1" applyFont="1" applyBorder="1"/>
    <xf numFmtId="0" fontId="15" fillId="0" borderId="21" xfId="0" applyFont="1" applyBorder="1"/>
    <xf numFmtId="10" fontId="15" fillId="0" borderId="22" xfId="0" applyNumberFormat="1" applyFont="1" applyBorder="1" applyAlignment="1">
      <alignment horizontal="right"/>
    </xf>
    <xf numFmtId="3" fontId="15" fillId="0" borderId="22" xfId="0" applyNumberFormat="1" applyFont="1" applyBorder="1"/>
    <xf numFmtId="0" fontId="15" fillId="0" borderId="21" xfId="0" quotePrefix="1" applyFont="1" applyBorder="1"/>
    <xf numFmtId="166" fontId="15" fillId="0" borderId="22" xfId="0" applyNumberFormat="1" applyFont="1" applyBorder="1"/>
    <xf numFmtId="0" fontId="15" fillId="0" borderId="22" xfId="0" applyFont="1" applyBorder="1"/>
    <xf numFmtId="10" fontId="15" fillId="0" borderId="0" xfId="0" applyNumberFormat="1" applyFont="1"/>
    <xf numFmtId="4" fontId="15" fillId="0" borderId="22" xfId="0" applyNumberFormat="1" applyFont="1" applyBorder="1" applyAlignment="1">
      <alignment horizontal="right"/>
    </xf>
    <xf numFmtId="0" fontId="51" fillId="26" borderId="25" xfId="0" applyFont="1" applyFill="1" applyBorder="1" applyAlignment="1">
      <alignment horizontal="left"/>
    </xf>
    <xf numFmtId="4" fontId="51" fillId="26" borderId="26" xfId="0" applyNumberFormat="1" applyFont="1" applyFill="1" applyBorder="1" applyAlignment="1">
      <alignment horizontal="right"/>
    </xf>
    <xf numFmtId="14" fontId="0" fillId="0" borderId="0" xfId="0" applyNumberFormat="1"/>
    <xf numFmtId="10" fontId="70" fillId="0" borderId="0" xfId="0" applyNumberFormat="1" applyFont="1"/>
    <xf numFmtId="2" fontId="0" fillId="0" borderId="0" xfId="0" applyNumberFormat="1"/>
    <xf numFmtId="0" fontId="0" fillId="0" borderId="0" xfId="0" applyAlignment="1">
      <alignment horizontal="center"/>
    </xf>
    <xf numFmtId="169" fontId="0" fillId="0" borderId="0" xfId="2" applyNumberFormat="1" applyFont="1"/>
    <xf numFmtId="166" fontId="65" fillId="27" borderId="27" xfId="1" applyNumberFormat="1" applyFont="1" applyFill="1" applyBorder="1" applyAlignment="1">
      <alignment horizontal="center"/>
    </xf>
    <xf numFmtId="166" fontId="65" fillId="27" borderId="28" xfId="1" applyNumberFormat="1" applyFont="1" applyFill="1" applyBorder="1" applyAlignment="1">
      <alignment horizontal="center"/>
    </xf>
    <xf numFmtId="0" fontId="0" fillId="0" borderId="0" xfId="0" quotePrefix="1"/>
    <xf numFmtId="10" fontId="0" fillId="0" borderId="0" xfId="0" applyNumberFormat="1"/>
    <xf numFmtId="169" fontId="65" fillId="28" borderId="27" xfId="2" applyNumberFormat="1" applyFont="1" applyFill="1" applyBorder="1"/>
    <xf numFmtId="169" fontId="65" fillId="27" borderId="27" xfId="2" applyNumberFormat="1" applyFont="1" applyFill="1" applyBorder="1"/>
    <xf numFmtId="169" fontId="71" fillId="27" borderId="27" xfId="2" applyNumberFormat="1" applyFont="1" applyFill="1" applyBorder="1"/>
    <xf numFmtId="10" fontId="71" fillId="28" borderId="27" xfId="2" applyNumberFormat="1" applyFont="1" applyFill="1" applyBorder="1"/>
    <xf numFmtId="180" fontId="0" fillId="0" borderId="0" xfId="0" applyNumberFormat="1"/>
    <xf numFmtId="167" fontId="18" fillId="2" borderId="1" xfId="0" applyNumberFormat="1" applyFont="1" applyFill="1" applyBorder="1" applyAlignment="1">
      <alignment horizontal="center" vertical="center" wrapText="1"/>
    </xf>
    <xf numFmtId="181" fontId="17" fillId="3" borderId="0" xfId="0" applyNumberFormat="1" applyFont="1" applyFill="1" applyAlignment="1">
      <alignment horizontal="center" vertical="center" wrapText="1"/>
    </xf>
    <xf numFmtId="9" fontId="0" fillId="0" borderId="0" xfId="0" applyNumberFormat="1"/>
    <xf numFmtId="3" fontId="21" fillId="3" borderId="0" xfId="0" applyNumberFormat="1" applyFont="1" applyFill="1" applyAlignment="1">
      <alignment horizontal="center" vertical="center" wrapText="1"/>
    </xf>
    <xf numFmtId="0" fontId="21" fillId="25" borderId="0" xfId="0" applyFont="1" applyFill="1" applyAlignment="1">
      <alignment horizontal="center" vertical="center" wrapText="1"/>
    </xf>
    <xf numFmtId="1" fontId="17" fillId="7" borderId="0" xfId="0" applyNumberFormat="1" applyFont="1" applyFill="1" applyAlignment="1">
      <alignment horizontal="center" vertical="center" wrapText="1"/>
    </xf>
    <xf numFmtId="1" fontId="21" fillId="6" borderId="0" xfId="0" applyNumberFormat="1" applyFont="1" applyFill="1" applyAlignment="1">
      <alignment horizontal="center" vertical="center" wrapText="1"/>
    </xf>
    <xf numFmtId="1" fontId="17" fillId="6" borderId="0" xfId="0" applyNumberFormat="1" applyFont="1" applyFill="1" applyAlignment="1">
      <alignment horizontal="center" vertical="center" wrapText="1"/>
    </xf>
    <xf numFmtId="1" fontId="0" fillId="0" borderId="0" xfId="0" applyNumberFormat="1"/>
    <xf numFmtId="10" fontId="21" fillId="3" borderId="1" xfId="0" applyNumberFormat="1" applyFont="1" applyFill="1" applyBorder="1" applyAlignment="1">
      <alignment horizontal="center" vertical="center" wrapText="1"/>
    </xf>
    <xf numFmtId="1" fontId="21" fillId="3" borderId="0" xfId="0" applyNumberFormat="1" applyFont="1" applyFill="1" applyAlignment="1">
      <alignment horizontal="center" vertical="center" wrapText="1"/>
    </xf>
    <xf numFmtId="3" fontId="7" fillId="0" borderId="0" xfId="0" applyNumberFormat="1" applyFont="1"/>
    <xf numFmtId="3" fontId="9" fillId="0" borderId="0" xfId="0" applyNumberFormat="1" applyFont="1"/>
    <xf numFmtId="3" fontId="11" fillId="0" borderId="0" xfId="0" applyNumberFormat="1" applyFont="1"/>
    <xf numFmtId="3" fontId="7" fillId="0" borderId="2" xfId="0" applyNumberFormat="1" applyFont="1" applyBorder="1" applyAlignment="1">
      <alignment horizontal="center" vertical="center"/>
    </xf>
    <xf numFmtId="166" fontId="74" fillId="27" borderId="30" xfId="1" applyNumberFormat="1" applyFont="1" applyFill="1" applyBorder="1"/>
    <xf numFmtId="1" fontId="73" fillId="29" borderId="29" xfId="0" applyNumberFormat="1" applyFont="1" applyFill="1" applyBorder="1"/>
    <xf numFmtId="1" fontId="55" fillId="0" borderId="1" xfId="0" applyNumberFormat="1" applyFont="1" applyBorder="1"/>
    <xf numFmtId="1" fontId="55" fillId="0" borderId="1" xfId="0" applyNumberFormat="1" applyFont="1" applyBorder="1" applyAlignment="1">
      <alignment horizontal="right"/>
    </xf>
    <xf numFmtId="1" fontId="65" fillId="27" borderId="30" xfId="1" applyNumberFormat="1" applyFont="1" applyFill="1" applyBorder="1"/>
    <xf numFmtId="1" fontId="74" fillId="27" borderId="30" xfId="1" applyNumberFormat="1" applyFont="1" applyFill="1" applyBorder="1"/>
    <xf numFmtId="166" fontId="55" fillId="0" borderId="1" xfId="1" applyNumberFormat="1" applyFont="1" applyBorder="1" applyAlignment="1">
      <alignment horizontal="right"/>
    </xf>
    <xf numFmtId="166" fontId="65" fillId="0" borderId="0" xfId="0" applyNumberFormat="1" applyFont="1"/>
    <xf numFmtId="166" fontId="65" fillId="0" borderId="0" xfId="0" applyNumberFormat="1" applyFont="1" applyAlignment="1">
      <alignment horizontal="center" vertical="center"/>
    </xf>
    <xf numFmtId="166" fontId="75" fillId="0" borderId="0" xfId="0" applyNumberFormat="1" applyFont="1" applyAlignment="1">
      <alignment horizontal="center" vertical="center"/>
    </xf>
    <xf numFmtId="166" fontId="65" fillId="0" borderId="0" xfId="1" applyNumberFormat="1" applyFont="1" applyAlignment="1">
      <alignment horizontal="center" vertical="center"/>
    </xf>
    <xf numFmtId="10" fontId="65" fillId="0" borderId="0" xfId="0" applyNumberFormat="1" applyFont="1" applyAlignment="1">
      <alignment horizontal="center" vertical="center"/>
    </xf>
    <xf numFmtId="166" fontId="74" fillId="0" borderId="0" xfId="0" applyNumberFormat="1" applyFont="1" applyAlignment="1">
      <alignment horizontal="center" vertical="center"/>
    </xf>
    <xf numFmtId="3" fontId="53" fillId="21" borderId="0" xfId="0" applyNumberFormat="1" applyFont="1" applyFill="1" applyAlignment="1">
      <alignment horizontal="right" vertical="center"/>
    </xf>
    <xf numFmtId="3" fontId="55" fillId="0" borderId="0" xfId="0" applyNumberFormat="1" applyFont="1" applyAlignment="1">
      <alignment horizontal="center"/>
    </xf>
    <xf numFmtId="3" fontId="61" fillId="0" borderId="0" xfId="2" applyNumberFormat="1" applyFont="1" applyFill="1" applyAlignment="1">
      <alignment vertical="center"/>
    </xf>
    <xf numFmtId="3" fontId="61" fillId="0" borderId="1" xfId="2" applyNumberFormat="1" applyFont="1" applyFill="1" applyBorder="1" applyAlignment="1">
      <alignment vertical="center"/>
    </xf>
    <xf numFmtId="3" fontId="63" fillId="0" borderId="1" xfId="2" applyNumberFormat="1" applyFont="1" applyFill="1" applyBorder="1" applyAlignment="1">
      <alignment vertical="center"/>
    </xf>
    <xf numFmtId="3" fontId="61" fillId="0" borderId="0" xfId="2" applyNumberFormat="1" applyFont="1" applyAlignment="1"/>
    <xf numFmtId="3" fontId="61" fillId="0" borderId="0" xfId="2" applyNumberFormat="1" applyFont="1" applyFill="1" applyAlignment="1"/>
    <xf numFmtId="3" fontId="56" fillId="0" borderId="0" xfId="0" applyNumberFormat="1" applyFont="1"/>
    <xf numFmtId="3" fontId="56" fillId="23" borderId="0" xfId="1" applyNumberFormat="1" applyFont="1" applyFill="1" applyAlignment="1">
      <alignment vertical="center"/>
    </xf>
    <xf numFmtId="3" fontId="55" fillId="0" borderId="0" xfId="1" applyNumberFormat="1" applyFont="1" applyAlignment="1"/>
    <xf numFmtId="3" fontId="55" fillId="0" borderId="0" xfId="1" applyNumberFormat="1" applyFont="1" applyFill="1" applyAlignment="1"/>
    <xf numFmtId="3" fontId="55" fillId="22" borderId="0" xfId="0" applyNumberFormat="1" applyFont="1" applyFill="1" applyAlignment="1">
      <alignment vertical="center"/>
    </xf>
    <xf numFmtId="3" fontId="56" fillId="0" borderId="1" xfId="0" applyNumberFormat="1" applyFont="1" applyBorder="1" applyAlignment="1">
      <alignment vertical="center"/>
    </xf>
    <xf numFmtId="3" fontId="0" fillId="0" borderId="0" xfId="0" applyNumberFormat="1"/>
    <xf numFmtId="3" fontId="14" fillId="0" borderId="2" xfId="0" applyNumberFormat="1" applyFont="1" applyBorder="1" applyAlignment="1">
      <alignment horizontal="center" vertical="center"/>
    </xf>
    <xf numFmtId="3" fontId="7" fillId="0" borderId="2" xfId="0" applyNumberFormat="1" applyFont="1" applyBorder="1" applyAlignment="1">
      <alignment horizontal="center"/>
    </xf>
    <xf numFmtId="3" fontId="11" fillId="0" borderId="2" xfId="0" applyNumberFormat="1" applyFont="1" applyBorder="1" applyAlignment="1">
      <alignment horizontal="center" vertical="center"/>
    </xf>
    <xf numFmtId="3" fontId="72" fillId="0" borderId="2" xfId="0" applyNumberFormat="1" applyFont="1" applyBorder="1" applyAlignment="1">
      <alignment horizontal="center" vertical="center"/>
    </xf>
    <xf numFmtId="3" fontId="9" fillId="0" borderId="2" xfId="0" applyNumberFormat="1" applyFont="1" applyBorder="1" applyAlignment="1">
      <alignment horizontal="center" vertical="center"/>
    </xf>
    <xf numFmtId="10" fontId="61" fillId="0" borderId="0" xfId="2" applyNumberFormat="1" applyFont="1" applyFill="1" applyAlignment="1">
      <alignment vertical="center"/>
    </xf>
    <xf numFmtId="10" fontId="61" fillId="0" borderId="0" xfId="2" applyNumberFormat="1" applyFont="1" applyAlignment="1"/>
    <xf numFmtId="10" fontId="61" fillId="0" borderId="0" xfId="2" applyNumberFormat="1" applyFont="1" applyFill="1" applyAlignment="1"/>
    <xf numFmtId="10" fontId="56" fillId="22" borderId="0" xfId="0" applyNumberFormat="1" applyFont="1" applyFill="1" applyAlignment="1">
      <alignment vertical="center"/>
    </xf>
    <xf numFmtId="169" fontId="55" fillId="0" borderId="0" xfId="2" applyNumberFormat="1" applyFont="1" applyAlignment="1">
      <alignment vertical="center"/>
    </xf>
    <xf numFmtId="169" fontId="55" fillId="0" borderId="0" xfId="2" applyNumberFormat="1" applyFont="1"/>
    <xf numFmtId="9" fontId="55" fillId="0" borderId="0" xfId="2" applyFont="1" applyAlignment="1">
      <alignment vertical="center"/>
    </xf>
    <xf numFmtId="2" fontId="61" fillId="0" borderId="0" xfId="2" applyNumberFormat="1" applyFont="1" applyFill="1" applyAlignment="1">
      <alignment vertical="center"/>
    </xf>
    <xf numFmtId="9" fontId="58" fillId="0" borderId="0" xfId="2" applyFont="1" applyAlignment="1">
      <alignment vertical="center"/>
    </xf>
    <xf numFmtId="9" fontId="55" fillId="0" borderId="0" xfId="2" applyFont="1"/>
    <xf numFmtId="182" fontId="55" fillId="0" borderId="0" xfId="2" applyNumberFormat="1" applyFont="1" applyAlignment="1">
      <alignment vertical="center"/>
    </xf>
    <xf numFmtId="9" fontId="0" fillId="0" borderId="0" xfId="2" applyFont="1"/>
    <xf numFmtId="165" fontId="21" fillId="3" borderId="0" xfId="1" applyFont="1" applyFill="1" applyAlignment="1">
      <alignment horizontal="center" vertical="center" wrapText="1"/>
    </xf>
    <xf numFmtId="0" fontId="14" fillId="0" borderId="31" xfId="0" applyFont="1" applyBorder="1" applyAlignment="1">
      <alignment horizontal="center" vertical="center" wrapText="1"/>
    </xf>
    <xf numFmtId="0" fontId="6" fillId="0" borderId="32" xfId="0" applyFont="1" applyBorder="1" applyAlignment="1">
      <alignment horizontal="center" wrapText="1"/>
    </xf>
    <xf numFmtId="0" fontId="14" fillId="0" borderId="32" xfId="0" applyFont="1" applyBorder="1" applyAlignment="1">
      <alignment horizontal="center" vertical="center" wrapText="1"/>
    </xf>
    <xf numFmtId="0" fontId="14" fillId="30" borderId="32" xfId="0" applyFont="1" applyFill="1" applyBorder="1" applyAlignment="1">
      <alignment horizontal="center" vertical="center" wrapText="1"/>
    </xf>
    <xf numFmtId="0" fontId="14" fillId="0" borderId="33" xfId="0" applyFont="1" applyBorder="1" applyAlignment="1">
      <alignment horizontal="center" vertical="center" wrapText="1"/>
    </xf>
    <xf numFmtId="0" fontId="6" fillId="0" borderId="34" xfId="0" applyFont="1" applyBorder="1" applyAlignment="1">
      <alignment wrapText="1"/>
    </xf>
    <xf numFmtId="4" fontId="6" fillId="0" borderId="34" xfId="0" applyNumberFormat="1" applyFont="1" applyBorder="1" applyAlignment="1">
      <alignment horizontal="center" vertical="center" wrapText="1"/>
    </xf>
    <xf numFmtId="4" fontId="6" fillId="31" borderId="34" xfId="0" applyNumberFormat="1" applyFont="1" applyFill="1" applyBorder="1" applyAlignment="1">
      <alignment horizontal="center" vertical="center" wrapText="1"/>
    </xf>
    <xf numFmtId="4" fontId="6" fillId="30" borderId="34" xfId="0" applyNumberFormat="1" applyFont="1" applyFill="1" applyBorder="1" applyAlignment="1">
      <alignment horizontal="center" vertical="center" wrapText="1"/>
    </xf>
    <xf numFmtId="0" fontId="6" fillId="0" borderId="35" xfId="0" applyFont="1" applyBorder="1" applyAlignment="1">
      <alignment wrapText="1"/>
    </xf>
    <xf numFmtId="0" fontId="6" fillId="0" borderId="34" xfId="0" applyFont="1" applyBorder="1" applyAlignment="1">
      <alignment vertical="center" wrapText="1"/>
    </xf>
    <xf numFmtId="0" fontId="6" fillId="0" borderId="34" xfId="0" applyFont="1" applyBorder="1" applyAlignment="1">
      <alignment horizontal="center" vertical="center" wrapText="1"/>
    </xf>
    <xf numFmtId="0" fontId="6" fillId="31" borderId="34" xfId="0" applyFont="1" applyFill="1" applyBorder="1" applyAlignment="1">
      <alignment horizontal="center" vertical="center" wrapText="1"/>
    </xf>
    <xf numFmtId="0" fontId="6" fillId="30" borderId="34" xfId="0" applyFont="1" applyFill="1" applyBorder="1" applyAlignment="1">
      <alignment horizontal="center" vertical="center" wrapText="1"/>
    </xf>
    <xf numFmtId="3" fontId="6" fillId="0" borderId="34" xfId="0" applyNumberFormat="1" applyFont="1" applyBorder="1" applyAlignment="1">
      <alignment wrapText="1"/>
    </xf>
    <xf numFmtId="166" fontId="6" fillId="0" borderId="34" xfId="1" applyNumberFormat="1" applyFont="1" applyBorder="1" applyAlignment="1">
      <alignment wrapText="1"/>
    </xf>
    <xf numFmtId="0" fontId="6" fillId="0" borderId="36" xfId="0" applyFont="1" applyBorder="1" applyAlignment="1">
      <alignment wrapText="1"/>
    </xf>
    <xf numFmtId="10" fontId="6" fillId="0" borderId="36" xfId="0" applyNumberFormat="1" applyFont="1" applyBorder="1" applyAlignment="1">
      <alignment horizontal="right" wrapText="1"/>
    </xf>
    <xf numFmtId="9" fontId="6" fillId="0" borderId="36" xfId="0" applyNumberFormat="1" applyFont="1" applyBorder="1" applyAlignment="1">
      <alignment horizontal="right" wrapText="1"/>
    </xf>
    <xf numFmtId="3" fontId="6" fillId="0" borderId="36" xfId="0" applyNumberFormat="1" applyFont="1" applyBorder="1" applyAlignment="1">
      <alignment horizontal="right" wrapText="1"/>
    </xf>
    <xf numFmtId="4" fontId="6" fillId="0" borderId="35" xfId="0" applyNumberFormat="1" applyFont="1" applyBorder="1" applyAlignment="1">
      <alignment horizontal="right" wrapText="1"/>
    </xf>
    <xf numFmtId="164" fontId="6" fillId="0" borderId="36" xfId="0" applyNumberFormat="1" applyFont="1" applyBorder="1" applyAlignment="1">
      <alignment horizontal="right" wrapText="1"/>
    </xf>
    <xf numFmtId="0" fontId="77" fillId="32" borderId="35" xfId="0" applyFont="1" applyFill="1" applyBorder="1" applyAlignment="1">
      <alignment wrapText="1"/>
    </xf>
    <xf numFmtId="4" fontId="77" fillId="32" borderId="35" xfId="0" applyNumberFormat="1" applyFont="1" applyFill="1" applyBorder="1" applyAlignment="1">
      <alignment horizontal="right" wrapText="1"/>
    </xf>
    <xf numFmtId="3" fontId="6" fillId="0" borderId="0" xfId="0" applyNumberFormat="1" applyFont="1"/>
    <xf numFmtId="3" fontId="76" fillId="32" borderId="0" xfId="0" applyNumberFormat="1" applyFont="1" applyFill="1"/>
    <xf numFmtId="0" fontId="5" fillId="0" borderId="1" xfId="5"/>
    <xf numFmtId="0" fontId="5" fillId="0" borderId="1" xfId="7"/>
    <xf numFmtId="0" fontId="14" fillId="0" borderId="1" xfId="7" applyFont="1"/>
    <xf numFmtId="10" fontId="5" fillId="0" borderId="1" xfId="7" applyNumberFormat="1"/>
    <xf numFmtId="9" fontId="5" fillId="0" borderId="1" xfId="7" applyNumberFormat="1"/>
    <xf numFmtId="0" fontId="5" fillId="0" borderId="1" xfId="7" applyAlignment="1">
      <alignment horizontal="center"/>
    </xf>
    <xf numFmtId="0" fontId="14" fillId="0" borderId="1" xfId="7" applyFont="1" applyAlignment="1">
      <alignment horizontal="center"/>
    </xf>
    <xf numFmtId="10" fontId="5" fillId="0" borderId="1" xfId="7" applyNumberFormat="1" applyAlignment="1">
      <alignment horizontal="center"/>
    </xf>
    <xf numFmtId="10" fontId="14" fillId="0" borderId="1" xfId="7" applyNumberFormat="1" applyFont="1" applyAlignment="1">
      <alignment horizontal="center"/>
    </xf>
    <xf numFmtId="183" fontId="5" fillId="0" borderId="1" xfId="7" applyNumberFormat="1" applyAlignment="1">
      <alignment horizontal="center"/>
    </xf>
    <xf numFmtId="183" fontId="14" fillId="0" borderId="1" xfId="7" applyNumberFormat="1" applyFont="1" applyAlignment="1">
      <alignment horizontal="center"/>
    </xf>
    <xf numFmtId="10" fontId="5" fillId="0" borderId="36" xfId="7" applyNumberFormat="1" applyBorder="1" applyAlignment="1">
      <alignment horizontal="center" wrapText="1"/>
    </xf>
    <xf numFmtId="10" fontId="14" fillId="0" borderId="36" xfId="7" applyNumberFormat="1" applyFont="1" applyBorder="1" applyAlignment="1">
      <alignment horizontal="center" wrapText="1"/>
    </xf>
    <xf numFmtId="10" fontId="5" fillId="0" borderId="1" xfId="8" applyNumberFormat="1" applyFont="1" applyBorder="1" applyAlignment="1">
      <alignment horizontal="center"/>
    </xf>
    <xf numFmtId="0" fontId="76" fillId="32" borderId="39" xfId="7" applyFont="1" applyFill="1" applyBorder="1"/>
    <xf numFmtId="0" fontId="76" fillId="32" borderId="39" xfId="7" applyFont="1" applyFill="1" applyBorder="1" applyAlignment="1">
      <alignment horizontal="center"/>
    </xf>
    <xf numFmtId="0" fontId="5" fillId="0" borderId="0" xfId="0" applyFont="1"/>
    <xf numFmtId="4" fontId="0" fillId="0" borderId="0" xfId="1" applyNumberFormat="1" applyFont="1"/>
    <xf numFmtId="4" fontId="14" fillId="0" borderId="0" xfId="0" applyNumberFormat="1" applyFont="1"/>
    <xf numFmtId="3" fontId="14" fillId="22" borderId="0" xfId="0" applyNumberFormat="1" applyFont="1" applyFill="1"/>
    <xf numFmtId="4" fontId="14" fillId="22" borderId="0" xfId="0" applyNumberFormat="1" applyFont="1" applyFill="1"/>
    <xf numFmtId="0" fontId="78" fillId="0" borderId="0" xfId="0" applyFont="1" applyAlignment="1">
      <alignment horizontal="left" vertical="center" indent="2"/>
    </xf>
    <xf numFmtId="0" fontId="4" fillId="0" borderId="0" xfId="0" applyFont="1" applyAlignment="1">
      <alignment horizontal="left" vertical="center" indent="2"/>
    </xf>
    <xf numFmtId="10" fontId="0" fillId="0" borderId="0" xfId="2" applyNumberFormat="1" applyFont="1"/>
    <xf numFmtId="3" fontId="14" fillId="0" borderId="1" xfId="0" applyNumberFormat="1" applyFont="1" applyBorder="1" applyAlignment="1">
      <alignment horizontal="center" vertical="center"/>
    </xf>
    <xf numFmtId="3" fontId="7" fillId="0" borderId="1" xfId="0" applyNumberFormat="1" applyFont="1" applyBorder="1" applyAlignment="1">
      <alignment horizontal="center"/>
    </xf>
    <xf numFmtId="3" fontId="7" fillId="0" borderId="1" xfId="0" applyNumberFormat="1" applyFont="1" applyBorder="1" applyAlignment="1">
      <alignment horizontal="center" vertical="center"/>
    </xf>
    <xf numFmtId="3" fontId="72" fillId="0" borderId="1" xfId="0" applyNumberFormat="1" applyFont="1" applyBorder="1" applyAlignment="1">
      <alignment horizontal="center" vertical="center"/>
    </xf>
    <xf numFmtId="3" fontId="0" fillId="0" borderId="1" xfId="0" applyNumberFormat="1" applyBorder="1"/>
    <xf numFmtId="0" fontId="6" fillId="0" borderId="40" xfId="0" applyFont="1" applyBorder="1" applyAlignment="1">
      <alignment wrapText="1"/>
    </xf>
    <xf numFmtId="3" fontId="6" fillId="0" borderId="40" xfId="0" applyNumberFormat="1" applyFont="1" applyBorder="1" applyAlignment="1">
      <alignment horizontal="right" wrapText="1"/>
    </xf>
    <xf numFmtId="0" fontId="6" fillId="0" borderId="1" xfId="0" applyFont="1" applyBorder="1" applyAlignment="1">
      <alignment wrapText="1"/>
    </xf>
    <xf numFmtId="3" fontId="6" fillId="0" borderId="1" xfId="0" applyNumberFormat="1" applyFont="1" applyBorder="1" applyAlignment="1">
      <alignment horizontal="right" wrapText="1"/>
    </xf>
    <xf numFmtId="4" fontId="6" fillId="0" borderId="1" xfId="0" applyNumberFormat="1" applyFont="1" applyBorder="1" applyAlignment="1">
      <alignment horizontal="right" wrapText="1"/>
    </xf>
    <xf numFmtId="3" fontId="9" fillId="0" borderId="1" xfId="0" applyNumberFormat="1" applyFont="1" applyBorder="1" applyAlignment="1">
      <alignment horizontal="center" vertical="center"/>
    </xf>
    <xf numFmtId="0" fontId="77" fillId="32" borderId="1" xfId="0" applyFont="1" applyFill="1" applyBorder="1" applyAlignment="1">
      <alignment wrapText="1"/>
    </xf>
    <xf numFmtId="4" fontId="77" fillId="32" borderId="1" xfId="0" applyNumberFormat="1" applyFont="1" applyFill="1" applyBorder="1" applyAlignment="1">
      <alignment horizontal="right" wrapText="1"/>
    </xf>
    <xf numFmtId="3" fontId="9" fillId="0" borderId="1" xfId="0" applyNumberFormat="1" applyFont="1" applyBorder="1"/>
    <xf numFmtId="3" fontId="7" fillId="0" borderId="1" xfId="0" applyNumberFormat="1" applyFont="1" applyBorder="1"/>
    <xf numFmtId="3" fontId="11" fillId="0" borderId="1" xfId="0" applyNumberFormat="1" applyFont="1" applyBorder="1" applyAlignment="1">
      <alignment horizontal="center" vertical="center"/>
    </xf>
    <xf numFmtId="2" fontId="4" fillId="0" borderId="1" xfId="0" applyNumberFormat="1" applyFont="1" applyBorder="1" applyAlignment="1">
      <alignment horizontal="center"/>
    </xf>
    <xf numFmtId="2" fontId="4" fillId="0" borderId="1" xfId="0" applyNumberFormat="1" applyFont="1" applyBorder="1" applyAlignment="1">
      <alignment horizontal="center" vertical="center"/>
    </xf>
    <xf numFmtId="2" fontId="4" fillId="0" borderId="0" xfId="0" applyNumberFormat="1" applyFont="1"/>
    <xf numFmtId="184" fontId="55" fillId="0" borderId="0" xfId="0" applyNumberFormat="1" applyFont="1"/>
    <xf numFmtId="4" fontId="55" fillId="0" borderId="0" xfId="0" applyNumberFormat="1" applyFont="1"/>
    <xf numFmtId="3" fontId="79" fillId="0" borderId="0" xfId="0" applyNumberFormat="1" applyFont="1"/>
    <xf numFmtId="0" fontId="3" fillId="33" borderId="36" xfId="0" applyFont="1" applyFill="1" applyBorder="1" applyAlignment="1">
      <alignment vertical="center" wrapText="1"/>
    </xf>
    <xf numFmtId="0" fontId="14" fillId="34" borderId="36" xfId="0" applyFont="1" applyFill="1" applyBorder="1" applyAlignment="1">
      <alignment horizontal="center" vertical="center" wrapText="1"/>
    </xf>
    <xf numFmtId="0" fontId="14" fillId="30" borderId="36" xfId="0" applyFont="1" applyFill="1" applyBorder="1" applyAlignment="1">
      <alignment vertical="center" wrapText="1"/>
    </xf>
    <xf numFmtId="3" fontId="14" fillId="30" borderId="36" xfId="0" applyNumberFormat="1" applyFont="1" applyFill="1" applyBorder="1" applyAlignment="1">
      <alignment horizontal="right" vertical="center" wrapText="1"/>
    </xf>
    <xf numFmtId="10" fontId="14" fillId="30" borderId="36" xfId="0" applyNumberFormat="1" applyFont="1" applyFill="1" applyBorder="1" applyAlignment="1">
      <alignment horizontal="right" vertical="center" wrapText="1"/>
    </xf>
    <xf numFmtId="0" fontId="14" fillId="31" borderId="36" xfId="0" applyFont="1" applyFill="1" applyBorder="1" applyAlignment="1">
      <alignment vertical="center" wrapText="1"/>
    </xf>
    <xf numFmtId="0" fontId="3" fillId="31" borderId="36" xfId="0" applyFont="1" applyFill="1" applyBorder="1" applyAlignment="1">
      <alignment vertical="center" wrapText="1"/>
    </xf>
    <xf numFmtId="10" fontId="14" fillId="31" borderId="36" xfId="0" applyNumberFormat="1" applyFont="1" applyFill="1" applyBorder="1" applyAlignment="1">
      <alignment horizontal="right" vertical="center" wrapText="1"/>
    </xf>
    <xf numFmtId="3" fontId="14" fillId="31" borderId="36" xfId="0" applyNumberFormat="1" applyFont="1" applyFill="1" applyBorder="1" applyAlignment="1">
      <alignment horizontal="right" vertical="center" wrapText="1"/>
    </xf>
    <xf numFmtId="0" fontId="3" fillId="30" borderId="36" xfId="0" applyFont="1" applyFill="1" applyBorder="1" applyAlignment="1">
      <alignment vertical="center" wrapText="1"/>
    </xf>
    <xf numFmtId="0" fontId="14" fillId="30" borderId="36" xfId="0" applyFont="1" applyFill="1" applyBorder="1" applyAlignment="1">
      <alignment horizontal="right" vertical="center" wrapText="1"/>
    </xf>
    <xf numFmtId="0" fontId="14" fillId="31" borderId="36" xfId="0" applyFont="1" applyFill="1" applyBorder="1" applyAlignment="1">
      <alignment horizontal="right" vertical="center" wrapText="1"/>
    </xf>
    <xf numFmtId="2" fontId="14" fillId="31" borderId="36" xfId="0" applyNumberFormat="1" applyFont="1" applyFill="1" applyBorder="1" applyAlignment="1">
      <alignment horizontal="right" vertical="center" wrapText="1"/>
    </xf>
    <xf numFmtId="2" fontId="14" fillId="30" borderId="36" xfId="0" applyNumberFormat="1" applyFont="1" applyFill="1" applyBorder="1" applyAlignment="1">
      <alignment horizontal="right" vertical="center" wrapText="1"/>
    </xf>
    <xf numFmtId="166" fontId="3" fillId="30" borderId="36" xfId="1" applyNumberFormat="1" applyFont="1" applyFill="1" applyBorder="1" applyAlignment="1">
      <alignment vertical="center" wrapText="1"/>
    </xf>
    <xf numFmtId="0" fontId="14" fillId="30" borderId="42" xfId="0" applyFont="1" applyFill="1" applyBorder="1" applyAlignment="1">
      <alignment vertical="center" wrapText="1"/>
    </xf>
    <xf numFmtId="3" fontId="2" fillId="0" borderId="0" xfId="0" applyNumberFormat="1" applyFont="1"/>
    <xf numFmtId="0" fontId="2" fillId="0" borderId="0" xfId="0" applyFont="1" applyAlignment="1">
      <alignment horizontal="left" vertical="center" indent="2"/>
    </xf>
    <xf numFmtId="184" fontId="0" fillId="0" borderId="0" xfId="0" applyNumberFormat="1"/>
    <xf numFmtId="0" fontId="14" fillId="30" borderId="1" xfId="0" applyFont="1" applyFill="1" applyBorder="1" applyAlignment="1">
      <alignment vertical="center" wrapText="1"/>
    </xf>
    <xf numFmtId="166" fontId="0" fillId="0" borderId="0" xfId="1" applyNumberFormat="1" applyFont="1"/>
    <xf numFmtId="0" fontId="80" fillId="35" borderId="43" xfId="0" applyFont="1" applyFill="1" applyBorder="1" applyAlignment="1">
      <alignment vertical="top" wrapText="1"/>
    </xf>
    <xf numFmtId="0" fontId="81" fillId="35" borderId="43" xfId="0" applyFont="1" applyFill="1" applyBorder="1" applyAlignment="1">
      <alignment vertical="top" wrapText="1"/>
    </xf>
    <xf numFmtId="184" fontId="7" fillId="0" borderId="1" xfId="0" applyNumberFormat="1" applyFont="1" applyBorder="1" applyAlignment="1">
      <alignment horizontal="center" vertical="center"/>
    </xf>
    <xf numFmtId="3" fontId="1" fillId="0" borderId="1" xfId="0" applyNumberFormat="1" applyFont="1" applyBorder="1" applyAlignment="1">
      <alignment horizontal="center" vertical="center"/>
    </xf>
    <xf numFmtId="184" fontId="7" fillId="28" borderId="1" xfId="0" applyNumberFormat="1" applyFont="1" applyFill="1" applyBorder="1" applyAlignment="1">
      <alignment horizontal="center" vertical="center"/>
    </xf>
    <xf numFmtId="4" fontId="14" fillId="28" borderId="1" xfId="0" applyNumberFormat="1" applyFont="1" applyFill="1" applyBorder="1" applyAlignment="1">
      <alignment horizontal="center" vertical="center"/>
    </xf>
    <xf numFmtId="3" fontId="1" fillId="0" borderId="0" xfId="0" applyNumberFormat="1" applyFont="1"/>
    <xf numFmtId="0" fontId="82" fillId="36" borderId="0" xfId="0" applyFont="1" applyFill="1" applyAlignment="1">
      <alignment vertical="center" wrapText="1"/>
    </xf>
    <xf numFmtId="0" fontId="83" fillId="36" borderId="44" xfId="0" applyFont="1" applyFill="1" applyBorder="1" applyAlignment="1">
      <alignment wrapText="1"/>
    </xf>
    <xf numFmtId="0" fontId="83" fillId="36" borderId="15" xfId="0" applyFont="1" applyFill="1" applyBorder="1" applyAlignment="1">
      <alignment vertical="center" wrapText="1"/>
    </xf>
    <xf numFmtId="4" fontId="79" fillId="0" borderId="0" xfId="0" applyNumberFormat="1" applyFont="1"/>
    <xf numFmtId="3" fontId="84" fillId="0" borderId="0" xfId="0" applyNumberFormat="1" applyFont="1"/>
    <xf numFmtId="0" fontId="85" fillId="0" borderId="45" xfId="0" applyFont="1" applyBorder="1" applyAlignment="1">
      <alignment horizontal="right" wrapText="1"/>
    </xf>
    <xf numFmtId="0" fontId="85" fillId="0" borderId="36" xfId="0" applyFont="1" applyBorder="1" applyAlignment="1">
      <alignment horizontal="right" wrapText="1"/>
    </xf>
    <xf numFmtId="0" fontId="85" fillId="0" borderId="46" xfId="0" applyFont="1" applyBorder="1" applyAlignment="1">
      <alignment wrapText="1"/>
    </xf>
    <xf numFmtId="0" fontId="85" fillId="0" borderId="47" xfId="0" applyFont="1" applyBorder="1" applyAlignment="1">
      <alignment wrapText="1"/>
    </xf>
    <xf numFmtId="0" fontId="85" fillId="0" borderId="1" xfId="0" applyFont="1" applyBorder="1" applyAlignment="1">
      <alignment wrapText="1"/>
    </xf>
    <xf numFmtId="0" fontId="85" fillId="0" borderId="1" xfId="0" applyFont="1" applyBorder="1" applyAlignment="1">
      <alignment horizontal="right" wrapText="1"/>
    </xf>
    <xf numFmtId="10" fontId="14" fillId="0" borderId="1" xfId="2" applyNumberFormat="1" applyFont="1" applyBorder="1" applyAlignment="1">
      <alignment horizontal="center" vertical="center"/>
    </xf>
    <xf numFmtId="3" fontId="14" fillId="22" borderId="0" xfId="0" applyNumberFormat="1" applyFont="1" applyFill="1" applyAlignment="1">
      <alignment wrapText="1"/>
    </xf>
    <xf numFmtId="10" fontId="7" fillId="0" borderId="0" xfId="2" applyNumberFormat="1" applyFont="1"/>
    <xf numFmtId="3" fontId="7" fillId="22" borderId="0" xfId="0" applyNumberFormat="1" applyFont="1" applyFill="1"/>
    <xf numFmtId="3" fontId="0" fillId="22" borderId="0" xfId="0" applyNumberFormat="1" applyFill="1"/>
    <xf numFmtId="3" fontId="14" fillId="22" borderId="30" xfId="0" applyNumberFormat="1" applyFont="1" applyFill="1" applyBorder="1"/>
    <xf numFmtId="0" fontId="17" fillId="6" borderId="30" xfId="0" applyFont="1" applyFill="1" applyBorder="1" applyAlignment="1">
      <alignment horizontal="center" vertical="center" wrapText="1"/>
    </xf>
    <xf numFmtId="0" fontId="19" fillId="6" borderId="30" xfId="0" applyFont="1" applyFill="1" applyBorder="1" applyAlignment="1">
      <alignment horizontal="center" vertical="center" wrapText="1"/>
    </xf>
    <xf numFmtId="3" fontId="17" fillId="6" borderId="30" xfId="0" applyNumberFormat="1" applyFont="1" applyFill="1" applyBorder="1" applyAlignment="1">
      <alignment horizontal="center" vertical="center" wrapText="1"/>
    </xf>
    <xf numFmtId="3" fontId="19" fillId="6" borderId="30" xfId="0" applyNumberFormat="1" applyFont="1" applyFill="1" applyBorder="1" applyAlignment="1">
      <alignment horizontal="center" vertical="center" wrapText="1"/>
    </xf>
    <xf numFmtId="3" fontId="21" fillId="6" borderId="30" xfId="0" applyNumberFormat="1" applyFont="1" applyFill="1" applyBorder="1" applyAlignment="1">
      <alignment horizontal="center" vertical="center" wrapText="1"/>
    </xf>
    <xf numFmtId="9" fontId="21" fillId="6" borderId="30" xfId="2" applyFont="1" applyFill="1" applyBorder="1" applyAlignment="1">
      <alignment horizontal="center" vertical="center" wrapText="1"/>
    </xf>
    <xf numFmtId="10" fontId="55" fillId="0" borderId="0" xfId="2" applyNumberFormat="1" applyFont="1" applyAlignment="1">
      <alignment vertical="center"/>
    </xf>
    <xf numFmtId="4" fontId="86" fillId="30" borderId="36" xfId="0" applyNumberFormat="1" applyFont="1" applyFill="1" applyBorder="1" applyAlignment="1">
      <alignment horizontal="right" wrapText="1"/>
    </xf>
    <xf numFmtId="167" fontId="18" fillId="2" borderId="5" xfId="0" applyNumberFormat="1" applyFont="1" applyFill="1" applyBorder="1" applyAlignment="1">
      <alignment horizontal="center" vertical="center" wrapText="1"/>
    </xf>
    <xf numFmtId="167" fontId="19" fillId="2" borderId="1" xfId="0" applyNumberFormat="1" applyFont="1" applyFill="1" applyBorder="1" applyAlignment="1">
      <alignment horizontal="center" vertical="center" wrapText="1"/>
    </xf>
    <xf numFmtId="3" fontId="20" fillId="2" borderId="1" xfId="0" applyNumberFormat="1" applyFont="1" applyFill="1" applyBorder="1" applyAlignment="1">
      <alignment horizontal="center" vertical="center" wrapText="1"/>
    </xf>
    <xf numFmtId="168" fontId="18" fillId="2" borderId="1" xfId="0" applyNumberFormat="1" applyFont="1" applyFill="1" applyBorder="1" applyAlignment="1">
      <alignment horizontal="center" vertical="center" wrapText="1"/>
    </xf>
    <xf numFmtId="166" fontId="19" fillId="2" borderId="1" xfId="0" applyNumberFormat="1" applyFont="1" applyFill="1" applyBorder="1" applyAlignment="1">
      <alignment horizontal="center" vertical="center" wrapText="1"/>
    </xf>
    <xf numFmtId="0" fontId="1" fillId="0" borderId="0" xfId="0" applyFont="1"/>
    <xf numFmtId="9" fontId="17" fillId="0" borderId="0" xfId="0" applyNumberFormat="1" applyFont="1" applyAlignment="1">
      <alignment horizontal="center" vertical="center" wrapText="1"/>
    </xf>
    <xf numFmtId="3" fontId="55" fillId="0" borderId="0" xfId="2" applyNumberFormat="1" applyFont="1"/>
    <xf numFmtId="10" fontId="55" fillId="0" borderId="0" xfId="2" applyNumberFormat="1" applyFont="1"/>
    <xf numFmtId="3" fontId="88" fillId="0" borderId="0" xfId="2" applyNumberFormat="1" applyFont="1"/>
    <xf numFmtId="3" fontId="89" fillId="0" borderId="0" xfId="2" applyNumberFormat="1" applyFont="1"/>
    <xf numFmtId="10" fontId="87" fillId="0" borderId="0" xfId="2" applyNumberFormat="1" applyFont="1"/>
    <xf numFmtId="0" fontId="77" fillId="33" borderId="37" xfId="0" applyFont="1" applyFill="1" applyBorder="1" applyAlignment="1">
      <alignment horizontal="center" vertical="center" wrapText="1"/>
    </xf>
    <xf numFmtId="0" fontId="77" fillId="33" borderId="41" xfId="0" applyFont="1" applyFill="1" applyBorder="1" applyAlignment="1">
      <alignment horizontal="center" vertical="center" wrapText="1"/>
    </xf>
    <xf numFmtId="0" fontId="77" fillId="33" borderId="38" xfId="0" applyFont="1" applyFill="1" applyBorder="1" applyAlignment="1">
      <alignment horizontal="center" vertical="center" wrapText="1"/>
    </xf>
    <xf numFmtId="0" fontId="14" fillId="0" borderId="37" xfId="0" applyFont="1" applyBorder="1" applyAlignment="1">
      <alignment wrapText="1"/>
    </xf>
    <xf numFmtId="0" fontId="14" fillId="0" borderId="38" xfId="0" applyFont="1" applyBorder="1" applyAlignment="1">
      <alignment wrapText="1"/>
    </xf>
    <xf numFmtId="3" fontId="55" fillId="0" borderId="0" xfId="0" applyNumberFormat="1" applyFont="1" applyAlignment="1">
      <alignment horizontal="center" vertical="center" wrapText="1"/>
    </xf>
    <xf numFmtId="3" fontId="55" fillId="0" borderId="0" xfId="0" applyNumberFormat="1" applyFont="1" applyAlignment="1">
      <alignment horizontal="center"/>
    </xf>
    <xf numFmtId="3" fontId="55" fillId="0" borderId="0" xfId="0" applyNumberFormat="1" applyFont="1" applyAlignment="1">
      <alignment horizontal="center" vertical="center"/>
    </xf>
    <xf numFmtId="0" fontId="12" fillId="0" borderId="19" xfId="0" applyFont="1" applyBorder="1"/>
    <xf numFmtId="0" fontId="0" fillId="0" borderId="20" xfId="0" applyBorder="1"/>
    <xf numFmtId="0" fontId="17" fillId="0" borderId="0" xfId="0" applyFont="1" applyAlignment="1">
      <alignment horizontal="center" vertical="center" wrapText="1"/>
    </xf>
    <xf numFmtId="0" fontId="0" fillId="0" borderId="0" xfId="0"/>
    <xf numFmtId="0" fontId="0" fillId="0" borderId="0" xfId="0" applyAlignment="1">
      <alignment horizontal="center"/>
    </xf>
    <xf numFmtId="0" fontId="35" fillId="0" borderId="0" xfId="0" applyFont="1" applyAlignment="1">
      <alignment horizontal="left"/>
    </xf>
    <xf numFmtId="0" fontId="15" fillId="0" borderId="0" xfId="0" applyFont="1"/>
    <xf numFmtId="0" fontId="12" fillId="0" borderId="0" xfId="0" applyFont="1"/>
    <xf numFmtId="0" fontId="33" fillId="0" borderId="0" xfId="0" applyFont="1"/>
    <xf numFmtId="1" fontId="40" fillId="0" borderId="0" xfId="0" applyNumberFormat="1" applyFont="1" applyAlignment="1">
      <alignment horizontal="center"/>
    </xf>
  </cellXfs>
  <cellStyles count="9">
    <cellStyle name="Comma" xfId="1" builtinId="3"/>
    <cellStyle name="Normal" xfId="0" builtinId="0"/>
    <cellStyle name="Normal 2" xfId="3" xr:uid="{A087E592-FF0D-491B-BED9-2D24C3FADC41}"/>
    <cellStyle name="Normal 2 2" xfId="7" xr:uid="{1A4ADF43-A068-47C7-841E-1622A70EFCA7}"/>
    <cellStyle name="Normal 3" xfId="5" xr:uid="{00000000-0005-0000-0000-000033000000}"/>
    <cellStyle name="Percent" xfId="2" builtinId="5"/>
    <cellStyle name="Percent 2" xfId="4" xr:uid="{54AF1CF8-6295-458D-86A6-37F5B243BC3F}"/>
    <cellStyle name="Percent 2 2" xfId="8" xr:uid="{31D1BCA4-303B-4313-AFDF-59388EF985ED}"/>
    <cellStyle name="Percent 3" xfId="6" xr:uid="{00000000-0005-0000-0000-000035000000}"/>
  </cellStyles>
  <dxfs count="21">
    <dxf>
      <fill>
        <patternFill>
          <bgColor theme="8" tint="0.59996337778862885"/>
        </patternFill>
      </fill>
    </dxf>
    <dxf>
      <fill>
        <patternFill>
          <bgColor theme="9" tint="0.59996337778862885"/>
        </patternFill>
      </fill>
    </dxf>
    <dxf>
      <fill>
        <patternFill>
          <bgColor theme="8" tint="0.59996337778862885"/>
        </patternFill>
      </fill>
    </dxf>
    <dxf>
      <fill>
        <patternFill>
          <bgColor theme="9" tint="0.59996337778862885"/>
        </patternFill>
      </fill>
    </dxf>
    <dxf>
      <fill>
        <patternFill patternType="solid">
          <fgColor rgb="FFB4C6E7"/>
          <bgColor rgb="FFB4C6E7"/>
        </patternFill>
      </fill>
    </dxf>
    <dxf>
      <fill>
        <patternFill patternType="solid">
          <fgColor rgb="FFD9E2F3"/>
          <bgColor rgb="FFD9E2F3"/>
        </patternFill>
      </fill>
    </dxf>
    <dxf>
      <fill>
        <patternFill patternType="solid">
          <fgColor theme="4"/>
          <bgColor theme="4"/>
        </patternFill>
      </fill>
    </dxf>
    <dxf>
      <fill>
        <patternFill patternType="solid">
          <fgColor rgb="FFB4C6E7"/>
          <bgColor rgb="FFB4C6E7"/>
        </patternFill>
      </fill>
    </dxf>
    <dxf>
      <fill>
        <patternFill patternType="solid">
          <fgColor rgb="FFD9E2F3"/>
          <bgColor rgb="FFD9E2F3"/>
        </patternFill>
      </fill>
    </dxf>
    <dxf>
      <fill>
        <patternFill patternType="solid">
          <fgColor theme="4"/>
          <bgColor theme="4"/>
        </patternFill>
      </fill>
    </dxf>
    <dxf>
      <fill>
        <patternFill patternType="solid">
          <fgColor rgb="FFDDF2F0"/>
          <bgColor rgb="FFDDF2F0"/>
        </patternFill>
      </fill>
    </dxf>
    <dxf>
      <fill>
        <patternFill patternType="solid">
          <fgColor rgb="FFFFFFFF"/>
          <bgColor rgb="FFFFFFFF"/>
        </patternFill>
      </fill>
    </dxf>
    <dxf>
      <fill>
        <patternFill patternType="solid">
          <fgColor rgb="FF26A69A"/>
          <bgColor rgb="FF26A69A"/>
        </patternFill>
      </fill>
    </dxf>
    <dxf>
      <fill>
        <patternFill patternType="solid">
          <fgColor rgb="FFB4C6E7"/>
          <bgColor rgb="FFB4C6E7"/>
        </patternFill>
      </fill>
    </dxf>
    <dxf>
      <fill>
        <patternFill patternType="solid">
          <fgColor rgb="FFD9E2F3"/>
          <bgColor rgb="FFD9E2F3"/>
        </patternFill>
      </fill>
    </dxf>
    <dxf>
      <fill>
        <patternFill patternType="solid">
          <fgColor rgb="FFE7F9EF"/>
          <bgColor rgb="FFE7F9EF"/>
        </patternFill>
      </fill>
    </dxf>
    <dxf>
      <fill>
        <patternFill patternType="solid">
          <fgColor rgb="FFFFFFFF"/>
          <bgColor rgb="FFFFFFFF"/>
        </patternFill>
      </fill>
    </dxf>
    <dxf>
      <fill>
        <patternFill patternType="solid">
          <fgColor rgb="FF63D297"/>
          <bgColor rgb="FF63D297"/>
        </patternFill>
      </fill>
    </dxf>
    <dxf>
      <fill>
        <patternFill patternType="solid">
          <fgColor rgb="FFB4C6E7"/>
          <bgColor rgb="FFB4C6E7"/>
        </patternFill>
      </fill>
    </dxf>
    <dxf>
      <fill>
        <patternFill patternType="solid">
          <fgColor rgb="FFD9E2F3"/>
          <bgColor rgb="FFD9E2F3"/>
        </patternFill>
      </fill>
    </dxf>
    <dxf>
      <fill>
        <patternFill patternType="solid">
          <fgColor theme="4"/>
          <bgColor theme="4"/>
        </patternFill>
      </fill>
    </dxf>
  </dxfs>
  <tableStyles count="6">
    <tableStyle name="IS-style" pivot="0" count="3" xr9:uid="{00000000-0011-0000-FFFF-FFFF00000000}">
      <tableStyleElement type="headerRow" dxfId="20"/>
      <tableStyleElement type="firstRowStripe" dxfId="19"/>
      <tableStyleElement type="secondRowStripe" dxfId="18"/>
    </tableStyle>
    <tableStyle name="IS-style 2" pivot="0" count="3" xr9:uid="{00000000-0011-0000-FFFF-FFFF01000000}">
      <tableStyleElement type="headerRow" dxfId="17"/>
      <tableStyleElement type="firstRowStripe" dxfId="16"/>
      <tableStyleElement type="secondRowStripe" dxfId="15"/>
    </tableStyle>
    <tableStyle name="IS-style 3" pivot="0" count="2" xr9:uid="{00000000-0011-0000-FFFF-FFFF02000000}">
      <tableStyleElement type="firstRowStripe" dxfId="14"/>
      <tableStyleElement type="secondRowStripe" dxfId="13"/>
    </tableStyle>
    <tableStyle name="BS editable-style" pivot="0" count="3" xr9:uid="{00000000-0011-0000-FFFF-FFFF03000000}">
      <tableStyleElement type="headerRow" dxfId="12"/>
      <tableStyleElement type="firstRowStripe" dxfId="11"/>
      <tableStyleElement type="secondRowStripe" dxfId="10"/>
    </tableStyle>
    <tableStyle name="BS-style" pivot="0" count="3" xr9:uid="{00000000-0011-0000-FFFF-FFFF04000000}">
      <tableStyleElement type="headerRow" dxfId="9"/>
      <tableStyleElement type="firstRowStripe" dxfId="8"/>
      <tableStyleElement type="secondRowStripe" dxfId="7"/>
    </tableStyle>
    <tableStyle name="CF editable-style" pivot="0" count="3" xr9:uid="{00000000-0011-0000-FFFF-FFFF05000000}">
      <tableStyleElement type="headerRow" dxfId="6"/>
      <tableStyleElement type="firstRowStripe" dxfId="5"/>
      <tableStyleElement type="secondRowStripe" dxfId="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externalLink" Target="externalLinks/externalLink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6.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1.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5.xml"/><Relationship Id="rId32" Type="http://schemas.openxmlformats.org/officeDocument/2006/relationships/customXml" Target="../customXml/item3.xml"/><Relationship Id="rId37" Type="http://schemas.microsoft.com/office/2017/10/relationships/person" Target="persons/perso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4.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3.xml"/><Relationship Id="rId27" Type="http://schemas.openxmlformats.org/officeDocument/2006/relationships/styles" Target="styles.xml"/><Relationship Id="rId30" Type="http://schemas.openxmlformats.org/officeDocument/2006/relationships/customXml" Target="../customXml/item1.xml"/><Relationship Id="rId8" Type="http://schemas.openxmlformats.org/officeDocument/2006/relationships/worksheet" Target="worksheets/sheet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HPG's Historical</a:t>
            </a:r>
            <a:r>
              <a:rPr lang="en-US" baseline="0"/>
              <a:t> P/E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'IS HPG (base)'!$C$119:$I$119</c:f>
              <c:strCache>
                <c:ptCount val="7"/>
                <c:pt idx="0">
                  <c:v>2016</c:v>
                </c:pt>
                <c:pt idx="1">
                  <c:v>2017</c:v>
                </c:pt>
                <c:pt idx="2">
                  <c:v>2018</c:v>
                </c:pt>
                <c:pt idx="3">
                  <c:v>2019</c:v>
                </c:pt>
                <c:pt idx="4">
                  <c:v>2020</c:v>
                </c:pt>
                <c:pt idx="5">
                  <c:v>2021</c:v>
                </c:pt>
                <c:pt idx="6">
                  <c:v>2022</c:v>
                </c:pt>
              </c:strCache>
            </c:strRef>
          </c:cat>
          <c:val>
            <c:numRef>
              <c:f>'IS HPG (base)'!$C$121:$I$121</c:f>
              <c:numCache>
                <c:formatCode>0.00</c:formatCode>
                <c:ptCount val="7"/>
                <c:pt idx="0">
                  <c:v>7.2</c:v>
                </c:pt>
                <c:pt idx="1">
                  <c:v>10.199999999999999</c:v>
                </c:pt>
                <c:pt idx="2">
                  <c:v>7.1</c:v>
                </c:pt>
                <c:pt idx="3">
                  <c:v>8.8000000000000007</c:v>
                </c:pt>
                <c:pt idx="4">
                  <c:v>13.6</c:v>
                </c:pt>
                <c:pt idx="5">
                  <c:v>6.8</c:v>
                </c:pt>
                <c:pt idx="6">
                  <c:v>6.5</c:v>
                </c:pt>
              </c:numCache>
            </c:numRef>
          </c:val>
          <c:smooth val="0"/>
          <c:extLst>
            <c:ext xmlns:c16="http://schemas.microsoft.com/office/drawing/2014/chart" uri="{C3380CC4-5D6E-409C-BE32-E72D297353CC}">
              <c16:uniqueId val="{00000000-B8A2-4132-A6DA-735C491CD89F}"/>
            </c:ext>
          </c:extLst>
        </c:ser>
        <c:dLbls>
          <c:showLegendKey val="0"/>
          <c:showVal val="0"/>
          <c:showCatName val="0"/>
          <c:showSerName val="0"/>
          <c:showPercent val="0"/>
          <c:showBubbleSize val="0"/>
        </c:dLbls>
        <c:marker val="1"/>
        <c:smooth val="0"/>
        <c:axId val="1559503679"/>
        <c:axId val="1558673743"/>
      </c:lineChart>
      <c:catAx>
        <c:axId val="15595036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8673743"/>
        <c:crosses val="autoZero"/>
        <c:auto val="1"/>
        <c:lblAlgn val="ctr"/>
        <c:lblOffset val="100"/>
        <c:noMultiLvlLbl val="0"/>
      </c:catAx>
      <c:valAx>
        <c:axId val="1558673743"/>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95036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'Close price'!$B$1</c:f>
              <c:strCache>
                <c:ptCount val="1"/>
                <c:pt idx="0">
                  <c:v>Lần cuối</c:v>
                </c:pt>
              </c:strCache>
            </c:strRef>
          </c:tx>
          <c:spPr>
            <a:ln w="28575" cap="rnd">
              <a:solidFill>
                <a:schemeClr val="accent1"/>
              </a:solidFill>
              <a:round/>
            </a:ln>
            <a:effectLst/>
          </c:spPr>
          <c:marker>
            <c:symbol val="none"/>
          </c:marker>
          <c:cat>
            <c:numRef>
              <c:f>'Close price'!$A$2:$A$287</c:f>
              <c:numCache>
                <c:formatCode>m/d/yyyy</c:formatCode>
                <c:ptCount val="286"/>
                <c:pt idx="0">
                  <c:v>45473</c:v>
                </c:pt>
                <c:pt idx="1">
                  <c:v>45466</c:v>
                </c:pt>
                <c:pt idx="2">
                  <c:v>45459</c:v>
                </c:pt>
                <c:pt idx="3">
                  <c:v>45452</c:v>
                </c:pt>
                <c:pt idx="4">
                  <c:v>45445</c:v>
                </c:pt>
                <c:pt idx="5">
                  <c:v>45438</c:v>
                </c:pt>
                <c:pt idx="6">
                  <c:v>45431</c:v>
                </c:pt>
                <c:pt idx="7">
                  <c:v>45424</c:v>
                </c:pt>
                <c:pt idx="8">
                  <c:v>45417</c:v>
                </c:pt>
                <c:pt idx="9">
                  <c:v>45410</c:v>
                </c:pt>
                <c:pt idx="10">
                  <c:v>45403</c:v>
                </c:pt>
                <c:pt idx="11">
                  <c:v>45396</c:v>
                </c:pt>
                <c:pt idx="12">
                  <c:v>45389</c:v>
                </c:pt>
                <c:pt idx="13">
                  <c:v>45382</c:v>
                </c:pt>
                <c:pt idx="14">
                  <c:v>45375</c:v>
                </c:pt>
                <c:pt idx="15">
                  <c:v>45368</c:v>
                </c:pt>
                <c:pt idx="16">
                  <c:v>45361</c:v>
                </c:pt>
                <c:pt idx="17">
                  <c:v>45354</c:v>
                </c:pt>
                <c:pt idx="18">
                  <c:v>45347</c:v>
                </c:pt>
                <c:pt idx="19">
                  <c:v>45340</c:v>
                </c:pt>
                <c:pt idx="20">
                  <c:v>45333</c:v>
                </c:pt>
                <c:pt idx="21">
                  <c:v>45326</c:v>
                </c:pt>
                <c:pt idx="22">
                  <c:v>45319</c:v>
                </c:pt>
                <c:pt idx="23">
                  <c:v>45312</c:v>
                </c:pt>
                <c:pt idx="24">
                  <c:v>45305</c:v>
                </c:pt>
                <c:pt idx="25">
                  <c:v>45298</c:v>
                </c:pt>
                <c:pt idx="26">
                  <c:v>45291</c:v>
                </c:pt>
                <c:pt idx="27">
                  <c:v>45284</c:v>
                </c:pt>
                <c:pt idx="28">
                  <c:v>45277</c:v>
                </c:pt>
                <c:pt idx="29">
                  <c:v>45270</c:v>
                </c:pt>
                <c:pt idx="30">
                  <c:v>45263</c:v>
                </c:pt>
                <c:pt idx="31">
                  <c:v>45256</c:v>
                </c:pt>
                <c:pt idx="32">
                  <c:v>45249</c:v>
                </c:pt>
                <c:pt idx="33">
                  <c:v>45242</c:v>
                </c:pt>
                <c:pt idx="34">
                  <c:v>45235</c:v>
                </c:pt>
                <c:pt idx="35">
                  <c:v>45228</c:v>
                </c:pt>
                <c:pt idx="36">
                  <c:v>45221</c:v>
                </c:pt>
                <c:pt idx="37">
                  <c:v>45214</c:v>
                </c:pt>
                <c:pt idx="38">
                  <c:v>45207</c:v>
                </c:pt>
                <c:pt idx="39">
                  <c:v>45200</c:v>
                </c:pt>
                <c:pt idx="40">
                  <c:v>45193</c:v>
                </c:pt>
                <c:pt idx="41">
                  <c:v>45186</c:v>
                </c:pt>
                <c:pt idx="42">
                  <c:v>45179</c:v>
                </c:pt>
                <c:pt idx="43">
                  <c:v>45172</c:v>
                </c:pt>
                <c:pt idx="44">
                  <c:v>45165</c:v>
                </c:pt>
                <c:pt idx="45">
                  <c:v>45158</c:v>
                </c:pt>
                <c:pt idx="46">
                  <c:v>45151</c:v>
                </c:pt>
                <c:pt idx="47">
                  <c:v>45144</c:v>
                </c:pt>
                <c:pt idx="48">
                  <c:v>45137</c:v>
                </c:pt>
                <c:pt idx="49">
                  <c:v>45130</c:v>
                </c:pt>
                <c:pt idx="50">
                  <c:v>45123</c:v>
                </c:pt>
                <c:pt idx="51">
                  <c:v>45116</c:v>
                </c:pt>
                <c:pt idx="52">
                  <c:v>45109</c:v>
                </c:pt>
                <c:pt idx="53">
                  <c:v>45102</c:v>
                </c:pt>
                <c:pt idx="54">
                  <c:v>45095</c:v>
                </c:pt>
                <c:pt idx="55">
                  <c:v>45088</c:v>
                </c:pt>
                <c:pt idx="56">
                  <c:v>45081</c:v>
                </c:pt>
                <c:pt idx="57">
                  <c:v>45074</c:v>
                </c:pt>
                <c:pt idx="58">
                  <c:v>45067</c:v>
                </c:pt>
                <c:pt idx="59">
                  <c:v>45060</c:v>
                </c:pt>
                <c:pt idx="60">
                  <c:v>45053</c:v>
                </c:pt>
                <c:pt idx="61">
                  <c:v>45046</c:v>
                </c:pt>
                <c:pt idx="62">
                  <c:v>45039</c:v>
                </c:pt>
                <c:pt idx="63">
                  <c:v>45032</c:v>
                </c:pt>
                <c:pt idx="64">
                  <c:v>45025</c:v>
                </c:pt>
                <c:pt idx="65">
                  <c:v>45018</c:v>
                </c:pt>
                <c:pt idx="66">
                  <c:v>45011</c:v>
                </c:pt>
                <c:pt idx="67">
                  <c:v>45004</c:v>
                </c:pt>
                <c:pt idx="68">
                  <c:v>44997</c:v>
                </c:pt>
                <c:pt idx="69">
                  <c:v>44990</c:v>
                </c:pt>
                <c:pt idx="70">
                  <c:v>44983</c:v>
                </c:pt>
                <c:pt idx="71">
                  <c:v>44976</c:v>
                </c:pt>
                <c:pt idx="72">
                  <c:v>44969</c:v>
                </c:pt>
                <c:pt idx="73">
                  <c:v>44962</c:v>
                </c:pt>
                <c:pt idx="74">
                  <c:v>44955</c:v>
                </c:pt>
                <c:pt idx="75">
                  <c:v>44948</c:v>
                </c:pt>
                <c:pt idx="76">
                  <c:v>44941</c:v>
                </c:pt>
                <c:pt idx="77">
                  <c:v>44934</c:v>
                </c:pt>
                <c:pt idx="78">
                  <c:v>44927</c:v>
                </c:pt>
                <c:pt idx="79">
                  <c:v>44920</c:v>
                </c:pt>
                <c:pt idx="80">
                  <c:v>44913</c:v>
                </c:pt>
                <c:pt idx="81">
                  <c:v>44906</c:v>
                </c:pt>
                <c:pt idx="82">
                  <c:v>44899</c:v>
                </c:pt>
                <c:pt idx="83">
                  <c:v>44892</c:v>
                </c:pt>
                <c:pt idx="84">
                  <c:v>44885</c:v>
                </c:pt>
                <c:pt idx="85">
                  <c:v>44878</c:v>
                </c:pt>
                <c:pt idx="86">
                  <c:v>44871</c:v>
                </c:pt>
                <c:pt idx="87">
                  <c:v>44864</c:v>
                </c:pt>
                <c:pt idx="88">
                  <c:v>44857</c:v>
                </c:pt>
                <c:pt idx="89">
                  <c:v>44850</c:v>
                </c:pt>
                <c:pt idx="90">
                  <c:v>44843</c:v>
                </c:pt>
                <c:pt idx="91">
                  <c:v>44836</c:v>
                </c:pt>
                <c:pt idx="92">
                  <c:v>44829</c:v>
                </c:pt>
                <c:pt idx="93">
                  <c:v>44822</c:v>
                </c:pt>
                <c:pt idx="94">
                  <c:v>44815</c:v>
                </c:pt>
                <c:pt idx="95">
                  <c:v>44808</c:v>
                </c:pt>
                <c:pt idx="96">
                  <c:v>44801</c:v>
                </c:pt>
                <c:pt idx="97">
                  <c:v>44794</c:v>
                </c:pt>
                <c:pt idx="98">
                  <c:v>44787</c:v>
                </c:pt>
                <c:pt idx="99">
                  <c:v>44780</c:v>
                </c:pt>
                <c:pt idx="100">
                  <c:v>44773</c:v>
                </c:pt>
                <c:pt idx="101">
                  <c:v>44766</c:v>
                </c:pt>
                <c:pt idx="102">
                  <c:v>44759</c:v>
                </c:pt>
                <c:pt idx="103">
                  <c:v>44752</c:v>
                </c:pt>
                <c:pt idx="104">
                  <c:v>44745</c:v>
                </c:pt>
                <c:pt idx="105">
                  <c:v>44738</c:v>
                </c:pt>
                <c:pt idx="106">
                  <c:v>44731</c:v>
                </c:pt>
                <c:pt idx="107">
                  <c:v>44724</c:v>
                </c:pt>
                <c:pt idx="108">
                  <c:v>44717</c:v>
                </c:pt>
                <c:pt idx="109">
                  <c:v>44710</c:v>
                </c:pt>
                <c:pt idx="110">
                  <c:v>44703</c:v>
                </c:pt>
                <c:pt idx="111">
                  <c:v>44696</c:v>
                </c:pt>
                <c:pt idx="112">
                  <c:v>44689</c:v>
                </c:pt>
                <c:pt idx="113">
                  <c:v>44682</c:v>
                </c:pt>
                <c:pt idx="114">
                  <c:v>44675</c:v>
                </c:pt>
                <c:pt idx="115">
                  <c:v>44668</c:v>
                </c:pt>
                <c:pt idx="116">
                  <c:v>44661</c:v>
                </c:pt>
                <c:pt idx="117">
                  <c:v>44654</c:v>
                </c:pt>
                <c:pt idx="118">
                  <c:v>44647</c:v>
                </c:pt>
                <c:pt idx="119">
                  <c:v>44640</c:v>
                </c:pt>
                <c:pt idx="120">
                  <c:v>44633</c:v>
                </c:pt>
                <c:pt idx="121">
                  <c:v>44626</c:v>
                </c:pt>
                <c:pt idx="122">
                  <c:v>44619</c:v>
                </c:pt>
                <c:pt idx="123">
                  <c:v>44612</c:v>
                </c:pt>
                <c:pt idx="124">
                  <c:v>44605</c:v>
                </c:pt>
                <c:pt idx="125">
                  <c:v>44598</c:v>
                </c:pt>
                <c:pt idx="126">
                  <c:v>44591</c:v>
                </c:pt>
                <c:pt idx="127">
                  <c:v>44584</c:v>
                </c:pt>
                <c:pt idx="128">
                  <c:v>44577</c:v>
                </c:pt>
                <c:pt idx="129">
                  <c:v>44570</c:v>
                </c:pt>
                <c:pt idx="130">
                  <c:v>44563</c:v>
                </c:pt>
                <c:pt idx="131">
                  <c:v>44556</c:v>
                </c:pt>
                <c:pt idx="132">
                  <c:v>44549</c:v>
                </c:pt>
                <c:pt idx="133">
                  <c:v>44542</c:v>
                </c:pt>
                <c:pt idx="134">
                  <c:v>44535</c:v>
                </c:pt>
                <c:pt idx="135">
                  <c:v>44528</c:v>
                </c:pt>
                <c:pt idx="136">
                  <c:v>44521</c:v>
                </c:pt>
                <c:pt idx="137">
                  <c:v>44514</c:v>
                </c:pt>
                <c:pt idx="138">
                  <c:v>44507</c:v>
                </c:pt>
                <c:pt idx="139">
                  <c:v>44500</c:v>
                </c:pt>
                <c:pt idx="140">
                  <c:v>44493</c:v>
                </c:pt>
                <c:pt idx="141">
                  <c:v>44486</c:v>
                </c:pt>
                <c:pt idx="142">
                  <c:v>44479</c:v>
                </c:pt>
                <c:pt idx="143">
                  <c:v>44472</c:v>
                </c:pt>
                <c:pt idx="144">
                  <c:v>44465</c:v>
                </c:pt>
                <c:pt idx="145">
                  <c:v>44458</c:v>
                </c:pt>
                <c:pt idx="146">
                  <c:v>44451</c:v>
                </c:pt>
                <c:pt idx="147">
                  <c:v>44444</c:v>
                </c:pt>
                <c:pt idx="148">
                  <c:v>44437</c:v>
                </c:pt>
                <c:pt idx="149">
                  <c:v>44430</c:v>
                </c:pt>
                <c:pt idx="150">
                  <c:v>44423</c:v>
                </c:pt>
                <c:pt idx="151">
                  <c:v>44416</c:v>
                </c:pt>
                <c:pt idx="152">
                  <c:v>44409</c:v>
                </c:pt>
                <c:pt idx="153">
                  <c:v>44402</c:v>
                </c:pt>
                <c:pt idx="154">
                  <c:v>44395</c:v>
                </c:pt>
                <c:pt idx="155">
                  <c:v>44388</c:v>
                </c:pt>
                <c:pt idx="156">
                  <c:v>44381</c:v>
                </c:pt>
                <c:pt idx="157">
                  <c:v>44374</c:v>
                </c:pt>
                <c:pt idx="158">
                  <c:v>44367</c:v>
                </c:pt>
                <c:pt idx="159">
                  <c:v>44360</c:v>
                </c:pt>
                <c:pt idx="160">
                  <c:v>44353</c:v>
                </c:pt>
                <c:pt idx="161">
                  <c:v>44346</c:v>
                </c:pt>
                <c:pt idx="162">
                  <c:v>44339</c:v>
                </c:pt>
                <c:pt idx="163">
                  <c:v>44332</c:v>
                </c:pt>
                <c:pt idx="164">
                  <c:v>44325</c:v>
                </c:pt>
                <c:pt idx="165">
                  <c:v>44318</c:v>
                </c:pt>
                <c:pt idx="166">
                  <c:v>44311</c:v>
                </c:pt>
                <c:pt idx="167">
                  <c:v>44304</c:v>
                </c:pt>
                <c:pt idx="168">
                  <c:v>44297</c:v>
                </c:pt>
                <c:pt idx="169">
                  <c:v>44290</c:v>
                </c:pt>
                <c:pt idx="170">
                  <c:v>44283</c:v>
                </c:pt>
                <c:pt idx="171">
                  <c:v>44276</c:v>
                </c:pt>
                <c:pt idx="172">
                  <c:v>44269</c:v>
                </c:pt>
                <c:pt idx="173">
                  <c:v>44262</c:v>
                </c:pt>
                <c:pt idx="174">
                  <c:v>44255</c:v>
                </c:pt>
                <c:pt idx="175">
                  <c:v>44248</c:v>
                </c:pt>
                <c:pt idx="176">
                  <c:v>44241</c:v>
                </c:pt>
                <c:pt idx="177">
                  <c:v>44234</c:v>
                </c:pt>
                <c:pt idx="178">
                  <c:v>44227</c:v>
                </c:pt>
                <c:pt idx="179">
                  <c:v>44220</c:v>
                </c:pt>
                <c:pt idx="180">
                  <c:v>44213</c:v>
                </c:pt>
                <c:pt idx="181">
                  <c:v>44206</c:v>
                </c:pt>
                <c:pt idx="182">
                  <c:v>44199</c:v>
                </c:pt>
                <c:pt idx="183">
                  <c:v>44192</c:v>
                </c:pt>
                <c:pt idx="184">
                  <c:v>44185</c:v>
                </c:pt>
                <c:pt idx="185">
                  <c:v>44178</c:v>
                </c:pt>
                <c:pt idx="186">
                  <c:v>44171</c:v>
                </c:pt>
                <c:pt idx="187">
                  <c:v>44164</c:v>
                </c:pt>
                <c:pt idx="188">
                  <c:v>44157</c:v>
                </c:pt>
                <c:pt idx="189">
                  <c:v>44150</c:v>
                </c:pt>
                <c:pt idx="190">
                  <c:v>44143</c:v>
                </c:pt>
                <c:pt idx="191">
                  <c:v>44136</c:v>
                </c:pt>
                <c:pt idx="192">
                  <c:v>44129</c:v>
                </c:pt>
                <c:pt idx="193">
                  <c:v>44122</c:v>
                </c:pt>
                <c:pt idx="194">
                  <c:v>44115</c:v>
                </c:pt>
                <c:pt idx="195">
                  <c:v>44108</c:v>
                </c:pt>
                <c:pt idx="196">
                  <c:v>44101</c:v>
                </c:pt>
                <c:pt idx="197">
                  <c:v>44094</c:v>
                </c:pt>
                <c:pt idx="198">
                  <c:v>44087</c:v>
                </c:pt>
                <c:pt idx="199">
                  <c:v>44080</c:v>
                </c:pt>
                <c:pt idx="200">
                  <c:v>44073</c:v>
                </c:pt>
                <c:pt idx="201">
                  <c:v>44066</c:v>
                </c:pt>
                <c:pt idx="202">
                  <c:v>44059</c:v>
                </c:pt>
                <c:pt idx="203">
                  <c:v>44052</c:v>
                </c:pt>
                <c:pt idx="204">
                  <c:v>44045</c:v>
                </c:pt>
                <c:pt idx="205">
                  <c:v>44038</c:v>
                </c:pt>
                <c:pt idx="206">
                  <c:v>44031</c:v>
                </c:pt>
                <c:pt idx="207">
                  <c:v>44024</c:v>
                </c:pt>
                <c:pt idx="208">
                  <c:v>44017</c:v>
                </c:pt>
                <c:pt idx="209">
                  <c:v>44010</c:v>
                </c:pt>
                <c:pt idx="210">
                  <c:v>44003</c:v>
                </c:pt>
                <c:pt idx="211">
                  <c:v>43996</c:v>
                </c:pt>
                <c:pt idx="212">
                  <c:v>43989</c:v>
                </c:pt>
                <c:pt idx="213">
                  <c:v>43982</c:v>
                </c:pt>
                <c:pt idx="214">
                  <c:v>43975</c:v>
                </c:pt>
                <c:pt idx="215">
                  <c:v>43968</c:v>
                </c:pt>
                <c:pt idx="216">
                  <c:v>43961</c:v>
                </c:pt>
                <c:pt idx="217">
                  <c:v>43954</c:v>
                </c:pt>
                <c:pt idx="218">
                  <c:v>43947</c:v>
                </c:pt>
                <c:pt idx="219">
                  <c:v>43940</c:v>
                </c:pt>
                <c:pt idx="220">
                  <c:v>43933</c:v>
                </c:pt>
                <c:pt idx="221">
                  <c:v>43926</c:v>
                </c:pt>
                <c:pt idx="222">
                  <c:v>43919</c:v>
                </c:pt>
                <c:pt idx="223">
                  <c:v>43912</c:v>
                </c:pt>
                <c:pt idx="224">
                  <c:v>43905</c:v>
                </c:pt>
                <c:pt idx="225">
                  <c:v>43898</c:v>
                </c:pt>
                <c:pt idx="226">
                  <c:v>43891</c:v>
                </c:pt>
                <c:pt idx="227">
                  <c:v>43884</c:v>
                </c:pt>
                <c:pt idx="228">
                  <c:v>43877</c:v>
                </c:pt>
                <c:pt idx="229">
                  <c:v>43870</c:v>
                </c:pt>
                <c:pt idx="230">
                  <c:v>43863</c:v>
                </c:pt>
                <c:pt idx="231">
                  <c:v>43856</c:v>
                </c:pt>
                <c:pt idx="232">
                  <c:v>43849</c:v>
                </c:pt>
                <c:pt idx="233">
                  <c:v>43842</c:v>
                </c:pt>
                <c:pt idx="234">
                  <c:v>43835</c:v>
                </c:pt>
                <c:pt idx="235">
                  <c:v>43828</c:v>
                </c:pt>
                <c:pt idx="236">
                  <c:v>43821</c:v>
                </c:pt>
                <c:pt idx="237">
                  <c:v>43814</c:v>
                </c:pt>
                <c:pt idx="238">
                  <c:v>43807</c:v>
                </c:pt>
                <c:pt idx="239">
                  <c:v>43800</c:v>
                </c:pt>
                <c:pt idx="240">
                  <c:v>43793</c:v>
                </c:pt>
                <c:pt idx="241">
                  <c:v>43786</c:v>
                </c:pt>
                <c:pt idx="242">
                  <c:v>43779</c:v>
                </c:pt>
                <c:pt idx="243">
                  <c:v>43772</c:v>
                </c:pt>
                <c:pt idx="244">
                  <c:v>43765</c:v>
                </c:pt>
                <c:pt idx="245">
                  <c:v>43758</c:v>
                </c:pt>
                <c:pt idx="246">
                  <c:v>43751</c:v>
                </c:pt>
                <c:pt idx="247">
                  <c:v>43744</c:v>
                </c:pt>
                <c:pt idx="248">
                  <c:v>43737</c:v>
                </c:pt>
                <c:pt idx="249">
                  <c:v>43730</c:v>
                </c:pt>
                <c:pt idx="250">
                  <c:v>43723</c:v>
                </c:pt>
                <c:pt idx="251">
                  <c:v>43716</c:v>
                </c:pt>
                <c:pt idx="252">
                  <c:v>43709</c:v>
                </c:pt>
                <c:pt idx="253">
                  <c:v>43702</c:v>
                </c:pt>
                <c:pt idx="254">
                  <c:v>43695</c:v>
                </c:pt>
                <c:pt idx="255">
                  <c:v>43688</c:v>
                </c:pt>
                <c:pt idx="256">
                  <c:v>43681</c:v>
                </c:pt>
                <c:pt idx="257">
                  <c:v>43674</c:v>
                </c:pt>
                <c:pt idx="258">
                  <c:v>43667</c:v>
                </c:pt>
                <c:pt idx="259">
                  <c:v>43660</c:v>
                </c:pt>
                <c:pt idx="260">
                  <c:v>43653</c:v>
                </c:pt>
                <c:pt idx="261">
                  <c:v>43646</c:v>
                </c:pt>
                <c:pt idx="262">
                  <c:v>43639</c:v>
                </c:pt>
                <c:pt idx="263">
                  <c:v>43632</c:v>
                </c:pt>
                <c:pt idx="264">
                  <c:v>43625</c:v>
                </c:pt>
                <c:pt idx="265">
                  <c:v>43618</c:v>
                </c:pt>
                <c:pt idx="266">
                  <c:v>43611</c:v>
                </c:pt>
                <c:pt idx="267">
                  <c:v>43604</c:v>
                </c:pt>
                <c:pt idx="268">
                  <c:v>43597</c:v>
                </c:pt>
                <c:pt idx="269">
                  <c:v>43590</c:v>
                </c:pt>
                <c:pt idx="270">
                  <c:v>43583</c:v>
                </c:pt>
                <c:pt idx="271">
                  <c:v>43576</c:v>
                </c:pt>
                <c:pt idx="272">
                  <c:v>43569</c:v>
                </c:pt>
                <c:pt idx="273">
                  <c:v>43562</c:v>
                </c:pt>
                <c:pt idx="274">
                  <c:v>43555</c:v>
                </c:pt>
                <c:pt idx="275">
                  <c:v>43548</c:v>
                </c:pt>
                <c:pt idx="276">
                  <c:v>43541</c:v>
                </c:pt>
                <c:pt idx="277">
                  <c:v>43534</c:v>
                </c:pt>
                <c:pt idx="278">
                  <c:v>43527</c:v>
                </c:pt>
                <c:pt idx="279">
                  <c:v>43520</c:v>
                </c:pt>
                <c:pt idx="280">
                  <c:v>43513</c:v>
                </c:pt>
                <c:pt idx="281">
                  <c:v>43506</c:v>
                </c:pt>
                <c:pt idx="282">
                  <c:v>43492</c:v>
                </c:pt>
                <c:pt idx="283">
                  <c:v>43485</c:v>
                </c:pt>
                <c:pt idx="284">
                  <c:v>43478</c:v>
                </c:pt>
                <c:pt idx="285">
                  <c:v>43471</c:v>
                </c:pt>
              </c:numCache>
            </c:numRef>
          </c:cat>
          <c:val>
            <c:numRef>
              <c:f>'Close price'!$B$2:$B$287</c:f>
              <c:numCache>
                <c:formatCode>#,##0.00</c:formatCode>
                <c:ptCount val="286"/>
                <c:pt idx="0">
                  <c:v>28800</c:v>
                </c:pt>
                <c:pt idx="1">
                  <c:v>28300</c:v>
                </c:pt>
                <c:pt idx="2">
                  <c:v>29050</c:v>
                </c:pt>
                <c:pt idx="3">
                  <c:v>29100</c:v>
                </c:pt>
                <c:pt idx="4">
                  <c:v>29300</c:v>
                </c:pt>
                <c:pt idx="5">
                  <c:v>28600</c:v>
                </c:pt>
                <c:pt idx="6">
                  <c:v>28900</c:v>
                </c:pt>
                <c:pt idx="7">
                  <c:v>28727.3</c:v>
                </c:pt>
                <c:pt idx="8">
                  <c:v>27681.8</c:v>
                </c:pt>
                <c:pt idx="9">
                  <c:v>26045.5</c:v>
                </c:pt>
                <c:pt idx="10">
                  <c:v>25818.2</c:v>
                </c:pt>
                <c:pt idx="11">
                  <c:v>25272.7</c:v>
                </c:pt>
                <c:pt idx="12">
                  <c:v>27227.3</c:v>
                </c:pt>
                <c:pt idx="13">
                  <c:v>26772.7</c:v>
                </c:pt>
                <c:pt idx="14">
                  <c:v>27500</c:v>
                </c:pt>
                <c:pt idx="15">
                  <c:v>27772.7</c:v>
                </c:pt>
                <c:pt idx="16">
                  <c:v>27363.599999999999</c:v>
                </c:pt>
                <c:pt idx="17">
                  <c:v>27545.5</c:v>
                </c:pt>
                <c:pt idx="18">
                  <c:v>28045.5</c:v>
                </c:pt>
                <c:pt idx="19">
                  <c:v>25818.2</c:v>
                </c:pt>
                <c:pt idx="20">
                  <c:v>26000</c:v>
                </c:pt>
                <c:pt idx="21">
                  <c:v>25590.9</c:v>
                </c:pt>
                <c:pt idx="22">
                  <c:v>25363.599999999999</c:v>
                </c:pt>
                <c:pt idx="23">
                  <c:v>25772.7</c:v>
                </c:pt>
                <c:pt idx="24">
                  <c:v>25272.7</c:v>
                </c:pt>
                <c:pt idx="25">
                  <c:v>24681.8</c:v>
                </c:pt>
                <c:pt idx="26">
                  <c:v>25272.7</c:v>
                </c:pt>
                <c:pt idx="27">
                  <c:v>25409.1</c:v>
                </c:pt>
                <c:pt idx="28">
                  <c:v>24590.9</c:v>
                </c:pt>
                <c:pt idx="29">
                  <c:v>24363.599999999999</c:v>
                </c:pt>
                <c:pt idx="30">
                  <c:v>25181.8</c:v>
                </c:pt>
                <c:pt idx="31">
                  <c:v>24454.5</c:v>
                </c:pt>
                <c:pt idx="32">
                  <c:v>24000</c:v>
                </c:pt>
                <c:pt idx="33">
                  <c:v>24090.9</c:v>
                </c:pt>
                <c:pt idx="34">
                  <c:v>24090.9</c:v>
                </c:pt>
                <c:pt idx="35">
                  <c:v>22818.2</c:v>
                </c:pt>
                <c:pt idx="36">
                  <c:v>21227.3</c:v>
                </c:pt>
                <c:pt idx="37">
                  <c:v>22136.400000000001</c:v>
                </c:pt>
                <c:pt idx="38">
                  <c:v>23409.1</c:v>
                </c:pt>
                <c:pt idx="39">
                  <c:v>22681.8</c:v>
                </c:pt>
                <c:pt idx="40">
                  <c:v>23909.1</c:v>
                </c:pt>
                <c:pt idx="41">
                  <c:v>24818.2</c:v>
                </c:pt>
                <c:pt idx="42">
                  <c:v>25090.9</c:v>
                </c:pt>
                <c:pt idx="43">
                  <c:v>26136.400000000001</c:v>
                </c:pt>
                <c:pt idx="44">
                  <c:v>25090.9</c:v>
                </c:pt>
                <c:pt idx="45">
                  <c:v>23590.9</c:v>
                </c:pt>
                <c:pt idx="46">
                  <c:v>24090.9</c:v>
                </c:pt>
                <c:pt idx="47">
                  <c:v>25181.8</c:v>
                </c:pt>
                <c:pt idx="48">
                  <c:v>24863.599999999999</c:v>
                </c:pt>
                <c:pt idx="49">
                  <c:v>25727.3</c:v>
                </c:pt>
                <c:pt idx="50">
                  <c:v>25818.2</c:v>
                </c:pt>
                <c:pt idx="51">
                  <c:v>25000</c:v>
                </c:pt>
                <c:pt idx="52">
                  <c:v>24954.5</c:v>
                </c:pt>
                <c:pt idx="53">
                  <c:v>23772.7</c:v>
                </c:pt>
                <c:pt idx="54">
                  <c:v>23090.9</c:v>
                </c:pt>
                <c:pt idx="55">
                  <c:v>21318.2</c:v>
                </c:pt>
                <c:pt idx="56">
                  <c:v>20818.2</c:v>
                </c:pt>
                <c:pt idx="57">
                  <c:v>19636.400000000001</c:v>
                </c:pt>
                <c:pt idx="58">
                  <c:v>19181.8</c:v>
                </c:pt>
                <c:pt idx="59">
                  <c:v>19818.2</c:v>
                </c:pt>
                <c:pt idx="60">
                  <c:v>20318.2</c:v>
                </c:pt>
                <c:pt idx="61">
                  <c:v>19500</c:v>
                </c:pt>
                <c:pt idx="62">
                  <c:v>19681.8</c:v>
                </c:pt>
                <c:pt idx="63">
                  <c:v>18818.2</c:v>
                </c:pt>
                <c:pt idx="64">
                  <c:v>18772.7</c:v>
                </c:pt>
                <c:pt idx="65">
                  <c:v>19272.7</c:v>
                </c:pt>
                <c:pt idx="66">
                  <c:v>18909.099999999999</c:v>
                </c:pt>
                <c:pt idx="67">
                  <c:v>18545.5</c:v>
                </c:pt>
                <c:pt idx="68">
                  <c:v>18545.5</c:v>
                </c:pt>
                <c:pt idx="69">
                  <c:v>19363.599999999999</c:v>
                </c:pt>
                <c:pt idx="70">
                  <c:v>18500</c:v>
                </c:pt>
                <c:pt idx="71">
                  <c:v>18909.099999999999</c:v>
                </c:pt>
                <c:pt idx="72">
                  <c:v>19090.900000000001</c:v>
                </c:pt>
                <c:pt idx="73">
                  <c:v>18636.400000000001</c:v>
                </c:pt>
                <c:pt idx="74">
                  <c:v>19181.8</c:v>
                </c:pt>
                <c:pt idx="75">
                  <c:v>19545.5</c:v>
                </c:pt>
                <c:pt idx="76">
                  <c:v>19227.3</c:v>
                </c:pt>
                <c:pt idx="77">
                  <c:v>18136.400000000001</c:v>
                </c:pt>
                <c:pt idx="78">
                  <c:v>17636.400000000001</c:v>
                </c:pt>
                <c:pt idx="79">
                  <c:v>16363.6</c:v>
                </c:pt>
                <c:pt idx="80">
                  <c:v>16681.8</c:v>
                </c:pt>
                <c:pt idx="81">
                  <c:v>18545.5</c:v>
                </c:pt>
                <c:pt idx="82">
                  <c:v>17454.5</c:v>
                </c:pt>
                <c:pt idx="83">
                  <c:v>17681.8</c:v>
                </c:pt>
                <c:pt idx="84">
                  <c:v>13909.1</c:v>
                </c:pt>
                <c:pt idx="85">
                  <c:v>13727.3</c:v>
                </c:pt>
                <c:pt idx="86">
                  <c:v>11181.8</c:v>
                </c:pt>
                <c:pt idx="87">
                  <c:v>13318.2</c:v>
                </c:pt>
                <c:pt idx="88">
                  <c:v>15272.7</c:v>
                </c:pt>
                <c:pt idx="89">
                  <c:v>15363.6</c:v>
                </c:pt>
                <c:pt idx="90">
                  <c:v>17681.8</c:v>
                </c:pt>
                <c:pt idx="91">
                  <c:v>16000</c:v>
                </c:pt>
                <c:pt idx="92">
                  <c:v>19272.7</c:v>
                </c:pt>
                <c:pt idx="93">
                  <c:v>20636.400000000001</c:v>
                </c:pt>
                <c:pt idx="94">
                  <c:v>20909.099999999999</c:v>
                </c:pt>
                <c:pt idx="95">
                  <c:v>21636.400000000001</c:v>
                </c:pt>
                <c:pt idx="96">
                  <c:v>20909.099999999999</c:v>
                </c:pt>
                <c:pt idx="97">
                  <c:v>21363.599999999999</c:v>
                </c:pt>
                <c:pt idx="98">
                  <c:v>21590.9</c:v>
                </c:pt>
                <c:pt idx="99">
                  <c:v>21772.7</c:v>
                </c:pt>
                <c:pt idx="100">
                  <c:v>21181.8</c:v>
                </c:pt>
                <c:pt idx="101">
                  <c:v>19545.5</c:v>
                </c:pt>
                <c:pt idx="102">
                  <c:v>20181.8</c:v>
                </c:pt>
                <c:pt idx="103">
                  <c:v>21090.9</c:v>
                </c:pt>
                <c:pt idx="104">
                  <c:v>20409.099999999999</c:v>
                </c:pt>
                <c:pt idx="105">
                  <c:v>20363.599999999999</c:v>
                </c:pt>
                <c:pt idx="106">
                  <c:v>19818.2</c:v>
                </c:pt>
                <c:pt idx="107">
                  <c:v>21090.9</c:v>
                </c:pt>
                <c:pt idx="108">
                  <c:v>23117.5</c:v>
                </c:pt>
                <c:pt idx="109">
                  <c:v>22979.9</c:v>
                </c:pt>
                <c:pt idx="110">
                  <c:v>24390.400000000001</c:v>
                </c:pt>
                <c:pt idx="111">
                  <c:v>25904</c:v>
                </c:pt>
                <c:pt idx="112">
                  <c:v>24700</c:v>
                </c:pt>
                <c:pt idx="113">
                  <c:v>28759.3</c:v>
                </c:pt>
                <c:pt idx="114">
                  <c:v>29791.4</c:v>
                </c:pt>
                <c:pt idx="115">
                  <c:v>30135.4</c:v>
                </c:pt>
                <c:pt idx="116">
                  <c:v>30410.6</c:v>
                </c:pt>
                <c:pt idx="117">
                  <c:v>31924.2</c:v>
                </c:pt>
                <c:pt idx="118">
                  <c:v>31442.6</c:v>
                </c:pt>
                <c:pt idx="119">
                  <c:v>31924.2</c:v>
                </c:pt>
                <c:pt idx="120">
                  <c:v>31993</c:v>
                </c:pt>
                <c:pt idx="121">
                  <c:v>32749.8</c:v>
                </c:pt>
                <c:pt idx="122">
                  <c:v>34263.5</c:v>
                </c:pt>
                <c:pt idx="123">
                  <c:v>31580.2</c:v>
                </c:pt>
                <c:pt idx="124">
                  <c:v>32371.4</c:v>
                </c:pt>
                <c:pt idx="125">
                  <c:v>32440.2</c:v>
                </c:pt>
                <c:pt idx="126">
                  <c:v>29034.5</c:v>
                </c:pt>
                <c:pt idx="127">
                  <c:v>29791.4</c:v>
                </c:pt>
                <c:pt idx="128">
                  <c:v>31821</c:v>
                </c:pt>
                <c:pt idx="129">
                  <c:v>31511.4</c:v>
                </c:pt>
                <c:pt idx="130">
                  <c:v>31924.2</c:v>
                </c:pt>
                <c:pt idx="131">
                  <c:v>31683.4</c:v>
                </c:pt>
                <c:pt idx="132">
                  <c:v>32130.6</c:v>
                </c:pt>
                <c:pt idx="133">
                  <c:v>31993</c:v>
                </c:pt>
                <c:pt idx="134">
                  <c:v>32818.6</c:v>
                </c:pt>
                <c:pt idx="135">
                  <c:v>33747.5</c:v>
                </c:pt>
                <c:pt idx="136">
                  <c:v>33025.1</c:v>
                </c:pt>
                <c:pt idx="137">
                  <c:v>37566</c:v>
                </c:pt>
                <c:pt idx="138">
                  <c:v>38942</c:v>
                </c:pt>
                <c:pt idx="139">
                  <c:v>39286.1</c:v>
                </c:pt>
                <c:pt idx="140">
                  <c:v>39010.800000000003</c:v>
                </c:pt>
                <c:pt idx="141">
                  <c:v>39423.699999999997</c:v>
                </c:pt>
                <c:pt idx="142">
                  <c:v>38322.800000000003</c:v>
                </c:pt>
                <c:pt idx="143">
                  <c:v>36740.400000000001</c:v>
                </c:pt>
                <c:pt idx="144">
                  <c:v>34951.5</c:v>
                </c:pt>
                <c:pt idx="145">
                  <c:v>35639.5</c:v>
                </c:pt>
                <c:pt idx="146">
                  <c:v>35433.1</c:v>
                </c:pt>
                <c:pt idx="147">
                  <c:v>33850.699999999997</c:v>
                </c:pt>
                <c:pt idx="148">
                  <c:v>32749.8</c:v>
                </c:pt>
                <c:pt idx="149">
                  <c:v>33713.1</c:v>
                </c:pt>
                <c:pt idx="150">
                  <c:v>33472.300000000003</c:v>
                </c:pt>
                <c:pt idx="151">
                  <c:v>33300.300000000003</c:v>
                </c:pt>
                <c:pt idx="152">
                  <c:v>32543.4</c:v>
                </c:pt>
                <c:pt idx="153">
                  <c:v>31511.4</c:v>
                </c:pt>
                <c:pt idx="154">
                  <c:v>32165</c:v>
                </c:pt>
                <c:pt idx="155">
                  <c:v>32543.4</c:v>
                </c:pt>
                <c:pt idx="156">
                  <c:v>35983.5</c:v>
                </c:pt>
                <c:pt idx="157">
                  <c:v>34882.699999999997</c:v>
                </c:pt>
                <c:pt idx="158">
                  <c:v>35845.9</c:v>
                </c:pt>
                <c:pt idx="159">
                  <c:v>36534</c:v>
                </c:pt>
                <c:pt idx="160">
                  <c:v>37497.199999999997</c:v>
                </c:pt>
                <c:pt idx="161">
                  <c:v>34008.5</c:v>
                </c:pt>
                <c:pt idx="162">
                  <c:v>33248.199999999997</c:v>
                </c:pt>
                <c:pt idx="163">
                  <c:v>31119.5</c:v>
                </c:pt>
                <c:pt idx="164">
                  <c:v>30815.4</c:v>
                </c:pt>
                <c:pt idx="165">
                  <c:v>29447</c:v>
                </c:pt>
                <c:pt idx="166">
                  <c:v>28585.4</c:v>
                </c:pt>
                <c:pt idx="167">
                  <c:v>27673.1</c:v>
                </c:pt>
                <c:pt idx="168">
                  <c:v>25113.599999999999</c:v>
                </c:pt>
                <c:pt idx="169">
                  <c:v>24860.1</c:v>
                </c:pt>
                <c:pt idx="170">
                  <c:v>23415.7</c:v>
                </c:pt>
                <c:pt idx="171">
                  <c:v>23897.200000000001</c:v>
                </c:pt>
                <c:pt idx="172">
                  <c:v>23542.400000000001</c:v>
                </c:pt>
                <c:pt idx="173">
                  <c:v>23314.3</c:v>
                </c:pt>
                <c:pt idx="174">
                  <c:v>23111.599999999999</c:v>
                </c:pt>
                <c:pt idx="175">
                  <c:v>22021.9</c:v>
                </c:pt>
                <c:pt idx="176">
                  <c:v>21185.599999999999</c:v>
                </c:pt>
                <c:pt idx="177">
                  <c:v>21540.400000000001</c:v>
                </c:pt>
                <c:pt idx="178">
                  <c:v>19842.5</c:v>
                </c:pt>
                <c:pt idx="179">
                  <c:v>22123.3</c:v>
                </c:pt>
                <c:pt idx="180">
                  <c:v>22554.1</c:v>
                </c:pt>
                <c:pt idx="181">
                  <c:v>21667.1</c:v>
                </c:pt>
                <c:pt idx="182">
                  <c:v>21008.2</c:v>
                </c:pt>
                <c:pt idx="183">
                  <c:v>20653.400000000001</c:v>
                </c:pt>
                <c:pt idx="184">
                  <c:v>19563.7</c:v>
                </c:pt>
                <c:pt idx="185">
                  <c:v>19665.099999999999</c:v>
                </c:pt>
                <c:pt idx="186">
                  <c:v>18727.5</c:v>
                </c:pt>
                <c:pt idx="187">
                  <c:v>18372.7</c:v>
                </c:pt>
                <c:pt idx="188">
                  <c:v>18093.900000000001</c:v>
                </c:pt>
                <c:pt idx="189">
                  <c:v>16193.3</c:v>
                </c:pt>
                <c:pt idx="190">
                  <c:v>15407.7</c:v>
                </c:pt>
                <c:pt idx="191">
                  <c:v>15483.7</c:v>
                </c:pt>
                <c:pt idx="192">
                  <c:v>15661.1</c:v>
                </c:pt>
                <c:pt idx="193">
                  <c:v>14748.8</c:v>
                </c:pt>
                <c:pt idx="194">
                  <c:v>14444.7</c:v>
                </c:pt>
                <c:pt idx="195">
                  <c:v>13532.4</c:v>
                </c:pt>
                <c:pt idx="196">
                  <c:v>13050.9</c:v>
                </c:pt>
                <c:pt idx="197">
                  <c:v>13025.6</c:v>
                </c:pt>
                <c:pt idx="198">
                  <c:v>12392.1</c:v>
                </c:pt>
                <c:pt idx="199">
                  <c:v>12645.5</c:v>
                </c:pt>
                <c:pt idx="200">
                  <c:v>12316</c:v>
                </c:pt>
                <c:pt idx="201">
                  <c:v>12341.4</c:v>
                </c:pt>
                <c:pt idx="202">
                  <c:v>12214.7</c:v>
                </c:pt>
                <c:pt idx="203">
                  <c:v>12265.4</c:v>
                </c:pt>
                <c:pt idx="204">
                  <c:v>10998.3</c:v>
                </c:pt>
                <c:pt idx="205">
                  <c:v>11167.6</c:v>
                </c:pt>
                <c:pt idx="206">
                  <c:v>11874.7</c:v>
                </c:pt>
                <c:pt idx="207">
                  <c:v>11541.9</c:v>
                </c:pt>
                <c:pt idx="208">
                  <c:v>11438</c:v>
                </c:pt>
                <c:pt idx="209">
                  <c:v>11313.2</c:v>
                </c:pt>
                <c:pt idx="210">
                  <c:v>11375.6</c:v>
                </c:pt>
                <c:pt idx="211">
                  <c:v>11022</c:v>
                </c:pt>
                <c:pt idx="212">
                  <c:v>11250.8</c:v>
                </c:pt>
                <c:pt idx="213">
                  <c:v>11396.4</c:v>
                </c:pt>
                <c:pt idx="214">
                  <c:v>11334</c:v>
                </c:pt>
                <c:pt idx="215">
                  <c:v>9774.2999999999993</c:v>
                </c:pt>
                <c:pt idx="216">
                  <c:v>9732.7000000000007</c:v>
                </c:pt>
                <c:pt idx="217">
                  <c:v>8942.4</c:v>
                </c:pt>
                <c:pt idx="218">
                  <c:v>9192</c:v>
                </c:pt>
                <c:pt idx="219">
                  <c:v>8609.7000000000007</c:v>
                </c:pt>
                <c:pt idx="220">
                  <c:v>7819.4</c:v>
                </c:pt>
                <c:pt idx="221">
                  <c:v>7341.1</c:v>
                </c:pt>
                <c:pt idx="222">
                  <c:v>6738</c:v>
                </c:pt>
                <c:pt idx="223">
                  <c:v>7736.2</c:v>
                </c:pt>
                <c:pt idx="224">
                  <c:v>7923.4</c:v>
                </c:pt>
                <c:pt idx="225">
                  <c:v>9316.7000000000007</c:v>
                </c:pt>
                <c:pt idx="226">
                  <c:v>9295.9</c:v>
                </c:pt>
                <c:pt idx="227">
                  <c:v>9795.1</c:v>
                </c:pt>
                <c:pt idx="228">
                  <c:v>9857.4</c:v>
                </c:pt>
                <c:pt idx="229">
                  <c:v>10127.799999999999</c:v>
                </c:pt>
                <c:pt idx="230">
                  <c:v>10023.799999999999</c:v>
                </c:pt>
                <c:pt idx="231">
                  <c:v>10938.8</c:v>
                </c:pt>
                <c:pt idx="232">
                  <c:v>10398.1</c:v>
                </c:pt>
                <c:pt idx="233">
                  <c:v>10065.4</c:v>
                </c:pt>
                <c:pt idx="234">
                  <c:v>10044.6</c:v>
                </c:pt>
                <c:pt idx="235">
                  <c:v>9795.1</c:v>
                </c:pt>
                <c:pt idx="236">
                  <c:v>9566.2999999999993</c:v>
                </c:pt>
                <c:pt idx="237">
                  <c:v>9899</c:v>
                </c:pt>
                <c:pt idx="238">
                  <c:v>9919.7999999999993</c:v>
                </c:pt>
                <c:pt idx="239">
                  <c:v>9503.9</c:v>
                </c:pt>
                <c:pt idx="240">
                  <c:v>9192</c:v>
                </c:pt>
                <c:pt idx="241">
                  <c:v>9420.7000000000007</c:v>
                </c:pt>
                <c:pt idx="242">
                  <c:v>9441.5</c:v>
                </c:pt>
                <c:pt idx="243">
                  <c:v>9108.7999999999993</c:v>
                </c:pt>
                <c:pt idx="244">
                  <c:v>9067.2000000000007</c:v>
                </c:pt>
                <c:pt idx="245">
                  <c:v>8900.7999999999993</c:v>
                </c:pt>
                <c:pt idx="246">
                  <c:v>8942.4</c:v>
                </c:pt>
                <c:pt idx="247">
                  <c:v>8880</c:v>
                </c:pt>
                <c:pt idx="248">
                  <c:v>9212.7999999999993</c:v>
                </c:pt>
                <c:pt idx="249">
                  <c:v>9420.7000000000007</c:v>
                </c:pt>
                <c:pt idx="250">
                  <c:v>9399.9</c:v>
                </c:pt>
                <c:pt idx="251">
                  <c:v>8900.7999999999993</c:v>
                </c:pt>
                <c:pt idx="252">
                  <c:v>9233.6</c:v>
                </c:pt>
                <c:pt idx="253">
                  <c:v>9732.7000000000007</c:v>
                </c:pt>
                <c:pt idx="254">
                  <c:v>9587.1</c:v>
                </c:pt>
                <c:pt idx="255">
                  <c:v>9607.9</c:v>
                </c:pt>
                <c:pt idx="256">
                  <c:v>9337.5</c:v>
                </c:pt>
                <c:pt idx="257">
                  <c:v>9379.1</c:v>
                </c:pt>
                <c:pt idx="258">
                  <c:v>8568.1</c:v>
                </c:pt>
                <c:pt idx="259">
                  <c:v>9108.7999999999993</c:v>
                </c:pt>
                <c:pt idx="260">
                  <c:v>9275.1</c:v>
                </c:pt>
                <c:pt idx="261">
                  <c:v>9774.2999999999993</c:v>
                </c:pt>
                <c:pt idx="262">
                  <c:v>9857.4</c:v>
                </c:pt>
                <c:pt idx="263">
                  <c:v>9545.5</c:v>
                </c:pt>
                <c:pt idx="264">
                  <c:v>9545.5</c:v>
                </c:pt>
                <c:pt idx="265">
                  <c:v>10270.200000000001</c:v>
                </c:pt>
                <c:pt idx="266">
                  <c:v>10286.200000000001</c:v>
                </c:pt>
                <c:pt idx="267">
                  <c:v>10318.200000000001</c:v>
                </c:pt>
                <c:pt idx="268">
                  <c:v>10510.1</c:v>
                </c:pt>
                <c:pt idx="269">
                  <c:v>10926.1</c:v>
                </c:pt>
                <c:pt idx="270">
                  <c:v>10750.1</c:v>
                </c:pt>
                <c:pt idx="271">
                  <c:v>10110.200000000001</c:v>
                </c:pt>
                <c:pt idx="272">
                  <c:v>10254.200000000001</c:v>
                </c:pt>
                <c:pt idx="273">
                  <c:v>10398.1</c:v>
                </c:pt>
                <c:pt idx="274">
                  <c:v>10302.200000000001</c:v>
                </c:pt>
                <c:pt idx="275">
                  <c:v>10222.200000000001</c:v>
                </c:pt>
                <c:pt idx="276">
                  <c:v>10206.200000000001</c:v>
                </c:pt>
                <c:pt idx="277">
                  <c:v>11948.3</c:v>
                </c:pt>
                <c:pt idx="278">
                  <c:v>12053.9</c:v>
                </c:pt>
                <c:pt idx="279">
                  <c:v>11930.7</c:v>
                </c:pt>
                <c:pt idx="280">
                  <c:v>11121.2</c:v>
                </c:pt>
                <c:pt idx="281">
                  <c:v>9607.9</c:v>
                </c:pt>
                <c:pt idx="282">
                  <c:v>10452.5</c:v>
                </c:pt>
                <c:pt idx="283">
                  <c:v>10276.6</c:v>
                </c:pt>
                <c:pt idx="284">
                  <c:v>10329.4</c:v>
                </c:pt>
              </c:numCache>
            </c:numRef>
          </c:val>
          <c:smooth val="0"/>
          <c:extLst>
            <c:ext xmlns:c16="http://schemas.microsoft.com/office/drawing/2014/chart" uri="{C3380CC4-5D6E-409C-BE32-E72D297353CC}">
              <c16:uniqueId val="{00000000-4B49-41B7-A228-D99104A4F048}"/>
            </c:ext>
          </c:extLst>
        </c:ser>
        <c:dLbls>
          <c:showLegendKey val="0"/>
          <c:showVal val="0"/>
          <c:showCatName val="0"/>
          <c:showSerName val="0"/>
          <c:showPercent val="0"/>
          <c:showBubbleSize val="0"/>
        </c:dLbls>
        <c:smooth val="0"/>
        <c:axId val="1717832159"/>
        <c:axId val="1320966495"/>
      </c:lineChart>
      <c:dateAx>
        <c:axId val="1717832159"/>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0966495"/>
        <c:crosses val="autoZero"/>
        <c:auto val="1"/>
        <c:lblOffset val="100"/>
        <c:baseTimeUnit val="days"/>
      </c:dateAx>
      <c:valAx>
        <c:axId val="1320966495"/>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78321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4.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5.xml.rels><?xml version="1.0" encoding="UTF-8" standalone="yes"?>
<Relationships xmlns="http://schemas.openxmlformats.org/package/2006/relationships"><Relationship Id="rId1" Type="http://schemas.openxmlformats.org/officeDocument/2006/relationships/chart" Target="../charts/chart2.xml"/></Relationships>
</file>

<file path=xl/drawings/_rels/drawing6.xml.rels><?xml version="1.0" encoding="UTF-8" standalone="yes"?>
<Relationships xmlns="http://schemas.openxmlformats.org/package/2006/relationships"><Relationship Id="rId1" Type="http://schemas.openxmlformats.org/officeDocument/2006/relationships/image" Target="../media/image8.png"/></Relationships>
</file>

<file path=xl/drawings/drawing1.xml><?xml version="1.0" encoding="utf-8"?>
<xdr:wsDr xmlns:xdr="http://schemas.openxmlformats.org/drawingml/2006/spreadsheetDrawing" xmlns:a="http://schemas.openxmlformats.org/drawingml/2006/main">
  <xdr:oneCellAnchor>
    <xdr:from>
      <xdr:col>6</xdr:col>
      <xdr:colOff>819150</xdr:colOff>
      <xdr:row>68</xdr:row>
      <xdr:rowOff>180975</xdr:rowOff>
    </xdr:from>
    <xdr:ext cx="8534400" cy="942975"/>
    <xdr:pic>
      <xdr:nvPicPr>
        <xdr:cNvPr id="2" name="image8.png" title="Image">
          <a:extLst>
            <a:ext uri="{FF2B5EF4-FFF2-40B4-BE49-F238E27FC236}">
              <a16:creationId xmlns:a16="http://schemas.microsoft.com/office/drawing/2014/main" id="{00000000-0008-0000-03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0</xdr:colOff>
      <xdr:row>59</xdr:row>
      <xdr:rowOff>123825</xdr:rowOff>
    </xdr:from>
    <xdr:ext cx="3971925" cy="1362075"/>
    <xdr:pic>
      <xdr:nvPicPr>
        <xdr:cNvPr id="3" name="image5.png" title="Image">
          <a:extLst>
            <a:ext uri="{FF2B5EF4-FFF2-40B4-BE49-F238E27FC236}">
              <a16:creationId xmlns:a16="http://schemas.microsoft.com/office/drawing/2014/main" id="{00000000-0008-0000-03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2</xdr:col>
      <xdr:colOff>0</xdr:colOff>
      <xdr:row>70</xdr:row>
      <xdr:rowOff>76200</xdr:rowOff>
    </xdr:from>
    <xdr:ext cx="7972425" cy="1143000"/>
    <xdr:pic>
      <xdr:nvPicPr>
        <xdr:cNvPr id="4" name="image6.png" title="Image">
          <a:extLst>
            <a:ext uri="{FF2B5EF4-FFF2-40B4-BE49-F238E27FC236}">
              <a16:creationId xmlns:a16="http://schemas.microsoft.com/office/drawing/2014/main" id="{00000000-0008-0000-0300-000004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5</xdr:col>
      <xdr:colOff>609600</xdr:colOff>
      <xdr:row>79</xdr:row>
      <xdr:rowOff>3409950</xdr:rowOff>
    </xdr:from>
    <xdr:ext cx="6172200" cy="3343275"/>
    <xdr:pic>
      <xdr:nvPicPr>
        <xdr:cNvPr id="5" name="image7.png" title="Image">
          <a:extLst>
            <a:ext uri="{FF2B5EF4-FFF2-40B4-BE49-F238E27FC236}">
              <a16:creationId xmlns:a16="http://schemas.microsoft.com/office/drawing/2014/main" id="{00000000-0008-0000-0300-00000500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2</xdr:col>
      <xdr:colOff>0</xdr:colOff>
      <xdr:row>81</xdr:row>
      <xdr:rowOff>19050</xdr:rowOff>
    </xdr:from>
    <xdr:ext cx="8743950" cy="3009900"/>
    <xdr:pic>
      <xdr:nvPicPr>
        <xdr:cNvPr id="6" name="image3.png" title="Image">
          <a:extLst>
            <a:ext uri="{FF2B5EF4-FFF2-40B4-BE49-F238E27FC236}">
              <a16:creationId xmlns:a16="http://schemas.microsoft.com/office/drawing/2014/main" id="{00000000-0008-0000-0300-000006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7</xdr:col>
      <xdr:colOff>714375</xdr:colOff>
      <xdr:row>64</xdr:row>
      <xdr:rowOff>38100</xdr:rowOff>
    </xdr:from>
    <xdr:ext cx="3971925" cy="2352675"/>
    <xdr:pic>
      <xdr:nvPicPr>
        <xdr:cNvPr id="7" name="image2.png" title="Image">
          <a:extLst>
            <a:ext uri="{FF2B5EF4-FFF2-40B4-BE49-F238E27FC236}">
              <a16:creationId xmlns:a16="http://schemas.microsoft.com/office/drawing/2014/main" id="{00000000-0008-0000-0300-000007000000}"/>
            </a:ext>
          </a:extLst>
        </xdr:cNvPr>
        <xdr:cNvPicPr preferRelativeResize="0"/>
      </xdr:nvPicPr>
      <xdr:blipFill>
        <a:blip xmlns:r="http://schemas.openxmlformats.org/officeDocument/2006/relationships" r:embed="rId6" cstate="print"/>
        <a:stretch>
          <a:fillRect/>
        </a:stretch>
      </xdr:blipFill>
      <xdr:spPr>
        <a:prstGeom prst="rect">
          <a:avLst/>
        </a:prstGeom>
        <a:noFill/>
      </xdr:spPr>
    </xdr:pic>
    <xdr:clientData fLocksWithSheet="0"/>
  </xdr:oneCellAnchor>
  <xdr:oneCellAnchor>
    <xdr:from>
      <xdr:col>7</xdr:col>
      <xdr:colOff>114300</xdr:colOff>
      <xdr:row>64</xdr:row>
      <xdr:rowOff>123825</xdr:rowOff>
    </xdr:from>
    <xdr:ext cx="8420100" cy="1238250"/>
    <xdr:pic>
      <xdr:nvPicPr>
        <xdr:cNvPr id="8" name="image1.png" title="Image">
          <a:extLst>
            <a:ext uri="{FF2B5EF4-FFF2-40B4-BE49-F238E27FC236}">
              <a16:creationId xmlns:a16="http://schemas.microsoft.com/office/drawing/2014/main" id="{00000000-0008-0000-0300-000008000000}"/>
            </a:ext>
          </a:extLst>
        </xdr:cNvPr>
        <xdr:cNvPicPr preferRelativeResize="0"/>
      </xdr:nvPicPr>
      <xdr:blipFill>
        <a:blip xmlns:r="http://schemas.openxmlformats.org/officeDocument/2006/relationships" r:embed="rId7"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xdr:from>
      <xdr:col>2</xdr:col>
      <xdr:colOff>133350</xdr:colOff>
      <xdr:row>127</xdr:row>
      <xdr:rowOff>104775</xdr:rowOff>
    </xdr:from>
    <xdr:to>
      <xdr:col>3</xdr:col>
      <xdr:colOff>1276350</xdr:colOff>
      <xdr:row>137</xdr:row>
      <xdr:rowOff>152400</xdr:rowOff>
    </xdr:to>
    <xdr:graphicFrame macro="">
      <xdr:nvGraphicFramePr>
        <xdr:cNvPr id="3" name="Chart 2">
          <a:extLst>
            <a:ext uri="{FF2B5EF4-FFF2-40B4-BE49-F238E27FC236}">
              <a16:creationId xmlns:a16="http://schemas.microsoft.com/office/drawing/2014/main" id="{7E7EC13E-536B-4387-98EE-67656387F3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oneCellAnchor>
    <xdr:from>
      <xdr:col>7</xdr:col>
      <xdr:colOff>819150</xdr:colOff>
      <xdr:row>60</xdr:row>
      <xdr:rowOff>180975</xdr:rowOff>
    </xdr:from>
    <xdr:ext cx="8534400" cy="942975"/>
    <xdr:pic>
      <xdr:nvPicPr>
        <xdr:cNvPr id="2" name="image8.png" title="Image">
          <a:extLst>
            <a:ext uri="{FF2B5EF4-FFF2-40B4-BE49-F238E27FC236}">
              <a16:creationId xmlns:a16="http://schemas.microsoft.com/office/drawing/2014/main" id="{D3384FDB-9C2F-4B50-BF8F-E09B488D0EC9}"/>
            </a:ext>
          </a:extLst>
        </xdr:cNvPr>
        <xdr:cNvPicPr preferRelativeResize="0"/>
      </xdr:nvPicPr>
      <xdr:blipFill>
        <a:blip xmlns:r="http://schemas.openxmlformats.org/officeDocument/2006/relationships" r:embed="rId1" cstate="print"/>
        <a:stretch>
          <a:fillRect/>
        </a:stretch>
      </xdr:blipFill>
      <xdr:spPr>
        <a:xfrm>
          <a:off x="2720340" y="15786735"/>
          <a:ext cx="8534400" cy="942975"/>
        </a:xfrm>
        <a:prstGeom prst="rect">
          <a:avLst/>
        </a:prstGeom>
        <a:noFill/>
      </xdr:spPr>
    </xdr:pic>
    <xdr:clientData fLocksWithSheet="0"/>
  </xdr:oneCellAnchor>
  <xdr:oneCellAnchor>
    <xdr:from>
      <xdr:col>2</xdr:col>
      <xdr:colOff>-38100</xdr:colOff>
      <xdr:row>51</xdr:row>
      <xdr:rowOff>123825</xdr:rowOff>
    </xdr:from>
    <xdr:ext cx="3971925" cy="1362075"/>
    <xdr:pic>
      <xdr:nvPicPr>
        <xdr:cNvPr id="3" name="image5.png" title="Image">
          <a:extLst>
            <a:ext uri="{FF2B5EF4-FFF2-40B4-BE49-F238E27FC236}">
              <a16:creationId xmlns:a16="http://schemas.microsoft.com/office/drawing/2014/main" id="{FE718D2C-BE1D-401D-94D1-805F0FE00055}"/>
            </a:ext>
          </a:extLst>
        </xdr:cNvPr>
        <xdr:cNvPicPr preferRelativeResize="0"/>
      </xdr:nvPicPr>
      <xdr:blipFill>
        <a:blip xmlns:r="http://schemas.openxmlformats.org/officeDocument/2006/relationships" r:embed="rId2" cstate="print"/>
        <a:stretch>
          <a:fillRect/>
        </a:stretch>
      </xdr:blipFill>
      <xdr:spPr>
        <a:xfrm>
          <a:off x="2613660" y="13535025"/>
          <a:ext cx="3971925" cy="1362075"/>
        </a:xfrm>
        <a:prstGeom prst="rect">
          <a:avLst/>
        </a:prstGeom>
        <a:noFill/>
      </xdr:spPr>
    </xdr:pic>
    <xdr:clientData fLocksWithSheet="0"/>
  </xdr:oneCellAnchor>
  <xdr:oneCellAnchor>
    <xdr:from>
      <xdr:col>2</xdr:col>
      <xdr:colOff>57150</xdr:colOff>
      <xdr:row>62</xdr:row>
      <xdr:rowOff>76200</xdr:rowOff>
    </xdr:from>
    <xdr:ext cx="7972425" cy="1143000"/>
    <xdr:pic>
      <xdr:nvPicPr>
        <xdr:cNvPr id="4" name="image6.png" title="Image">
          <a:extLst>
            <a:ext uri="{FF2B5EF4-FFF2-40B4-BE49-F238E27FC236}">
              <a16:creationId xmlns:a16="http://schemas.microsoft.com/office/drawing/2014/main" id="{7A4FCA34-1793-4243-8FAD-11B17D80F893}"/>
            </a:ext>
          </a:extLst>
        </xdr:cNvPr>
        <xdr:cNvPicPr preferRelativeResize="0"/>
      </xdr:nvPicPr>
      <xdr:blipFill>
        <a:blip xmlns:r="http://schemas.openxmlformats.org/officeDocument/2006/relationships" r:embed="rId3" cstate="print"/>
        <a:stretch>
          <a:fillRect/>
        </a:stretch>
      </xdr:blipFill>
      <xdr:spPr>
        <a:xfrm>
          <a:off x="2708910" y="22349460"/>
          <a:ext cx="7972425" cy="1143000"/>
        </a:xfrm>
        <a:prstGeom prst="rect">
          <a:avLst/>
        </a:prstGeom>
        <a:noFill/>
      </xdr:spPr>
    </xdr:pic>
    <xdr:clientData fLocksWithSheet="0"/>
  </xdr:oneCellAnchor>
  <xdr:oneCellAnchor>
    <xdr:from>
      <xdr:col>6</xdr:col>
      <xdr:colOff>609600</xdr:colOff>
      <xdr:row>71</xdr:row>
      <xdr:rowOff>3409950</xdr:rowOff>
    </xdr:from>
    <xdr:ext cx="6172200" cy="3343275"/>
    <xdr:pic>
      <xdr:nvPicPr>
        <xdr:cNvPr id="5" name="image7.png" title="Image">
          <a:extLst>
            <a:ext uri="{FF2B5EF4-FFF2-40B4-BE49-F238E27FC236}">
              <a16:creationId xmlns:a16="http://schemas.microsoft.com/office/drawing/2014/main" id="{113B48C3-CE7A-4CB8-971C-829CB54BE987}"/>
            </a:ext>
          </a:extLst>
        </xdr:cNvPr>
        <xdr:cNvPicPr preferRelativeResize="0"/>
      </xdr:nvPicPr>
      <xdr:blipFill>
        <a:blip xmlns:r="http://schemas.openxmlformats.org/officeDocument/2006/relationships" r:embed="rId4" cstate="print"/>
        <a:stretch>
          <a:fillRect/>
        </a:stretch>
      </xdr:blipFill>
      <xdr:spPr>
        <a:xfrm>
          <a:off x="2720340" y="29340810"/>
          <a:ext cx="6172200" cy="3343275"/>
        </a:xfrm>
        <a:prstGeom prst="rect">
          <a:avLst/>
        </a:prstGeom>
        <a:noFill/>
      </xdr:spPr>
    </xdr:pic>
    <xdr:clientData fLocksWithSheet="0"/>
  </xdr:oneCellAnchor>
  <xdr:oneCellAnchor>
    <xdr:from>
      <xdr:col>2</xdr:col>
      <xdr:colOff>523875</xdr:colOff>
      <xdr:row>73</xdr:row>
      <xdr:rowOff>19050</xdr:rowOff>
    </xdr:from>
    <xdr:ext cx="8743950" cy="3009900"/>
    <xdr:pic>
      <xdr:nvPicPr>
        <xdr:cNvPr id="6" name="image3.png" title="Image">
          <a:extLst>
            <a:ext uri="{FF2B5EF4-FFF2-40B4-BE49-F238E27FC236}">
              <a16:creationId xmlns:a16="http://schemas.microsoft.com/office/drawing/2014/main" id="{0D0781B0-7494-40BD-8B54-8F00C6AC847B}"/>
            </a:ext>
          </a:extLst>
        </xdr:cNvPr>
        <xdr:cNvPicPr preferRelativeResize="0"/>
      </xdr:nvPicPr>
      <xdr:blipFill>
        <a:blip xmlns:r="http://schemas.openxmlformats.org/officeDocument/2006/relationships" r:embed="rId5" cstate="print"/>
        <a:stretch>
          <a:fillRect/>
        </a:stretch>
      </xdr:blipFill>
      <xdr:spPr>
        <a:xfrm>
          <a:off x="2718435" y="36358830"/>
          <a:ext cx="8743950" cy="3009900"/>
        </a:xfrm>
        <a:prstGeom prst="rect">
          <a:avLst/>
        </a:prstGeom>
        <a:noFill/>
      </xdr:spPr>
    </xdr:pic>
    <xdr:clientData fLocksWithSheet="0"/>
  </xdr:oneCellAnchor>
  <xdr:oneCellAnchor>
    <xdr:from>
      <xdr:col>8</xdr:col>
      <xdr:colOff>714375</xdr:colOff>
      <xdr:row>56</xdr:row>
      <xdr:rowOff>38100</xdr:rowOff>
    </xdr:from>
    <xdr:ext cx="3971925" cy="2352675"/>
    <xdr:pic>
      <xdr:nvPicPr>
        <xdr:cNvPr id="7" name="image2.png" title="Image">
          <a:extLst>
            <a:ext uri="{FF2B5EF4-FFF2-40B4-BE49-F238E27FC236}">
              <a16:creationId xmlns:a16="http://schemas.microsoft.com/office/drawing/2014/main" id="{4DF9EFC3-98AF-4D66-97D0-4211010D9D5E}"/>
            </a:ext>
          </a:extLst>
        </xdr:cNvPr>
        <xdr:cNvPicPr preferRelativeResize="0"/>
      </xdr:nvPicPr>
      <xdr:blipFill>
        <a:blip xmlns:r="http://schemas.openxmlformats.org/officeDocument/2006/relationships" r:embed="rId6" cstate="print"/>
        <a:stretch>
          <a:fillRect/>
        </a:stretch>
      </xdr:blipFill>
      <xdr:spPr>
        <a:xfrm>
          <a:off x="2720340" y="14668500"/>
          <a:ext cx="3971925" cy="2352675"/>
        </a:xfrm>
        <a:prstGeom prst="rect">
          <a:avLst/>
        </a:prstGeom>
        <a:noFill/>
      </xdr:spPr>
    </xdr:pic>
    <xdr:clientData fLocksWithSheet="0"/>
  </xdr:oneCellAnchor>
  <xdr:oneCellAnchor>
    <xdr:from>
      <xdr:col>8</xdr:col>
      <xdr:colOff>114300</xdr:colOff>
      <xdr:row>56</xdr:row>
      <xdr:rowOff>123825</xdr:rowOff>
    </xdr:from>
    <xdr:ext cx="8420100" cy="1238250"/>
    <xdr:pic>
      <xdr:nvPicPr>
        <xdr:cNvPr id="8" name="image1.png" title="Image">
          <a:extLst>
            <a:ext uri="{FF2B5EF4-FFF2-40B4-BE49-F238E27FC236}">
              <a16:creationId xmlns:a16="http://schemas.microsoft.com/office/drawing/2014/main" id="{78352ADB-C00B-4EB9-B7B1-67DCDB6978B0}"/>
            </a:ext>
          </a:extLst>
        </xdr:cNvPr>
        <xdr:cNvPicPr preferRelativeResize="0"/>
      </xdr:nvPicPr>
      <xdr:blipFill>
        <a:blip xmlns:r="http://schemas.openxmlformats.org/officeDocument/2006/relationships" r:embed="rId7" cstate="print"/>
        <a:stretch>
          <a:fillRect/>
        </a:stretch>
      </xdr:blipFill>
      <xdr:spPr>
        <a:xfrm>
          <a:off x="2720340" y="14754225"/>
          <a:ext cx="8420100" cy="1238250"/>
        </a:xfrm>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7</xdr:col>
      <xdr:colOff>819150</xdr:colOff>
      <xdr:row>60</xdr:row>
      <xdr:rowOff>180975</xdr:rowOff>
    </xdr:from>
    <xdr:ext cx="8534400" cy="942975"/>
    <xdr:pic>
      <xdr:nvPicPr>
        <xdr:cNvPr id="2" name="image8.png" title="Image">
          <a:extLst>
            <a:ext uri="{FF2B5EF4-FFF2-40B4-BE49-F238E27FC236}">
              <a16:creationId xmlns:a16="http://schemas.microsoft.com/office/drawing/2014/main" id="{E882DC00-8FAB-42FA-BEF2-BB7C4F345CCF}"/>
            </a:ext>
          </a:extLst>
        </xdr:cNvPr>
        <xdr:cNvPicPr preferRelativeResize="0"/>
      </xdr:nvPicPr>
      <xdr:blipFill>
        <a:blip xmlns:r="http://schemas.openxmlformats.org/officeDocument/2006/relationships" r:embed="rId1" cstate="print"/>
        <a:stretch>
          <a:fillRect/>
        </a:stretch>
      </xdr:blipFill>
      <xdr:spPr>
        <a:xfrm>
          <a:off x="6328410" y="11420475"/>
          <a:ext cx="8534400" cy="942975"/>
        </a:xfrm>
        <a:prstGeom prst="rect">
          <a:avLst/>
        </a:prstGeom>
        <a:noFill/>
      </xdr:spPr>
    </xdr:pic>
    <xdr:clientData fLocksWithSheet="0"/>
  </xdr:oneCellAnchor>
  <xdr:oneCellAnchor>
    <xdr:from>
      <xdr:col>2</xdr:col>
      <xdr:colOff>-38100</xdr:colOff>
      <xdr:row>51</xdr:row>
      <xdr:rowOff>123825</xdr:rowOff>
    </xdr:from>
    <xdr:ext cx="3971925" cy="1362075"/>
    <xdr:pic>
      <xdr:nvPicPr>
        <xdr:cNvPr id="3" name="image5.png" title="Image">
          <a:extLst>
            <a:ext uri="{FF2B5EF4-FFF2-40B4-BE49-F238E27FC236}">
              <a16:creationId xmlns:a16="http://schemas.microsoft.com/office/drawing/2014/main" id="{66E71CED-DA94-4357-B872-D1F09876AE7B}"/>
            </a:ext>
          </a:extLst>
        </xdr:cNvPr>
        <xdr:cNvPicPr preferRelativeResize="0"/>
      </xdr:nvPicPr>
      <xdr:blipFill>
        <a:blip xmlns:r="http://schemas.openxmlformats.org/officeDocument/2006/relationships" r:embed="rId2" cstate="print"/>
        <a:stretch>
          <a:fillRect/>
        </a:stretch>
      </xdr:blipFill>
      <xdr:spPr>
        <a:xfrm>
          <a:off x="2613660" y="9648825"/>
          <a:ext cx="3971925" cy="1362075"/>
        </a:xfrm>
        <a:prstGeom prst="rect">
          <a:avLst/>
        </a:prstGeom>
        <a:noFill/>
      </xdr:spPr>
    </xdr:pic>
    <xdr:clientData fLocksWithSheet="0"/>
  </xdr:oneCellAnchor>
  <xdr:oneCellAnchor>
    <xdr:from>
      <xdr:col>2</xdr:col>
      <xdr:colOff>57150</xdr:colOff>
      <xdr:row>62</xdr:row>
      <xdr:rowOff>76200</xdr:rowOff>
    </xdr:from>
    <xdr:ext cx="7972425" cy="1143000"/>
    <xdr:pic>
      <xdr:nvPicPr>
        <xdr:cNvPr id="4" name="image6.png" title="Image">
          <a:extLst>
            <a:ext uri="{FF2B5EF4-FFF2-40B4-BE49-F238E27FC236}">
              <a16:creationId xmlns:a16="http://schemas.microsoft.com/office/drawing/2014/main" id="{3711B522-E5A7-44A8-9909-3E623929E845}"/>
            </a:ext>
          </a:extLst>
        </xdr:cNvPr>
        <xdr:cNvPicPr preferRelativeResize="0"/>
      </xdr:nvPicPr>
      <xdr:blipFill>
        <a:blip xmlns:r="http://schemas.openxmlformats.org/officeDocument/2006/relationships" r:embed="rId3" cstate="print"/>
        <a:stretch>
          <a:fillRect/>
        </a:stretch>
      </xdr:blipFill>
      <xdr:spPr>
        <a:xfrm>
          <a:off x="2708910" y="11696700"/>
          <a:ext cx="7972425" cy="1143000"/>
        </a:xfrm>
        <a:prstGeom prst="rect">
          <a:avLst/>
        </a:prstGeom>
        <a:noFill/>
      </xdr:spPr>
    </xdr:pic>
    <xdr:clientData fLocksWithSheet="0"/>
  </xdr:oneCellAnchor>
  <xdr:oneCellAnchor>
    <xdr:from>
      <xdr:col>6</xdr:col>
      <xdr:colOff>609600</xdr:colOff>
      <xdr:row>71</xdr:row>
      <xdr:rowOff>3409950</xdr:rowOff>
    </xdr:from>
    <xdr:ext cx="6172200" cy="3343275"/>
    <xdr:pic>
      <xdr:nvPicPr>
        <xdr:cNvPr id="5" name="image7.png" title="Image">
          <a:extLst>
            <a:ext uri="{FF2B5EF4-FFF2-40B4-BE49-F238E27FC236}">
              <a16:creationId xmlns:a16="http://schemas.microsoft.com/office/drawing/2014/main" id="{F51DC5C0-F727-460F-A589-DC81785183B9}"/>
            </a:ext>
          </a:extLst>
        </xdr:cNvPr>
        <xdr:cNvPicPr preferRelativeResize="0"/>
      </xdr:nvPicPr>
      <xdr:blipFill>
        <a:blip xmlns:r="http://schemas.openxmlformats.org/officeDocument/2006/relationships" r:embed="rId4" cstate="print"/>
        <a:stretch>
          <a:fillRect/>
        </a:stretch>
      </xdr:blipFill>
      <xdr:spPr>
        <a:xfrm>
          <a:off x="5509260" y="13521690"/>
          <a:ext cx="6172200" cy="3343275"/>
        </a:xfrm>
        <a:prstGeom prst="rect">
          <a:avLst/>
        </a:prstGeom>
        <a:noFill/>
      </xdr:spPr>
    </xdr:pic>
    <xdr:clientData fLocksWithSheet="0"/>
  </xdr:oneCellAnchor>
  <xdr:oneCellAnchor>
    <xdr:from>
      <xdr:col>2</xdr:col>
      <xdr:colOff>523875</xdr:colOff>
      <xdr:row>73</xdr:row>
      <xdr:rowOff>19050</xdr:rowOff>
    </xdr:from>
    <xdr:ext cx="8743950" cy="3009900"/>
    <xdr:pic>
      <xdr:nvPicPr>
        <xdr:cNvPr id="6" name="image3.png" title="Image">
          <a:extLst>
            <a:ext uri="{FF2B5EF4-FFF2-40B4-BE49-F238E27FC236}">
              <a16:creationId xmlns:a16="http://schemas.microsoft.com/office/drawing/2014/main" id="{589F2386-40BF-4271-9DE0-26521F4D55CF}"/>
            </a:ext>
          </a:extLst>
        </xdr:cNvPr>
        <xdr:cNvPicPr preferRelativeResize="0"/>
      </xdr:nvPicPr>
      <xdr:blipFill>
        <a:blip xmlns:r="http://schemas.openxmlformats.org/officeDocument/2006/relationships" r:embed="rId5" cstate="print"/>
        <a:stretch>
          <a:fillRect/>
        </a:stretch>
      </xdr:blipFill>
      <xdr:spPr>
        <a:xfrm>
          <a:off x="2718435" y="13735050"/>
          <a:ext cx="8743950" cy="3009900"/>
        </a:xfrm>
        <a:prstGeom prst="rect">
          <a:avLst/>
        </a:prstGeom>
        <a:noFill/>
      </xdr:spPr>
    </xdr:pic>
    <xdr:clientData fLocksWithSheet="0"/>
  </xdr:oneCellAnchor>
  <xdr:oneCellAnchor>
    <xdr:from>
      <xdr:col>8</xdr:col>
      <xdr:colOff>714375</xdr:colOff>
      <xdr:row>56</xdr:row>
      <xdr:rowOff>38100</xdr:rowOff>
    </xdr:from>
    <xdr:ext cx="3971925" cy="2352675"/>
    <xdr:pic>
      <xdr:nvPicPr>
        <xdr:cNvPr id="7" name="image2.png" title="Image">
          <a:extLst>
            <a:ext uri="{FF2B5EF4-FFF2-40B4-BE49-F238E27FC236}">
              <a16:creationId xmlns:a16="http://schemas.microsoft.com/office/drawing/2014/main" id="{33AC215E-A92B-4651-8985-822253486655}"/>
            </a:ext>
          </a:extLst>
        </xdr:cNvPr>
        <xdr:cNvPicPr preferRelativeResize="0"/>
      </xdr:nvPicPr>
      <xdr:blipFill>
        <a:blip xmlns:r="http://schemas.openxmlformats.org/officeDocument/2006/relationships" r:embed="rId6" cstate="print"/>
        <a:stretch>
          <a:fillRect/>
        </a:stretch>
      </xdr:blipFill>
      <xdr:spPr>
        <a:xfrm>
          <a:off x="7099935" y="10515600"/>
          <a:ext cx="3971925" cy="2352675"/>
        </a:xfrm>
        <a:prstGeom prst="rect">
          <a:avLst/>
        </a:prstGeom>
        <a:noFill/>
      </xdr:spPr>
    </xdr:pic>
    <xdr:clientData fLocksWithSheet="0"/>
  </xdr:oneCellAnchor>
  <xdr:oneCellAnchor>
    <xdr:from>
      <xdr:col>8</xdr:col>
      <xdr:colOff>114300</xdr:colOff>
      <xdr:row>56</xdr:row>
      <xdr:rowOff>123825</xdr:rowOff>
    </xdr:from>
    <xdr:ext cx="8420100" cy="1238250"/>
    <xdr:pic>
      <xdr:nvPicPr>
        <xdr:cNvPr id="8" name="image1.png" title="Image">
          <a:extLst>
            <a:ext uri="{FF2B5EF4-FFF2-40B4-BE49-F238E27FC236}">
              <a16:creationId xmlns:a16="http://schemas.microsoft.com/office/drawing/2014/main" id="{EDB94BED-43A8-4B3D-B078-6EABE5C4A0D4}"/>
            </a:ext>
          </a:extLst>
        </xdr:cNvPr>
        <xdr:cNvPicPr preferRelativeResize="0"/>
      </xdr:nvPicPr>
      <xdr:blipFill>
        <a:blip xmlns:r="http://schemas.openxmlformats.org/officeDocument/2006/relationships" r:embed="rId7" cstate="print"/>
        <a:stretch>
          <a:fillRect/>
        </a:stretch>
      </xdr:blipFill>
      <xdr:spPr>
        <a:xfrm>
          <a:off x="6499860" y="10601325"/>
          <a:ext cx="8420100" cy="1238250"/>
        </a:xfrm>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dr:twoCellAnchor>
    <xdr:from>
      <xdr:col>6</xdr:col>
      <xdr:colOff>565150</xdr:colOff>
      <xdr:row>268</xdr:row>
      <xdr:rowOff>57150</xdr:rowOff>
    </xdr:from>
    <xdr:to>
      <xdr:col>14</xdr:col>
      <xdr:colOff>425449</xdr:colOff>
      <xdr:row>286</xdr:row>
      <xdr:rowOff>146049</xdr:rowOff>
    </xdr:to>
    <xdr:graphicFrame macro="">
      <xdr:nvGraphicFramePr>
        <xdr:cNvPr id="2" name="Chart 1">
          <a:extLst>
            <a:ext uri="{FF2B5EF4-FFF2-40B4-BE49-F238E27FC236}">
              <a16:creationId xmlns:a16="http://schemas.microsoft.com/office/drawing/2014/main" id="{FC36E43C-030F-4972-A31D-342FF95410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oneCellAnchor>
    <xdr:from>
      <xdr:col>10</xdr:col>
      <xdr:colOff>885825</xdr:colOff>
      <xdr:row>4</xdr:row>
      <xdr:rowOff>85725</xdr:rowOff>
    </xdr:from>
    <xdr:ext cx="7505700" cy="3886200"/>
    <xdr:pic>
      <xdr:nvPicPr>
        <xdr:cNvPr id="2" name="image4.png" title="Hình ảnh">
          <a:extLst>
            <a:ext uri="{FF2B5EF4-FFF2-40B4-BE49-F238E27FC236}">
              <a16:creationId xmlns:a16="http://schemas.microsoft.com/office/drawing/2014/main" id="{00000000-0008-0000-02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dmin/OneDrive%20-%20National%20Economics%20University/Desktop/t&#224;i%20li&#7879;u%20&#273;&#7885;c/SSC/Financial%20Modeling%20Ly%20Lam%20Duy/PNJ%20Model%20ch&#432;a%20monte%20carlo%2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PG-FS-Kh&#225;nh-2.xlsb"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1.Bloomberg%20yoy" TargetMode="External"/></Relationships>
</file>

<file path=xl/externalLinks/_rels/externalLink4.xml.rels><?xml version="1.0" encoding="UTF-8" standalone="yes"?>
<Relationships xmlns="http://schemas.openxmlformats.org/package/2006/relationships"><Relationship Id="rId1" Type="http://schemas.microsoft.com/office/2006/relationships/xlExternalLinkPath/xlPathMissing" Target="5.Depr%20Capex%20Investment%20Equity" TargetMode="External"/></Relationships>
</file>

<file path=xl/externalLinks/_rels/externalLink5.xml.rels><?xml version="1.0" encoding="UTF-8" standalone="yes"?>
<Relationships xmlns="http://schemas.openxmlformats.org/package/2006/relationships"><Relationship Id="rId1" Type="http://schemas.microsoft.com/office/2006/relationships/xlExternalLinkPath/xlPathMissing" Target="Middle%20Statement" TargetMode="External"/></Relationships>
</file>

<file path=xl/externalLinks/_rels/externalLink6.xml.rels><?xml version="1.0" encoding="UTF-8" standalone="yes"?>
<Relationships xmlns="http://schemas.openxmlformats.org/package/2006/relationships"><Relationship Id="rId1" Type="http://schemas.microsoft.com/office/2006/relationships/xlExternalLinkPath/xlPathMissing" Target="Dung%20Qu&#7845;t"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lance Sheet"/>
      <sheetName val="Income Statement"/>
      <sheetName val="Cash Flow"/>
      <sheetName val="CB_DATA_"/>
      <sheetName val="Fix Asset"/>
      <sheetName val="Debt Waterfall"/>
      <sheetName val="Ratios"/>
      <sheetName val="BS%Sales Assumptions"/>
      <sheetName val="Close Price"/>
      <sheetName val="WACC"/>
    </sheetNames>
    <sheetDataSet>
      <sheetData sheetId="0" refreshError="1"/>
      <sheetData sheetId="1"/>
      <sheetData sheetId="2"/>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lose Price &amp; Beta"/>
      <sheetName val="WACC"/>
      <sheetName val="Sheet3"/>
      <sheetName val="DCF"/>
      <sheetName val="IS"/>
      <sheetName val="BS editable"/>
      <sheetName val="CF editable"/>
      <sheetName val="TSCĐHH (new)"/>
      <sheetName val="Chart FA"/>
      <sheetName val="Ratio"/>
      <sheetName val="Assumptions"/>
      <sheetName val="COGS (new)"/>
      <sheetName val="Vay dài hạn"/>
      <sheetName val="(Bỏ đi) COGS"/>
      <sheetName val="BS"/>
      <sheetName val="Sale pro"/>
      <sheetName val="Giá thép"/>
      <sheetName val="Computation"/>
      <sheetName val="segmented fs, summary for cal"/>
      <sheetName val="FSA"/>
      <sheetName val="Cost leadership"/>
    </sheetNames>
    <sheetDataSet>
      <sheetData sheetId="0"/>
      <sheetData sheetId="1"/>
      <sheetData sheetId="2"/>
      <sheetData sheetId="3">
        <row r="12">
          <cell r="C12">
            <v>65381002473117</v>
          </cell>
        </row>
        <row r="13">
          <cell r="C13">
            <v>40593031662654</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
    </sheetNames>
    <sheetDataSet>
      <sheetData sheetId="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5"/>
    </sheetNames>
    <sheetDataSet>
      <sheetData sheetId="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iddle Statement"/>
    </sheetNames>
    <sheetDataSet>
      <sheetData sheetId="0"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ung Quất"/>
    </sheetNames>
    <sheetDataSet>
      <sheetData sheetId="0" refreshError="1"/>
    </sheetDataSet>
  </externalBook>
</externalLink>
</file>

<file path=xl/persons/person.xml><?xml version="1.0" encoding="utf-8"?>
<personList xmlns="http://schemas.microsoft.com/office/spreadsheetml/2018/threadedcomments" xmlns:x="http://schemas.openxmlformats.org/spreadsheetml/2006/main">
  <person displayName="Nguyễn Việt Anh (K51 CNN)" id="{42B06FA1-6806-4413-A97A-D8C9AD668389}" userId="S::19049229@ulis.vnu.edu.vn::530ee4a5-d405-4ab7-937d-2dc09bfaffc4"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_5" displayName="Table_5" ref="A1:I120">
  <tableColumns count="9">
    <tableColumn id="1" xr3:uid="{00000000-0010-0000-0400-000001000000}" name="Column1"/>
    <tableColumn id="2" xr3:uid="{00000000-0010-0000-0400-000002000000}" name="2016"/>
    <tableColumn id="3" xr3:uid="{00000000-0010-0000-0400-000003000000}" name="2017"/>
    <tableColumn id="4" xr3:uid="{00000000-0010-0000-0400-000004000000}" name="2018"/>
    <tableColumn id="5" xr3:uid="{00000000-0010-0000-0400-000005000000}" name="2019"/>
    <tableColumn id="6" xr3:uid="{00000000-0010-0000-0400-000006000000}" name="2020"/>
    <tableColumn id="7" xr3:uid="{00000000-0010-0000-0400-000007000000}" name="2021"/>
    <tableColumn id="8" xr3:uid="{00000000-0010-0000-0400-000008000000}" name="2022"/>
    <tableColumn id="9" xr3:uid="{00000000-0010-0000-0400-000009000000}" name="2023"/>
  </tableColumns>
  <tableStyleInfo name="BS-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I6" dT="2024-03-10T03:47:55.84" personId="{42B06FA1-6806-4413-A97A-D8C9AD668389}" id="{FC39749B-C869-4A64-B664-D480364E6DEE}">
    <text xml:space="preserve">Cổng TTĐT Kho Bạc Nhà Nước VN (mof.gov.vn) </text>
    <extLst>
      <x:ext xmlns:xltc2="http://schemas.microsoft.com/office/spreadsheetml/2020/threadedcomments2" uri="{F7C98A9C-CBB3-438F-8F68-D28B6AF4A901}">
        <xltc2:checksum>3001125046</xltc2:checksum>
        <xltc2:hyperlink startIndex="0" length="42" url="https://vst.mof.gov.vn/webcenter/portal/kbnn/r/o/tpcp/kqph/kqph_chitiet?dDocName=KBNN214794&amp;_afrLoop=35423487670188861#!%40%40%3F_afrLoop%3D35423487670188861%26dDocName%3DKBNN214794%26_adf.ctrl-state%3Dvnods6sqe_112"/>
      </x:ext>
    </extLst>
  </threadedComment>
  <threadedComment ref="I8" dT="2024-03-10T03:48:51.59" personId="{42B06FA1-6806-4413-A97A-D8C9AD668389}" id="{F47377C3-BE52-4430-BD55-E972871959A3}">
    <text>Thuees binfh quana tuwong lai, update looj trinfh thues</text>
  </threadedComment>
  <threadedComment ref="J10" dT="2024-03-10T03:52:21.71" personId="{42B06FA1-6806-4413-A97A-D8C9AD668389}" id="{0F4BAC6F-9DD9-46B8-9DD4-F7AF765E20CE}">
    <text>Nene ddeer laf 12-18%</text>
  </threadedComment>
  <threadedComment ref="J10" dT="2024-03-10T04:00:09.29" personId="{42B06FA1-6806-4413-A97A-D8C9AD668389}" id="{0A90388A-2372-488F-ABAF-48BB968EC61C}" parentId="{0F4BAC6F-9DD9-46B8-9DD4-F7AF765E20CE}">
    <text>Co the dung ham Max = (12,..)</text>
  </threadedComment>
  <threadedComment ref="L10" dT="2024-03-10T03:57:33.74" personId="{42B06FA1-6806-4413-A97A-D8C9AD668389}" id="{F4BD94B1-A428-41E2-A89E-C70E61096AC0}">
    <text>Giam do tra no o sheet Debt Waterfall nx nam toi</text>
  </threadedComment>
  <threadedComment ref="O10" dT="2024-03-10T03:58:56.63" personId="{42B06FA1-6806-4413-A97A-D8C9AD668389}" id="{2336525B-42F7-4952-98A9-7A5C98B9B49B}">
    <text xml:space="preserve">Slide trang 41
</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hyperlink" Target="https://vn.investing.com/commodities/iron-ore-62-cfr-futures" TargetMode="External"/><Relationship Id="rId1" Type="http://schemas.openxmlformats.org/officeDocument/2006/relationships/hyperlink" Target="https://vn.investing.com/commodities/metallurgical-coke-futures" TargetMode="External"/></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hyperlink" Target="https://vn.investing.com/commodities/iron-ore-62-cfr-futures" TargetMode="External"/><Relationship Id="rId1" Type="http://schemas.openxmlformats.org/officeDocument/2006/relationships/hyperlink" Target="https://vn.investing.com/commodities/metallurgical-coke-futures" TargetMode="External"/></Relationships>
</file>

<file path=xl/worksheets/_rels/sheet1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5.xml"/><Relationship Id="rId4" Type="http://schemas.microsoft.com/office/2017/10/relationships/threadedComment" Target="../threadedComments/threadedComment1.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https://vn.investing.com/commodities/iron-ore-62-cfr-futures" TargetMode="External"/><Relationship Id="rId1" Type="http://schemas.openxmlformats.org/officeDocument/2006/relationships/hyperlink" Target="https://vn.investing.com/commodities/metallurgical-coke-futures" TargetMode="External"/><Relationship Id="rId4"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1186ED-10E2-4CC2-8B9A-1A56948A1092}">
  <sheetPr>
    <tabColor rgb="FF002060"/>
  </sheetPr>
  <dimension ref="A1:L32"/>
  <sheetViews>
    <sheetView topLeftCell="A19" workbookViewId="0">
      <selection activeCell="A26" sqref="A26:K26"/>
    </sheetView>
  </sheetViews>
  <sheetFormatPr defaultRowHeight="15"/>
  <cols>
    <col min="1" max="1" width="23.140625" customWidth="1"/>
    <col min="2" max="2" width="20.85546875" bestFit="1" customWidth="1"/>
    <col min="3" max="12" width="19.140625" customWidth="1"/>
  </cols>
  <sheetData>
    <row r="1" spans="1:12" ht="15.75" thickBot="1">
      <c r="A1" s="614" t="s">
        <v>913</v>
      </c>
      <c r="B1" s="615"/>
      <c r="C1" s="615"/>
      <c r="D1" s="615"/>
      <c r="E1" s="615"/>
      <c r="F1" s="615"/>
      <c r="G1" s="615"/>
      <c r="H1" s="615"/>
      <c r="I1" s="615"/>
      <c r="J1" s="615"/>
      <c r="K1" s="616"/>
      <c r="L1" s="549"/>
    </row>
    <row r="2" spans="1:12" ht="15.75" thickBot="1">
      <c r="A2" s="550" t="s">
        <v>914</v>
      </c>
      <c r="B2" s="550" t="s">
        <v>833</v>
      </c>
      <c r="C2" s="550" t="s">
        <v>834</v>
      </c>
      <c r="D2" s="550" t="s">
        <v>835</v>
      </c>
      <c r="E2" s="550" t="s">
        <v>836</v>
      </c>
      <c r="F2" s="550" t="s">
        <v>837</v>
      </c>
      <c r="G2" s="550" t="s">
        <v>542</v>
      </c>
      <c r="H2" s="550" t="s">
        <v>559</v>
      </c>
      <c r="I2" s="550" t="s">
        <v>560</v>
      </c>
      <c r="J2" s="550" t="s">
        <v>561</v>
      </c>
      <c r="K2" s="550" t="s">
        <v>562</v>
      </c>
      <c r="L2" s="550" t="s">
        <v>915</v>
      </c>
    </row>
    <row r="3" spans="1:12" ht="15.75" thickBot="1">
      <c r="A3" s="551" t="s">
        <v>916</v>
      </c>
      <c r="B3" s="552">
        <f>'IS HPG (base)'!F12</f>
        <v>63658192673791</v>
      </c>
      <c r="C3" s="552">
        <f>'IS HPG (base)'!G12</f>
        <v>90118503426717</v>
      </c>
      <c r="D3" s="552">
        <f>'IS HPG (base)'!H12</f>
        <v>149679789979345</v>
      </c>
      <c r="E3" s="552">
        <f>'IS HPG (base)'!I12</f>
        <v>141409274460632</v>
      </c>
      <c r="F3" s="552">
        <f>'IS HPG (base)'!J12</f>
        <v>118953027893654</v>
      </c>
      <c r="G3" s="552">
        <f>'IS HPG (base)'!K12</f>
        <v>123853289014089.8</v>
      </c>
      <c r="H3" s="552">
        <f>'IS HPG (base)'!L12</f>
        <v>164168767275752.75</v>
      </c>
      <c r="I3" s="552">
        <f>'IS HPG (base)'!M12</f>
        <v>215093507973044.69</v>
      </c>
      <c r="J3" s="552">
        <f>'IS HPG (base)'!N12</f>
        <v>240168045975687.81</v>
      </c>
      <c r="K3" s="552">
        <f>'IS HPG (base)'!O12</f>
        <v>247711401097074.31</v>
      </c>
      <c r="L3" s="553">
        <f>(K3/G3)^(1/5)-1</f>
        <v>0.1487028281993219</v>
      </c>
    </row>
    <row r="4" spans="1:12" ht="15.75" thickBot="1">
      <c r="A4" s="554" t="s">
        <v>917</v>
      </c>
      <c r="B4" s="555"/>
      <c r="C4" s="556">
        <f>(C3-B3)/B3</f>
        <v>0.41566229956478318</v>
      </c>
      <c r="D4" s="556">
        <f t="shared" ref="D4:K4" si="0">(D3-C3)/C3</f>
        <v>0.66092183389465997</v>
      </c>
      <c r="E4" s="556">
        <f t="shared" si="0"/>
        <v>-5.5254724234008387E-2</v>
      </c>
      <c r="F4" s="556">
        <f t="shared" si="0"/>
        <v>-0.15880320900189446</v>
      </c>
      <c r="G4" s="556">
        <f t="shared" si="0"/>
        <v>4.1194925486190331E-2</v>
      </c>
      <c r="H4" s="556">
        <f t="shared" si="0"/>
        <v>0.32550995280453621</v>
      </c>
      <c r="I4" s="556">
        <f t="shared" si="0"/>
        <v>0.31019749701692118</v>
      </c>
      <c r="J4" s="556">
        <f t="shared" si="0"/>
        <v>0.11657505723410974</v>
      </c>
      <c r="K4" s="556">
        <f t="shared" si="0"/>
        <v>3.140865426431505E-2</v>
      </c>
      <c r="L4" s="556"/>
    </row>
    <row r="5" spans="1:12" ht="15.75" thickBot="1">
      <c r="A5" s="614" t="s">
        <v>918</v>
      </c>
      <c r="B5" s="615"/>
      <c r="C5" s="615"/>
      <c r="D5" s="615"/>
      <c r="E5" s="615"/>
      <c r="F5" s="615"/>
      <c r="G5" s="615"/>
      <c r="H5" s="615"/>
      <c r="I5" s="615"/>
      <c r="J5" s="615"/>
      <c r="K5" s="616"/>
      <c r="L5" s="549"/>
    </row>
    <row r="6" spans="1:12" ht="15.75" thickBot="1">
      <c r="A6" s="554" t="s">
        <v>919</v>
      </c>
      <c r="B6" s="557">
        <f>'IS HPG (base)'!F17</f>
        <v>11185372222137</v>
      </c>
      <c r="C6" s="557">
        <f>'IS HPG (base)'!G17</f>
        <v>18904049904154</v>
      </c>
      <c r="D6" s="557">
        <f>'IS HPG (base)'!H17</f>
        <v>41108409532992</v>
      </c>
      <c r="E6" s="557">
        <f>'IS HPG (base)'!I17</f>
        <v>16763426239552</v>
      </c>
      <c r="F6" s="557">
        <f>'IS HPG (base)'!J17</f>
        <v>12937840695572</v>
      </c>
      <c r="G6" s="557">
        <f>'IS HPG (base)'!K17</f>
        <v>15709213364172.781</v>
      </c>
      <c r="H6" s="557">
        <f>'IS HPG (base)'!L17</f>
        <v>24113354709387.297</v>
      </c>
      <c r="I6" s="557">
        <f>'IS HPG (base)'!M17</f>
        <v>29483757464096.438</v>
      </c>
      <c r="J6" s="557">
        <f>'IS HPG (base)'!N17</f>
        <v>28240047453324.063</v>
      </c>
      <c r="K6" s="557">
        <f>'IS HPG (base)'!O17</f>
        <v>35786049562362</v>
      </c>
      <c r="L6" s="553">
        <f>(K6/G6)^(1/5)-1</f>
        <v>0.17899473081163531</v>
      </c>
    </row>
    <row r="7" spans="1:12" ht="15.75" thickBot="1">
      <c r="A7" s="551" t="s">
        <v>920</v>
      </c>
      <c r="B7" s="552">
        <f>'IS HPG (base)'!F71</f>
        <v>7578248236229</v>
      </c>
      <c r="C7" s="552">
        <f>'IS HPG (base)'!G71</f>
        <v>13506164056907</v>
      </c>
      <c r="D7" s="552">
        <f>'IS HPG (base)'!H71</f>
        <v>34520954931298</v>
      </c>
      <c r="E7" s="552">
        <f>'IS HPG (base)'!I71</f>
        <v>8444429054516</v>
      </c>
      <c r="F7" s="552">
        <f>'IS HPG (base)'!J71</f>
        <v>6800388315081</v>
      </c>
      <c r="G7" s="552">
        <f>'IS HPG (base)'!K71</f>
        <v>10501597263633.322</v>
      </c>
      <c r="H7" s="552">
        <f>'IS HPG (base)'!L71</f>
        <v>15389752363736.324</v>
      </c>
      <c r="I7" s="552">
        <f>'IS HPG (base)'!M71</f>
        <v>19856999373971.055</v>
      </c>
      <c r="J7" s="552">
        <f>'IS HPG (base)'!N71</f>
        <v>18413002146787.926</v>
      </c>
      <c r="K7" s="552">
        <f>'IS HPG (base)'!O71</f>
        <v>25093617716983.672</v>
      </c>
      <c r="L7" s="553">
        <f>(K7/G7)^(1/5)-1</f>
        <v>0.19031411529955622</v>
      </c>
    </row>
    <row r="8" spans="1:12" ht="15.75" thickBot="1">
      <c r="A8" s="554" t="s">
        <v>921</v>
      </c>
      <c r="B8" s="556">
        <f>'IS HPG (base)'!F18</f>
        <v>0.17293961438061012</v>
      </c>
      <c r="C8" s="556">
        <f>'IS HPG (base)'!G18</f>
        <v>0.20710175673632986</v>
      </c>
      <c r="D8" s="556">
        <f>'IS HPG (base)'!H18</f>
        <v>0.27248408476226404</v>
      </c>
      <c r="E8" s="556">
        <f>'IS HPG (base)'!I18</f>
        <v>0.11741494049153856</v>
      </c>
      <c r="F8" s="556">
        <f>'IS HPG (base)'!J18</f>
        <v>0.10749711933450432</v>
      </c>
      <c r="G8" s="556">
        <f>'IS HPG (base)'!K18</f>
        <v>0.12551310069685553</v>
      </c>
      <c r="H8" s="556">
        <f>'IS HPG (base)'!L18</f>
        <v>0.14543157901003187</v>
      </c>
      <c r="I8" s="556">
        <f>'IS HPG (base)'!M18</f>
        <v>0.13565205168506519</v>
      </c>
      <c r="J8" s="556">
        <f>'IS HPG (base)'!N18</f>
        <v>0.11634000571696708</v>
      </c>
      <c r="K8" s="556">
        <f>'IS HPG (base)'!O18</f>
        <v>0.14297616912112271</v>
      </c>
      <c r="L8" s="553">
        <f t="shared" ref="L8:L13" si="1">(K8/G8)^(1/5)-1</f>
        <v>2.6395926047215745E-2</v>
      </c>
    </row>
    <row r="9" spans="1:12" ht="15.75" thickBot="1">
      <c r="A9" s="554" t="s">
        <v>922</v>
      </c>
      <c r="B9" s="556">
        <f>'IS HPG (base)'!F73</f>
        <v>0.11904592194539439</v>
      </c>
      <c r="C9" s="556">
        <f>'IS HPG (base)'!G73</f>
        <v>0.14987115346284027</v>
      </c>
      <c r="D9" s="556">
        <f>'IS HPG (base)'!H73</f>
        <v>0.22881962392694574</v>
      </c>
      <c r="E9" s="556">
        <f>'IS HPG (base)'!I73</f>
        <v>5.9146747255143059E-2</v>
      </c>
      <c r="F9" s="556">
        <f>'IS HPG (base)'!J73</f>
        <v>5.6502639924869737E-2</v>
      </c>
      <c r="G9" s="556">
        <f>'IS HPG (base)'!K73</f>
        <v>8.3905412974676963E-2</v>
      </c>
      <c r="H9" s="556">
        <f>'IS HPG (base)'!L73</f>
        <v>9.2818109043957819E-2</v>
      </c>
      <c r="I9" s="556">
        <f>'IS HPG (base)'!M73</f>
        <v>9.1360224648041763E-2</v>
      </c>
      <c r="J9" s="556">
        <f>'IS HPG (base)'!N73</f>
        <v>7.585570734484319E-2</v>
      </c>
      <c r="K9" s="556">
        <f>'IS HPG (base)'!O73</f>
        <v>0.10025664677829425</v>
      </c>
      <c r="L9" s="553">
        <f t="shared" si="1"/>
        <v>3.6250228038681165E-2</v>
      </c>
    </row>
    <row r="10" spans="1:12" ht="15.75" hidden="1" thickBot="1">
      <c r="A10" s="551" t="s">
        <v>923</v>
      </c>
      <c r="B10" s="559"/>
      <c r="C10" s="559"/>
      <c r="D10" s="559"/>
      <c r="E10" s="559"/>
      <c r="F10" s="559"/>
      <c r="G10" s="559"/>
      <c r="H10" s="559"/>
      <c r="I10" s="559"/>
      <c r="J10" s="559"/>
      <c r="K10" s="559"/>
      <c r="L10" s="553" t="e">
        <f t="shared" si="1"/>
        <v>#DIV/0!</v>
      </c>
    </row>
    <row r="11" spans="1:12" ht="30.75" hidden="1" thickBot="1">
      <c r="A11" s="554" t="s">
        <v>924</v>
      </c>
      <c r="B11" s="560"/>
      <c r="C11" s="560"/>
      <c r="D11" s="560"/>
      <c r="E11" s="560"/>
      <c r="F11" s="560"/>
      <c r="G11" s="560"/>
      <c r="H11" s="560"/>
      <c r="I11" s="560"/>
      <c r="J11" s="560"/>
      <c r="K11" s="560"/>
      <c r="L11" s="553" t="e">
        <f t="shared" si="1"/>
        <v>#DIV/0!</v>
      </c>
    </row>
    <row r="12" spans="1:12" ht="15.75" thickBot="1">
      <c r="A12" s="551" t="s">
        <v>925</v>
      </c>
      <c r="B12" s="553">
        <f>'IS HPG (base)'!F71/'BS HPG'!F115</f>
        <v>0.15858509507639573</v>
      </c>
      <c r="C12" s="553">
        <f>'IS HPG (base)'!G71/'BS HPG'!G115</f>
        <v>0.22806843623333498</v>
      </c>
      <c r="D12" s="553">
        <f>'IS HPG (base)'!H71/'BS HPG'!H115</f>
        <v>0.38026786813611585</v>
      </c>
      <c r="E12" s="553">
        <f>'IS HPG (base)'!I71/'BS HPG'!I115</f>
        <v>8.7859440032456507E-2</v>
      </c>
      <c r="F12" s="553">
        <f>'IS HPG (base)'!J71/'BS HPG'!J115</f>
        <v>6.6128209883030795E-2</v>
      </c>
      <c r="G12" s="553">
        <f>'IS HPG (base)'!K71/'BS HPG'!K115</f>
        <v>9.2624107962716112E-2</v>
      </c>
      <c r="H12" s="553">
        <f>'IS HPG (base)'!L71/'BS HPG'!L115</f>
        <v>0.11953498717874066</v>
      </c>
      <c r="I12" s="553">
        <f>'IS HPG (base)'!M71/'BS HPG'!M115</f>
        <v>0.13543267114076402</v>
      </c>
      <c r="J12" s="553">
        <f>'IS HPG (base)'!N71/'BS HPG'!N115</f>
        <v>0.11543137285011602</v>
      </c>
      <c r="K12" s="553">
        <f>'IS HPG (base)'!O71/'BS HPG'!O115</f>
        <v>0.14584494673320794</v>
      </c>
      <c r="L12" s="553">
        <f t="shared" si="1"/>
        <v>9.5048789780045162E-2</v>
      </c>
    </row>
    <row r="13" spans="1:12" ht="15.75" thickBot="1">
      <c r="A13" s="554" t="s">
        <v>926</v>
      </c>
      <c r="B13" s="556">
        <f>'IS HPG (base)'!F71/'BS HPG'!F76</f>
        <v>7.4460049471279641E-2</v>
      </c>
      <c r="C13" s="556">
        <f>'IS HPG (base)'!G71/'BS HPG'!G76</f>
        <v>0.10269954182823084</v>
      </c>
      <c r="D13" s="556">
        <f>'IS HPG (base)'!H71/'BS HPG'!H76</f>
        <v>0.19368069934613075</v>
      </c>
      <c r="E13" s="556">
        <f>'IS HPG (base)'!I71/'BS HPG'!I76</f>
        <v>4.9575268146658358E-2</v>
      </c>
      <c r="F13" s="556">
        <f>'IS HPG (base)'!J71/'BS HPG'!J76</f>
        <v>3.6214158296144786E-2</v>
      </c>
      <c r="G13" s="556">
        <f>'IS HPG (base)'!K71/'BS HPG'!K76</f>
        <v>5.3159381355493238E-2</v>
      </c>
      <c r="H13" s="556">
        <f>'IS HPG (base)'!L71/'BS HPG'!L76</f>
        <v>6.8605697420340783E-2</v>
      </c>
      <c r="I13" s="556">
        <f>'IS HPG (base)'!M71/'BS HPG'!M76</f>
        <v>8.0807491516411672E-2</v>
      </c>
      <c r="J13" s="556">
        <f>'IS HPG (base)'!N71/'BS HPG'!N76</f>
        <v>7.4557461801527156E-2</v>
      </c>
      <c r="K13" s="556">
        <f>'IS HPG (base)'!O71/'BS HPG'!O76</f>
        <v>9.8946751714338754E-2</v>
      </c>
      <c r="L13" s="553">
        <f t="shared" si="1"/>
        <v>0.13230734545849909</v>
      </c>
    </row>
    <row r="14" spans="1:12" ht="15.75" thickBot="1">
      <c r="A14" s="614" t="s">
        <v>927</v>
      </c>
      <c r="B14" s="615"/>
      <c r="C14" s="615"/>
      <c r="D14" s="615"/>
      <c r="E14" s="615"/>
      <c r="F14" s="615"/>
      <c r="G14" s="615"/>
      <c r="H14" s="615"/>
      <c r="I14" s="615"/>
      <c r="J14" s="615"/>
      <c r="K14" s="616"/>
      <c r="L14" s="549"/>
    </row>
    <row r="15" spans="1:12" ht="15.75" thickBot="1">
      <c r="A15" s="554" t="s">
        <v>928</v>
      </c>
      <c r="B15" s="561">
        <f>'BS HPG'!F78/'BS HPG'!F115</f>
        <v>1.1298010974000814</v>
      </c>
      <c r="C15" s="561">
        <f>'BS HPG'!G78/'BS HPG'!G115</f>
        <v>1.2207347002072193</v>
      </c>
      <c r="D15" s="561">
        <f>'BS HPG'!H78/'BS HPG'!H115</f>
        <v>0.96337512937482406</v>
      </c>
      <c r="E15" s="561">
        <f>'BS HPG'!I78/'BS HPG'!I115</f>
        <v>0.77224336482744182</v>
      </c>
      <c r="F15" s="561">
        <f>'BS HPG'!J78/'BS HPG'!J115</f>
        <v>0.82603194425398363</v>
      </c>
      <c r="G15" s="561">
        <f>'BS HPG'!K78/'BS HPG'!K115</f>
        <v>0.74238498644877049</v>
      </c>
      <c r="H15" s="561">
        <f>'BS HPG'!L78/'BS HPG'!L115</f>
        <v>0.74234781765078217</v>
      </c>
      <c r="I15" s="561">
        <f>'BS HPG'!M78/'BS HPG'!M115</f>
        <v>0.6759915275090328</v>
      </c>
      <c r="J15" s="561">
        <f>'BS HPG'!N78/'BS HPG'!N115</f>
        <v>0.54822025939396479</v>
      </c>
      <c r="K15" s="561">
        <f>'BS HPG'!O78/'BS HPG'!O115</f>
        <v>0.47397407399754982</v>
      </c>
      <c r="L15" s="555"/>
    </row>
    <row r="16" spans="1:12" ht="15.75" thickBot="1">
      <c r="A16" s="551" t="s">
        <v>929</v>
      </c>
      <c r="B16" s="562">
        <f>'BS HPG'!F78/'BS HPG'!F76</f>
        <v>0.53047258674965792</v>
      </c>
      <c r="C16" s="562">
        <f>'BS HPG'!G78/'BS HPG'!G76</f>
        <v>0.54969857502263153</v>
      </c>
      <c r="D16" s="562">
        <f>'BS HPG'!H78/'BS HPG'!H76</f>
        <v>0.49067298192861442</v>
      </c>
      <c r="E16" s="562">
        <f>'BS HPG'!I78/'BS HPG'!I76</f>
        <v>0.43574340869524592</v>
      </c>
      <c r="F16" s="562">
        <f>'BS HPG'!J78/'BS HPG'!J76</f>
        <v>0.45236445444083123</v>
      </c>
      <c r="G16" s="562">
        <f>'BS HPG'!K78/'BS HPG'!K76</f>
        <v>0.42607402624712531</v>
      </c>
      <c r="H16" s="562">
        <f>'BS HPG'!L78/'BS HPG'!L76</f>
        <v>0.42606178291754288</v>
      </c>
      <c r="I16" s="562">
        <f>'BS HPG'!M78/'BS HPG'!M76</f>
        <v>0.40333827254707855</v>
      </c>
      <c r="J16" s="562">
        <f>'BS HPG'!N78/'BS HPG'!N76</f>
        <v>0.35409707118066008</v>
      </c>
      <c r="K16" s="562">
        <f>'BS HPG'!O78/'BS HPG'!O76</f>
        <v>0.32156201547839275</v>
      </c>
      <c r="L16" s="558"/>
    </row>
    <row r="17" spans="1:12" ht="15.75" thickBot="1">
      <c r="A17" s="614" t="s">
        <v>930</v>
      </c>
      <c r="B17" s="615"/>
      <c r="C17" s="615"/>
      <c r="D17" s="615"/>
      <c r="E17" s="615"/>
      <c r="F17" s="615"/>
      <c r="G17" s="615"/>
      <c r="H17" s="615"/>
      <c r="I17" s="615"/>
      <c r="J17" s="615"/>
      <c r="K17" s="616"/>
      <c r="L17" s="549"/>
    </row>
    <row r="18" spans="1:12" ht="15.75" thickBot="1">
      <c r="A18" s="551" t="s">
        <v>931</v>
      </c>
      <c r="B18" s="562">
        <f>'BS HPG'!F2/'BS HPG'!F80</f>
        <v>1.1279540973522568</v>
      </c>
      <c r="C18" s="562">
        <f>'BS HPG'!G2/'BS HPG'!G80</f>
        <v>1.0918137717140368</v>
      </c>
      <c r="D18" s="562">
        <f>'BS HPG'!H2/'BS HPG'!H80</f>
        <v>1.2817279677185263</v>
      </c>
      <c r="E18" s="562">
        <f>'BS HPG'!I2/'BS HPG'!I80</f>
        <v>1.2906019798379491</v>
      </c>
      <c r="F18" s="562">
        <f>'BS HPG'!J2/'BS HPG'!J80</f>
        <v>1.1566550005218463</v>
      </c>
      <c r="G18" s="562">
        <f>'BS HPG'!K2/'BS HPG'!K80</f>
        <v>1.3307697705670698</v>
      </c>
      <c r="H18" s="562">
        <f>'BS HPG'!L2/'BS HPG'!L80</f>
        <v>1.0957136895381743</v>
      </c>
      <c r="I18" s="562">
        <f>'BS HPG'!M2/'BS HPG'!M80</f>
        <v>1.2469716408272487</v>
      </c>
      <c r="J18" s="562">
        <f>'BS HPG'!N2/'BS HPG'!N80</f>
        <v>1.5975397736328789</v>
      </c>
      <c r="K18" s="562">
        <f>'BS HPG'!O2/'BS HPG'!O80</f>
        <v>1.794332018748831</v>
      </c>
      <c r="L18" s="558"/>
    </row>
    <row r="19" spans="1:12" ht="15.75" thickBot="1">
      <c r="A19" s="551" t="s">
        <v>941</v>
      </c>
      <c r="B19" s="562">
        <f>'BS HPG'!F3/'BS HPG'!F80</f>
        <v>0.16842821196847763</v>
      </c>
      <c r="C19" s="562">
        <f>'BS HPG'!G3/'BS HPG'!G80</f>
        <v>0.26351211155706877</v>
      </c>
      <c r="D19" s="562">
        <f>'BS HPG'!H3/'BS HPG'!H80</f>
        <v>0.30590232558014813</v>
      </c>
      <c r="E19" s="562">
        <f>'BS HPG'!I3/'BS HPG'!I80</f>
        <v>0.13343811474766251</v>
      </c>
      <c r="F19" s="562">
        <f>'BS HPG'!J3/'BS HPG'!J80</f>
        <v>0.17132432864390437</v>
      </c>
      <c r="G19" s="562">
        <f>'BS HPG'!K3/'BS HPG'!K80</f>
        <v>0.32746106760745786</v>
      </c>
      <c r="H19" s="562">
        <f>'BS HPG'!L3/'BS HPG'!L80</f>
        <v>7.7247167891241419E-2</v>
      </c>
      <c r="I19" s="562">
        <f>'BS HPG'!M3/'BS HPG'!M80</f>
        <v>3.8696395505238734E-2</v>
      </c>
      <c r="J19" s="562">
        <f>'BS HPG'!N3/'BS HPG'!N80</f>
        <v>0.11250063074543493</v>
      </c>
      <c r="K19" s="562">
        <f>'BS HPG'!O3/'BS HPG'!O80</f>
        <v>0.12606872903839278</v>
      </c>
      <c r="L19" s="558"/>
    </row>
    <row r="20" spans="1:12" ht="15.75" thickBot="1">
      <c r="A20" s="554" t="s">
        <v>932</v>
      </c>
      <c r="B20" s="556">
        <f>('BS HPG'!F2-'BS HPG'!F22)/'BS HPG'!F80</f>
        <v>0.4085729761172327</v>
      </c>
      <c r="C20" s="556">
        <f>('BS HPG'!G2-'BS HPG'!G22)/'BS HPG'!G80</f>
        <v>0.58605692219714445</v>
      </c>
      <c r="D20" s="556">
        <f>('BS HPG'!H2-'BS HPG'!H22)/'BS HPG'!H80</f>
        <v>0.70815205798530112</v>
      </c>
      <c r="E20" s="556">
        <f>('BS HPG'!I2-'BS HPG'!I22)/'BS HPG'!I80</f>
        <v>0.73773037448625389</v>
      </c>
      <c r="F20" s="556">
        <f>('BS HPG'!J2-'BS HPG'!J22)/'BS HPG'!J80</f>
        <v>0.67416580855598474</v>
      </c>
      <c r="G20" s="556">
        <f>('BS HPG'!K2-'BS HPG'!K22)/'BS HPG'!K80</f>
        <v>0.81603630789372039</v>
      </c>
      <c r="H20" s="556">
        <f>('BS HPG'!L2-'BS HPG'!L22)/'BS HPG'!L80</f>
        <v>0.54592654768014448</v>
      </c>
      <c r="I20" s="556">
        <f>('BS HPG'!M2-'BS HPG'!M22)/'BS HPG'!M80</f>
        <v>0.56043376879062345</v>
      </c>
      <c r="J20" s="556">
        <f>('BS HPG'!N2-'BS HPG'!N22)/'BS HPG'!N80</f>
        <v>0.75543797372112176</v>
      </c>
      <c r="K20" s="556">
        <f>('BS HPG'!O2-'BS HPG'!O22)/'BS HPG'!O80</f>
        <v>0.87308444487156267</v>
      </c>
      <c r="L20" s="555"/>
    </row>
    <row r="21" spans="1:12" ht="15.75" thickBot="1">
      <c r="A21" s="614" t="s">
        <v>933</v>
      </c>
      <c r="B21" s="615"/>
      <c r="C21" s="615"/>
      <c r="D21" s="615"/>
      <c r="E21" s="615"/>
      <c r="F21" s="615"/>
      <c r="G21" s="615"/>
      <c r="H21" s="615"/>
      <c r="I21" s="615"/>
      <c r="J21" s="615"/>
      <c r="K21" s="616"/>
      <c r="L21" s="549"/>
    </row>
    <row r="22" spans="1:12" ht="15.75" thickBot="1">
      <c r="A22" s="554" t="s">
        <v>934</v>
      </c>
      <c r="B22" s="560"/>
      <c r="C22" s="560"/>
      <c r="D22" s="560"/>
      <c r="E22" s="560"/>
      <c r="F22" s="560"/>
      <c r="G22" s="560"/>
      <c r="H22" s="560"/>
      <c r="I22" s="560"/>
      <c r="J22" s="560"/>
      <c r="K22" s="560"/>
      <c r="L22" s="555"/>
    </row>
    <row r="23" spans="1:12" ht="15.75" thickBot="1">
      <c r="A23" s="551" t="s">
        <v>935</v>
      </c>
      <c r="B23" s="559"/>
      <c r="C23" s="559"/>
      <c r="D23" s="559"/>
      <c r="E23" s="559"/>
      <c r="F23" s="559"/>
      <c r="G23" s="559"/>
      <c r="H23" s="559"/>
      <c r="I23" s="559"/>
      <c r="J23" s="559"/>
      <c r="K23" s="559"/>
      <c r="L23" s="558"/>
    </row>
    <row r="24" spans="1:12" ht="15.75" thickBot="1">
      <c r="A24" s="554" t="s">
        <v>936</v>
      </c>
      <c r="B24" s="560"/>
      <c r="C24" s="560"/>
      <c r="D24" s="560"/>
      <c r="E24" s="560"/>
      <c r="F24" s="560"/>
      <c r="G24" s="560"/>
      <c r="H24" s="560"/>
      <c r="I24" s="560"/>
      <c r="J24" s="560"/>
      <c r="K24" s="560"/>
      <c r="L24" s="555"/>
    </row>
    <row r="25" spans="1:12" ht="15.75" thickBot="1">
      <c r="A25" s="551" t="s">
        <v>937</v>
      </c>
      <c r="B25" s="559"/>
      <c r="C25" s="559"/>
      <c r="D25" s="559"/>
      <c r="E25" s="559"/>
      <c r="F25" s="559"/>
      <c r="G25" s="559"/>
      <c r="H25" s="559"/>
      <c r="I25" s="559"/>
      <c r="J25" s="559"/>
      <c r="K25" s="559"/>
      <c r="L25" s="558"/>
    </row>
    <row r="26" spans="1:12" ht="15.75" thickBot="1">
      <c r="A26" s="614" t="s">
        <v>938</v>
      </c>
      <c r="B26" s="615"/>
      <c r="C26" s="615"/>
      <c r="D26" s="615"/>
      <c r="E26" s="615"/>
      <c r="F26" s="615"/>
      <c r="G26" s="615"/>
      <c r="H26" s="615"/>
      <c r="I26" s="615"/>
      <c r="J26" s="615"/>
      <c r="K26" s="616"/>
      <c r="L26" s="555"/>
    </row>
    <row r="27" spans="1:12" ht="15.75" thickBot="1">
      <c r="A27" s="551" t="s">
        <v>939</v>
      </c>
      <c r="B27" s="563">
        <f>'IS HPG (base)'!F71/'IS HPG (base)'!$B$131</f>
        <v>1184.7954659792701</v>
      </c>
      <c r="C27" s="563">
        <f>'IS HPG (base)'!G71/'IS HPG (base)'!$B$131</f>
        <v>2111.5753190685068</v>
      </c>
      <c r="D27" s="563">
        <f>'IS HPG (base)'!H71/'IS HPG (base)'!$B$131</f>
        <v>5397.0613800094934</v>
      </c>
      <c r="E27" s="563">
        <f>'IS HPG (base)'!I71/'IS HPG (base)'!$B$131</f>
        <v>1320.215562317434</v>
      </c>
      <c r="F27" s="563">
        <f>'IS HPG (base)'!J71/'IS HPG (base)'!$B$131</f>
        <v>1063.1836001476302</v>
      </c>
      <c r="G27" s="563">
        <f>'IS HPG (base)'!K71/'IS HPG (base)'!$B$131</f>
        <v>1641.8365347298832</v>
      </c>
      <c r="H27" s="563">
        <f>'IS HPG (base)'!L71/'IS HPG (base)'!$B$131</f>
        <v>2406.0585315653107</v>
      </c>
      <c r="I27" s="563">
        <f>'IS HPG (base)'!M71/'IS HPG (base)'!$B$131</f>
        <v>3104.4750835373911</v>
      </c>
      <c r="J27" s="563">
        <f>'IS HPG (base)'!N71/'IS HPG (base)'!$B$131</f>
        <v>2878.7182444470241</v>
      </c>
      <c r="K27" s="563">
        <f>'IS HPG (base)'!O71/'IS HPG (base)'!$B$131</f>
        <v>3923.1763818406716</v>
      </c>
      <c r="L27" s="558"/>
    </row>
    <row r="28" spans="1:12">
      <c r="A28" s="564" t="s">
        <v>940</v>
      </c>
      <c r="B28" s="475">
        <f>'CFS HPG'!F21/'IS HPG (base)'!F107</f>
        <v>0.6196975220900095</v>
      </c>
      <c r="C28" s="475">
        <f>'CFS HPG'!G21/'IS HPG (base)'!G107</f>
        <v>0.52546145454059812</v>
      </c>
      <c r="D28" s="475">
        <f>'CFS HPG'!H21/'IS HPG (base)'!H107</f>
        <v>0.59981962719065363</v>
      </c>
      <c r="E28" s="475">
        <f>'CFS HPG'!I21/'IS HPG (base)'!I107</f>
        <v>0.6286235292870519</v>
      </c>
      <c r="F28" s="475">
        <f>'CFS HPG'!J21/'IS HPG (base)'!J107</f>
        <v>0.48633926605947975</v>
      </c>
      <c r="G28" s="475">
        <f>'CFS HPG'!K21/'IS HPG (base)'!K107</f>
        <v>0.95186344085013774</v>
      </c>
      <c r="H28" s="475">
        <f>'CFS HPG'!L21/'IS HPG (base)'!L107</f>
        <v>0.47179289252194595</v>
      </c>
      <c r="I28" s="475">
        <f>'CFS HPG'!M21/'IS HPG (base)'!M107</f>
        <v>0.37027780973248098</v>
      </c>
      <c r="J28" s="475">
        <f>'CFS HPG'!N21/'IS HPG (base)'!N107</f>
        <v>0.69658547851537722</v>
      </c>
      <c r="K28" s="475">
        <f>'CFS HPG'!O21/'IS HPG (base)'!O107</f>
        <v>0.81807658166867425</v>
      </c>
    </row>
    <row r="30" spans="1:12">
      <c r="A30" s="568" t="s">
        <v>943</v>
      </c>
      <c r="B30" s="569">
        <f>'BS HPG'!F78</f>
        <v>53989393956205</v>
      </c>
      <c r="C30" s="569">
        <f>'BS HPG'!G78</f>
        <v>72291648082726</v>
      </c>
      <c r="D30" s="569">
        <f>'BS HPG'!H78</f>
        <v>87455796846810</v>
      </c>
      <c r="E30" s="569">
        <f>'BS HPG'!I78</f>
        <v>74222579892349</v>
      </c>
      <c r="F30" s="569">
        <f>'BS HPG'!J78</f>
        <v>84946167324422</v>
      </c>
      <c r="G30" s="569">
        <f>'BS HPG'!K78</f>
        <v>84170615120969.125</v>
      </c>
      <c r="H30" s="569">
        <f>'BS HPG'!L78</f>
        <v>95574938777736.25</v>
      </c>
      <c r="I30" s="569">
        <f>'BS HPG'!M78</f>
        <v>99113184621493.813</v>
      </c>
      <c r="J30" s="569">
        <f>'BS HPG'!N78</f>
        <v>87449196556303.125</v>
      </c>
      <c r="K30" s="569">
        <f>'BS HPG'!O78</f>
        <v>81550471833712.984</v>
      </c>
    </row>
    <row r="31" spans="1:12">
      <c r="A31" s="568" t="s">
        <v>944</v>
      </c>
      <c r="B31" s="569">
        <f>'BS HPG'!F80</f>
        <v>26984198187977</v>
      </c>
      <c r="C31" s="569">
        <f>'BS HPG'!G80</f>
        <v>51975217447498</v>
      </c>
      <c r="D31" s="569">
        <f>'BS HPG'!H80</f>
        <v>73459315876441</v>
      </c>
      <c r="E31" s="569">
        <f>'BS HPG'!I80</f>
        <v>62385390680685</v>
      </c>
      <c r="F31" s="569">
        <f>'BS HPG'!J80</f>
        <v>71513492904733</v>
      </c>
      <c r="G31" s="569">
        <f>'BS HPG'!K80</f>
        <v>65453879805200.875</v>
      </c>
      <c r="H31" s="569">
        <f>'BS HPG'!L80</f>
        <v>80166173184857.953</v>
      </c>
      <c r="I31" s="569">
        <f>'BS HPG'!M80</f>
        <v>86712342340262.438</v>
      </c>
      <c r="J31" s="569">
        <f>'BS HPG'!N80</f>
        <v>77722580796332.906</v>
      </c>
      <c r="K31" s="569">
        <f>'BS HPG'!O80</f>
        <v>73297635012067.422</v>
      </c>
    </row>
    <row r="32" spans="1:12">
      <c r="A32" s="568" t="s">
        <v>945</v>
      </c>
      <c r="B32" s="569">
        <f>'BS HPG'!F99</f>
        <v>27005195768228</v>
      </c>
      <c r="C32" s="569">
        <f>'BS HPG'!G99</f>
        <v>20316430635228</v>
      </c>
      <c r="D32" s="569">
        <f>'BS HPG'!H99</f>
        <v>13996480970369</v>
      </c>
      <c r="E32" s="569">
        <f>'BS HPG'!I99</f>
        <v>11837189211664</v>
      </c>
      <c r="F32" s="569">
        <f>'BS HPG'!J99</f>
        <v>13432674419689</v>
      </c>
      <c r="G32" s="569">
        <f>'BS HPG'!K99</f>
        <v>18716735315768.246</v>
      </c>
      <c r="H32" s="569">
        <f>'BS HPG'!L99</f>
        <v>15408765592878.297</v>
      </c>
      <c r="I32" s="569">
        <f>'BS HPG'!M99</f>
        <v>12400842281231.381</v>
      </c>
      <c r="J32" s="569">
        <f>'BS HPG'!N99</f>
        <v>9726615759970.2188</v>
      </c>
      <c r="K32" s="569">
        <f>'BS HPG'!O99</f>
        <v>8252836821645.5684</v>
      </c>
    </row>
  </sheetData>
  <mergeCells count="6">
    <mergeCell ref="A26:K26"/>
    <mergeCell ref="A1:K1"/>
    <mergeCell ref="A5:K5"/>
    <mergeCell ref="A14:K14"/>
    <mergeCell ref="A17:K17"/>
    <mergeCell ref="A21:K21"/>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I1005"/>
  <sheetViews>
    <sheetView topLeftCell="A16" workbookViewId="0">
      <selection activeCell="A39" sqref="A39"/>
    </sheetView>
  </sheetViews>
  <sheetFormatPr defaultColWidth="14.42578125" defaultRowHeight="15" customHeight="1"/>
  <cols>
    <col min="1" max="1" width="25" customWidth="1"/>
    <col min="2" max="4" width="22.42578125" customWidth="1"/>
    <col min="5" max="9" width="26" bestFit="1" customWidth="1"/>
  </cols>
  <sheetData>
    <row r="1" spans="1:9">
      <c r="A1" s="128" t="s">
        <v>233</v>
      </c>
      <c r="B1" s="11">
        <v>2021</v>
      </c>
      <c r="C1" s="11">
        <v>2022</v>
      </c>
      <c r="D1" s="11">
        <v>2023</v>
      </c>
      <c r="E1" s="12">
        <v>2024</v>
      </c>
      <c r="F1" s="12">
        <v>2025</v>
      </c>
      <c r="G1" s="12">
        <v>2026</v>
      </c>
      <c r="H1" s="12">
        <v>2027</v>
      </c>
      <c r="I1" s="12">
        <v>2028</v>
      </c>
    </row>
    <row r="2" spans="1:9">
      <c r="A2" s="13" t="s">
        <v>234</v>
      </c>
      <c r="B2" s="6"/>
      <c r="C2" s="6"/>
      <c r="D2" s="6"/>
      <c r="E2" s="6">
        <f t="shared" ref="E2:I2" si="0">E31*E39</f>
        <v>84372778168085.672</v>
      </c>
      <c r="F2" s="6">
        <f t="shared" si="0"/>
        <v>108003212590728</v>
      </c>
      <c r="G2" s="6">
        <f t="shared" si="0"/>
        <v>145696400348528.03</v>
      </c>
      <c r="H2" s="6">
        <f t="shared" si="0"/>
        <v>167658150336008.84</v>
      </c>
      <c r="I2" s="6">
        <f t="shared" si="0"/>
        <v>165688518735016.88</v>
      </c>
    </row>
    <row r="3" spans="1:9">
      <c r="A3" s="13" t="s">
        <v>235</v>
      </c>
      <c r="B3" s="6"/>
      <c r="C3" s="6"/>
      <c r="D3" s="6"/>
      <c r="E3" s="6">
        <f t="shared" ref="E3:I3" si="1">E31*3.4%</f>
        <v>4255438288245.999</v>
      </c>
      <c r="F3" s="6">
        <f t="shared" si="1"/>
        <v>5637386774591.8838</v>
      </c>
      <c r="G3" s="6">
        <f t="shared" si="1"/>
        <v>7389845869096.0215</v>
      </c>
      <c r="H3" s="6">
        <f t="shared" si="1"/>
        <v>8253064863593.9316</v>
      </c>
      <c r="I3" s="6">
        <f t="shared" si="1"/>
        <v>8509989410120.1934</v>
      </c>
    </row>
    <row r="4" spans="1:9">
      <c r="A4" s="13" t="s">
        <v>236</v>
      </c>
      <c r="B4" s="6"/>
      <c r="C4" s="6"/>
      <c r="D4" s="6"/>
      <c r="E4" s="6">
        <f>Capex!E3</f>
        <v>6999864228155.917</v>
      </c>
      <c r="F4" s="6">
        <f>Capex!F3</f>
        <v>9834263864010.6113</v>
      </c>
      <c r="G4" s="6">
        <f>Capex!G3</f>
        <v>10788663499865.307</v>
      </c>
      <c r="H4" s="6">
        <f>Capex!H3</f>
        <v>11743063135720.002</v>
      </c>
      <c r="I4" s="6">
        <f>Capex!I3</f>
        <v>12697462771574.697</v>
      </c>
    </row>
    <row r="5" spans="1:9">
      <c r="A5" s="13" t="s">
        <v>237</v>
      </c>
      <c r="B5" s="6"/>
      <c r="C5" s="6"/>
      <c r="D5" s="6"/>
      <c r="E5" s="6">
        <f t="shared" ref="E5:I5" si="2">E31*7%</f>
        <v>8761196475800.5859</v>
      </c>
      <c r="F5" s="6">
        <f t="shared" si="2"/>
        <v>11606384535924.467</v>
      </c>
      <c r="G5" s="6">
        <f t="shared" si="2"/>
        <v>15214388554021.221</v>
      </c>
      <c r="H5" s="6">
        <f t="shared" si="2"/>
        <v>16991604130928.684</v>
      </c>
      <c r="I5" s="6">
        <f t="shared" si="2"/>
        <v>17520566432600.398</v>
      </c>
    </row>
    <row r="6" spans="1:9">
      <c r="A6" s="13" t="s">
        <v>238</v>
      </c>
      <c r="B6" s="6"/>
      <c r="C6" s="6"/>
      <c r="D6" s="6"/>
      <c r="E6" s="6">
        <f t="shared" ref="E6:I6" si="3">E31*3%</f>
        <v>3754798489628.8223</v>
      </c>
      <c r="F6" s="6">
        <f t="shared" si="3"/>
        <v>4974164801110.4844</v>
      </c>
      <c r="G6" s="6">
        <f t="shared" si="3"/>
        <v>6520452237437.665</v>
      </c>
      <c r="H6" s="6">
        <f t="shared" si="3"/>
        <v>7282116056112.292</v>
      </c>
      <c r="I6" s="6">
        <f t="shared" si="3"/>
        <v>7508814185400.1689</v>
      </c>
    </row>
    <row r="7" spans="1:9">
      <c r="A7" s="128" t="s">
        <v>239</v>
      </c>
      <c r="B7" s="9"/>
      <c r="C7" s="9"/>
      <c r="D7" s="9"/>
      <c r="E7" s="8">
        <f t="shared" ref="E7:I7" si="4">SUM(E2:E6)</f>
        <v>108144075649917.02</v>
      </c>
      <c r="F7" s="8">
        <f t="shared" si="4"/>
        <v>140055412566365.45</v>
      </c>
      <c r="G7" s="8">
        <f t="shared" si="4"/>
        <v>185609750508948.25</v>
      </c>
      <c r="H7" s="8">
        <f t="shared" si="4"/>
        <v>211927998522363.75</v>
      </c>
      <c r="I7" s="8">
        <f t="shared" si="4"/>
        <v>211925351534712.31</v>
      </c>
    </row>
    <row r="8" spans="1:9">
      <c r="A8" s="13"/>
      <c r="E8" s="6"/>
      <c r="F8" s="6"/>
      <c r="G8" s="6"/>
      <c r="H8" s="6"/>
      <c r="I8" s="6"/>
    </row>
    <row r="9" spans="1:9">
      <c r="A9" s="128" t="s">
        <v>240</v>
      </c>
      <c r="B9" s="11">
        <v>2021</v>
      </c>
      <c r="C9" s="11">
        <v>2022</v>
      </c>
      <c r="D9" s="11">
        <v>2023</v>
      </c>
      <c r="E9" s="12">
        <v>2024</v>
      </c>
      <c r="F9" s="12">
        <v>2025</v>
      </c>
      <c r="G9" s="12">
        <v>2026</v>
      </c>
      <c r="H9" s="12">
        <v>2027</v>
      </c>
      <c r="I9" s="12">
        <v>2028</v>
      </c>
    </row>
    <row r="10" spans="1:9">
      <c r="A10" s="13" t="s">
        <v>234</v>
      </c>
      <c r="B10" s="6">
        <v>92299082082245</v>
      </c>
      <c r="C10" s="6">
        <v>98655446509628</v>
      </c>
      <c r="D10" s="6">
        <v>82533470179698</v>
      </c>
      <c r="E10" s="6"/>
      <c r="F10" s="6"/>
      <c r="G10" s="6"/>
      <c r="H10" s="6"/>
      <c r="I10" s="6"/>
    </row>
    <row r="11" spans="1:9">
      <c r="A11" s="13" t="s">
        <v>235</v>
      </c>
      <c r="B11" s="6">
        <v>3614414404721</v>
      </c>
      <c r="C11" s="6">
        <v>4292129016610</v>
      </c>
      <c r="D11" s="6">
        <v>4165003835565</v>
      </c>
    </row>
    <row r="12" spans="1:9">
      <c r="A12" s="13" t="s">
        <v>236</v>
      </c>
      <c r="B12" s="6">
        <v>6076516295417</v>
      </c>
      <c r="C12" s="6">
        <v>6759462100582</v>
      </c>
      <c r="D12" s="6">
        <v>6761933539397</v>
      </c>
    </row>
    <row r="13" spans="1:9">
      <c r="A13" s="13" t="s">
        <v>237</v>
      </c>
      <c r="B13" s="6">
        <v>11779494682520</v>
      </c>
      <c r="C13" s="6">
        <v>12103510397646</v>
      </c>
      <c r="D13" s="6">
        <v>8584209924182</v>
      </c>
    </row>
    <row r="14" spans="1:9">
      <c r="A14" s="13" t="s">
        <v>238</v>
      </c>
      <c r="B14" s="6">
        <v>4145874734810</v>
      </c>
      <c r="C14" s="6">
        <v>3659447771171</v>
      </c>
      <c r="D14" s="6">
        <v>3538755725036</v>
      </c>
    </row>
    <row r="15" spans="1:9">
      <c r="A15" s="128" t="s">
        <v>191</v>
      </c>
      <c r="B15" s="8">
        <f t="shared" ref="B15:D15" si="5">SUM(B10:B14)</f>
        <v>117915382199713</v>
      </c>
      <c r="C15" s="8">
        <f t="shared" si="5"/>
        <v>125469995795637</v>
      </c>
      <c r="D15" s="8">
        <f t="shared" si="5"/>
        <v>105583373203878</v>
      </c>
    </row>
    <row r="16" spans="1:9">
      <c r="A16" s="128" t="s">
        <v>241</v>
      </c>
    </row>
    <row r="17" spans="1:9">
      <c r="A17" s="13" t="s">
        <v>234</v>
      </c>
      <c r="B17" s="1">
        <f t="shared" ref="B17:D17" si="6">B10/B$15</f>
        <v>0.78275692585992107</v>
      </c>
      <c r="C17" s="1">
        <f t="shared" si="6"/>
        <v>0.78628715880660427</v>
      </c>
      <c r="D17" s="1">
        <f t="shared" si="6"/>
        <v>0.78169003011798643</v>
      </c>
    </row>
    <row r="18" spans="1:9">
      <c r="A18" s="13" t="s">
        <v>235</v>
      </c>
      <c r="B18" s="1">
        <f t="shared" ref="B18:D18" si="7">B11/B$15</f>
        <v>3.0652611536290279E-2</v>
      </c>
      <c r="C18" s="1">
        <f t="shared" si="7"/>
        <v>3.4208409663143154E-2</v>
      </c>
      <c r="D18" s="1">
        <f t="shared" si="7"/>
        <v>3.9447535243286036E-2</v>
      </c>
    </row>
    <row r="19" spans="1:9">
      <c r="A19" s="13" t="s">
        <v>236</v>
      </c>
      <c r="B19" s="1">
        <f t="shared" ref="B19:D19" si="8">B12/B$15</f>
        <v>5.1532855019078165E-2</v>
      </c>
      <c r="C19" s="1">
        <f t="shared" si="8"/>
        <v>5.3873135626717285E-2</v>
      </c>
      <c r="D19" s="1">
        <f t="shared" si="8"/>
        <v>6.4043545249685571E-2</v>
      </c>
    </row>
    <row r="20" spans="1:9">
      <c r="A20" s="13" t="s">
        <v>237</v>
      </c>
      <c r="B20" s="1">
        <f t="shared" ref="B20:D20" si="9">B13/B$15</f>
        <v>9.9897862880765617E-2</v>
      </c>
      <c r="C20" s="1">
        <f t="shared" si="9"/>
        <v>9.6465376609719142E-2</v>
      </c>
      <c r="D20" s="1">
        <f t="shared" si="9"/>
        <v>8.1302667869932274E-2</v>
      </c>
    </row>
    <row r="21" spans="1:9">
      <c r="A21" s="13" t="s">
        <v>238</v>
      </c>
      <c r="B21" s="1">
        <f t="shared" ref="B21:D21" si="10">B14/B$15</f>
        <v>3.5159744703944916E-2</v>
      </c>
      <c r="C21" s="1">
        <f t="shared" si="10"/>
        <v>2.9165919293816147E-2</v>
      </c>
      <c r="D21" s="1">
        <f t="shared" si="10"/>
        <v>3.3516221519109643E-2</v>
      </c>
    </row>
    <row r="22" spans="1:9">
      <c r="A22" s="128" t="s">
        <v>242</v>
      </c>
      <c r="B22" s="1">
        <f>1-'IS HPG (base)'!H14/'IS HPG (base)'!H12</f>
        <v>0.27464235177417562</v>
      </c>
      <c r="C22" s="1">
        <f>1-'IS HPG (base)'!I14/'IS HPG (base)'!I12</f>
        <v>0.11854545116288606</v>
      </c>
      <c r="D22" s="1">
        <f>1-'IS HPG (base)'!J14/'IS HPG (base)'!J12</f>
        <v>0.10876428221010603</v>
      </c>
    </row>
    <row r="23" spans="1:9">
      <c r="A23" s="128" t="s">
        <v>243</v>
      </c>
    </row>
    <row r="24" spans="1:9">
      <c r="A24" s="13" t="s">
        <v>234</v>
      </c>
      <c r="B24" s="129">
        <f t="shared" ref="B24:D24" si="11">B17*(1-B$22)</f>
        <v>0.56777872287422837</v>
      </c>
      <c r="C24" s="129">
        <f t="shared" si="11"/>
        <v>0.6930763928222915</v>
      </c>
      <c r="D24" s="129">
        <f t="shared" si="11"/>
        <v>0.69667007508140744</v>
      </c>
    </row>
    <row r="25" spans="1:9">
      <c r="A25" s="13" t="s">
        <v>235</v>
      </c>
      <c r="B25" s="129">
        <f t="shared" ref="B25:D25" si="12">B18*(1-B$22)</f>
        <v>2.2234106215943291E-2</v>
      </c>
      <c r="C25" s="129">
        <f t="shared" si="12"/>
        <v>3.0153158306061016E-2</v>
      </c>
      <c r="D25" s="129">
        <f t="shared" si="12"/>
        <v>3.5157052387592168E-2</v>
      </c>
    </row>
    <row r="26" spans="1:9">
      <c r="A26" s="13" t="s">
        <v>236</v>
      </c>
      <c r="B26" s="129">
        <f t="shared" ref="B26:D26" si="13">B19*(1-B$22)</f>
        <v>3.737975052300091E-2</v>
      </c>
      <c r="C26" s="129">
        <f t="shared" si="13"/>
        <v>4.7486720458288736E-2</v>
      </c>
      <c r="D26" s="129">
        <f t="shared" si="13"/>
        <v>5.7077895020413071E-2</v>
      </c>
    </row>
    <row r="27" spans="1:9">
      <c r="A27" s="13" t="s">
        <v>237</v>
      </c>
      <c r="B27" s="129">
        <f t="shared" ref="B27:D27" si="14">B20*(1-B$22)</f>
        <v>7.246167888197802E-2</v>
      </c>
      <c r="C27" s="129">
        <f t="shared" si="14"/>
        <v>8.5029845017922268E-2</v>
      </c>
      <c r="D27" s="129">
        <f t="shared" si="14"/>
        <v>7.2459841557292445E-2</v>
      </c>
    </row>
    <row r="28" spans="1:9">
      <c r="A28" s="13" t="s">
        <v>238</v>
      </c>
      <c r="B28" s="129">
        <f t="shared" ref="B28:D28" si="15">B21*(1-B$22)</f>
        <v>2.5503389730673866E-2</v>
      </c>
      <c r="C28" s="129">
        <f t="shared" si="15"/>
        <v>2.5708432232550388E-2</v>
      </c>
      <c r="D28" s="129">
        <f t="shared" si="15"/>
        <v>2.9870853743188774E-2</v>
      </c>
    </row>
    <row r="29" spans="1:9">
      <c r="A29" s="13"/>
    </row>
    <row r="30" spans="1:9">
      <c r="A30" s="128" t="s">
        <v>244</v>
      </c>
      <c r="B30" s="11">
        <v>2021</v>
      </c>
      <c r="C30" s="11">
        <v>2022</v>
      </c>
      <c r="D30" s="11">
        <v>2023</v>
      </c>
      <c r="E30" s="11">
        <v>2024</v>
      </c>
      <c r="F30" s="11">
        <v>2025</v>
      </c>
      <c r="G30" s="11">
        <v>2026</v>
      </c>
      <c r="H30" s="11">
        <v>2027</v>
      </c>
      <c r="I30" s="11">
        <v>2028</v>
      </c>
    </row>
    <row r="31" spans="1:9">
      <c r="A31" s="13" t="s">
        <v>245</v>
      </c>
      <c r="B31" s="130">
        <f>'IS HPG (base)'!H12</f>
        <v>149679789979345</v>
      </c>
      <c r="C31" s="130">
        <f>'IS HPG (base)'!I12</f>
        <v>141409274460632</v>
      </c>
      <c r="D31" s="130">
        <f>'IS HPG (base)'!J12</f>
        <v>118953027893654</v>
      </c>
      <c r="E31" s="131">
        <f>'IS HPG (base)'!K2</f>
        <v>125159949654294.08</v>
      </c>
      <c r="F31" s="131">
        <f>'IS HPG (base)'!L2</f>
        <v>165805493370349.5</v>
      </c>
      <c r="G31" s="131">
        <f>'IS HPG (base)'!M2</f>
        <v>217348407914588.84</v>
      </c>
      <c r="H31" s="131">
        <f>'IS HPG (base)'!N2</f>
        <v>242737201870409.75</v>
      </c>
      <c r="I31" s="131">
        <f>'IS HPG (base)'!O2</f>
        <v>250293806180005.66</v>
      </c>
    </row>
    <row r="32" spans="1:9">
      <c r="A32" s="13"/>
      <c r="B32" s="132"/>
      <c r="C32" s="132"/>
      <c r="D32" s="132"/>
      <c r="E32" s="132"/>
      <c r="F32" s="132"/>
      <c r="G32" s="132"/>
      <c r="H32" s="132"/>
      <c r="I32" s="132"/>
    </row>
    <row r="33" spans="1:9">
      <c r="A33" s="128" t="s">
        <v>246</v>
      </c>
      <c r="B33" s="11">
        <v>2021</v>
      </c>
      <c r="C33" s="11">
        <v>2022</v>
      </c>
      <c r="D33" s="11">
        <v>2023</v>
      </c>
      <c r="E33" s="12">
        <v>2024</v>
      </c>
      <c r="F33" s="12">
        <v>2025</v>
      </c>
      <c r="G33" s="12">
        <v>2026</v>
      </c>
      <c r="H33" s="12">
        <v>2027</v>
      </c>
      <c r="I33" s="12">
        <v>2028</v>
      </c>
    </row>
    <row r="34" spans="1:9">
      <c r="A34" s="128" t="s">
        <v>247</v>
      </c>
      <c r="C34" s="129">
        <f t="shared" ref="C34:E34" si="16">B24</f>
        <v>0.56777872287422837</v>
      </c>
      <c r="D34" s="129">
        <f t="shared" si="16"/>
        <v>0.6930763928222915</v>
      </c>
      <c r="E34" s="129">
        <f t="shared" si="16"/>
        <v>0.69667007508140744</v>
      </c>
      <c r="F34" s="1">
        <f t="shared" ref="F34:I34" si="17">E39</f>
        <v>0.67411962373852674</v>
      </c>
      <c r="G34" s="1">
        <f t="shared" si="17"/>
        <v>0.65138500779035036</v>
      </c>
      <c r="H34" s="1">
        <f t="shared" si="17"/>
        <v>0.67033571465488795</v>
      </c>
      <c r="I34" s="1">
        <f t="shared" si="17"/>
        <v>0.69069820795543568</v>
      </c>
    </row>
    <row r="35" spans="1:9">
      <c r="A35" s="133" t="s">
        <v>248</v>
      </c>
    </row>
    <row r="36" spans="1:9">
      <c r="A36" s="13" t="s">
        <v>218</v>
      </c>
      <c r="E36" s="1">
        <f>'Base case đã fix'!Z44</f>
        <v>-2.44998614672415E-2</v>
      </c>
      <c r="F36" s="1">
        <f>'Base case đã fix'!AA44</f>
        <v>1.9E-2</v>
      </c>
      <c r="G36" s="1">
        <f>'Base case đã fix'!AB44</f>
        <v>5.8000000000000003E-2</v>
      </c>
      <c r="H36" s="1">
        <f>'Base case đã fix'!AC44</f>
        <v>5.000000000000001E-2</v>
      </c>
      <c r="I36" s="1">
        <f>'Base case đã fix'!AD44</f>
        <v>-3.2000000000000001E-2</v>
      </c>
    </row>
    <row r="37" spans="1:9">
      <c r="A37" s="13" t="s">
        <v>211</v>
      </c>
      <c r="E37" s="1">
        <f>'Base case đã fix'!Z27</f>
        <v>8.1322821973505398E-3</v>
      </c>
      <c r="F37" s="1">
        <f>'Base case đã fix'!AA27</f>
        <v>1.2382497047309871E-2</v>
      </c>
      <c r="G37" s="1">
        <f>'Base case đã fix'!AB27</f>
        <v>2.8089840919481524E-2</v>
      </c>
      <c r="H37" s="1">
        <f>'Base case đã fix'!AC27</f>
        <v>1.9044920459740763E-2</v>
      </c>
      <c r="I37" s="1">
        <f>'Base case đã fix'!AD27</f>
        <v>9.9999999999999985E-3</v>
      </c>
    </row>
    <row r="38" spans="1:9">
      <c r="A38" s="13" t="s">
        <v>249</v>
      </c>
      <c r="E38" s="4">
        <v>1</v>
      </c>
      <c r="F38" s="4">
        <v>0.96</v>
      </c>
      <c r="G38" s="4">
        <v>1</v>
      </c>
      <c r="H38" s="4">
        <v>1</v>
      </c>
      <c r="I38" s="4">
        <v>1</v>
      </c>
    </row>
    <row r="39" spans="1:9">
      <c r="A39" s="128" t="s">
        <v>250</v>
      </c>
      <c r="E39" s="134">
        <f t="shared" ref="E39:I39" si="18">E34*(1+E36)*E38/(1+E37)</f>
        <v>0.67411962373852674</v>
      </c>
      <c r="F39" s="134">
        <f t="shared" si="18"/>
        <v>0.65138500779035036</v>
      </c>
      <c r="G39" s="134">
        <f t="shared" si="18"/>
        <v>0.67033571465488795</v>
      </c>
      <c r="H39" s="134">
        <f t="shared" si="18"/>
        <v>0.69069820795543568</v>
      </c>
      <c r="I39" s="134">
        <f t="shared" si="18"/>
        <v>0.66197610425827891</v>
      </c>
    </row>
    <row r="40" spans="1:9">
      <c r="A40" s="13"/>
    </row>
    <row r="41" spans="1:9">
      <c r="A41" s="128" t="s">
        <v>251</v>
      </c>
      <c r="B41" s="11">
        <v>2021</v>
      </c>
      <c r="C41" s="11">
        <v>2022</v>
      </c>
      <c r="D41" s="11">
        <v>2023</v>
      </c>
      <c r="E41" s="11">
        <v>2024</v>
      </c>
      <c r="F41" s="11">
        <v>2025</v>
      </c>
      <c r="G41" s="11">
        <v>2026</v>
      </c>
      <c r="H41" s="11">
        <v>2027</v>
      </c>
      <c r="I41" s="11">
        <v>2028</v>
      </c>
    </row>
    <row r="42" spans="1:9">
      <c r="A42" s="13" t="s">
        <v>252</v>
      </c>
    </row>
    <row r="43" spans="1:9">
      <c r="A43" s="13"/>
    </row>
    <row r="44" spans="1:9">
      <c r="A44" s="13"/>
    </row>
    <row r="45" spans="1:9">
      <c r="A45" s="13"/>
    </row>
    <row r="46" spans="1:9">
      <c r="A46" s="13"/>
    </row>
    <row r="47" spans="1:9">
      <c r="A47" s="13"/>
    </row>
    <row r="48" spans="1:9">
      <c r="A48" s="13"/>
    </row>
    <row r="49" spans="1:1">
      <c r="A49" s="13"/>
    </row>
    <row r="50" spans="1:1">
      <c r="A50" s="13"/>
    </row>
    <row r="51" spans="1:1">
      <c r="A51" s="13"/>
    </row>
    <row r="52" spans="1:1">
      <c r="A52" s="13"/>
    </row>
    <row r="53" spans="1:1">
      <c r="A53" s="13"/>
    </row>
    <row r="54" spans="1:1">
      <c r="A54" s="13"/>
    </row>
    <row r="55" spans="1:1">
      <c r="A55" s="13"/>
    </row>
    <row r="56" spans="1:1">
      <c r="A56" s="13"/>
    </row>
    <row r="57" spans="1:1">
      <c r="A57" s="13"/>
    </row>
    <row r="58" spans="1:1">
      <c r="A58" s="13"/>
    </row>
    <row r="59" spans="1:1">
      <c r="A59" s="13"/>
    </row>
    <row r="60" spans="1:1">
      <c r="A60" s="13"/>
    </row>
    <row r="61" spans="1:1">
      <c r="A61" s="13"/>
    </row>
    <row r="62" spans="1:1">
      <c r="A62" s="13"/>
    </row>
    <row r="63" spans="1:1">
      <c r="A63" s="13"/>
    </row>
    <row r="64" spans="1:1">
      <c r="A64" s="13"/>
    </row>
    <row r="65" spans="1:1">
      <c r="A65" s="13"/>
    </row>
    <row r="66" spans="1:1">
      <c r="A66" s="13"/>
    </row>
    <row r="67" spans="1:1">
      <c r="A67" s="13"/>
    </row>
    <row r="68" spans="1:1">
      <c r="A68" s="13"/>
    </row>
    <row r="69" spans="1:1">
      <c r="A69" s="13"/>
    </row>
    <row r="70" spans="1:1">
      <c r="A70" s="13"/>
    </row>
    <row r="71" spans="1:1">
      <c r="A71" s="13"/>
    </row>
    <row r="72" spans="1:1">
      <c r="A72" s="13"/>
    </row>
    <row r="73" spans="1:1">
      <c r="A73" s="13"/>
    </row>
    <row r="74" spans="1:1">
      <c r="A74" s="13"/>
    </row>
    <row r="75" spans="1:1">
      <c r="A75" s="13"/>
    </row>
    <row r="76" spans="1:1">
      <c r="A76" s="13"/>
    </row>
    <row r="77" spans="1:1">
      <c r="A77" s="13"/>
    </row>
    <row r="78" spans="1:1">
      <c r="A78" s="13"/>
    </row>
    <row r="79" spans="1:1">
      <c r="A79" s="13"/>
    </row>
    <row r="80" spans="1:1">
      <c r="A80" s="13"/>
    </row>
    <row r="81" spans="1:1">
      <c r="A81" s="13"/>
    </row>
    <row r="82" spans="1:1">
      <c r="A82" s="13"/>
    </row>
    <row r="83" spans="1:1">
      <c r="A83" s="13"/>
    </row>
    <row r="84" spans="1:1">
      <c r="A84" s="13"/>
    </row>
    <row r="85" spans="1:1">
      <c r="A85" s="13"/>
    </row>
    <row r="86" spans="1:1">
      <c r="A86" s="13"/>
    </row>
    <row r="87" spans="1:1">
      <c r="A87" s="13"/>
    </row>
    <row r="88" spans="1:1">
      <c r="A88" s="13"/>
    </row>
    <row r="89" spans="1:1">
      <c r="A89" s="13"/>
    </row>
    <row r="90" spans="1:1">
      <c r="A90" s="13"/>
    </row>
    <row r="91" spans="1:1">
      <c r="A91" s="13"/>
    </row>
    <row r="92" spans="1:1">
      <c r="A92" s="13"/>
    </row>
    <row r="93" spans="1:1">
      <c r="A93" s="13"/>
    </row>
    <row r="94" spans="1:1">
      <c r="A94" s="13"/>
    </row>
    <row r="95" spans="1:1">
      <c r="A95" s="13"/>
    </row>
    <row r="96" spans="1:1">
      <c r="A96" s="13"/>
    </row>
    <row r="97" spans="1:1">
      <c r="A97" s="13"/>
    </row>
    <row r="98" spans="1:1">
      <c r="A98" s="13"/>
    </row>
    <row r="99" spans="1:1">
      <c r="A99" s="13"/>
    </row>
    <row r="100" spans="1:1">
      <c r="A100" s="13"/>
    </row>
    <row r="101" spans="1:1">
      <c r="A101" s="13"/>
    </row>
    <row r="102" spans="1:1">
      <c r="A102" s="13"/>
    </row>
    <row r="103" spans="1:1">
      <c r="A103" s="13"/>
    </row>
    <row r="104" spans="1:1">
      <c r="A104" s="13"/>
    </row>
    <row r="105" spans="1:1">
      <c r="A105" s="13"/>
    </row>
    <row r="106" spans="1:1">
      <c r="A106" s="13"/>
    </row>
    <row r="107" spans="1:1">
      <c r="A107" s="13"/>
    </row>
    <row r="108" spans="1:1">
      <c r="A108" s="13"/>
    </row>
    <row r="109" spans="1:1">
      <c r="A109" s="13"/>
    </row>
    <row r="110" spans="1:1">
      <c r="A110" s="13"/>
    </row>
    <row r="111" spans="1:1">
      <c r="A111" s="13"/>
    </row>
    <row r="112" spans="1:1">
      <c r="A112" s="13"/>
    </row>
    <row r="113" spans="1:1">
      <c r="A113" s="13"/>
    </row>
    <row r="114" spans="1:1">
      <c r="A114" s="13"/>
    </row>
    <row r="115" spans="1:1">
      <c r="A115" s="13"/>
    </row>
    <row r="116" spans="1:1">
      <c r="A116" s="13"/>
    </row>
    <row r="117" spans="1:1">
      <c r="A117" s="13"/>
    </row>
    <row r="118" spans="1:1">
      <c r="A118" s="13"/>
    </row>
    <row r="119" spans="1:1">
      <c r="A119" s="13"/>
    </row>
    <row r="120" spans="1:1">
      <c r="A120" s="13"/>
    </row>
    <row r="121" spans="1:1">
      <c r="A121" s="13"/>
    </row>
    <row r="122" spans="1:1">
      <c r="A122" s="13"/>
    </row>
    <row r="123" spans="1:1">
      <c r="A123" s="13"/>
    </row>
    <row r="124" spans="1:1">
      <c r="A124" s="13"/>
    </row>
    <row r="125" spans="1:1">
      <c r="A125" s="13"/>
    </row>
    <row r="126" spans="1:1">
      <c r="A126" s="13"/>
    </row>
    <row r="127" spans="1:1">
      <c r="A127" s="13"/>
    </row>
    <row r="128" spans="1:1">
      <c r="A128" s="13"/>
    </row>
    <row r="129" spans="1:1">
      <c r="A129" s="13"/>
    </row>
    <row r="130" spans="1:1">
      <c r="A130" s="13"/>
    </row>
    <row r="131" spans="1:1">
      <c r="A131" s="13"/>
    </row>
    <row r="132" spans="1:1">
      <c r="A132" s="13"/>
    </row>
    <row r="133" spans="1:1">
      <c r="A133" s="13"/>
    </row>
    <row r="134" spans="1:1">
      <c r="A134" s="13"/>
    </row>
    <row r="135" spans="1:1">
      <c r="A135" s="13"/>
    </row>
    <row r="136" spans="1:1">
      <c r="A136" s="13"/>
    </row>
    <row r="137" spans="1:1">
      <c r="A137" s="13"/>
    </row>
    <row r="138" spans="1:1">
      <c r="A138" s="13"/>
    </row>
    <row r="139" spans="1:1">
      <c r="A139" s="13"/>
    </row>
    <row r="140" spans="1:1">
      <c r="A140" s="13"/>
    </row>
    <row r="141" spans="1:1">
      <c r="A141" s="13"/>
    </row>
    <row r="142" spans="1:1">
      <c r="A142" s="13"/>
    </row>
    <row r="143" spans="1:1">
      <c r="A143" s="13"/>
    </row>
    <row r="144" spans="1:1">
      <c r="A144" s="13"/>
    </row>
    <row r="145" spans="1:1">
      <c r="A145" s="13"/>
    </row>
    <row r="146" spans="1:1">
      <c r="A146" s="13"/>
    </row>
    <row r="147" spans="1:1">
      <c r="A147" s="13"/>
    </row>
    <row r="148" spans="1:1">
      <c r="A148" s="13"/>
    </row>
    <row r="149" spans="1:1">
      <c r="A149" s="13"/>
    </row>
    <row r="150" spans="1:1">
      <c r="A150" s="13"/>
    </row>
    <row r="151" spans="1:1">
      <c r="A151" s="13"/>
    </row>
    <row r="152" spans="1:1">
      <c r="A152" s="13"/>
    </row>
    <row r="153" spans="1:1">
      <c r="A153" s="13"/>
    </row>
    <row r="154" spans="1:1">
      <c r="A154" s="13"/>
    </row>
    <row r="155" spans="1:1">
      <c r="A155" s="13"/>
    </row>
    <row r="156" spans="1:1">
      <c r="A156" s="13"/>
    </row>
    <row r="157" spans="1:1">
      <c r="A157" s="13"/>
    </row>
    <row r="158" spans="1:1">
      <c r="A158" s="13"/>
    </row>
    <row r="159" spans="1:1">
      <c r="A159" s="13"/>
    </row>
    <row r="160" spans="1:1">
      <c r="A160" s="13"/>
    </row>
    <row r="161" spans="1:1">
      <c r="A161" s="13"/>
    </row>
    <row r="162" spans="1:1">
      <c r="A162" s="13"/>
    </row>
    <row r="163" spans="1:1">
      <c r="A163" s="13"/>
    </row>
    <row r="164" spans="1:1">
      <c r="A164" s="13"/>
    </row>
    <row r="165" spans="1:1">
      <c r="A165" s="13"/>
    </row>
    <row r="166" spans="1:1">
      <c r="A166" s="13"/>
    </row>
    <row r="167" spans="1:1">
      <c r="A167" s="13"/>
    </row>
    <row r="168" spans="1:1">
      <c r="A168" s="13"/>
    </row>
    <row r="169" spans="1:1">
      <c r="A169" s="13"/>
    </row>
    <row r="170" spans="1:1">
      <c r="A170" s="13"/>
    </row>
    <row r="171" spans="1:1">
      <c r="A171" s="13"/>
    </row>
    <row r="172" spans="1:1">
      <c r="A172" s="13"/>
    </row>
    <row r="173" spans="1:1">
      <c r="A173" s="13"/>
    </row>
    <row r="174" spans="1:1">
      <c r="A174" s="13"/>
    </row>
    <row r="175" spans="1:1">
      <c r="A175" s="13"/>
    </row>
    <row r="176" spans="1:1">
      <c r="A176" s="13"/>
    </row>
    <row r="177" spans="1:1">
      <c r="A177" s="13"/>
    </row>
    <row r="178" spans="1:1">
      <c r="A178" s="13"/>
    </row>
    <row r="179" spans="1:1">
      <c r="A179" s="13"/>
    </row>
    <row r="180" spans="1:1">
      <c r="A180" s="13"/>
    </row>
    <row r="181" spans="1:1">
      <c r="A181" s="13"/>
    </row>
    <row r="182" spans="1:1">
      <c r="A182" s="13"/>
    </row>
    <row r="183" spans="1:1">
      <c r="A183" s="13"/>
    </row>
    <row r="184" spans="1:1">
      <c r="A184" s="13"/>
    </row>
    <row r="185" spans="1:1">
      <c r="A185" s="13"/>
    </row>
    <row r="186" spans="1:1">
      <c r="A186" s="13"/>
    </row>
    <row r="187" spans="1:1">
      <c r="A187" s="13"/>
    </row>
    <row r="188" spans="1:1">
      <c r="A188" s="13"/>
    </row>
    <row r="189" spans="1:1">
      <c r="A189" s="13"/>
    </row>
    <row r="190" spans="1:1">
      <c r="A190" s="13"/>
    </row>
    <row r="191" spans="1:1">
      <c r="A191" s="13"/>
    </row>
    <row r="192" spans="1:1">
      <c r="A192" s="13"/>
    </row>
    <row r="193" spans="1:1">
      <c r="A193" s="13"/>
    </row>
    <row r="194" spans="1:1">
      <c r="A194" s="13"/>
    </row>
    <row r="195" spans="1:1">
      <c r="A195" s="13"/>
    </row>
    <row r="196" spans="1:1">
      <c r="A196" s="13"/>
    </row>
    <row r="197" spans="1:1">
      <c r="A197" s="13"/>
    </row>
    <row r="198" spans="1:1">
      <c r="A198" s="13"/>
    </row>
    <row r="199" spans="1:1">
      <c r="A199" s="13"/>
    </row>
    <row r="200" spans="1:1">
      <c r="A200" s="13"/>
    </row>
    <row r="201" spans="1:1">
      <c r="A201" s="13"/>
    </row>
    <row r="202" spans="1:1">
      <c r="A202" s="13"/>
    </row>
    <row r="203" spans="1:1">
      <c r="A203" s="13"/>
    </row>
    <row r="204" spans="1:1">
      <c r="A204" s="13"/>
    </row>
    <row r="205" spans="1:1">
      <c r="A205" s="13"/>
    </row>
    <row r="206" spans="1:1">
      <c r="A206" s="13"/>
    </row>
    <row r="207" spans="1:1">
      <c r="A207" s="13"/>
    </row>
    <row r="208" spans="1:1">
      <c r="A208" s="13"/>
    </row>
    <row r="209" spans="1:1">
      <c r="A209" s="13"/>
    </row>
    <row r="210" spans="1:1">
      <c r="A210" s="13"/>
    </row>
    <row r="211" spans="1:1">
      <c r="A211" s="13"/>
    </row>
    <row r="212" spans="1:1">
      <c r="A212" s="13"/>
    </row>
    <row r="213" spans="1:1">
      <c r="A213" s="13"/>
    </row>
    <row r="214" spans="1:1">
      <c r="A214" s="13"/>
    </row>
    <row r="215" spans="1:1">
      <c r="A215" s="13"/>
    </row>
    <row r="216" spans="1:1">
      <c r="A216" s="13"/>
    </row>
    <row r="217" spans="1:1">
      <c r="A217" s="13"/>
    </row>
    <row r="218" spans="1:1">
      <c r="A218" s="13"/>
    </row>
    <row r="219" spans="1:1">
      <c r="A219" s="13"/>
    </row>
    <row r="220" spans="1:1">
      <c r="A220" s="13"/>
    </row>
    <row r="221" spans="1:1">
      <c r="A221" s="13"/>
    </row>
    <row r="222" spans="1:1">
      <c r="A222" s="13"/>
    </row>
    <row r="223" spans="1:1">
      <c r="A223" s="13"/>
    </row>
    <row r="224" spans="1:1">
      <c r="A224" s="13"/>
    </row>
    <row r="225" spans="1:1">
      <c r="A225" s="13"/>
    </row>
    <row r="226" spans="1:1">
      <c r="A226" s="13"/>
    </row>
    <row r="227" spans="1:1">
      <c r="A227" s="13"/>
    </row>
    <row r="228" spans="1:1">
      <c r="A228" s="13"/>
    </row>
    <row r="229" spans="1:1">
      <c r="A229" s="13"/>
    </row>
    <row r="230" spans="1:1">
      <c r="A230" s="13"/>
    </row>
    <row r="231" spans="1:1">
      <c r="A231" s="13"/>
    </row>
    <row r="232" spans="1:1">
      <c r="A232" s="13"/>
    </row>
    <row r="233" spans="1:1">
      <c r="A233" s="13"/>
    </row>
    <row r="234" spans="1:1">
      <c r="A234" s="13"/>
    </row>
    <row r="235" spans="1:1">
      <c r="A235" s="13"/>
    </row>
    <row r="236" spans="1:1">
      <c r="A236" s="13"/>
    </row>
    <row r="237" spans="1:1">
      <c r="A237" s="13"/>
    </row>
    <row r="238" spans="1:1">
      <c r="A238" s="13"/>
    </row>
    <row r="239" spans="1:1">
      <c r="A239" s="13"/>
    </row>
    <row r="240" spans="1:1">
      <c r="A240" s="13"/>
    </row>
    <row r="241" spans="1:1">
      <c r="A241" s="13"/>
    </row>
    <row r="242" spans="1:1">
      <c r="A242" s="13"/>
    </row>
    <row r="243" spans="1:1">
      <c r="A243" s="13"/>
    </row>
    <row r="244" spans="1:1">
      <c r="A244" s="13"/>
    </row>
    <row r="245" spans="1:1">
      <c r="A245" s="13"/>
    </row>
    <row r="246" spans="1:1">
      <c r="A246" s="13"/>
    </row>
    <row r="247" spans="1:1">
      <c r="A247" s="13"/>
    </row>
    <row r="248" spans="1:1">
      <c r="A248" s="13"/>
    </row>
    <row r="249" spans="1:1">
      <c r="A249" s="13"/>
    </row>
    <row r="250" spans="1:1">
      <c r="A250" s="13"/>
    </row>
    <row r="251" spans="1:1">
      <c r="A251" s="13"/>
    </row>
    <row r="252" spans="1:1">
      <c r="A252" s="13"/>
    </row>
    <row r="253" spans="1:1">
      <c r="A253" s="13"/>
    </row>
    <row r="254" spans="1:1">
      <c r="A254" s="13"/>
    </row>
    <row r="255" spans="1:1">
      <c r="A255" s="13"/>
    </row>
    <row r="256" spans="1:1">
      <c r="A256" s="13"/>
    </row>
    <row r="257" spans="1:1">
      <c r="A257" s="13"/>
    </row>
    <row r="258" spans="1:1">
      <c r="A258" s="13"/>
    </row>
    <row r="259" spans="1:1">
      <c r="A259" s="13"/>
    </row>
    <row r="260" spans="1:1">
      <c r="A260" s="13"/>
    </row>
    <row r="261" spans="1:1">
      <c r="A261" s="13"/>
    </row>
    <row r="262" spans="1:1">
      <c r="A262" s="13"/>
    </row>
    <row r="263" spans="1:1">
      <c r="A263" s="13"/>
    </row>
    <row r="264" spans="1:1">
      <c r="A264" s="13"/>
    </row>
    <row r="265" spans="1:1">
      <c r="A265" s="13"/>
    </row>
    <row r="266" spans="1:1">
      <c r="A266" s="13"/>
    </row>
    <row r="267" spans="1:1">
      <c r="A267" s="13"/>
    </row>
    <row r="268" spans="1:1">
      <c r="A268" s="13"/>
    </row>
    <row r="269" spans="1:1">
      <c r="A269" s="13"/>
    </row>
    <row r="270" spans="1:1">
      <c r="A270" s="13"/>
    </row>
    <row r="271" spans="1:1">
      <c r="A271" s="13"/>
    </row>
    <row r="272" spans="1:1">
      <c r="A272" s="13"/>
    </row>
    <row r="273" spans="1:1">
      <c r="A273" s="13"/>
    </row>
    <row r="274" spans="1:1">
      <c r="A274" s="13"/>
    </row>
    <row r="275" spans="1:1">
      <c r="A275" s="13"/>
    </row>
    <row r="276" spans="1:1">
      <c r="A276" s="13"/>
    </row>
    <row r="277" spans="1:1">
      <c r="A277" s="13"/>
    </row>
    <row r="278" spans="1:1">
      <c r="A278" s="13"/>
    </row>
    <row r="279" spans="1:1">
      <c r="A279" s="13"/>
    </row>
    <row r="280" spans="1:1">
      <c r="A280" s="13"/>
    </row>
    <row r="281" spans="1:1">
      <c r="A281" s="13"/>
    </row>
    <row r="282" spans="1:1">
      <c r="A282" s="13"/>
    </row>
    <row r="283" spans="1:1">
      <c r="A283" s="13"/>
    </row>
    <row r="284" spans="1:1">
      <c r="A284" s="13"/>
    </row>
    <row r="285" spans="1:1">
      <c r="A285" s="13"/>
    </row>
    <row r="286" spans="1:1">
      <c r="A286" s="13"/>
    </row>
    <row r="287" spans="1:1">
      <c r="A287" s="13"/>
    </row>
    <row r="288" spans="1:1">
      <c r="A288" s="13"/>
    </row>
    <row r="289" spans="1:1">
      <c r="A289" s="13"/>
    </row>
    <row r="290" spans="1:1">
      <c r="A290" s="13"/>
    </row>
    <row r="291" spans="1:1">
      <c r="A291" s="13"/>
    </row>
    <row r="292" spans="1:1">
      <c r="A292" s="13"/>
    </row>
    <row r="293" spans="1:1">
      <c r="A293" s="13"/>
    </row>
    <row r="294" spans="1:1">
      <c r="A294" s="13"/>
    </row>
    <row r="295" spans="1:1">
      <c r="A295" s="13"/>
    </row>
    <row r="296" spans="1:1">
      <c r="A296" s="13"/>
    </row>
    <row r="297" spans="1:1">
      <c r="A297" s="13"/>
    </row>
    <row r="298" spans="1:1">
      <c r="A298" s="13"/>
    </row>
    <row r="299" spans="1:1">
      <c r="A299" s="13"/>
    </row>
    <row r="300" spans="1:1">
      <c r="A300" s="13"/>
    </row>
    <row r="301" spans="1:1">
      <c r="A301" s="13"/>
    </row>
    <row r="302" spans="1:1">
      <c r="A302" s="13"/>
    </row>
    <row r="303" spans="1:1">
      <c r="A303" s="13"/>
    </row>
    <row r="304" spans="1:1">
      <c r="A304" s="13"/>
    </row>
    <row r="305" spans="1:1">
      <c r="A305" s="13"/>
    </row>
    <row r="306" spans="1:1">
      <c r="A306" s="13"/>
    </row>
    <row r="307" spans="1:1">
      <c r="A307" s="13"/>
    </row>
    <row r="308" spans="1:1">
      <c r="A308" s="13"/>
    </row>
    <row r="309" spans="1:1">
      <c r="A309" s="13"/>
    </row>
    <row r="310" spans="1:1">
      <c r="A310" s="13"/>
    </row>
    <row r="311" spans="1:1">
      <c r="A311" s="13"/>
    </row>
    <row r="312" spans="1:1">
      <c r="A312" s="13"/>
    </row>
    <row r="313" spans="1:1">
      <c r="A313" s="13"/>
    </row>
    <row r="314" spans="1:1">
      <c r="A314" s="13"/>
    </row>
    <row r="315" spans="1:1">
      <c r="A315" s="13"/>
    </row>
    <row r="316" spans="1:1">
      <c r="A316" s="13"/>
    </row>
    <row r="317" spans="1:1">
      <c r="A317" s="13"/>
    </row>
    <row r="318" spans="1:1">
      <c r="A318" s="13"/>
    </row>
    <row r="319" spans="1:1">
      <c r="A319" s="13"/>
    </row>
    <row r="320" spans="1:1">
      <c r="A320" s="13"/>
    </row>
    <row r="321" spans="1:1">
      <c r="A321" s="13"/>
    </row>
    <row r="322" spans="1:1">
      <c r="A322" s="13"/>
    </row>
    <row r="323" spans="1:1">
      <c r="A323" s="13"/>
    </row>
    <row r="324" spans="1:1">
      <c r="A324" s="13"/>
    </row>
    <row r="325" spans="1:1">
      <c r="A325" s="13"/>
    </row>
    <row r="326" spans="1:1">
      <c r="A326" s="13"/>
    </row>
    <row r="327" spans="1:1">
      <c r="A327" s="13"/>
    </row>
    <row r="328" spans="1:1">
      <c r="A328" s="13"/>
    </row>
    <row r="329" spans="1:1">
      <c r="A329" s="13"/>
    </row>
    <row r="330" spans="1:1">
      <c r="A330" s="13"/>
    </row>
    <row r="331" spans="1:1">
      <c r="A331" s="13"/>
    </row>
    <row r="332" spans="1:1">
      <c r="A332" s="13"/>
    </row>
    <row r="333" spans="1:1">
      <c r="A333" s="13"/>
    </row>
    <row r="334" spans="1:1">
      <c r="A334" s="13"/>
    </row>
    <row r="335" spans="1:1">
      <c r="A335" s="13"/>
    </row>
    <row r="336" spans="1:1">
      <c r="A336" s="13"/>
    </row>
    <row r="337" spans="1:1">
      <c r="A337" s="13"/>
    </row>
    <row r="338" spans="1:1">
      <c r="A338" s="13"/>
    </row>
    <row r="339" spans="1:1">
      <c r="A339" s="13"/>
    </row>
    <row r="340" spans="1:1">
      <c r="A340" s="13"/>
    </row>
    <row r="341" spans="1:1">
      <c r="A341" s="13"/>
    </row>
    <row r="342" spans="1:1">
      <c r="A342" s="13"/>
    </row>
    <row r="343" spans="1:1">
      <c r="A343" s="13"/>
    </row>
    <row r="344" spans="1:1">
      <c r="A344" s="13"/>
    </row>
    <row r="345" spans="1:1">
      <c r="A345" s="13"/>
    </row>
    <row r="346" spans="1:1">
      <c r="A346" s="13"/>
    </row>
    <row r="347" spans="1:1">
      <c r="A347" s="13"/>
    </row>
    <row r="348" spans="1:1">
      <c r="A348" s="13"/>
    </row>
    <row r="349" spans="1:1">
      <c r="A349" s="13"/>
    </row>
    <row r="350" spans="1:1">
      <c r="A350" s="13"/>
    </row>
    <row r="351" spans="1:1">
      <c r="A351" s="13"/>
    </row>
    <row r="352" spans="1:1">
      <c r="A352" s="13"/>
    </row>
    <row r="353" spans="1:1">
      <c r="A353" s="13"/>
    </row>
    <row r="354" spans="1:1">
      <c r="A354" s="13"/>
    </row>
    <row r="355" spans="1:1">
      <c r="A355" s="13"/>
    </row>
    <row r="356" spans="1:1">
      <c r="A356" s="13"/>
    </row>
    <row r="357" spans="1:1">
      <c r="A357" s="13"/>
    </row>
    <row r="358" spans="1:1">
      <c r="A358" s="13"/>
    </row>
    <row r="359" spans="1:1">
      <c r="A359" s="13"/>
    </row>
    <row r="360" spans="1:1">
      <c r="A360" s="13"/>
    </row>
    <row r="361" spans="1:1">
      <c r="A361" s="13"/>
    </row>
    <row r="362" spans="1:1">
      <c r="A362" s="13"/>
    </row>
    <row r="363" spans="1:1">
      <c r="A363" s="13"/>
    </row>
    <row r="364" spans="1:1">
      <c r="A364" s="13"/>
    </row>
    <row r="365" spans="1:1">
      <c r="A365" s="13"/>
    </row>
    <row r="366" spans="1:1">
      <c r="A366" s="13"/>
    </row>
    <row r="367" spans="1:1">
      <c r="A367" s="13"/>
    </row>
    <row r="368" spans="1:1">
      <c r="A368" s="13"/>
    </row>
    <row r="369" spans="1:1">
      <c r="A369" s="13"/>
    </row>
    <row r="370" spans="1:1">
      <c r="A370" s="13"/>
    </row>
    <row r="371" spans="1:1">
      <c r="A371" s="13"/>
    </row>
    <row r="372" spans="1:1">
      <c r="A372" s="13"/>
    </row>
    <row r="373" spans="1:1">
      <c r="A373" s="13"/>
    </row>
    <row r="374" spans="1:1">
      <c r="A374" s="13"/>
    </row>
    <row r="375" spans="1:1">
      <c r="A375" s="13"/>
    </row>
    <row r="376" spans="1:1">
      <c r="A376" s="13"/>
    </row>
    <row r="377" spans="1:1">
      <c r="A377" s="13"/>
    </row>
    <row r="378" spans="1:1">
      <c r="A378" s="13"/>
    </row>
    <row r="379" spans="1:1">
      <c r="A379" s="13"/>
    </row>
    <row r="380" spans="1:1">
      <c r="A380" s="13"/>
    </row>
    <row r="381" spans="1:1">
      <c r="A381" s="13"/>
    </row>
    <row r="382" spans="1:1">
      <c r="A382" s="13"/>
    </row>
    <row r="383" spans="1:1">
      <c r="A383" s="13"/>
    </row>
    <row r="384" spans="1:1">
      <c r="A384" s="13"/>
    </row>
    <row r="385" spans="1:1">
      <c r="A385" s="13"/>
    </row>
    <row r="386" spans="1:1">
      <c r="A386" s="13"/>
    </row>
    <row r="387" spans="1:1">
      <c r="A387" s="13"/>
    </row>
    <row r="388" spans="1:1">
      <c r="A388" s="13"/>
    </row>
    <row r="389" spans="1:1">
      <c r="A389" s="13"/>
    </row>
    <row r="390" spans="1:1">
      <c r="A390" s="13"/>
    </row>
    <row r="391" spans="1:1">
      <c r="A391" s="13"/>
    </row>
    <row r="392" spans="1:1">
      <c r="A392" s="13"/>
    </row>
    <row r="393" spans="1:1">
      <c r="A393" s="13"/>
    </row>
    <row r="394" spans="1:1">
      <c r="A394" s="13"/>
    </row>
    <row r="395" spans="1:1">
      <c r="A395" s="13"/>
    </row>
    <row r="396" spans="1:1">
      <c r="A396" s="13"/>
    </row>
    <row r="397" spans="1:1">
      <c r="A397" s="13"/>
    </row>
    <row r="398" spans="1:1">
      <c r="A398" s="13"/>
    </row>
    <row r="399" spans="1:1">
      <c r="A399" s="13"/>
    </row>
    <row r="400" spans="1:1">
      <c r="A400" s="13"/>
    </row>
    <row r="401" spans="1:1">
      <c r="A401" s="13"/>
    </row>
    <row r="402" spans="1:1">
      <c r="A402" s="13"/>
    </row>
    <row r="403" spans="1:1">
      <c r="A403" s="13"/>
    </row>
    <row r="404" spans="1:1">
      <c r="A404" s="13"/>
    </row>
    <row r="405" spans="1:1">
      <c r="A405" s="13"/>
    </row>
    <row r="406" spans="1:1">
      <c r="A406" s="13"/>
    </row>
    <row r="407" spans="1:1">
      <c r="A407" s="13"/>
    </row>
    <row r="408" spans="1:1">
      <c r="A408" s="13"/>
    </row>
    <row r="409" spans="1:1">
      <c r="A409" s="13"/>
    </row>
    <row r="410" spans="1:1">
      <c r="A410" s="13"/>
    </row>
    <row r="411" spans="1:1">
      <c r="A411" s="13"/>
    </row>
    <row r="412" spans="1:1">
      <c r="A412" s="13"/>
    </row>
    <row r="413" spans="1:1">
      <c r="A413" s="13"/>
    </row>
    <row r="414" spans="1:1">
      <c r="A414" s="13"/>
    </row>
    <row r="415" spans="1:1">
      <c r="A415" s="13"/>
    </row>
    <row r="416" spans="1:1">
      <c r="A416" s="13"/>
    </row>
    <row r="417" spans="1:1">
      <c r="A417" s="13"/>
    </row>
    <row r="418" spans="1:1">
      <c r="A418" s="13"/>
    </row>
    <row r="419" spans="1:1">
      <c r="A419" s="13"/>
    </row>
    <row r="420" spans="1:1">
      <c r="A420" s="13"/>
    </row>
    <row r="421" spans="1:1">
      <c r="A421" s="13"/>
    </row>
    <row r="422" spans="1:1">
      <c r="A422" s="13"/>
    </row>
    <row r="423" spans="1:1">
      <c r="A423" s="13"/>
    </row>
    <row r="424" spans="1:1">
      <c r="A424" s="13"/>
    </row>
    <row r="425" spans="1:1">
      <c r="A425" s="13"/>
    </row>
    <row r="426" spans="1:1">
      <c r="A426" s="13"/>
    </row>
    <row r="427" spans="1:1">
      <c r="A427" s="13"/>
    </row>
    <row r="428" spans="1:1">
      <c r="A428" s="13"/>
    </row>
    <row r="429" spans="1:1">
      <c r="A429" s="13"/>
    </row>
    <row r="430" spans="1:1">
      <c r="A430" s="13"/>
    </row>
    <row r="431" spans="1:1">
      <c r="A431" s="13"/>
    </row>
    <row r="432" spans="1:1">
      <c r="A432" s="13"/>
    </row>
    <row r="433" spans="1:1">
      <c r="A433" s="13"/>
    </row>
    <row r="434" spans="1:1">
      <c r="A434" s="13"/>
    </row>
    <row r="435" spans="1:1">
      <c r="A435" s="13"/>
    </row>
    <row r="436" spans="1:1">
      <c r="A436" s="13"/>
    </row>
    <row r="437" spans="1:1">
      <c r="A437" s="13"/>
    </row>
    <row r="438" spans="1:1">
      <c r="A438" s="13"/>
    </row>
    <row r="439" spans="1:1">
      <c r="A439" s="13"/>
    </row>
    <row r="440" spans="1:1">
      <c r="A440" s="13"/>
    </row>
    <row r="441" spans="1:1">
      <c r="A441" s="13"/>
    </row>
    <row r="442" spans="1:1">
      <c r="A442" s="13"/>
    </row>
    <row r="443" spans="1:1">
      <c r="A443" s="13"/>
    </row>
    <row r="444" spans="1:1">
      <c r="A444" s="13"/>
    </row>
    <row r="445" spans="1:1">
      <c r="A445" s="13"/>
    </row>
    <row r="446" spans="1:1">
      <c r="A446" s="13"/>
    </row>
    <row r="447" spans="1:1">
      <c r="A447" s="13"/>
    </row>
    <row r="448" spans="1:1">
      <c r="A448" s="13"/>
    </row>
    <row r="449" spans="1:1">
      <c r="A449" s="13"/>
    </row>
    <row r="450" spans="1:1">
      <c r="A450" s="13"/>
    </row>
    <row r="451" spans="1:1">
      <c r="A451" s="13"/>
    </row>
    <row r="452" spans="1:1">
      <c r="A452" s="13"/>
    </row>
    <row r="453" spans="1:1">
      <c r="A453" s="13"/>
    </row>
    <row r="454" spans="1:1">
      <c r="A454" s="13"/>
    </row>
    <row r="455" spans="1:1">
      <c r="A455" s="13"/>
    </row>
    <row r="456" spans="1:1">
      <c r="A456" s="13"/>
    </row>
    <row r="457" spans="1:1">
      <c r="A457" s="13"/>
    </row>
    <row r="458" spans="1:1">
      <c r="A458" s="13"/>
    </row>
    <row r="459" spans="1:1">
      <c r="A459" s="13"/>
    </row>
    <row r="460" spans="1:1">
      <c r="A460" s="13"/>
    </row>
    <row r="461" spans="1:1">
      <c r="A461" s="13"/>
    </row>
    <row r="462" spans="1:1">
      <c r="A462" s="13"/>
    </row>
    <row r="463" spans="1:1">
      <c r="A463" s="13"/>
    </row>
    <row r="464" spans="1:1">
      <c r="A464" s="13"/>
    </row>
    <row r="465" spans="1:1">
      <c r="A465" s="13"/>
    </row>
    <row r="466" spans="1:1">
      <c r="A466" s="13"/>
    </row>
    <row r="467" spans="1:1">
      <c r="A467" s="13"/>
    </row>
    <row r="468" spans="1:1">
      <c r="A468" s="13"/>
    </row>
    <row r="469" spans="1:1">
      <c r="A469" s="13"/>
    </row>
    <row r="470" spans="1:1">
      <c r="A470" s="13"/>
    </row>
    <row r="471" spans="1:1">
      <c r="A471" s="13"/>
    </row>
    <row r="472" spans="1:1">
      <c r="A472" s="13"/>
    </row>
    <row r="473" spans="1:1">
      <c r="A473" s="13"/>
    </row>
    <row r="474" spans="1:1">
      <c r="A474" s="13"/>
    </row>
    <row r="475" spans="1:1">
      <c r="A475" s="13"/>
    </row>
    <row r="476" spans="1:1">
      <c r="A476" s="13"/>
    </row>
    <row r="477" spans="1:1">
      <c r="A477" s="13"/>
    </row>
    <row r="478" spans="1:1">
      <c r="A478" s="13"/>
    </row>
    <row r="479" spans="1:1">
      <c r="A479" s="13"/>
    </row>
    <row r="480" spans="1:1">
      <c r="A480" s="13"/>
    </row>
    <row r="481" spans="1:1">
      <c r="A481" s="13"/>
    </row>
    <row r="482" spans="1:1">
      <c r="A482" s="13"/>
    </row>
    <row r="483" spans="1:1">
      <c r="A483" s="13"/>
    </row>
    <row r="484" spans="1:1">
      <c r="A484" s="13"/>
    </row>
    <row r="485" spans="1:1">
      <c r="A485" s="13"/>
    </row>
    <row r="486" spans="1:1">
      <c r="A486" s="13"/>
    </row>
    <row r="487" spans="1:1">
      <c r="A487" s="13"/>
    </row>
    <row r="488" spans="1:1">
      <c r="A488" s="13"/>
    </row>
    <row r="489" spans="1:1">
      <c r="A489" s="13"/>
    </row>
    <row r="490" spans="1:1">
      <c r="A490" s="13"/>
    </row>
    <row r="491" spans="1:1">
      <c r="A491" s="13"/>
    </row>
    <row r="492" spans="1:1">
      <c r="A492" s="13"/>
    </row>
    <row r="493" spans="1:1">
      <c r="A493" s="13"/>
    </row>
    <row r="494" spans="1:1">
      <c r="A494" s="13"/>
    </row>
    <row r="495" spans="1:1">
      <c r="A495" s="13"/>
    </row>
    <row r="496" spans="1:1">
      <c r="A496" s="13"/>
    </row>
    <row r="497" spans="1:1">
      <c r="A497" s="13"/>
    </row>
    <row r="498" spans="1:1">
      <c r="A498" s="13"/>
    </row>
    <row r="499" spans="1:1">
      <c r="A499" s="13"/>
    </row>
    <row r="500" spans="1:1">
      <c r="A500" s="13"/>
    </row>
    <row r="501" spans="1:1">
      <c r="A501" s="13"/>
    </row>
    <row r="502" spans="1:1">
      <c r="A502" s="13"/>
    </row>
    <row r="503" spans="1:1">
      <c r="A503" s="13"/>
    </row>
    <row r="504" spans="1:1">
      <c r="A504" s="13"/>
    </row>
    <row r="505" spans="1:1">
      <c r="A505" s="13"/>
    </row>
    <row r="506" spans="1:1">
      <c r="A506" s="13"/>
    </row>
    <row r="507" spans="1:1">
      <c r="A507" s="13"/>
    </row>
    <row r="508" spans="1:1">
      <c r="A508" s="13"/>
    </row>
    <row r="509" spans="1:1">
      <c r="A509" s="13"/>
    </row>
    <row r="510" spans="1:1">
      <c r="A510" s="13"/>
    </row>
    <row r="511" spans="1:1">
      <c r="A511" s="13"/>
    </row>
    <row r="512" spans="1:1">
      <c r="A512" s="13"/>
    </row>
    <row r="513" spans="1:1">
      <c r="A513" s="13"/>
    </row>
    <row r="514" spans="1:1">
      <c r="A514" s="13"/>
    </row>
    <row r="515" spans="1:1">
      <c r="A515" s="13"/>
    </row>
    <row r="516" spans="1:1">
      <c r="A516" s="13"/>
    </row>
    <row r="517" spans="1:1">
      <c r="A517" s="13"/>
    </row>
    <row r="518" spans="1:1">
      <c r="A518" s="13"/>
    </row>
    <row r="519" spans="1:1">
      <c r="A519" s="13"/>
    </row>
    <row r="520" spans="1:1">
      <c r="A520" s="13"/>
    </row>
    <row r="521" spans="1:1">
      <c r="A521" s="13"/>
    </row>
    <row r="522" spans="1:1">
      <c r="A522" s="13"/>
    </row>
    <row r="523" spans="1:1">
      <c r="A523" s="13"/>
    </row>
    <row r="524" spans="1:1">
      <c r="A524" s="13"/>
    </row>
    <row r="525" spans="1:1">
      <c r="A525" s="13"/>
    </row>
    <row r="526" spans="1:1">
      <c r="A526" s="13"/>
    </row>
    <row r="527" spans="1:1">
      <c r="A527" s="13"/>
    </row>
    <row r="528" spans="1:1">
      <c r="A528" s="13"/>
    </row>
    <row r="529" spans="1:1">
      <c r="A529" s="13"/>
    </row>
    <row r="530" spans="1:1">
      <c r="A530" s="13"/>
    </row>
    <row r="531" spans="1:1">
      <c r="A531" s="13"/>
    </row>
    <row r="532" spans="1:1">
      <c r="A532" s="13"/>
    </row>
    <row r="533" spans="1:1">
      <c r="A533" s="13"/>
    </row>
    <row r="534" spans="1:1">
      <c r="A534" s="13"/>
    </row>
    <row r="535" spans="1:1">
      <c r="A535" s="13"/>
    </row>
    <row r="536" spans="1:1">
      <c r="A536" s="13"/>
    </row>
    <row r="537" spans="1:1">
      <c r="A537" s="13"/>
    </row>
    <row r="538" spans="1:1">
      <c r="A538" s="13"/>
    </row>
    <row r="539" spans="1:1">
      <c r="A539" s="13"/>
    </row>
    <row r="540" spans="1:1">
      <c r="A540" s="13"/>
    </row>
    <row r="541" spans="1:1">
      <c r="A541" s="13"/>
    </row>
    <row r="542" spans="1:1">
      <c r="A542" s="13"/>
    </row>
    <row r="543" spans="1:1">
      <c r="A543" s="13"/>
    </row>
    <row r="544" spans="1:1">
      <c r="A544" s="13"/>
    </row>
    <row r="545" spans="1:1">
      <c r="A545" s="13"/>
    </row>
    <row r="546" spans="1:1">
      <c r="A546" s="13"/>
    </row>
    <row r="547" spans="1:1">
      <c r="A547" s="13"/>
    </row>
    <row r="548" spans="1:1">
      <c r="A548" s="13"/>
    </row>
    <row r="549" spans="1:1">
      <c r="A549" s="13"/>
    </row>
    <row r="550" spans="1:1">
      <c r="A550" s="13"/>
    </row>
    <row r="551" spans="1:1">
      <c r="A551" s="13"/>
    </row>
    <row r="552" spans="1:1">
      <c r="A552" s="13"/>
    </row>
    <row r="553" spans="1:1">
      <c r="A553" s="13"/>
    </row>
    <row r="554" spans="1:1">
      <c r="A554" s="13"/>
    </row>
    <row r="555" spans="1:1">
      <c r="A555" s="13"/>
    </row>
    <row r="556" spans="1:1">
      <c r="A556" s="13"/>
    </row>
    <row r="557" spans="1:1">
      <c r="A557" s="13"/>
    </row>
    <row r="558" spans="1:1">
      <c r="A558" s="13"/>
    </row>
    <row r="559" spans="1:1">
      <c r="A559" s="13"/>
    </row>
    <row r="560" spans="1:1">
      <c r="A560" s="13"/>
    </row>
    <row r="561" spans="1:1">
      <c r="A561" s="13"/>
    </row>
    <row r="562" spans="1:1">
      <c r="A562" s="13"/>
    </row>
    <row r="563" spans="1:1">
      <c r="A563" s="13"/>
    </row>
    <row r="564" spans="1:1">
      <c r="A564" s="13"/>
    </row>
    <row r="565" spans="1:1">
      <c r="A565" s="13"/>
    </row>
    <row r="566" spans="1:1">
      <c r="A566" s="13"/>
    </row>
    <row r="567" spans="1:1">
      <c r="A567" s="13"/>
    </row>
    <row r="568" spans="1:1">
      <c r="A568" s="13"/>
    </row>
    <row r="569" spans="1:1">
      <c r="A569" s="13"/>
    </row>
    <row r="570" spans="1:1">
      <c r="A570" s="13"/>
    </row>
    <row r="571" spans="1:1">
      <c r="A571" s="13"/>
    </row>
    <row r="572" spans="1:1">
      <c r="A572" s="13"/>
    </row>
    <row r="573" spans="1:1">
      <c r="A573" s="13"/>
    </row>
    <row r="574" spans="1:1">
      <c r="A574" s="13"/>
    </row>
    <row r="575" spans="1:1">
      <c r="A575" s="13"/>
    </row>
    <row r="576" spans="1:1">
      <c r="A576" s="13"/>
    </row>
    <row r="577" spans="1:1">
      <c r="A577" s="13"/>
    </row>
    <row r="578" spans="1:1">
      <c r="A578" s="13"/>
    </row>
    <row r="579" spans="1:1">
      <c r="A579" s="13"/>
    </row>
    <row r="580" spans="1:1">
      <c r="A580" s="13"/>
    </row>
    <row r="581" spans="1:1">
      <c r="A581" s="13"/>
    </row>
    <row r="582" spans="1:1">
      <c r="A582" s="13"/>
    </row>
    <row r="583" spans="1:1">
      <c r="A583" s="13"/>
    </row>
    <row r="584" spans="1:1">
      <c r="A584" s="13"/>
    </row>
    <row r="585" spans="1:1">
      <c r="A585" s="13"/>
    </row>
    <row r="586" spans="1:1">
      <c r="A586" s="13"/>
    </row>
    <row r="587" spans="1:1">
      <c r="A587" s="13"/>
    </row>
    <row r="588" spans="1:1">
      <c r="A588" s="13"/>
    </row>
    <row r="589" spans="1:1">
      <c r="A589" s="13"/>
    </row>
    <row r="590" spans="1:1">
      <c r="A590" s="13"/>
    </row>
    <row r="591" spans="1:1">
      <c r="A591" s="13"/>
    </row>
    <row r="592" spans="1:1">
      <c r="A592" s="13"/>
    </row>
    <row r="593" spans="1:1">
      <c r="A593" s="13"/>
    </row>
    <row r="594" spans="1:1">
      <c r="A594" s="13"/>
    </row>
    <row r="595" spans="1:1">
      <c r="A595" s="13"/>
    </row>
    <row r="596" spans="1:1">
      <c r="A596" s="13"/>
    </row>
    <row r="597" spans="1:1">
      <c r="A597" s="13"/>
    </row>
    <row r="598" spans="1:1">
      <c r="A598" s="13"/>
    </row>
    <row r="599" spans="1:1">
      <c r="A599" s="13"/>
    </row>
    <row r="600" spans="1:1">
      <c r="A600" s="13"/>
    </row>
    <row r="601" spans="1:1">
      <c r="A601" s="13"/>
    </row>
    <row r="602" spans="1:1">
      <c r="A602" s="13"/>
    </row>
    <row r="603" spans="1:1">
      <c r="A603" s="13"/>
    </row>
    <row r="604" spans="1:1">
      <c r="A604" s="13"/>
    </row>
    <row r="605" spans="1:1">
      <c r="A605" s="13"/>
    </row>
    <row r="606" spans="1:1">
      <c r="A606" s="13"/>
    </row>
    <row r="607" spans="1:1">
      <c r="A607" s="13"/>
    </row>
    <row r="608" spans="1:1">
      <c r="A608" s="13"/>
    </row>
    <row r="609" spans="1:1">
      <c r="A609" s="13"/>
    </row>
    <row r="610" spans="1:1">
      <c r="A610" s="13"/>
    </row>
    <row r="611" spans="1:1">
      <c r="A611" s="13"/>
    </row>
    <row r="612" spans="1:1">
      <c r="A612" s="13"/>
    </row>
    <row r="613" spans="1:1">
      <c r="A613" s="13"/>
    </row>
    <row r="614" spans="1:1">
      <c r="A614" s="13"/>
    </row>
    <row r="615" spans="1:1">
      <c r="A615" s="13"/>
    </row>
    <row r="616" spans="1:1">
      <c r="A616" s="13"/>
    </row>
    <row r="617" spans="1:1">
      <c r="A617" s="13"/>
    </row>
    <row r="618" spans="1:1">
      <c r="A618" s="13"/>
    </row>
    <row r="619" spans="1:1">
      <c r="A619" s="13"/>
    </row>
    <row r="620" spans="1:1">
      <c r="A620" s="13"/>
    </row>
    <row r="621" spans="1:1">
      <c r="A621" s="13"/>
    </row>
    <row r="622" spans="1:1">
      <c r="A622" s="13"/>
    </row>
    <row r="623" spans="1:1">
      <c r="A623" s="13"/>
    </row>
    <row r="624" spans="1:1">
      <c r="A624" s="13"/>
    </row>
    <row r="625" spans="1:1">
      <c r="A625" s="13"/>
    </row>
    <row r="626" spans="1:1">
      <c r="A626" s="13"/>
    </row>
    <row r="627" spans="1:1">
      <c r="A627" s="13"/>
    </row>
    <row r="628" spans="1:1">
      <c r="A628" s="13"/>
    </row>
    <row r="629" spans="1:1">
      <c r="A629" s="13"/>
    </row>
    <row r="630" spans="1:1">
      <c r="A630" s="13"/>
    </row>
    <row r="631" spans="1:1">
      <c r="A631" s="13"/>
    </row>
    <row r="632" spans="1:1">
      <c r="A632" s="13"/>
    </row>
    <row r="633" spans="1:1">
      <c r="A633" s="13"/>
    </row>
    <row r="634" spans="1:1">
      <c r="A634" s="13"/>
    </row>
    <row r="635" spans="1:1">
      <c r="A635" s="13"/>
    </row>
    <row r="636" spans="1:1">
      <c r="A636" s="13"/>
    </row>
    <row r="637" spans="1:1">
      <c r="A637" s="13"/>
    </row>
    <row r="638" spans="1:1">
      <c r="A638" s="13"/>
    </row>
    <row r="639" spans="1:1">
      <c r="A639" s="13"/>
    </row>
    <row r="640" spans="1:1">
      <c r="A640" s="13"/>
    </row>
    <row r="641" spans="1:1">
      <c r="A641" s="13"/>
    </row>
    <row r="642" spans="1:1">
      <c r="A642" s="13"/>
    </row>
    <row r="643" spans="1:1">
      <c r="A643" s="13"/>
    </row>
    <row r="644" spans="1:1">
      <c r="A644" s="13"/>
    </row>
    <row r="645" spans="1:1">
      <c r="A645" s="13"/>
    </row>
    <row r="646" spans="1:1">
      <c r="A646" s="13"/>
    </row>
    <row r="647" spans="1:1">
      <c r="A647" s="13"/>
    </row>
    <row r="648" spans="1:1">
      <c r="A648" s="13"/>
    </row>
    <row r="649" spans="1:1">
      <c r="A649" s="13"/>
    </row>
    <row r="650" spans="1:1">
      <c r="A650" s="13"/>
    </row>
    <row r="651" spans="1:1">
      <c r="A651" s="13"/>
    </row>
    <row r="652" spans="1:1">
      <c r="A652" s="13"/>
    </row>
    <row r="653" spans="1:1">
      <c r="A653" s="13"/>
    </row>
    <row r="654" spans="1:1">
      <c r="A654" s="13"/>
    </row>
    <row r="655" spans="1:1">
      <c r="A655" s="13"/>
    </row>
    <row r="656" spans="1:1">
      <c r="A656" s="13"/>
    </row>
    <row r="657" spans="1:1">
      <c r="A657" s="13"/>
    </row>
    <row r="658" spans="1:1">
      <c r="A658" s="13"/>
    </row>
    <row r="659" spans="1:1">
      <c r="A659" s="13"/>
    </row>
    <row r="660" spans="1:1">
      <c r="A660" s="13"/>
    </row>
    <row r="661" spans="1:1">
      <c r="A661" s="13"/>
    </row>
    <row r="662" spans="1:1">
      <c r="A662" s="13"/>
    </row>
    <row r="663" spans="1:1">
      <c r="A663" s="13"/>
    </row>
    <row r="664" spans="1:1">
      <c r="A664" s="13"/>
    </row>
    <row r="665" spans="1:1">
      <c r="A665" s="13"/>
    </row>
    <row r="666" spans="1:1">
      <c r="A666" s="13"/>
    </row>
    <row r="667" spans="1:1">
      <c r="A667" s="13"/>
    </row>
    <row r="668" spans="1:1">
      <c r="A668" s="13"/>
    </row>
    <row r="669" spans="1:1">
      <c r="A669" s="13"/>
    </row>
    <row r="670" spans="1:1">
      <c r="A670" s="13"/>
    </row>
    <row r="671" spans="1:1">
      <c r="A671" s="13"/>
    </row>
    <row r="672" spans="1:1">
      <c r="A672" s="13"/>
    </row>
    <row r="673" spans="1:1">
      <c r="A673" s="13"/>
    </row>
    <row r="674" spans="1:1">
      <c r="A674" s="13"/>
    </row>
    <row r="675" spans="1:1">
      <c r="A675" s="13"/>
    </row>
    <row r="676" spans="1:1">
      <c r="A676" s="13"/>
    </row>
    <row r="677" spans="1:1">
      <c r="A677" s="13"/>
    </row>
    <row r="678" spans="1:1">
      <c r="A678" s="13"/>
    </row>
    <row r="679" spans="1:1">
      <c r="A679" s="13"/>
    </row>
    <row r="680" spans="1:1">
      <c r="A680" s="13"/>
    </row>
    <row r="681" spans="1:1">
      <c r="A681" s="13"/>
    </row>
    <row r="682" spans="1:1">
      <c r="A682" s="13"/>
    </row>
    <row r="683" spans="1:1">
      <c r="A683" s="13"/>
    </row>
    <row r="684" spans="1:1">
      <c r="A684" s="13"/>
    </row>
    <row r="685" spans="1:1">
      <c r="A685" s="13"/>
    </row>
    <row r="686" spans="1:1">
      <c r="A686" s="13"/>
    </row>
    <row r="687" spans="1:1">
      <c r="A687" s="13"/>
    </row>
    <row r="688" spans="1:1">
      <c r="A688" s="13"/>
    </row>
    <row r="689" spans="1:1">
      <c r="A689" s="13"/>
    </row>
    <row r="690" spans="1:1">
      <c r="A690" s="13"/>
    </row>
    <row r="691" spans="1:1">
      <c r="A691" s="13"/>
    </row>
    <row r="692" spans="1:1">
      <c r="A692" s="13"/>
    </row>
    <row r="693" spans="1:1">
      <c r="A693" s="13"/>
    </row>
    <row r="694" spans="1:1">
      <c r="A694" s="13"/>
    </row>
    <row r="695" spans="1:1">
      <c r="A695" s="13"/>
    </row>
    <row r="696" spans="1:1">
      <c r="A696" s="13"/>
    </row>
    <row r="697" spans="1:1">
      <c r="A697" s="13"/>
    </row>
    <row r="698" spans="1:1">
      <c r="A698" s="13"/>
    </row>
    <row r="699" spans="1:1">
      <c r="A699" s="13"/>
    </row>
    <row r="700" spans="1:1">
      <c r="A700" s="13"/>
    </row>
    <row r="701" spans="1:1">
      <c r="A701" s="13"/>
    </row>
    <row r="702" spans="1:1">
      <c r="A702" s="13"/>
    </row>
    <row r="703" spans="1:1">
      <c r="A703" s="13"/>
    </row>
    <row r="704" spans="1:1">
      <c r="A704" s="13"/>
    </row>
    <row r="705" spans="1:1">
      <c r="A705" s="13"/>
    </row>
    <row r="706" spans="1:1">
      <c r="A706" s="13"/>
    </row>
    <row r="707" spans="1:1">
      <c r="A707" s="13"/>
    </row>
    <row r="708" spans="1:1">
      <c r="A708" s="13"/>
    </row>
    <row r="709" spans="1:1">
      <c r="A709" s="13"/>
    </row>
    <row r="710" spans="1:1">
      <c r="A710" s="13"/>
    </row>
    <row r="711" spans="1:1">
      <c r="A711" s="13"/>
    </row>
    <row r="712" spans="1:1">
      <c r="A712" s="13"/>
    </row>
    <row r="713" spans="1:1">
      <c r="A713" s="13"/>
    </row>
    <row r="714" spans="1:1">
      <c r="A714" s="13"/>
    </row>
    <row r="715" spans="1:1">
      <c r="A715" s="13"/>
    </row>
    <row r="716" spans="1:1">
      <c r="A716" s="13"/>
    </row>
    <row r="717" spans="1:1">
      <c r="A717" s="13"/>
    </row>
    <row r="718" spans="1:1">
      <c r="A718" s="13"/>
    </row>
    <row r="719" spans="1:1">
      <c r="A719" s="13"/>
    </row>
    <row r="720" spans="1:1">
      <c r="A720" s="13"/>
    </row>
    <row r="721" spans="1:1">
      <c r="A721" s="13"/>
    </row>
    <row r="722" spans="1:1">
      <c r="A722" s="13"/>
    </row>
    <row r="723" spans="1:1">
      <c r="A723" s="13"/>
    </row>
    <row r="724" spans="1:1">
      <c r="A724" s="13"/>
    </row>
    <row r="725" spans="1:1">
      <c r="A725" s="13"/>
    </row>
    <row r="726" spans="1:1">
      <c r="A726" s="13"/>
    </row>
    <row r="727" spans="1:1">
      <c r="A727" s="13"/>
    </row>
    <row r="728" spans="1:1">
      <c r="A728" s="13"/>
    </row>
    <row r="729" spans="1:1">
      <c r="A729" s="13"/>
    </row>
    <row r="730" spans="1:1">
      <c r="A730" s="13"/>
    </row>
    <row r="731" spans="1:1">
      <c r="A731" s="13"/>
    </row>
    <row r="732" spans="1:1">
      <c r="A732" s="13"/>
    </row>
    <row r="733" spans="1:1">
      <c r="A733" s="13"/>
    </row>
    <row r="734" spans="1:1">
      <c r="A734" s="13"/>
    </row>
    <row r="735" spans="1:1">
      <c r="A735" s="13"/>
    </row>
    <row r="736" spans="1:1">
      <c r="A736" s="13"/>
    </row>
    <row r="737" spans="1:1">
      <c r="A737" s="13"/>
    </row>
    <row r="738" spans="1:1">
      <c r="A738" s="13"/>
    </row>
    <row r="739" spans="1:1">
      <c r="A739" s="13"/>
    </row>
    <row r="740" spans="1:1">
      <c r="A740" s="13"/>
    </row>
    <row r="741" spans="1:1">
      <c r="A741" s="13"/>
    </row>
    <row r="742" spans="1:1">
      <c r="A742" s="13"/>
    </row>
    <row r="743" spans="1:1">
      <c r="A743" s="13"/>
    </row>
    <row r="744" spans="1:1">
      <c r="A744" s="13"/>
    </row>
    <row r="745" spans="1:1">
      <c r="A745" s="13"/>
    </row>
    <row r="746" spans="1:1">
      <c r="A746" s="13"/>
    </row>
    <row r="747" spans="1:1">
      <c r="A747" s="13"/>
    </row>
    <row r="748" spans="1:1">
      <c r="A748" s="13"/>
    </row>
    <row r="749" spans="1:1">
      <c r="A749" s="13"/>
    </row>
    <row r="750" spans="1:1">
      <c r="A750" s="13"/>
    </row>
    <row r="751" spans="1:1">
      <c r="A751" s="13"/>
    </row>
    <row r="752" spans="1:1">
      <c r="A752" s="13"/>
    </row>
    <row r="753" spans="1:1">
      <c r="A753" s="13"/>
    </row>
    <row r="754" spans="1:1">
      <c r="A754" s="13"/>
    </row>
    <row r="755" spans="1:1">
      <c r="A755" s="13"/>
    </row>
    <row r="756" spans="1:1">
      <c r="A756" s="13"/>
    </row>
    <row r="757" spans="1:1">
      <c r="A757" s="13"/>
    </row>
    <row r="758" spans="1:1">
      <c r="A758" s="13"/>
    </row>
    <row r="759" spans="1:1">
      <c r="A759" s="13"/>
    </row>
    <row r="760" spans="1:1">
      <c r="A760" s="13"/>
    </row>
    <row r="761" spans="1:1">
      <c r="A761" s="13"/>
    </row>
    <row r="762" spans="1:1">
      <c r="A762" s="13"/>
    </row>
    <row r="763" spans="1:1">
      <c r="A763" s="13"/>
    </row>
    <row r="764" spans="1:1">
      <c r="A764" s="13"/>
    </row>
    <row r="765" spans="1:1">
      <c r="A765" s="13"/>
    </row>
    <row r="766" spans="1:1">
      <c r="A766" s="13"/>
    </row>
    <row r="767" spans="1:1">
      <c r="A767" s="13"/>
    </row>
    <row r="768" spans="1:1">
      <c r="A768" s="13"/>
    </row>
    <row r="769" spans="1:1">
      <c r="A769" s="13"/>
    </row>
    <row r="770" spans="1:1">
      <c r="A770" s="13"/>
    </row>
    <row r="771" spans="1:1">
      <c r="A771" s="13"/>
    </row>
    <row r="772" spans="1:1">
      <c r="A772" s="13"/>
    </row>
    <row r="773" spans="1:1">
      <c r="A773" s="13"/>
    </row>
    <row r="774" spans="1:1">
      <c r="A774" s="13"/>
    </row>
    <row r="775" spans="1:1">
      <c r="A775" s="13"/>
    </row>
    <row r="776" spans="1:1">
      <c r="A776" s="13"/>
    </row>
    <row r="777" spans="1:1">
      <c r="A777" s="13"/>
    </row>
    <row r="778" spans="1:1">
      <c r="A778" s="13"/>
    </row>
    <row r="779" spans="1:1">
      <c r="A779" s="13"/>
    </row>
    <row r="780" spans="1:1">
      <c r="A780" s="13"/>
    </row>
    <row r="781" spans="1:1">
      <c r="A781" s="13"/>
    </row>
    <row r="782" spans="1:1">
      <c r="A782" s="13"/>
    </row>
    <row r="783" spans="1:1">
      <c r="A783" s="13"/>
    </row>
    <row r="784" spans="1:1">
      <c r="A784" s="13"/>
    </row>
    <row r="785" spans="1:1">
      <c r="A785" s="13"/>
    </row>
    <row r="786" spans="1:1">
      <c r="A786" s="13"/>
    </row>
    <row r="787" spans="1:1">
      <c r="A787" s="13"/>
    </row>
    <row r="788" spans="1:1">
      <c r="A788" s="13"/>
    </row>
    <row r="789" spans="1:1">
      <c r="A789" s="13"/>
    </row>
    <row r="790" spans="1:1">
      <c r="A790" s="13"/>
    </row>
    <row r="791" spans="1:1">
      <c r="A791" s="13"/>
    </row>
    <row r="792" spans="1:1">
      <c r="A792" s="13"/>
    </row>
    <row r="793" spans="1:1">
      <c r="A793" s="13"/>
    </row>
    <row r="794" spans="1:1">
      <c r="A794" s="13"/>
    </row>
    <row r="795" spans="1:1">
      <c r="A795" s="13"/>
    </row>
    <row r="796" spans="1:1">
      <c r="A796" s="13"/>
    </row>
    <row r="797" spans="1:1">
      <c r="A797" s="13"/>
    </row>
    <row r="798" spans="1:1">
      <c r="A798" s="13"/>
    </row>
    <row r="799" spans="1:1">
      <c r="A799" s="13"/>
    </row>
    <row r="800" spans="1:1">
      <c r="A800" s="13"/>
    </row>
    <row r="801" spans="1:1">
      <c r="A801" s="13"/>
    </row>
    <row r="802" spans="1:1">
      <c r="A802" s="13"/>
    </row>
    <row r="803" spans="1:1">
      <c r="A803" s="13"/>
    </row>
    <row r="804" spans="1:1">
      <c r="A804" s="13"/>
    </row>
    <row r="805" spans="1:1">
      <c r="A805" s="13"/>
    </row>
    <row r="806" spans="1:1">
      <c r="A806" s="13"/>
    </row>
    <row r="807" spans="1:1">
      <c r="A807" s="13"/>
    </row>
    <row r="808" spans="1:1">
      <c r="A808" s="13"/>
    </row>
    <row r="809" spans="1:1">
      <c r="A809" s="13"/>
    </row>
    <row r="810" spans="1:1">
      <c r="A810" s="13"/>
    </row>
    <row r="811" spans="1:1">
      <c r="A811" s="13"/>
    </row>
    <row r="812" spans="1:1">
      <c r="A812" s="13"/>
    </row>
    <row r="813" spans="1:1">
      <c r="A813" s="13"/>
    </row>
    <row r="814" spans="1:1">
      <c r="A814" s="13"/>
    </row>
    <row r="815" spans="1:1">
      <c r="A815" s="13"/>
    </row>
    <row r="816" spans="1:1">
      <c r="A816" s="13"/>
    </row>
    <row r="817" spans="1:1">
      <c r="A817" s="13"/>
    </row>
    <row r="818" spans="1:1">
      <c r="A818" s="13"/>
    </row>
    <row r="819" spans="1:1">
      <c r="A819" s="13"/>
    </row>
    <row r="820" spans="1:1">
      <c r="A820" s="13"/>
    </row>
    <row r="821" spans="1:1">
      <c r="A821" s="13"/>
    </row>
    <row r="822" spans="1:1">
      <c r="A822" s="13"/>
    </row>
    <row r="823" spans="1:1">
      <c r="A823" s="13"/>
    </row>
    <row r="824" spans="1:1">
      <c r="A824" s="13"/>
    </row>
    <row r="825" spans="1:1">
      <c r="A825" s="13"/>
    </row>
    <row r="826" spans="1:1">
      <c r="A826" s="13"/>
    </row>
    <row r="827" spans="1:1">
      <c r="A827" s="13"/>
    </row>
    <row r="828" spans="1:1">
      <c r="A828" s="13"/>
    </row>
    <row r="829" spans="1:1">
      <c r="A829" s="13"/>
    </row>
    <row r="830" spans="1:1">
      <c r="A830" s="13"/>
    </row>
    <row r="831" spans="1:1">
      <c r="A831" s="13"/>
    </row>
    <row r="832" spans="1:1">
      <c r="A832" s="13"/>
    </row>
    <row r="833" spans="1:1">
      <c r="A833" s="13"/>
    </row>
    <row r="834" spans="1:1">
      <c r="A834" s="13"/>
    </row>
    <row r="835" spans="1:1">
      <c r="A835" s="13"/>
    </row>
    <row r="836" spans="1:1">
      <c r="A836" s="13"/>
    </row>
    <row r="837" spans="1:1">
      <c r="A837" s="13"/>
    </row>
    <row r="838" spans="1:1">
      <c r="A838" s="13"/>
    </row>
    <row r="839" spans="1:1">
      <c r="A839" s="13"/>
    </row>
    <row r="840" spans="1:1">
      <c r="A840" s="13"/>
    </row>
    <row r="841" spans="1:1">
      <c r="A841" s="13"/>
    </row>
    <row r="842" spans="1:1">
      <c r="A842" s="13"/>
    </row>
    <row r="843" spans="1:1">
      <c r="A843" s="13"/>
    </row>
    <row r="844" spans="1:1">
      <c r="A844" s="13"/>
    </row>
    <row r="845" spans="1:1">
      <c r="A845" s="13"/>
    </row>
    <row r="846" spans="1:1">
      <c r="A846" s="13"/>
    </row>
    <row r="847" spans="1:1">
      <c r="A847" s="13"/>
    </row>
    <row r="848" spans="1:1">
      <c r="A848" s="13"/>
    </row>
    <row r="849" spans="1:1">
      <c r="A849" s="13"/>
    </row>
    <row r="850" spans="1:1">
      <c r="A850" s="13"/>
    </row>
    <row r="851" spans="1:1">
      <c r="A851" s="13"/>
    </row>
    <row r="852" spans="1:1">
      <c r="A852" s="13"/>
    </row>
    <row r="853" spans="1:1">
      <c r="A853" s="13"/>
    </row>
    <row r="854" spans="1:1">
      <c r="A854" s="13"/>
    </row>
    <row r="855" spans="1:1">
      <c r="A855" s="13"/>
    </row>
    <row r="856" spans="1:1">
      <c r="A856" s="13"/>
    </row>
    <row r="857" spans="1:1">
      <c r="A857" s="13"/>
    </row>
    <row r="858" spans="1:1">
      <c r="A858" s="13"/>
    </row>
    <row r="859" spans="1:1">
      <c r="A859" s="13"/>
    </row>
    <row r="860" spans="1:1">
      <c r="A860" s="13"/>
    </row>
    <row r="861" spans="1:1">
      <c r="A861" s="13"/>
    </row>
    <row r="862" spans="1:1">
      <c r="A862" s="13"/>
    </row>
    <row r="863" spans="1:1">
      <c r="A863" s="13"/>
    </row>
    <row r="864" spans="1:1">
      <c r="A864" s="13"/>
    </row>
    <row r="865" spans="1:1">
      <c r="A865" s="13"/>
    </row>
    <row r="866" spans="1:1">
      <c r="A866" s="13"/>
    </row>
    <row r="867" spans="1:1">
      <c r="A867" s="13"/>
    </row>
    <row r="868" spans="1:1">
      <c r="A868" s="13"/>
    </row>
    <row r="869" spans="1:1">
      <c r="A869" s="13"/>
    </row>
    <row r="870" spans="1:1">
      <c r="A870" s="13"/>
    </row>
    <row r="871" spans="1:1">
      <c r="A871" s="13"/>
    </row>
    <row r="872" spans="1:1">
      <c r="A872" s="13"/>
    </row>
    <row r="873" spans="1:1">
      <c r="A873" s="13"/>
    </row>
    <row r="874" spans="1:1">
      <c r="A874" s="13"/>
    </row>
    <row r="875" spans="1:1">
      <c r="A875" s="13"/>
    </row>
    <row r="876" spans="1:1">
      <c r="A876" s="13"/>
    </row>
    <row r="877" spans="1:1">
      <c r="A877" s="13"/>
    </row>
    <row r="878" spans="1:1">
      <c r="A878" s="13"/>
    </row>
    <row r="879" spans="1:1">
      <c r="A879" s="13"/>
    </row>
    <row r="880" spans="1:1">
      <c r="A880" s="13"/>
    </row>
    <row r="881" spans="1:1">
      <c r="A881" s="13"/>
    </row>
    <row r="882" spans="1:1">
      <c r="A882" s="13"/>
    </row>
    <row r="883" spans="1:1">
      <c r="A883" s="13"/>
    </row>
    <row r="884" spans="1:1">
      <c r="A884" s="13"/>
    </row>
    <row r="885" spans="1:1">
      <c r="A885" s="13"/>
    </row>
    <row r="886" spans="1:1">
      <c r="A886" s="13"/>
    </row>
    <row r="887" spans="1:1">
      <c r="A887" s="13"/>
    </row>
    <row r="888" spans="1:1">
      <c r="A888" s="13"/>
    </row>
    <row r="889" spans="1:1">
      <c r="A889" s="13"/>
    </row>
    <row r="890" spans="1:1">
      <c r="A890" s="13"/>
    </row>
    <row r="891" spans="1:1">
      <c r="A891" s="13"/>
    </row>
    <row r="892" spans="1:1">
      <c r="A892" s="13"/>
    </row>
    <row r="893" spans="1:1">
      <c r="A893" s="13"/>
    </row>
    <row r="894" spans="1:1">
      <c r="A894" s="13"/>
    </row>
    <row r="895" spans="1:1">
      <c r="A895" s="13"/>
    </row>
    <row r="896" spans="1:1">
      <c r="A896" s="13"/>
    </row>
    <row r="897" spans="1:1">
      <c r="A897" s="13"/>
    </row>
    <row r="898" spans="1:1">
      <c r="A898" s="13"/>
    </row>
    <row r="899" spans="1:1">
      <c r="A899" s="13"/>
    </row>
    <row r="900" spans="1:1">
      <c r="A900" s="13"/>
    </row>
    <row r="901" spans="1:1">
      <c r="A901" s="13"/>
    </row>
    <row r="902" spans="1:1">
      <c r="A902" s="13"/>
    </row>
    <row r="903" spans="1:1">
      <c r="A903" s="13"/>
    </row>
    <row r="904" spans="1:1">
      <c r="A904" s="13"/>
    </row>
    <row r="905" spans="1:1">
      <c r="A905" s="13"/>
    </row>
    <row r="906" spans="1:1">
      <c r="A906" s="13"/>
    </row>
    <row r="907" spans="1:1">
      <c r="A907" s="13"/>
    </row>
    <row r="908" spans="1:1">
      <c r="A908" s="13"/>
    </row>
    <row r="909" spans="1:1">
      <c r="A909" s="13"/>
    </row>
    <row r="910" spans="1:1">
      <c r="A910" s="13"/>
    </row>
    <row r="911" spans="1:1">
      <c r="A911" s="13"/>
    </row>
    <row r="912" spans="1:1">
      <c r="A912" s="13"/>
    </row>
    <row r="913" spans="1:1">
      <c r="A913" s="13"/>
    </row>
    <row r="914" spans="1:1">
      <c r="A914" s="13"/>
    </row>
    <row r="915" spans="1:1">
      <c r="A915" s="13"/>
    </row>
    <row r="916" spans="1:1">
      <c r="A916" s="13"/>
    </row>
    <row r="917" spans="1:1">
      <c r="A917" s="13"/>
    </row>
    <row r="918" spans="1:1">
      <c r="A918" s="13"/>
    </row>
    <row r="919" spans="1:1">
      <c r="A919" s="13"/>
    </row>
    <row r="920" spans="1:1">
      <c r="A920" s="13"/>
    </row>
    <row r="921" spans="1:1">
      <c r="A921" s="13"/>
    </row>
    <row r="922" spans="1:1">
      <c r="A922" s="13"/>
    </row>
    <row r="923" spans="1:1">
      <c r="A923" s="13"/>
    </row>
    <row r="924" spans="1:1">
      <c r="A924" s="13"/>
    </row>
    <row r="925" spans="1:1">
      <c r="A925" s="13"/>
    </row>
    <row r="926" spans="1:1">
      <c r="A926" s="13"/>
    </row>
    <row r="927" spans="1:1">
      <c r="A927" s="13"/>
    </row>
    <row r="928" spans="1:1">
      <c r="A928" s="13"/>
    </row>
    <row r="929" spans="1:1">
      <c r="A929" s="13"/>
    </row>
    <row r="930" spans="1:1">
      <c r="A930" s="13"/>
    </row>
    <row r="931" spans="1:1">
      <c r="A931" s="13"/>
    </row>
    <row r="932" spans="1:1">
      <c r="A932" s="13"/>
    </row>
    <row r="933" spans="1:1">
      <c r="A933" s="13"/>
    </row>
    <row r="934" spans="1:1">
      <c r="A934" s="13"/>
    </row>
    <row r="935" spans="1:1">
      <c r="A935" s="13"/>
    </row>
    <row r="936" spans="1:1">
      <c r="A936" s="13"/>
    </row>
    <row r="937" spans="1:1">
      <c r="A937" s="13"/>
    </row>
    <row r="938" spans="1:1">
      <c r="A938" s="13"/>
    </row>
    <row r="939" spans="1:1">
      <c r="A939" s="13"/>
    </row>
    <row r="940" spans="1:1">
      <c r="A940" s="13"/>
    </row>
    <row r="941" spans="1:1">
      <c r="A941" s="13"/>
    </row>
    <row r="942" spans="1:1">
      <c r="A942" s="13"/>
    </row>
    <row r="943" spans="1:1">
      <c r="A943" s="13"/>
    </row>
    <row r="944" spans="1:1">
      <c r="A944" s="13"/>
    </row>
    <row r="945" spans="1:1">
      <c r="A945" s="13"/>
    </row>
    <row r="946" spans="1:1">
      <c r="A946" s="13"/>
    </row>
    <row r="947" spans="1:1">
      <c r="A947" s="13"/>
    </row>
    <row r="948" spans="1:1">
      <c r="A948" s="13"/>
    </row>
    <row r="949" spans="1:1">
      <c r="A949" s="13"/>
    </row>
    <row r="950" spans="1:1">
      <c r="A950" s="13"/>
    </row>
    <row r="951" spans="1:1">
      <c r="A951" s="13"/>
    </row>
    <row r="952" spans="1:1">
      <c r="A952" s="13"/>
    </row>
    <row r="953" spans="1:1">
      <c r="A953" s="13"/>
    </row>
    <row r="954" spans="1:1">
      <c r="A954" s="13"/>
    </row>
    <row r="955" spans="1:1">
      <c r="A955" s="13"/>
    </row>
    <row r="956" spans="1:1">
      <c r="A956" s="13"/>
    </row>
    <row r="957" spans="1:1">
      <c r="A957" s="13"/>
    </row>
    <row r="958" spans="1:1">
      <c r="A958" s="13"/>
    </row>
    <row r="959" spans="1:1">
      <c r="A959" s="13"/>
    </row>
    <row r="960" spans="1:1">
      <c r="A960" s="13"/>
    </row>
    <row r="961" spans="1:1">
      <c r="A961" s="13"/>
    </row>
    <row r="962" spans="1:1">
      <c r="A962" s="13"/>
    </row>
    <row r="963" spans="1:1">
      <c r="A963" s="13"/>
    </row>
    <row r="964" spans="1:1">
      <c r="A964" s="13"/>
    </row>
    <row r="965" spans="1:1">
      <c r="A965" s="13"/>
    </row>
    <row r="966" spans="1:1">
      <c r="A966" s="13"/>
    </row>
    <row r="967" spans="1:1">
      <c r="A967" s="13"/>
    </row>
    <row r="968" spans="1:1">
      <c r="A968" s="13"/>
    </row>
    <row r="969" spans="1:1">
      <c r="A969" s="13"/>
    </row>
    <row r="970" spans="1:1">
      <c r="A970" s="13"/>
    </row>
    <row r="971" spans="1:1">
      <c r="A971" s="13"/>
    </row>
    <row r="972" spans="1:1">
      <c r="A972" s="13"/>
    </row>
    <row r="973" spans="1:1">
      <c r="A973" s="13"/>
    </row>
    <row r="974" spans="1:1">
      <c r="A974" s="13"/>
    </row>
    <row r="975" spans="1:1">
      <c r="A975" s="13"/>
    </row>
    <row r="976" spans="1:1">
      <c r="A976" s="13"/>
    </row>
    <row r="977" spans="1:1">
      <c r="A977" s="13"/>
    </row>
    <row r="978" spans="1:1">
      <c r="A978" s="13"/>
    </row>
    <row r="979" spans="1:1">
      <c r="A979" s="13"/>
    </row>
    <row r="980" spans="1:1">
      <c r="A980" s="13"/>
    </row>
    <row r="981" spans="1:1">
      <c r="A981" s="13"/>
    </row>
    <row r="982" spans="1:1">
      <c r="A982" s="13"/>
    </row>
    <row r="983" spans="1:1">
      <c r="A983" s="13"/>
    </row>
    <row r="984" spans="1:1">
      <c r="A984" s="13"/>
    </row>
    <row r="985" spans="1:1">
      <c r="A985" s="13"/>
    </row>
    <row r="986" spans="1:1">
      <c r="A986" s="13"/>
    </row>
    <row r="987" spans="1:1">
      <c r="A987" s="13"/>
    </row>
    <row r="988" spans="1:1">
      <c r="A988" s="13"/>
    </row>
    <row r="989" spans="1:1">
      <c r="A989" s="13"/>
    </row>
    <row r="990" spans="1:1">
      <c r="A990" s="13"/>
    </row>
    <row r="991" spans="1:1">
      <c r="A991" s="13"/>
    </row>
    <row r="992" spans="1:1">
      <c r="A992" s="13"/>
    </row>
    <row r="993" spans="1:1">
      <c r="A993" s="13"/>
    </row>
    <row r="994" spans="1:1">
      <c r="A994" s="13"/>
    </row>
    <row r="995" spans="1:1">
      <c r="A995" s="13"/>
    </row>
    <row r="996" spans="1:1">
      <c r="A996" s="13"/>
    </row>
    <row r="997" spans="1:1">
      <c r="A997" s="13"/>
    </row>
    <row r="998" spans="1:1">
      <c r="A998" s="13"/>
    </row>
    <row r="999" spans="1:1">
      <c r="A999" s="13"/>
    </row>
    <row r="1000" spans="1:1">
      <c r="A1000" s="13"/>
    </row>
    <row r="1001" spans="1:1">
      <c r="A1001" s="13"/>
    </row>
    <row r="1002" spans="1:1">
      <c r="A1002" s="13"/>
    </row>
    <row r="1003" spans="1:1">
      <c r="A1003" s="13"/>
    </row>
    <row r="1004" spans="1:1">
      <c r="A1004" s="13"/>
    </row>
    <row r="1005" spans="1:1">
      <c r="A1005" s="13"/>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34FC04-CAD3-45DA-8565-1343BF3C4441}">
  <sheetPr>
    <tabColor rgb="FF002060"/>
  </sheetPr>
  <dimension ref="A1:AG1048"/>
  <sheetViews>
    <sheetView topLeftCell="A10" workbookViewId="0">
      <selection activeCell="AE18" sqref="AE18"/>
    </sheetView>
  </sheetViews>
  <sheetFormatPr defaultColWidth="14.42578125" defaultRowHeight="15" customHeight="1"/>
  <cols>
    <col min="1" max="1" width="19.5703125" bestFit="1" customWidth="1"/>
    <col min="2" max="2" width="19" bestFit="1" customWidth="1"/>
    <col min="3" max="3" width="1" customWidth="1"/>
    <col min="4" max="6" width="10.5703125" hidden="1" customWidth="1"/>
    <col min="7" max="7" width="8.5703125" hidden="1" customWidth="1"/>
    <col min="8" max="9" width="12.85546875" hidden="1" customWidth="1"/>
    <col min="10" max="10" width="13.140625" hidden="1" customWidth="1"/>
    <col min="11" max="11" width="14" hidden="1" customWidth="1"/>
    <col min="12" max="12" width="12.85546875" hidden="1" customWidth="1"/>
    <col min="13" max="13" width="13.5703125" hidden="1" customWidth="1"/>
    <col min="14" max="14" width="13.42578125" hidden="1" customWidth="1"/>
    <col min="15" max="15" width="12.85546875" hidden="1" customWidth="1"/>
    <col min="16" max="16" width="14" hidden="1" customWidth="1"/>
    <col min="17" max="17" width="13.140625" hidden="1" customWidth="1"/>
    <col min="18" max="18" width="13.42578125" hidden="1" customWidth="1"/>
    <col min="19" max="19" width="12.85546875" hidden="1" customWidth="1"/>
    <col min="20" max="21" width="12.5703125" hidden="1" customWidth="1"/>
    <col min="22" max="22" width="13.140625" bestFit="1" customWidth="1"/>
    <col min="23" max="23" width="13.5703125" bestFit="1" customWidth="1"/>
    <col min="24" max="24" width="13.140625" bestFit="1" customWidth="1"/>
    <col min="25" max="25" width="12.42578125" bestFit="1" customWidth="1"/>
    <col min="26" max="26" width="13.5703125" bestFit="1" customWidth="1"/>
    <col min="27" max="27" width="13.5703125" hidden="1" customWidth="1"/>
    <col min="28" max="28" width="16.42578125" hidden="1" customWidth="1"/>
    <col min="29" max="29" width="15.5703125" bestFit="1" customWidth="1"/>
    <col min="30" max="30" width="18.140625" customWidth="1"/>
    <col min="31" max="31" width="18" customWidth="1"/>
    <col min="32" max="32" width="17.42578125" customWidth="1"/>
    <col min="33" max="33" width="19" customWidth="1"/>
  </cols>
  <sheetData>
    <row r="1" spans="1:33" ht="39">
      <c r="A1" s="20" t="s">
        <v>192</v>
      </c>
      <c r="B1" s="20"/>
      <c r="C1" s="20"/>
      <c r="D1" s="21" t="str">
        <f>"Q1 /20"</f>
        <v>Q1 /20</v>
      </c>
      <c r="E1" s="21" t="str">
        <f>"Q2 /20"</f>
        <v>Q2 /20</v>
      </c>
      <c r="F1" s="21" t="str">
        <f>"Q3 /20"</f>
        <v>Q3 /20</v>
      </c>
      <c r="G1" s="22" t="str">
        <f>"Q4 /20"</f>
        <v>Q4 /20</v>
      </c>
      <c r="H1" s="21" t="str">
        <f>"Q1 /21"</f>
        <v>Q1 /21</v>
      </c>
      <c r="I1" s="21" t="str">
        <f>"Q2 /21"</f>
        <v>Q2 /21</v>
      </c>
      <c r="J1" s="21" t="str">
        <f>"Q3 /21"</f>
        <v>Q3 /21</v>
      </c>
      <c r="K1" s="22" t="str">
        <f>"Q4 /21"</f>
        <v>Q4 /21</v>
      </c>
      <c r="L1" s="23">
        <v>21</v>
      </c>
      <c r="M1" s="21" t="str">
        <f>"Q1 /22"</f>
        <v>Q1 /22</v>
      </c>
      <c r="N1" s="21" t="str">
        <f>"Q2 /22"</f>
        <v>Q2 /22</v>
      </c>
      <c r="O1" s="21" t="str">
        <f>"Q3 /22"</f>
        <v>Q3 /22</v>
      </c>
      <c r="P1" s="22" t="str">
        <f>"Q4 /22"</f>
        <v>Q4 /22</v>
      </c>
      <c r="Q1" s="24" t="s">
        <v>193</v>
      </c>
      <c r="R1" s="25" t="str">
        <f>"Q1 /23"</f>
        <v>Q1 /23</v>
      </c>
      <c r="S1" s="25" t="str">
        <f>"Q2 /23"</f>
        <v>Q2 /23</v>
      </c>
      <c r="T1" s="25" t="str">
        <f>"Q3 /23"</f>
        <v>Q3 /23</v>
      </c>
      <c r="U1" s="26" t="str">
        <f>"Q4 /23"</f>
        <v>Q4 /23</v>
      </c>
      <c r="V1" s="27" t="s">
        <v>194</v>
      </c>
      <c r="W1" s="21" t="str">
        <f>"Q1 /24"</f>
        <v>Q1 /24</v>
      </c>
      <c r="X1" s="21" t="str">
        <f>"Q2 /24"</f>
        <v>Q2 /24</v>
      </c>
      <c r="Y1" s="21" t="str">
        <f>"Q3 /24"</f>
        <v>Q3 /24</v>
      </c>
      <c r="Z1" s="21" t="str">
        <f>"Q4 /24"</f>
        <v>Q4 /24</v>
      </c>
      <c r="AA1" s="417" t="s">
        <v>805</v>
      </c>
      <c r="AB1" s="421" t="s">
        <v>804</v>
      </c>
      <c r="AC1" s="28" t="s">
        <v>806</v>
      </c>
      <c r="AD1" s="20" t="s">
        <v>808</v>
      </c>
      <c r="AE1" s="20" t="s">
        <v>810</v>
      </c>
      <c r="AF1" s="20" t="s">
        <v>812</v>
      </c>
      <c r="AG1" s="20" t="s">
        <v>814</v>
      </c>
    </row>
    <row r="2" spans="1:33" ht="19.5">
      <c r="A2" s="29" t="s">
        <v>200</v>
      </c>
      <c r="B2" s="30"/>
      <c r="C2" s="29"/>
      <c r="D2" s="29"/>
      <c r="E2" s="29"/>
      <c r="F2" s="29"/>
      <c r="G2" s="31"/>
      <c r="H2" s="32">
        <f t="shared" ref="H2:AG2" si="0">H4*H3</f>
        <v>12791488.16</v>
      </c>
      <c r="I2" s="32">
        <f t="shared" si="0"/>
        <v>17154850.699999999</v>
      </c>
      <c r="J2" s="32">
        <f t="shared" si="0"/>
        <v>15552635.870000001</v>
      </c>
      <c r="K2" s="32">
        <f t="shared" si="0"/>
        <v>20422344.800000001</v>
      </c>
      <c r="L2" s="32">
        <f t="shared" si="0"/>
        <v>0</v>
      </c>
      <c r="M2" s="32">
        <f t="shared" si="0"/>
        <v>24862602.100000001</v>
      </c>
      <c r="N2" s="32">
        <f t="shared" si="0"/>
        <v>20416195.800000001</v>
      </c>
      <c r="O2" s="32">
        <f t="shared" si="0"/>
        <v>17794534.52</v>
      </c>
      <c r="P2" s="32">
        <f t="shared" si="0"/>
        <v>13090803</v>
      </c>
      <c r="Q2" s="32">
        <f t="shared" si="0"/>
        <v>0</v>
      </c>
      <c r="R2" s="32">
        <f t="shared" si="0"/>
        <v>14983483.68</v>
      </c>
      <c r="S2" s="32">
        <f t="shared" si="0"/>
        <v>12794444.739999998</v>
      </c>
      <c r="T2" s="32">
        <f t="shared" si="0"/>
        <v>13741126.039999999</v>
      </c>
      <c r="U2" s="32">
        <f t="shared" si="0"/>
        <v>17961508.760000002</v>
      </c>
      <c r="V2" s="32">
        <f t="shared" si="0"/>
        <v>0</v>
      </c>
      <c r="W2" s="32">
        <f t="shared" si="0"/>
        <v>15053956.359999999</v>
      </c>
      <c r="X2" s="32">
        <f t="shared" si="0"/>
        <v>15465214.380000001</v>
      </c>
      <c r="Y2" s="32">
        <f t="shared" si="0"/>
        <v>16174873.568000002</v>
      </c>
      <c r="Z2" s="32">
        <f t="shared" si="0"/>
        <v>16245648.204000004</v>
      </c>
      <c r="AA2" s="33">
        <f t="shared" si="0"/>
        <v>58124976.000000007</v>
      </c>
      <c r="AB2" s="33">
        <f t="shared" si="0"/>
        <v>62689571.122720018</v>
      </c>
      <c r="AC2" s="33">
        <f t="shared" si="0"/>
        <v>68922656.000000015</v>
      </c>
      <c r="AD2" s="420">
        <f t="shared" si="0"/>
        <v>77444002.560000017</v>
      </c>
      <c r="AE2" s="420">
        <f t="shared" si="0"/>
        <v>89786640.468000025</v>
      </c>
      <c r="AF2" s="420">
        <f t="shared" si="0"/>
        <v>98663659.261440039</v>
      </c>
      <c r="AG2" s="420">
        <f t="shared" si="0"/>
        <v>101623569.03928325</v>
      </c>
    </row>
    <row r="3" spans="1:33" ht="19.5">
      <c r="A3" s="35" t="s">
        <v>201</v>
      </c>
      <c r="B3" s="35" t="s">
        <v>201</v>
      </c>
      <c r="C3" s="29"/>
      <c r="D3" s="29"/>
      <c r="E3" s="29"/>
      <c r="F3" s="29"/>
      <c r="G3" s="31"/>
      <c r="H3" s="36">
        <v>855046</v>
      </c>
      <c r="I3" s="36">
        <v>983086</v>
      </c>
      <c r="J3" s="36">
        <v>959447</v>
      </c>
      <c r="K3" s="37">
        <v>1092104</v>
      </c>
      <c r="L3" s="38">
        <f>SUM(D3:K3)</f>
        <v>3889683</v>
      </c>
      <c r="M3" s="36">
        <v>1340302</v>
      </c>
      <c r="N3" s="36">
        <v>1031121</v>
      </c>
      <c r="O3" s="36">
        <v>1077151</v>
      </c>
      <c r="P3" s="37">
        <v>820740</v>
      </c>
      <c r="Q3" s="38">
        <f>SUM(M3:P3)</f>
        <v>4269314</v>
      </c>
      <c r="R3" s="36">
        <v>869616</v>
      </c>
      <c r="S3" s="36">
        <v>784454</v>
      </c>
      <c r="T3" s="36">
        <v>920987</v>
      </c>
      <c r="U3" s="36">
        <v>1212796</v>
      </c>
      <c r="V3" s="38">
        <f>SUM(R3:U3)</f>
        <v>3787853</v>
      </c>
      <c r="W3" s="36">
        <v>956414</v>
      </c>
      <c r="X3" s="36">
        <f t="shared" ref="X3:Z3" si="1">$W$3*(1+X5)</f>
        <v>1004234.7000000001</v>
      </c>
      <c r="Y3" s="36">
        <f t="shared" si="1"/>
        <v>1071183.6800000002</v>
      </c>
      <c r="Z3" s="36">
        <f t="shared" si="1"/>
        <v>1090311.9600000002</v>
      </c>
      <c r="AA3" s="36">
        <v>3900000</v>
      </c>
      <c r="AB3" s="36">
        <f>SUM(W3:Z3)</f>
        <v>4122144.3400000008</v>
      </c>
      <c r="AC3" s="36">
        <v>4400000</v>
      </c>
      <c r="AD3" s="36">
        <v>4800000</v>
      </c>
      <c r="AE3" s="36">
        <v>5300000</v>
      </c>
      <c r="AF3" s="36">
        <v>5600000</v>
      </c>
      <c r="AG3" s="36">
        <v>5600000</v>
      </c>
    </row>
    <row r="4" spans="1:33" ht="19.5">
      <c r="A4" s="35" t="s">
        <v>202</v>
      </c>
      <c r="B4" s="35" t="s">
        <v>202</v>
      </c>
      <c r="C4" s="29"/>
      <c r="D4" s="39">
        <v>11</v>
      </c>
      <c r="E4" s="39">
        <v>12</v>
      </c>
      <c r="F4" s="39">
        <v>13</v>
      </c>
      <c r="G4" s="40">
        <v>15</v>
      </c>
      <c r="H4" s="41">
        <v>14.96</v>
      </c>
      <c r="I4" s="41">
        <v>17.45</v>
      </c>
      <c r="J4" s="41">
        <v>16.21</v>
      </c>
      <c r="K4" s="42">
        <v>18.7</v>
      </c>
      <c r="L4" s="39"/>
      <c r="M4" s="41">
        <v>18.55</v>
      </c>
      <c r="N4" s="41">
        <v>19.8</v>
      </c>
      <c r="O4" s="41">
        <v>16.52</v>
      </c>
      <c r="P4" s="42">
        <v>15.95</v>
      </c>
      <c r="Q4" s="39"/>
      <c r="R4" s="43">
        <v>17.23</v>
      </c>
      <c r="S4" s="43">
        <v>16.309999999999999</v>
      </c>
      <c r="T4" s="43">
        <v>14.92</v>
      </c>
      <c r="U4" s="44">
        <v>14.81</v>
      </c>
      <c r="V4" s="45"/>
      <c r="W4" s="41">
        <v>15.74</v>
      </c>
      <c r="X4" s="41">
        <v>15.4</v>
      </c>
      <c r="Y4" s="29">
        <v>15.1</v>
      </c>
      <c r="Z4" s="29">
        <v>14.9</v>
      </c>
      <c r="AA4" s="418">
        <f>AB4*(1+AA7)</f>
        <v>14.903840000000002</v>
      </c>
      <c r="AB4" s="418">
        <f>SUM(W4:Z4,Z4)/5</f>
        <v>15.208000000000002</v>
      </c>
      <c r="AC4" s="418">
        <f>AB4*(1+AC7)</f>
        <v>15.664240000000003</v>
      </c>
      <c r="AD4" s="418">
        <f>AC4*(1+AD7)</f>
        <v>16.134167200000004</v>
      </c>
      <c r="AE4" s="418">
        <f>AD4*(1+AE7)</f>
        <v>16.940875560000006</v>
      </c>
      <c r="AF4" s="418">
        <f>AE4*(1+AF7)</f>
        <v>17.618510582400006</v>
      </c>
      <c r="AG4" s="418">
        <f>AF4*(1+AG7)</f>
        <v>18.147065899872008</v>
      </c>
    </row>
    <row r="5" spans="1:33" ht="19.5">
      <c r="A5" s="35" t="s">
        <v>203</v>
      </c>
      <c r="B5" s="35" t="s">
        <v>203</v>
      </c>
      <c r="C5" s="29"/>
      <c r="D5" s="29"/>
      <c r="E5" s="29"/>
      <c r="F5" s="29"/>
      <c r="G5" s="31"/>
      <c r="H5" s="34"/>
      <c r="I5" s="34">
        <f>(I3-H3)/H3</f>
        <v>0.14974632943724664</v>
      </c>
      <c r="J5" s="34">
        <f t="shared" ref="J5:K5" si="2">(J3-$H$3)/$H$3</f>
        <v>0.1220998636330677</v>
      </c>
      <c r="K5" s="34">
        <f t="shared" si="2"/>
        <v>0.27724590255962839</v>
      </c>
      <c r="L5" s="46"/>
      <c r="M5" s="34"/>
      <c r="N5" s="34">
        <f t="shared" ref="N5:P5" si="3">(N3-$M$3)/$M$3</f>
        <v>-0.23068010045497209</v>
      </c>
      <c r="O5" s="34">
        <f t="shared" si="3"/>
        <v>-0.19633709417728243</v>
      </c>
      <c r="P5" s="34">
        <f t="shared" si="3"/>
        <v>-0.38764547094610019</v>
      </c>
      <c r="Q5" s="46"/>
      <c r="R5" s="34"/>
      <c r="S5" s="34">
        <f t="shared" ref="S5:U5" si="4">(S3-$R$3)/$R$3</f>
        <v>-9.7930580854078117E-2</v>
      </c>
      <c r="T5" s="34">
        <f t="shared" si="4"/>
        <v>5.907320012511269E-2</v>
      </c>
      <c r="U5" s="34">
        <f t="shared" si="4"/>
        <v>0.39463395337712276</v>
      </c>
      <c r="V5" s="46"/>
      <c r="W5" s="34"/>
      <c r="X5" s="34">
        <v>0.05</v>
      </c>
      <c r="Y5" s="47">
        <v>0.12</v>
      </c>
      <c r="Z5" s="47">
        <v>0.14000000000000001</v>
      </c>
      <c r="AA5" s="47"/>
      <c r="AB5" s="34">
        <f t="shared" ref="AB5" si="5">SUM(W5:Z5)/4</f>
        <v>7.7499999999999999E-2</v>
      </c>
      <c r="AC5" s="34"/>
      <c r="AD5" s="34"/>
      <c r="AE5" s="34"/>
      <c r="AF5" s="34"/>
    </row>
    <row r="6" spans="1:33" ht="19.5">
      <c r="A6" s="35" t="s">
        <v>204</v>
      </c>
      <c r="B6" s="35" t="s">
        <v>204</v>
      </c>
      <c r="C6" s="29"/>
      <c r="D6" s="29"/>
      <c r="E6" s="29"/>
      <c r="F6" s="29"/>
      <c r="G6" s="31"/>
      <c r="H6" s="34"/>
      <c r="I6" s="34"/>
      <c r="J6" s="34"/>
      <c r="K6" s="48"/>
      <c r="L6" s="46"/>
      <c r="M6" s="34">
        <f t="shared" ref="M6:W6" si="6">(M3-H3)/H3</f>
        <v>0.56752034393471229</v>
      </c>
      <c r="N6" s="34">
        <f t="shared" si="6"/>
        <v>4.8861442437385945E-2</v>
      </c>
      <c r="O6" s="34">
        <f t="shared" si="6"/>
        <v>0.12267900154985112</v>
      </c>
      <c r="P6" s="34">
        <f t="shared" si="6"/>
        <v>-0.2484781669145063</v>
      </c>
      <c r="Q6" s="34">
        <f t="shared" si="6"/>
        <v>9.759947018818757E-2</v>
      </c>
      <c r="R6" s="34">
        <f t="shared" si="6"/>
        <v>-0.35117906262916865</v>
      </c>
      <c r="S6" s="34">
        <f t="shared" si="6"/>
        <v>-0.23922216694257997</v>
      </c>
      <c r="T6" s="34">
        <f t="shared" si="6"/>
        <v>-0.14497874485564233</v>
      </c>
      <c r="U6" s="34">
        <f t="shared" si="6"/>
        <v>0.47768599069132733</v>
      </c>
      <c r="V6" s="34">
        <f t="shared" si="6"/>
        <v>-0.11277245009385582</v>
      </c>
      <c r="W6" s="34">
        <f t="shared" si="6"/>
        <v>9.9811870986734372E-2</v>
      </c>
      <c r="X6" s="34"/>
      <c r="Y6" s="34"/>
      <c r="Z6" s="34"/>
      <c r="AA6" s="34"/>
      <c r="AB6" s="34"/>
      <c r="AC6" s="34"/>
      <c r="AD6" s="34"/>
      <c r="AE6" s="34"/>
      <c r="AF6" s="34"/>
    </row>
    <row r="7" spans="1:33" ht="19.5">
      <c r="A7" s="49" t="s">
        <v>205</v>
      </c>
      <c r="B7" s="49" t="s">
        <v>205</v>
      </c>
      <c r="C7" s="50"/>
      <c r="D7" s="50"/>
      <c r="E7" s="51">
        <f t="shared" ref="E7:K7" si="7">(E4-D4)/D4</f>
        <v>9.0909090909090912E-2</v>
      </c>
      <c r="F7" s="51">
        <f t="shared" si="7"/>
        <v>8.3333333333333329E-2</v>
      </c>
      <c r="G7" s="52">
        <f t="shared" si="7"/>
        <v>0.15384615384615385</v>
      </c>
      <c r="H7" s="51">
        <f t="shared" si="7"/>
        <v>-2.6666666666666098E-3</v>
      </c>
      <c r="I7" s="51">
        <f t="shared" si="7"/>
        <v>0.16644385026737957</v>
      </c>
      <c r="J7" s="51">
        <f t="shared" si="7"/>
        <v>-7.1060171919770682E-2</v>
      </c>
      <c r="K7" s="52">
        <f t="shared" si="7"/>
        <v>0.15360888340530526</v>
      </c>
      <c r="L7" s="46">
        <f>(K4-H4)/H4</f>
        <v>0.24999999999999989</v>
      </c>
      <c r="M7" s="51">
        <f>(M4-K4)/K4</f>
        <v>-8.0213903743314753E-3</v>
      </c>
      <c r="N7" s="51">
        <f t="shared" ref="N7:P7" si="8">(N4-M4)/M4</f>
        <v>6.7385444743935305E-2</v>
      </c>
      <c r="O7" s="51">
        <f t="shared" si="8"/>
        <v>-0.1656565656565657</v>
      </c>
      <c r="P7" s="52">
        <f t="shared" si="8"/>
        <v>-3.45036319612591E-2</v>
      </c>
      <c r="Q7" s="46">
        <f>(P4-M4)/M4</f>
        <v>-0.14016172506738553</v>
      </c>
      <c r="R7" s="51">
        <f>(R4-P4)/P4</f>
        <v>8.0250783699059636E-2</v>
      </c>
      <c r="S7" s="51">
        <f t="shared" ref="S7:U7" si="9">(S4-R4)/R4</f>
        <v>-5.3395240858967019E-2</v>
      </c>
      <c r="T7" s="51">
        <f t="shared" si="9"/>
        <v>-8.5223789086449966E-2</v>
      </c>
      <c r="U7" s="52">
        <f t="shared" si="9"/>
        <v>-7.3726541554959401E-3</v>
      </c>
      <c r="V7" s="46">
        <f>(U4-R4)/R4</f>
        <v>-0.1404526987811956</v>
      </c>
      <c r="W7" s="51">
        <f>(W4-U4)/U4</f>
        <v>6.2795408507765008E-2</v>
      </c>
      <c r="X7" s="51">
        <f t="shared" ref="X7:Z7" si="10">(X4-W4)/W4</f>
        <v>-2.1601016518424387E-2</v>
      </c>
      <c r="Y7" s="53">
        <f t="shared" si="10"/>
        <v>-1.9480519480519525E-2</v>
      </c>
      <c r="Z7" s="53">
        <f t="shared" si="10"/>
        <v>-1.3245033112582735E-2</v>
      </c>
      <c r="AA7" s="53">
        <v>-0.02</v>
      </c>
      <c r="AB7" s="51">
        <f>SUM(W7:Z7)/4</f>
        <v>2.1172098490595901E-3</v>
      </c>
      <c r="AC7" s="51">
        <v>0.03</v>
      </c>
      <c r="AD7" s="53">
        <v>0.03</v>
      </c>
      <c r="AE7" s="53">
        <v>0.05</v>
      </c>
      <c r="AF7" s="53">
        <v>0.04</v>
      </c>
      <c r="AG7" s="419">
        <v>0.03</v>
      </c>
    </row>
    <row r="8" spans="1:33" ht="19.5">
      <c r="A8" s="49"/>
      <c r="B8" s="49"/>
      <c r="C8" s="50"/>
      <c r="D8" s="50"/>
      <c r="E8" s="51"/>
      <c r="F8" s="51"/>
      <c r="G8" s="52"/>
      <c r="H8" s="51"/>
      <c r="I8" s="51"/>
      <c r="J8" s="51"/>
      <c r="K8" s="426"/>
      <c r="L8" s="46"/>
      <c r="M8" s="51"/>
      <c r="N8" s="51"/>
      <c r="O8" s="51"/>
      <c r="P8" s="426"/>
      <c r="Q8" s="46"/>
      <c r="R8" s="51"/>
      <c r="S8" s="51"/>
      <c r="T8" s="51"/>
      <c r="U8" s="426"/>
      <c r="V8" s="46"/>
      <c r="W8" s="51"/>
      <c r="X8" s="51"/>
      <c r="Y8" s="53"/>
      <c r="Z8" s="53"/>
      <c r="AA8" s="427">
        <f>SUM(AA2,AA9,AA14,AA20,AA25)</f>
        <v>96453991.974480003</v>
      </c>
      <c r="AB8" s="427">
        <f>SUM(AB2,AB9,AB14,AB20,AB25)</f>
        <v>117513261.98070751</v>
      </c>
      <c r="AC8" s="476">
        <f>SUM(AC2,AC9,AC14,AC20,AC25)</f>
        <v>129263402.18764752</v>
      </c>
      <c r="AD8" s="476">
        <f t="shared" ref="AD8:AG8" si="11">SUM(AD2,AD9,AD14,AD20,AD25)</f>
        <v>166349794.49497879</v>
      </c>
      <c r="AE8" s="476">
        <f>SUM(AE2,AE9,AE14,AE20,AE25)</f>
        <v>219839862.39402789</v>
      </c>
      <c r="AF8" s="476">
        <f t="shared" si="11"/>
        <v>248140355.17519224</v>
      </c>
      <c r="AG8" s="476">
        <f t="shared" si="11"/>
        <v>256079936.02663073</v>
      </c>
    </row>
    <row r="9" spans="1:33" ht="19.5">
      <c r="A9" s="54" t="s">
        <v>206</v>
      </c>
      <c r="B9" s="55"/>
      <c r="C9" s="54"/>
      <c r="D9" s="54"/>
      <c r="E9" s="54"/>
      <c r="F9" s="54"/>
      <c r="G9" s="56"/>
      <c r="H9" s="57">
        <f t="shared" ref="H9:Z9" si="12">H10*H11</f>
        <v>3588234</v>
      </c>
      <c r="I9" s="57">
        <f t="shared" si="12"/>
        <v>4608811.7</v>
      </c>
      <c r="J9" s="57">
        <f t="shared" si="12"/>
        <v>3262942.2</v>
      </c>
      <c r="K9" s="57">
        <f t="shared" si="12"/>
        <v>4773351.2</v>
      </c>
      <c r="L9" s="58">
        <f t="shared" si="12"/>
        <v>16394461.1</v>
      </c>
      <c r="M9" s="57">
        <f t="shared" si="12"/>
        <v>5488938</v>
      </c>
      <c r="N9" s="57">
        <f t="shared" si="12"/>
        <v>4265380.8</v>
      </c>
      <c r="O9" s="57">
        <f t="shared" si="12"/>
        <v>4502070</v>
      </c>
      <c r="P9" s="57">
        <f t="shared" si="12"/>
        <v>3634137.4000000004</v>
      </c>
      <c r="Q9" s="58">
        <f t="shared" si="12"/>
        <v>17908198.300000001</v>
      </c>
      <c r="R9" s="57">
        <f t="shared" si="12"/>
        <v>3457144.8000000003</v>
      </c>
      <c r="S9" s="57">
        <f t="shared" si="12"/>
        <v>3415168.8</v>
      </c>
      <c r="T9" s="57">
        <f t="shared" si="12"/>
        <v>3236695.1999999997</v>
      </c>
      <c r="U9" s="57">
        <f t="shared" si="12"/>
        <v>3567109</v>
      </c>
      <c r="V9" s="58">
        <f t="shared" si="12"/>
        <v>13741967.999999998</v>
      </c>
      <c r="W9" s="57">
        <f t="shared" si="12"/>
        <v>2476926.2000000002</v>
      </c>
      <c r="X9" s="57">
        <f t="shared" si="12"/>
        <v>3467696.68</v>
      </c>
      <c r="Y9" s="57">
        <f t="shared" si="12"/>
        <v>3519712.1301999995</v>
      </c>
      <c r="Z9" s="57">
        <f t="shared" si="12"/>
        <v>3865398.1429874995</v>
      </c>
      <c r="AA9" s="57"/>
      <c r="AB9" s="58">
        <f>SUM(W9:Z9)</f>
        <v>13329733.1531875</v>
      </c>
      <c r="AC9" s="58">
        <v>13329733.1531875</v>
      </c>
      <c r="AD9" s="58">
        <v>16259556.051837178</v>
      </c>
      <c r="AE9" s="58">
        <v>18064366.773591109</v>
      </c>
      <c r="AF9" s="58">
        <v>19157260.963393372</v>
      </c>
      <c r="AG9" s="58">
        <v>19735810.244487852</v>
      </c>
    </row>
    <row r="10" spans="1:33" ht="19.5">
      <c r="A10" s="59">
        <f>AB10/(AB15*1000+AB10+AB3)</f>
        <v>9.550795402592363E-2</v>
      </c>
      <c r="B10" s="60" t="s">
        <v>201</v>
      </c>
      <c r="C10" s="54"/>
      <c r="D10" s="54"/>
      <c r="E10" s="54"/>
      <c r="F10" s="54"/>
      <c r="G10" s="56"/>
      <c r="H10" s="61">
        <v>184012</v>
      </c>
      <c r="I10" s="61">
        <v>191237</v>
      </c>
      <c r="J10" s="61">
        <v>122667</v>
      </c>
      <c r="K10" s="62">
        <v>177448</v>
      </c>
      <c r="L10" s="63">
        <f>SUM(H10:K10)</f>
        <v>675364</v>
      </c>
      <c r="M10" s="61">
        <v>217815</v>
      </c>
      <c r="N10" s="61">
        <v>159156</v>
      </c>
      <c r="O10" s="61">
        <v>200092</v>
      </c>
      <c r="P10" s="62">
        <v>172234</v>
      </c>
      <c r="Q10" s="63">
        <f>SUM(M10:P10)</f>
        <v>749297</v>
      </c>
      <c r="R10" s="61">
        <v>160053</v>
      </c>
      <c r="S10" s="61">
        <v>164984</v>
      </c>
      <c r="T10" s="61">
        <v>162648</v>
      </c>
      <c r="U10" s="62">
        <v>195995</v>
      </c>
      <c r="V10" s="63">
        <f>SUM(R10:U10)</f>
        <v>683680</v>
      </c>
      <c r="W10" s="61">
        <v>129682</v>
      </c>
      <c r="X10" s="57">
        <f t="shared" ref="X10:Z10" si="13">$W$10*(1+X12)</f>
        <v>181554.8</v>
      </c>
      <c r="Y10" s="57">
        <f t="shared" si="13"/>
        <v>181554.8</v>
      </c>
      <c r="Z10" s="57">
        <f t="shared" si="13"/>
        <v>194523</v>
      </c>
      <c r="AA10" s="57"/>
      <c r="AB10" s="57">
        <f>V10*(1+AB12)</f>
        <v>752048.00000000012</v>
      </c>
      <c r="AC10" s="57">
        <v>752048.00000000012</v>
      </c>
      <c r="AD10" s="57">
        <v>827252.80000000016</v>
      </c>
      <c r="AE10" s="57">
        <v>909978.08000000031</v>
      </c>
      <c r="AF10" s="57">
        <v>955476.9840000004</v>
      </c>
      <c r="AG10" s="57">
        <v>974586.52368000045</v>
      </c>
    </row>
    <row r="11" spans="1:33" ht="19.5">
      <c r="A11" s="54"/>
      <c r="B11" s="60" t="s">
        <v>202</v>
      </c>
      <c r="C11" s="54"/>
      <c r="D11" s="54"/>
      <c r="E11" s="54"/>
      <c r="F11" s="54"/>
      <c r="G11" s="56"/>
      <c r="H11" s="57">
        <v>19.5</v>
      </c>
      <c r="I11" s="54">
        <v>24.1</v>
      </c>
      <c r="J11" s="57">
        <v>26.6</v>
      </c>
      <c r="K11" s="64">
        <v>26.9</v>
      </c>
      <c r="L11" s="65">
        <f>AVERAGE(H11:K11)</f>
        <v>24.274999999999999</v>
      </c>
      <c r="M11" s="57">
        <v>25.2</v>
      </c>
      <c r="N11" s="57">
        <v>26.8</v>
      </c>
      <c r="O11" s="57">
        <v>22.5</v>
      </c>
      <c r="P11" s="56">
        <v>21.1</v>
      </c>
      <c r="Q11" s="65">
        <f>AVERAGE(M11:P11)</f>
        <v>23.9</v>
      </c>
      <c r="R11" s="57">
        <v>21.6</v>
      </c>
      <c r="S11" s="57">
        <v>20.7</v>
      </c>
      <c r="T11" s="57">
        <v>19.899999999999999</v>
      </c>
      <c r="U11" s="64">
        <v>18.2</v>
      </c>
      <c r="V11" s="65">
        <f t="shared" ref="V11:V12" si="14">AVERAGE(R11:U11)</f>
        <v>20.099999999999998</v>
      </c>
      <c r="W11" s="54">
        <v>19.100000000000001</v>
      </c>
      <c r="X11" s="54">
        <v>19.100000000000001</v>
      </c>
      <c r="Y11" s="54">
        <f t="shared" ref="Y11:Z11" si="15">X11*(1+Y13)</f>
        <v>19.386499999999998</v>
      </c>
      <c r="Z11" s="54">
        <f t="shared" si="15"/>
        <v>19.871162499999997</v>
      </c>
      <c r="AA11" s="54"/>
      <c r="AB11" s="54">
        <f>SUM(W11:Z11)/4</f>
        <v>19.364415624999999</v>
      </c>
      <c r="AC11" s="54">
        <v>19.364415624999999</v>
      </c>
      <c r="AD11" s="57">
        <v>19.654881859374999</v>
      </c>
      <c r="AE11" s="57">
        <v>19.85143067796875</v>
      </c>
      <c r="AF11" s="57">
        <v>20.049944984748439</v>
      </c>
      <c r="AG11" s="57">
        <v>20.250444434595924</v>
      </c>
    </row>
    <row r="12" spans="1:33" ht="19.5">
      <c r="A12" s="54"/>
      <c r="B12" s="60" t="s">
        <v>203</v>
      </c>
      <c r="C12" s="54"/>
      <c r="D12" s="54"/>
      <c r="E12" s="54"/>
      <c r="F12" s="54"/>
      <c r="G12" s="56"/>
      <c r="H12" s="54"/>
      <c r="I12" s="59">
        <f t="shared" ref="I12:K12" si="16">(I10-$H$10)/$H$10</f>
        <v>3.9263743668891161E-2</v>
      </c>
      <c r="J12" s="59">
        <f t="shared" si="16"/>
        <v>-0.33337499728278591</v>
      </c>
      <c r="K12" s="59">
        <f t="shared" si="16"/>
        <v>-3.5671586635654194E-2</v>
      </c>
      <c r="L12" s="66">
        <f>AVERAGE(I12:K12)</f>
        <v>-0.1099276134165163</v>
      </c>
      <c r="M12" s="59">
        <f t="shared" ref="M12:M13" si="17">(M10-K10)/K10</f>
        <v>0.22748636220188451</v>
      </c>
      <c r="N12" s="59">
        <f t="shared" ref="N12:P12" si="18">(N10-$M$10)/$M$10</f>
        <v>-0.2693065215894222</v>
      </c>
      <c r="O12" s="59">
        <f t="shared" si="18"/>
        <v>-8.1367215297385401E-2</v>
      </c>
      <c r="P12" s="59">
        <f t="shared" si="18"/>
        <v>-0.20926474301586209</v>
      </c>
      <c r="Q12" s="66">
        <f>AVERAGE(M12:P12)</f>
        <v>-8.31130294251963E-2</v>
      </c>
      <c r="R12" s="59">
        <f t="shared" ref="R12:R13" si="19">(R10-P10)/P10</f>
        <v>-7.0723550518480671E-2</v>
      </c>
      <c r="S12" s="59">
        <f t="shared" ref="S12:U12" si="20">(S10-$R$10)/$R$10</f>
        <v>3.0808544669578202E-2</v>
      </c>
      <c r="T12" s="59">
        <f t="shared" si="20"/>
        <v>1.6213379318100879E-2</v>
      </c>
      <c r="U12" s="59">
        <f t="shared" si="20"/>
        <v>0.22456311346866351</v>
      </c>
      <c r="V12" s="66">
        <f t="shared" si="14"/>
        <v>5.0215371734465483E-2</v>
      </c>
      <c r="W12" s="59">
        <f>(W10-R10)/R10</f>
        <v>-0.18975589336032439</v>
      </c>
      <c r="X12" s="59">
        <v>0.4</v>
      </c>
      <c r="Y12" s="67">
        <v>0.4</v>
      </c>
      <c r="Z12" s="67">
        <v>0.5</v>
      </c>
      <c r="AA12" s="67"/>
      <c r="AB12" s="66">
        <v>0.1</v>
      </c>
      <c r="AC12" s="66">
        <v>0.1</v>
      </c>
      <c r="AD12" s="59">
        <v>0.1</v>
      </c>
      <c r="AE12" s="67">
        <v>0.1</v>
      </c>
      <c r="AF12" s="59">
        <v>0.05</v>
      </c>
      <c r="AG12">
        <v>0.02</v>
      </c>
    </row>
    <row r="13" spans="1:33" ht="19.5">
      <c r="A13" s="54"/>
      <c r="B13" s="68" t="s">
        <v>205</v>
      </c>
      <c r="C13" s="69"/>
      <c r="D13" s="69"/>
      <c r="E13" s="69"/>
      <c r="F13" s="69"/>
      <c r="G13" s="70"/>
      <c r="H13" s="69"/>
      <c r="I13" s="71">
        <f t="shared" ref="I13:K13" si="21">(I11-H11)/H11</f>
        <v>0.23589743589743598</v>
      </c>
      <c r="J13" s="71">
        <f t="shared" si="21"/>
        <v>0.10373443983402489</v>
      </c>
      <c r="K13" s="72">
        <f t="shared" si="21"/>
        <v>1.1278195488721696E-2</v>
      </c>
      <c r="L13" s="73">
        <f>(K11-H11)/H11</f>
        <v>0.37948717948717942</v>
      </c>
      <c r="M13" s="71">
        <f t="shared" si="17"/>
        <v>-6.3197026022304814E-2</v>
      </c>
      <c r="N13" s="71">
        <f t="shared" ref="N13:P13" si="22">(N11-M11)/M11</f>
        <v>6.3492063492063544E-2</v>
      </c>
      <c r="O13" s="71">
        <f t="shared" si="22"/>
        <v>-0.16044776119402987</v>
      </c>
      <c r="P13" s="72">
        <f t="shared" si="22"/>
        <v>-6.2222222222222158E-2</v>
      </c>
      <c r="Q13" s="73">
        <f>(P11-M11)/M11</f>
        <v>-0.16269841269841262</v>
      </c>
      <c r="R13" s="71">
        <f t="shared" si="19"/>
        <v>2.3696682464454975E-2</v>
      </c>
      <c r="S13" s="71">
        <f t="shared" ref="S13:U13" si="23">(S11-R11)/R11</f>
        <v>-4.1666666666666761E-2</v>
      </c>
      <c r="T13" s="71">
        <f t="shared" si="23"/>
        <v>-3.8647342995169115E-2</v>
      </c>
      <c r="U13" s="72">
        <f t="shared" si="23"/>
        <v>-8.5427135678391927E-2</v>
      </c>
      <c r="V13" s="73">
        <f>(U11-R11)/R11</f>
        <v>-0.1574074074074075</v>
      </c>
      <c r="W13" s="71">
        <f>(W11-U11)/U11</f>
        <v>4.9450549450549566E-2</v>
      </c>
      <c r="X13" s="71">
        <f>(X11-W11)/W11</f>
        <v>0</v>
      </c>
      <c r="Y13" s="71">
        <v>1.4999999999999999E-2</v>
      </c>
      <c r="Z13" s="71">
        <v>2.5000000000000001E-2</v>
      </c>
      <c r="AA13" s="71"/>
      <c r="AB13" s="71">
        <f>SUM(W13:Z13)/4</f>
        <v>2.236263736263739E-2</v>
      </c>
      <c r="AC13" s="71">
        <v>2.236263736263739E-2</v>
      </c>
      <c r="AD13" s="71">
        <v>1.4999999999999999E-2</v>
      </c>
      <c r="AE13" s="71">
        <v>0.01</v>
      </c>
      <c r="AF13" s="71">
        <v>0.01</v>
      </c>
      <c r="AG13" s="71">
        <v>0.01</v>
      </c>
    </row>
    <row r="14" spans="1:33" ht="39">
      <c r="A14" s="74" t="s">
        <v>207</v>
      </c>
      <c r="B14" s="75" t="s">
        <v>208</v>
      </c>
      <c r="C14" s="74"/>
      <c r="D14" s="74"/>
      <c r="E14" s="74"/>
      <c r="F14" s="74"/>
      <c r="G14" s="76"/>
      <c r="H14" s="74"/>
      <c r="I14" s="74"/>
      <c r="J14" s="74"/>
      <c r="K14" s="76"/>
      <c r="L14" s="77"/>
      <c r="M14" s="78"/>
      <c r="N14" s="78"/>
      <c r="O14" s="78"/>
      <c r="P14" s="79"/>
      <c r="Q14" s="80"/>
      <c r="R14" s="78">
        <f t="shared" ref="R14:U14" si="24">R15*R16*1000</f>
        <v>7075760</v>
      </c>
      <c r="S14" s="78">
        <f t="shared" si="24"/>
        <v>9872300</v>
      </c>
      <c r="T14" s="78">
        <f t="shared" si="24"/>
        <v>9735860</v>
      </c>
      <c r="U14" s="79">
        <f t="shared" si="24"/>
        <v>10741410</v>
      </c>
      <c r="V14" s="80">
        <f>SUM(R14:U14)</f>
        <v>37425330</v>
      </c>
      <c r="W14" s="78">
        <f t="shared" ref="W14:AG14" si="25">W15*W16*1000</f>
        <v>11202300</v>
      </c>
      <c r="X14" s="78">
        <f t="shared" si="25"/>
        <v>11197819.080000002</v>
      </c>
      <c r="Y14" s="78">
        <f t="shared" si="25"/>
        <v>11650210.970832</v>
      </c>
      <c r="Z14" s="78">
        <f t="shared" si="25"/>
        <v>12358543.797858585</v>
      </c>
      <c r="AA14" s="81">
        <f t="shared" si="25"/>
        <v>38329015.974479996</v>
      </c>
      <c r="AB14" s="81">
        <f t="shared" si="25"/>
        <v>41481619.019999996</v>
      </c>
      <c r="AC14" s="81">
        <f t="shared" si="25"/>
        <v>46998674.349660002</v>
      </c>
      <c r="AD14" s="81">
        <f t="shared" si="25"/>
        <v>72634314.904019997</v>
      </c>
      <c r="AE14" s="81">
        <f t="shared" si="25"/>
        <v>111976477.94144446</v>
      </c>
      <c r="AF14" s="81">
        <f t="shared" si="25"/>
        <v>130305960.93781188</v>
      </c>
      <c r="AG14" s="81">
        <f t="shared" si="25"/>
        <v>134705703.38359445</v>
      </c>
    </row>
    <row r="15" spans="1:33" ht="19.5">
      <c r="A15" s="74" t="s">
        <v>209</v>
      </c>
      <c r="B15" s="74" t="s">
        <v>209</v>
      </c>
      <c r="C15" s="74"/>
      <c r="D15" s="74"/>
      <c r="E15" s="74"/>
      <c r="F15" s="74"/>
      <c r="G15" s="76">
        <v>379147</v>
      </c>
      <c r="H15" s="78">
        <v>665272</v>
      </c>
      <c r="I15" s="78">
        <v>667572</v>
      </c>
      <c r="J15" s="78">
        <v>608294</v>
      </c>
      <c r="K15" s="79">
        <v>629281</v>
      </c>
      <c r="L15" s="80">
        <f>SUM(H15:K15)</f>
        <v>2570419</v>
      </c>
      <c r="M15" s="78">
        <v>762695</v>
      </c>
      <c r="N15" s="78">
        <v>662311</v>
      </c>
      <c r="O15" s="78">
        <v>611634</v>
      </c>
      <c r="P15" s="79">
        <v>593244</v>
      </c>
      <c r="Q15" s="80">
        <f>SUM(M15:P15)</f>
        <v>2629884</v>
      </c>
      <c r="R15" s="74">
        <v>482</v>
      </c>
      <c r="S15" s="74">
        <v>734</v>
      </c>
      <c r="T15" s="74">
        <v>766</v>
      </c>
      <c r="U15" s="76">
        <v>801</v>
      </c>
      <c r="V15" s="77">
        <f>SUM(R15:U15)</f>
        <v>2783</v>
      </c>
      <c r="W15" s="83">
        <v>810</v>
      </c>
      <c r="X15" s="74">
        <f t="shared" ref="X15:Z16" si="26">W15*(X17+1)</f>
        <v>826.2</v>
      </c>
      <c r="Y15" s="74">
        <f t="shared" si="26"/>
        <v>842.72400000000005</v>
      </c>
      <c r="Z15" s="84">
        <f t="shared" si="26"/>
        <v>876.43296000000009</v>
      </c>
      <c r="AA15" s="422">
        <v>2800</v>
      </c>
      <c r="AB15" s="423">
        <v>3000</v>
      </c>
      <c r="AC15" s="423">
        <v>3300</v>
      </c>
      <c r="AD15" s="424">
        <v>5100</v>
      </c>
      <c r="AE15" s="424">
        <f>(28+28+28*70%)*100</f>
        <v>7559.9999999999991</v>
      </c>
      <c r="AF15" s="424">
        <v>8500</v>
      </c>
      <c r="AG15" s="425">
        <v>8700</v>
      </c>
    </row>
    <row r="16" spans="1:33" ht="39">
      <c r="A16" s="75" t="s">
        <v>210</v>
      </c>
      <c r="B16" s="75" t="s">
        <v>210</v>
      </c>
      <c r="C16" s="74"/>
      <c r="D16" s="74"/>
      <c r="E16" s="74"/>
      <c r="F16" s="74"/>
      <c r="G16" s="76"/>
      <c r="H16" s="83">
        <v>17.78</v>
      </c>
      <c r="I16" s="83">
        <v>25.63</v>
      </c>
      <c r="J16" s="74">
        <v>23.85</v>
      </c>
      <c r="K16" s="76">
        <v>22.14</v>
      </c>
      <c r="L16" s="77"/>
      <c r="M16" s="74">
        <v>17.920000000000002</v>
      </c>
      <c r="N16" s="74">
        <v>17.09</v>
      </c>
      <c r="O16" s="74">
        <v>14.31</v>
      </c>
      <c r="P16" s="76">
        <v>13.54</v>
      </c>
      <c r="Q16" s="77"/>
      <c r="R16" s="74">
        <v>14.68</v>
      </c>
      <c r="S16" s="74">
        <v>13.45</v>
      </c>
      <c r="T16" s="74">
        <v>12.71</v>
      </c>
      <c r="U16" s="76">
        <v>13.41</v>
      </c>
      <c r="V16" s="77"/>
      <c r="W16" s="74">
        <v>13.83</v>
      </c>
      <c r="X16" s="74">
        <f t="shared" si="26"/>
        <v>13.5534</v>
      </c>
      <c r="Y16" s="74">
        <f t="shared" si="26"/>
        <v>13.824468</v>
      </c>
      <c r="Z16" s="74">
        <f t="shared" si="26"/>
        <v>14.100957359999999</v>
      </c>
      <c r="AA16" s="74">
        <f>AB16*(1+AA18)</f>
        <v>13.6889342766</v>
      </c>
      <c r="AB16" s="86">
        <f>SUM(W16:Z16)/4</f>
        <v>13.82720634</v>
      </c>
      <c r="AC16" s="86">
        <f>AB16*(1+AC18)</f>
        <v>14.2420225302</v>
      </c>
      <c r="AD16" s="86">
        <f>AB16*(1+AD18)</f>
        <v>14.2420225302</v>
      </c>
      <c r="AE16" s="86">
        <f>AD16*(1+AE18)</f>
        <v>14.811703431408</v>
      </c>
      <c r="AF16" s="86">
        <f>AE16*(1+AF18)</f>
        <v>15.330113051507279</v>
      </c>
      <c r="AG16">
        <f>AF16*(1+AG18)</f>
        <v>15.483414182022353</v>
      </c>
    </row>
    <row r="17" spans="1:33" ht="19.5">
      <c r="A17" s="75" t="s">
        <v>203</v>
      </c>
      <c r="B17" s="75" t="s">
        <v>203</v>
      </c>
      <c r="C17" s="74"/>
      <c r="D17" s="74"/>
      <c r="E17" s="74"/>
      <c r="F17" s="74"/>
      <c r="G17" s="76"/>
      <c r="H17" s="74"/>
      <c r="I17" s="74"/>
      <c r="J17" s="74"/>
      <c r="K17" s="76"/>
      <c r="L17" s="77"/>
      <c r="M17" s="74"/>
      <c r="N17" s="74"/>
      <c r="O17" s="74"/>
      <c r="P17" s="76"/>
      <c r="Q17" s="77"/>
      <c r="R17" s="82"/>
      <c r="S17" s="82">
        <f t="shared" ref="S17:U18" si="27">(S15-R15)/R15</f>
        <v>0.52282157676348551</v>
      </c>
      <c r="T17" s="82">
        <f t="shared" si="27"/>
        <v>4.3596730245231606E-2</v>
      </c>
      <c r="U17" s="87">
        <f t="shared" si="27"/>
        <v>4.5691906005221931E-2</v>
      </c>
      <c r="V17" s="88"/>
      <c r="W17" s="82">
        <f t="shared" ref="W17:W18" si="28">(W15-U15)/U15</f>
        <v>1.1235955056179775E-2</v>
      </c>
      <c r="X17" s="82">
        <v>0.02</v>
      </c>
      <c r="Y17" s="82">
        <v>0.02</v>
      </c>
      <c r="Z17" s="82">
        <v>0.04</v>
      </c>
      <c r="AA17" s="82"/>
      <c r="AB17" s="74"/>
      <c r="AC17" s="74"/>
      <c r="AD17" s="89"/>
      <c r="AE17" s="82"/>
      <c r="AF17" s="82"/>
    </row>
    <row r="18" spans="1:33" ht="19.5">
      <c r="A18" s="90" t="s">
        <v>205</v>
      </c>
      <c r="B18" s="90" t="s">
        <v>205</v>
      </c>
      <c r="C18" s="91"/>
      <c r="D18" s="91"/>
      <c r="E18" s="91"/>
      <c r="F18" s="91"/>
      <c r="G18" s="92"/>
      <c r="H18" s="91"/>
      <c r="I18" s="93">
        <f t="shared" ref="I18:K18" si="29">(I16-H16)/H16</f>
        <v>0.44150731158605161</v>
      </c>
      <c r="J18" s="93">
        <f t="shared" si="29"/>
        <v>-6.9449863441279652E-2</v>
      </c>
      <c r="K18" s="94">
        <f t="shared" si="29"/>
        <v>-7.1698113207547196E-2</v>
      </c>
      <c r="L18" s="88"/>
      <c r="M18" s="93">
        <f>(M16-K16)/K16</f>
        <v>-0.19060523938572713</v>
      </c>
      <c r="N18" s="93">
        <f t="shared" ref="N18:P18" si="30">(N16-M16)/M16</f>
        <v>-4.6316964285714385E-2</v>
      </c>
      <c r="O18" s="93">
        <f t="shared" si="30"/>
        <v>-0.16266822703335279</v>
      </c>
      <c r="P18" s="94">
        <f t="shared" si="30"/>
        <v>-5.3808525506638803E-2</v>
      </c>
      <c r="Q18" s="88"/>
      <c r="R18" s="93">
        <f>(R16-P16)/P16</f>
        <v>8.419497784342693E-2</v>
      </c>
      <c r="S18" s="93">
        <f t="shared" si="27"/>
        <v>-8.3787465940054526E-2</v>
      </c>
      <c r="T18" s="93">
        <f t="shared" si="27"/>
        <v>-5.501858736059468E-2</v>
      </c>
      <c r="U18" s="94">
        <f t="shared" si="27"/>
        <v>5.5074744295829994E-2</v>
      </c>
      <c r="V18" s="88"/>
      <c r="W18" s="93">
        <f t="shared" si="28"/>
        <v>3.1319910514541381E-2</v>
      </c>
      <c r="X18" s="93">
        <v>-0.02</v>
      </c>
      <c r="Y18" s="93">
        <v>0.02</v>
      </c>
      <c r="Z18" s="93">
        <v>0.02</v>
      </c>
      <c r="AA18" s="93">
        <v>-0.01</v>
      </c>
      <c r="AB18" s="93">
        <v>0.01</v>
      </c>
      <c r="AC18" s="93">
        <v>0.03</v>
      </c>
      <c r="AD18" s="95">
        <v>0.03</v>
      </c>
      <c r="AE18" s="95">
        <v>0.04</v>
      </c>
      <c r="AF18" s="95">
        <v>3.5000000000000003E-2</v>
      </c>
      <c r="AG18" s="95">
        <v>0.01</v>
      </c>
    </row>
    <row r="19" spans="1:33" ht="58.5">
      <c r="A19" s="96" t="s">
        <v>211</v>
      </c>
      <c r="B19" s="97"/>
      <c r="C19" s="96"/>
      <c r="D19" s="96"/>
      <c r="E19" s="96"/>
      <c r="F19" s="96"/>
      <c r="G19" s="98"/>
      <c r="H19" s="96"/>
      <c r="I19" s="96"/>
      <c r="J19" s="96"/>
      <c r="K19" s="98"/>
      <c r="L19" s="99"/>
      <c r="M19" s="96"/>
      <c r="N19" s="96"/>
      <c r="O19" s="96"/>
      <c r="P19" s="98"/>
      <c r="Q19" s="99"/>
      <c r="R19" s="96"/>
      <c r="S19" s="96"/>
      <c r="T19" s="96"/>
      <c r="U19" s="98"/>
      <c r="V19" s="99"/>
      <c r="W19" s="96"/>
      <c r="X19" s="96"/>
      <c r="Y19" s="96"/>
      <c r="Z19" s="96"/>
      <c r="AA19" s="96"/>
      <c r="AB19" s="96" t="e">
        <f>AB18*$A$15+AB13*$A$10+AB7*$A$3</f>
        <v>#VALUE!</v>
      </c>
      <c r="AC19" s="100"/>
      <c r="AD19" s="100"/>
      <c r="AE19" s="100"/>
      <c r="AF19" s="100"/>
    </row>
    <row r="20" spans="1:33" ht="19.5">
      <c r="A20" s="96" t="s">
        <v>212</v>
      </c>
      <c r="B20" s="97"/>
      <c r="C20" s="96"/>
      <c r="D20" s="96"/>
      <c r="E20" s="96"/>
      <c r="F20" s="96"/>
      <c r="G20" s="98"/>
      <c r="H20" s="96"/>
      <c r="I20" s="96"/>
      <c r="J20" s="96"/>
      <c r="K20" s="98"/>
      <c r="L20" s="99"/>
      <c r="M20" s="96"/>
      <c r="N20" s="96"/>
      <c r="O20" s="96"/>
      <c r="P20" s="98"/>
      <c r="Q20" s="99"/>
      <c r="R20" s="96"/>
      <c r="S20" s="96"/>
      <c r="T20" s="96"/>
      <c r="U20" s="98"/>
      <c r="V20" s="99"/>
      <c r="W20" s="96"/>
      <c r="X20" s="96"/>
      <c r="Y20" s="96"/>
      <c r="Z20" s="96"/>
      <c r="AA20" s="96"/>
      <c r="AB20" s="96">
        <f t="shared" ref="AB20" si="31">AB21*AB22</f>
        <v>2860</v>
      </c>
      <c r="AC20" s="96">
        <v>2860</v>
      </c>
      <c r="AD20" s="96">
        <v>1470</v>
      </c>
      <c r="AE20" s="96">
        <v>750</v>
      </c>
      <c r="AF20" s="96">
        <v>775</v>
      </c>
      <c r="AG20">
        <v>1450</v>
      </c>
    </row>
    <row r="21" spans="1:33" ht="19.5">
      <c r="A21" s="96"/>
      <c r="B21" s="101" t="s">
        <v>201</v>
      </c>
      <c r="C21" s="96"/>
      <c r="D21" s="96"/>
      <c r="E21" s="96"/>
      <c r="F21" s="96"/>
      <c r="G21" s="98">
        <v>393</v>
      </c>
      <c r="H21" s="96">
        <v>393</v>
      </c>
      <c r="I21" s="96">
        <v>215</v>
      </c>
      <c r="J21" s="96">
        <v>220</v>
      </c>
      <c r="K21" s="98">
        <v>479</v>
      </c>
      <c r="L21" s="4">
        <f>SUM(H21:K21)</f>
        <v>1307</v>
      </c>
      <c r="M21" s="102">
        <v>69</v>
      </c>
      <c r="N21" s="96">
        <v>116</v>
      </c>
      <c r="O21" s="96">
        <v>22</v>
      </c>
      <c r="P21" s="96">
        <v>82</v>
      </c>
      <c r="Q21" s="99">
        <f>SUM(M21:P21)</f>
        <v>289</v>
      </c>
      <c r="R21" s="98">
        <v>27</v>
      </c>
      <c r="S21" s="102">
        <v>10</v>
      </c>
      <c r="T21" s="96">
        <v>24</v>
      </c>
      <c r="U21" s="96">
        <v>79</v>
      </c>
      <c r="V21" s="99">
        <f>SUM(R21:U21)</f>
        <v>140</v>
      </c>
      <c r="W21" s="96"/>
      <c r="X21" s="96"/>
      <c r="Y21" s="96"/>
      <c r="Z21" s="96"/>
      <c r="AA21" s="96"/>
      <c r="AB21" s="96">
        <v>200</v>
      </c>
      <c r="AC21" s="96">
        <v>200</v>
      </c>
      <c r="AD21" s="96">
        <v>100</v>
      </c>
      <c r="AE21" s="96">
        <v>50</v>
      </c>
      <c r="AF21" s="96">
        <v>50</v>
      </c>
      <c r="AG21">
        <v>100</v>
      </c>
    </row>
    <row r="22" spans="1:33" ht="19.5">
      <c r="A22" s="96"/>
      <c r="B22" s="101" t="s">
        <v>202</v>
      </c>
      <c r="C22" s="96"/>
      <c r="D22" s="96"/>
      <c r="E22" s="96"/>
      <c r="F22" s="96"/>
      <c r="G22" s="98"/>
      <c r="H22" s="96">
        <v>13.7</v>
      </c>
      <c r="I22" s="96">
        <v>17.399999999999999</v>
      </c>
      <c r="J22" s="96">
        <v>15.8</v>
      </c>
      <c r="K22" s="98">
        <v>15.3</v>
      </c>
      <c r="L22" s="99"/>
      <c r="M22" s="96">
        <v>17.010000000000002</v>
      </c>
      <c r="N22" s="96">
        <v>15.5</v>
      </c>
      <c r="O22" s="96">
        <v>13.7</v>
      </c>
      <c r="P22" s="98">
        <v>13.53</v>
      </c>
      <c r="Q22" s="99"/>
      <c r="R22" s="96">
        <v>15.51</v>
      </c>
      <c r="S22" s="96">
        <v>13.42</v>
      </c>
      <c r="T22" s="96">
        <v>13.09</v>
      </c>
      <c r="U22" s="98">
        <v>13.53</v>
      </c>
      <c r="V22" s="99"/>
      <c r="W22" s="96">
        <v>14.3</v>
      </c>
      <c r="X22" s="96"/>
      <c r="Y22" s="96"/>
      <c r="Z22" s="96"/>
      <c r="AA22" s="96"/>
      <c r="AB22" s="96">
        <v>14.3</v>
      </c>
      <c r="AC22" s="96">
        <v>14.3</v>
      </c>
      <c r="AD22" s="96">
        <v>14.7</v>
      </c>
      <c r="AE22" s="96">
        <v>15</v>
      </c>
      <c r="AF22" s="96">
        <v>15.5</v>
      </c>
      <c r="AG22">
        <v>14.5</v>
      </c>
    </row>
    <row r="23" spans="1:33" ht="19.5">
      <c r="A23" s="96"/>
      <c r="B23" s="101" t="s">
        <v>203</v>
      </c>
      <c r="C23" s="96"/>
      <c r="D23" s="96"/>
      <c r="E23" s="96"/>
      <c r="F23" s="96"/>
      <c r="G23" s="98"/>
      <c r="H23" s="96"/>
      <c r="I23" s="96"/>
      <c r="J23" s="96"/>
      <c r="K23" s="98"/>
      <c r="L23" s="99"/>
      <c r="M23" s="96"/>
      <c r="N23" s="96"/>
      <c r="O23" s="96"/>
      <c r="P23" s="98"/>
      <c r="Q23" s="99"/>
      <c r="R23" s="96"/>
      <c r="S23" s="96"/>
      <c r="T23" s="96"/>
      <c r="U23" s="98"/>
      <c r="V23" s="99"/>
      <c r="W23" s="96"/>
      <c r="X23" s="96"/>
      <c r="Y23" s="96"/>
      <c r="Z23" s="96"/>
      <c r="AA23" s="96"/>
      <c r="AB23" s="96">
        <f>SUM(W23:Z23)/4</f>
        <v>0</v>
      </c>
      <c r="AC23" s="96">
        <v>0</v>
      </c>
      <c r="AD23" s="96"/>
      <c r="AE23" s="96"/>
      <c r="AF23" s="96"/>
    </row>
    <row r="24" spans="1:33" ht="19.5">
      <c r="A24" s="96"/>
      <c r="B24" s="103" t="s">
        <v>205</v>
      </c>
      <c r="C24" s="102"/>
      <c r="D24" s="102"/>
      <c r="E24" s="102"/>
      <c r="F24" s="102"/>
      <c r="G24" s="104"/>
      <c r="H24" s="102"/>
      <c r="I24" s="105">
        <f t="shared" ref="I24:K24" si="32">(I22-H22)/H22</f>
        <v>0.27007299270072987</v>
      </c>
      <c r="J24" s="105">
        <f t="shared" si="32"/>
        <v>-9.1954022988505635E-2</v>
      </c>
      <c r="K24" s="106">
        <f t="shared" si="32"/>
        <v>-3.164556962025316E-2</v>
      </c>
      <c r="L24" s="107"/>
      <c r="M24" s="105">
        <f>(M22-K22)/K22</f>
        <v>0.11176470588235299</v>
      </c>
      <c r="N24" s="105">
        <f t="shared" ref="N24:P24" si="33">(N22-M22)/M22</f>
        <v>-8.8771310993533303E-2</v>
      </c>
      <c r="O24" s="105">
        <f t="shared" si="33"/>
        <v>-0.11612903225806456</v>
      </c>
      <c r="P24" s="106">
        <f t="shared" si="33"/>
        <v>-1.2408759124087588E-2</v>
      </c>
      <c r="Q24" s="107"/>
      <c r="R24" s="105">
        <f>(R22-P22)/P22</f>
        <v>0.14634146341463419</v>
      </c>
      <c r="S24" s="105">
        <f t="shared" ref="S24:U24" si="34">(S22-R22)/R22</f>
        <v>-0.13475177304964539</v>
      </c>
      <c r="T24" s="105">
        <f t="shared" si="34"/>
        <v>-2.4590163934426236E-2</v>
      </c>
      <c r="U24" s="106">
        <f t="shared" si="34"/>
        <v>3.3613445378151224E-2</v>
      </c>
      <c r="V24" s="107"/>
      <c r="W24" s="105">
        <f>(W22-U22)/U22</f>
        <v>5.6910569105691158E-2</v>
      </c>
      <c r="X24" s="102"/>
      <c r="Y24" s="102"/>
      <c r="Z24" s="102"/>
      <c r="AA24" s="102"/>
      <c r="AB24" s="102" t="e">
        <f>(AB22-V22)/V22</f>
        <v>#DIV/0!</v>
      </c>
      <c r="AC24" s="102" t="e">
        <v>#DIV/0!</v>
      </c>
      <c r="AD24" s="105">
        <v>2.7972027972027871E-2</v>
      </c>
      <c r="AE24" s="105">
        <v>2.0408163265306173E-2</v>
      </c>
      <c r="AF24" s="105">
        <v>3.3333333333333333E-2</v>
      </c>
      <c r="AG24">
        <v>-6.4516129032258063E-2</v>
      </c>
    </row>
    <row r="25" spans="1:33" ht="19.5">
      <c r="A25" s="29" t="s">
        <v>213</v>
      </c>
      <c r="B25" s="30"/>
      <c r="C25" s="29"/>
      <c r="D25" s="29"/>
      <c r="E25" s="29"/>
      <c r="F25" s="29"/>
      <c r="G25" s="31"/>
      <c r="H25" s="29"/>
      <c r="I25" s="29"/>
      <c r="J25" s="29"/>
      <c r="K25" s="31"/>
      <c r="L25" s="108"/>
      <c r="M25" s="29"/>
      <c r="N25" s="29"/>
      <c r="O25" s="29"/>
      <c r="P25" s="31"/>
      <c r="Q25" s="108"/>
      <c r="R25" s="29"/>
      <c r="S25" s="29"/>
      <c r="T25" s="29"/>
      <c r="U25" s="31"/>
      <c r="V25" s="108"/>
      <c r="W25" s="29"/>
      <c r="X25" s="29"/>
      <c r="Y25" s="29"/>
      <c r="Z25" s="29"/>
      <c r="AA25" s="29"/>
      <c r="AB25" s="29">
        <f>AB26*AB27</f>
        <v>9478.6847999999991</v>
      </c>
      <c r="AC25" s="29">
        <v>9478.6847999999991</v>
      </c>
      <c r="AD25" s="29">
        <v>10450.979121599999</v>
      </c>
      <c r="AE25" s="29">
        <v>11627.210992320001</v>
      </c>
      <c r="AF25" s="29">
        <v>12699.0125469504</v>
      </c>
      <c r="AG25" s="29">
        <v>13403.359265167874</v>
      </c>
    </row>
    <row r="26" spans="1:33" ht="19.5">
      <c r="A26" s="29"/>
      <c r="B26" s="35" t="s">
        <v>201</v>
      </c>
      <c r="C26" s="29"/>
      <c r="D26" s="29"/>
      <c r="E26" s="29"/>
      <c r="F26" s="29"/>
      <c r="G26" s="31"/>
      <c r="H26" s="29">
        <v>73.748000000000005</v>
      </c>
      <c r="I26" s="29">
        <v>86.203999999999994</v>
      </c>
      <c r="J26" s="29">
        <v>113.123</v>
      </c>
      <c r="K26" s="31">
        <v>155.71</v>
      </c>
      <c r="L26" s="108">
        <f>SUM(H26:K26)</f>
        <v>428.78499999999997</v>
      </c>
      <c r="M26" s="29">
        <v>105.706</v>
      </c>
      <c r="N26" s="29">
        <v>63.527000000000001</v>
      </c>
      <c r="O26" s="32">
        <v>68.691999999999993</v>
      </c>
      <c r="P26" s="31">
        <v>79.459000000000003</v>
      </c>
      <c r="Q26" s="108">
        <f>SUM(M26:P26)</f>
        <v>317.38400000000001</v>
      </c>
      <c r="R26" s="29">
        <v>77.989000000000004</v>
      </c>
      <c r="S26" s="29">
        <v>105.908</v>
      </c>
      <c r="T26" s="29">
        <v>65.108999999999995</v>
      </c>
      <c r="U26" s="31">
        <v>88.554000000000002</v>
      </c>
      <c r="V26" s="108">
        <f>SUM(R26:U26)</f>
        <v>337.55999999999995</v>
      </c>
      <c r="W26" s="29"/>
      <c r="X26" s="29"/>
      <c r="Y26" s="29"/>
      <c r="Z26" s="29"/>
      <c r="AA26" s="29"/>
      <c r="AB26" s="29">
        <f>V26*(1+AB28)</f>
        <v>364.56479999999999</v>
      </c>
      <c r="AC26" s="29">
        <v>364.56479999999999</v>
      </c>
      <c r="AD26" s="29">
        <v>397.375632</v>
      </c>
      <c r="AE26" s="29">
        <v>437.11319520000001</v>
      </c>
      <c r="AF26" s="29">
        <v>472.08225081600006</v>
      </c>
      <c r="AG26" s="29">
        <v>490.96554084864005</v>
      </c>
    </row>
    <row r="27" spans="1:33" ht="19.5">
      <c r="A27" s="29"/>
      <c r="B27" s="35" t="s">
        <v>202</v>
      </c>
      <c r="C27" s="29"/>
      <c r="D27" s="29"/>
      <c r="E27" s="29"/>
      <c r="F27" s="29"/>
      <c r="G27" s="31"/>
      <c r="H27" s="29">
        <v>23</v>
      </c>
      <c r="I27" s="29">
        <v>31</v>
      </c>
      <c r="J27" s="29">
        <v>32.1</v>
      </c>
      <c r="K27" s="31">
        <v>33</v>
      </c>
      <c r="L27" s="108">
        <f>SUM(H27:K27)/4</f>
        <v>29.774999999999999</v>
      </c>
      <c r="M27" s="29">
        <v>31.8</v>
      </c>
      <c r="N27" s="29">
        <v>31</v>
      </c>
      <c r="O27" s="29">
        <v>30.1</v>
      </c>
      <c r="P27" s="31">
        <v>29</v>
      </c>
      <c r="Q27" s="108">
        <f>SUM(M27:P27)/4</f>
        <v>30.475000000000001</v>
      </c>
      <c r="R27" s="29">
        <v>30</v>
      </c>
      <c r="S27" s="29">
        <v>28</v>
      </c>
      <c r="T27" s="29">
        <v>27</v>
      </c>
      <c r="U27" s="31">
        <v>24.5</v>
      </c>
      <c r="V27" s="108">
        <f>SUM(R27:U27)/4</f>
        <v>27.375</v>
      </c>
      <c r="W27" s="29">
        <v>27</v>
      </c>
      <c r="X27" s="29">
        <v>25.2</v>
      </c>
      <c r="Y27" s="29"/>
      <c r="Z27" s="29"/>
      <c r="AA27" s="29"/>
      <c r="AB27" s="29">
        <v>26</v>
      </c>
      <c r="AC27" s="29">
        <v>26</v>
      </c>
      <c r="AD27" s="29">
        <v>26.3</v>
      </c>
      <c r="AE27" s="29">
        <v>26.6</v>
      </c>
      <c r="AF27" s="29">
        <v>26.9</v>
      </c>
      <c r="AG27" s="29">
        <v>27.3</v>
      </c>
    </row>
    <row r="28" spans="1:33" ht="19.5">
      <c r="A28" s="29"/>
      <c r="B28" s="35" t="s">
        <v>203</v>
      </c>
      <c r="C28" s="29"/>
      <c r="D28" s="29"/>
      <c r="E28" s="29"/>
      <c r="F28" s="29"/>
      <c r="G28" s="31"/>
      <c r="H28" s="29"/>
      <c r="I28" s="29"/>
      <c r="J28" s="29"/>
      <c r="K28" s="31"/>
      <c r="L28" s="108"/>
      <c r="M28" s="29"/>
      <c r="N28" s="29"/>
      <c r="O28" s="29"/>
      <c r="P28" s="31"/>
      <c r="Q28" s="108"/>
      <c r="R28" s="29"/>
      <c r="S28" s="29"/>
      <c r="T28" s="29"/>
      <c r="U28" s="31"/>
      <c r="V28" s="108"/>
      <c r="W28" s="29"/>
      <c r="X28" s="29"/>
      <c r="Y28" s="29"/>
      <c r="Z28" s="29"/>
      <c r="AA28" s="29"/>
      <c r="AB28" s="47">
        <v>0.08</v>
      </c>
      <c r="AC28" s="47">
        <v>0.08</v>
      </c>
      <c r="AD28" s="47">
        <v>0.09</v>
      </c>
      <c r="AE28" s="47">
        <v>0.1</v>
      </c>
      <c r="AF28" s="47">
        <v>0.08</v>
      </c>
      <c r="AG28" s="47">
        <v>0.04</v>
      </c>
    </row>
    <row r="29" spans="1:33" ht="19.5">
      <c r="A29" s="29"/>
      <c r="B29" s="49" t="s">
        <v>205</v>
      </c>
      <c r="C29" s="50"/>
      <c r="D29" s="50"/>
      <c r="E29" s="50"/>
      <c r="F29" s="50"/>
      <c r="G29" s="109"/>
      <c r="H29" s="50"/>
      <c r="I29" s="51">
        <f t="shared" ref="I29:K29" si="35">(I27-H27)/H27</f>
        <v>0.34782608695652173</v>
      </c>
      <c r="J29" s="51">
        <f t="shared" si="35"/>
        <v>3.5483870967741984E-2</v>
      </c>
      <c r="K29" s="51">
        <f t="shared" si="35"/>
        <v>2.8037383177570048E-2</v>
      </c>
      <c r="L29" s="51"/>
      <c r="M29" s="51">
        <f>(M27-K27)/K27</f>
        <v>-3.6363636363636341E-2</v>
      </c>
      <c r="N29" s="51">
        <f t="shared" ref="N29:P29" si="36">(N27-M27)/M27</f>
        <v>-2.5157232704402538E-2</v>
      </c>
      <c r="O29" s="51">
        <f t="shared" si="36"/>
        <v>-2.9032258064516082E-2</v>
      </c>
      <c r="P29" s="51">
        <f t="shared" si="36"/>
        <v>-3.6544850498338916E-2</v>
      </c>
      <c r="Q29" s="51"/>
      <c r="R29" s="51">
        <f>(R27-P27)/P27</f>
        <v>3.4482758620689655E-2</v>
      </c>
      <c r="S29" s="51">
        <f t="shared" ref="S29:U29" si="37">(S27-R27)/R27</f>
        <v>-6.6666666666666666E-2</v>
      </c>
      <c r="T29" s="51">
        <f t="shared" si="37"/>
        <v>-3.5714285714285712E-2</v>
      </c>
      <c r="U29" s="51">
        <f t="shared" si="37"/>
        <v>-9.2592592592592587E-2</v>
      </c>
      <c r="V29" s="51"/>
      <c r="W29" s="51">
        <f>(W27-U27)/U27</f>
        <v>0.10204081632653061</v>
      </c>
      <c r="X29" s="51">
        <f>(X27-W27)/W27</f>
        <v>-6.6666666666666693E-2</v>
      </c>
      <c r="Y29" s="50"/>
      <c r="Z29" s="50"/>
      <c r="AA29" s="50"/>
      <c r="AB29" s="51">
        <f>(AB27-V27)/V27</f>
        <v>-5.0228310502283102E-2</v>
      </c>
      <c r="AC29" s="51">
        <v>-5.0228310502283102E-2</v>
      </c>
      <c r="AD29" s="51">
        <v>1.1538461538461565E-2</v>
      </c>
      <c r="AE29" s="51">
        <v>1.1406844106463905E-2</v>
      </c>
      <c r="AF29" s="51">
        <v>1.1278195488721696E-2</v>
      </c>
      <c r="AG29" s="51">
        <v>1.4869888475836512E-2</v>
      </c>
    </row>
    <row r="30" spans="1:33" ht="19.5">
      <c r="A30" s="74" t="s">
        <v>214</v>
      </c>
      <c r="B30" s="110"/>
      <c r="C30" s="74"/>
      <c r="D30" s="74"/>
      <c r="E30" s="74"/>
      <c r="F30" s="74"/>
      <c r="G30" s="76"/>
      <c r="H30" s="74"/>
      <c r="I30" s="74"/>
      <c r="J30" s="74"/>
      <c r="K30" s="76"/>
      <c r="L30" s="77"/>
      <c r="M30" s="74"/>
      <c r="N30" s="74"/>
      <c r="O30" s="74"/>
      <c r="P30" s="76"/>
      <c r="Q30" s="77"/>
      <c r="R30" s="74"/>
      <c r="S30" s="74"/>
      <c r="T30" s="74"/>
      <c r="U30" s="76"/>
      <c r="V30" s="77"/>
      <c r="W30" s="74"/>
      <c r="X30" s="74"/>
      <c r="Y30" s="74"/>
      <c r="Z30" s="74"/>
      <c r="AA30" s="74"/>
      <c r="AB30" s="74"/>
      <c r="AC30" s="74"/>
      <c r="AD30" s="74"/>
      <c r="AE30" s="74"/>
      <c r="AF30" s="74"/>
    </row>
    <row r="31" spans="1:33" ht="19.5">
      <c r="A31" s="111" t="s">
        <v>215</v>
      </c>
      <c r="B31" s="75" t="s">
        <v>216</v>
      </c>
      <c r="C31" s="74"/>
      <c r="D31" s="74"/>
      <c r="E31" s="74"/>
      <c r="F31" s="74"/>
      <c r="G31" s="76">
        <v>105</v>
      </c>
      <c r="H31" s="74">
        <v>131.07</v>
      </c>
      <c r="I31" s="74">
        <v>158.44999999999999</v>
      </c>
      <c r="J31" s="74">
        <v>256.3</v>
      </c>
      <c r="K31" s="76">
        <v>304.75</v>
      </c>
      <c r="L31" s="77">
        <f>AVERAGE(H31:K31)</f>
        <v>212.64249999999998</v>
      </c>
      <c r="M31" s="74">
        <v>448.75</v>
      </c>
      <c r="N31" s="74">
        <v>413.75</v>
      </c>
      <c r="O31" s="74">
        <v>279.18</v>
      </c>
      <c r="P31" s="76">
        <v>263.70999999999998</v>
      </c>
      <c r="Q31" s="77">
        <f>AVERAGE(M31:P31)</f>
        <v>351.34750000000003</v>
      </c>
      <c r="R31" s="74">
        <v>345.8</v>
      </c>
      <c r="S31" s="74">
        <v>223.3</v>
      </c>
      <c r="T31" s="74">
        <v>270.43</v>
      </c>
      <c r="U31" s="76">
        <v>328.97</v>
      </c>
      <c r="V31" s="77">
        <f>AVERAGE(R31:U31)</f>
        <v>292.125</v>
      </c>
      <c r="W31" s="74">
        <v>304.08</v>
      </c>
      <c r="X31" s="74">
        <v>249.58</v>
      </c>
      <c r="Y31" s="74">
        <f t="shared" ref="Y31:Z31" si="38">X31*(1+Y32)</f>
        <v>284.52120000000002</v>
      </c>
      <c r="Z31" s="74">
        <f t="shared" si="38"/>
        <v>290.21162400000003</v>
      </c>
      <c r="AA31" s="74"/>
      <c r="AB31" s="74">
        <f>AVERAGE(W31:Z31)</f>
        <v>282.098206</v>
      </c>
      <c r="AC31" s="74"/>
      <c r="AD31" s="74"/>
      <c r="AE31" s="74"/>
      <c r="AF31" s="74"/>
    </row>
    <row r="32" spans="1:33" ht="19.5">
      <c r="A32" s="89">
        <v>0.8</v>
      </c>
      <c r="B32" s="75" t="s">
        <v>205</v>
      </c>
      <c r="C32" s="74"/>
      <c r="D32" s="74"/>
      <c r="E32" s="74"/>
      <c r="F32" s="74"/>
      <c r="G32" s="76"/>
      <c r="H32" s="112">
        <f t="shared" ref="H32:K32" si="39">(H31-G31)/G31</f>
        <v>0.24828571428571422</v>
      </c>
      <c r="I32" s="112">
        <f t="shared" si="39"/>
        <v>0.20889600976577399</v>
      </c>
      <c r="J32" s="112">
        <f t="shared" si="39"/>
        <v>0.61754496686651961</v>
      </c>
      <c r="K32" s="112">
        <f t="shared" si="39"/>
        <v>0.18903628560280916</v>
      </c>
      <c r="L32" s="88">
        <f>(K31-H31)/H31</f>
        <v>1.3250934615091174</v>
      </c>
      <c r="M32" s="112">
        <f>(M31-K31)/K31</f>
        <v>0.47251845775225593</v>
      </c>
      <c r="N32" s="112">
        <f t="shared" ref="N32:P32" si="40">(N31-M31)/M31</f>
        <v>-7.7994428969359333E-2</v>
      </c>
      <c r="O32" s="112">
        <f t="shared" si="40"/>
        <v>-0.32524471299093655</v>
      </c>
      <c r="P32" s="112">
        <f t="shared" si="40"/>
        <v>-5.5412278816534231E-2</v>
      </c>
      <c r="Q32" s="112">
        <f>(P31-M31)/M31</f>
        <v>-0.41234540389972152</v>
      </c>
      <c r="R32" s="112">
        <f>(R31-P31)/P31</f>
        <v>0.31128891585453733</v>
      </c>
      <c r="S32" s="112">
        <f t="shared" ref="S32:U32" si="41">(S31-R31)/R31</f>
        <v>-0.354251012145749</v>
      </c>
      <c r="T32" s="112">
        <f t="shared" si="41"/>
        <v>0.21106135244066276</v>
      </c>
      <c r="U32" s="112">
        <f t="shared" si="41"/>
        <v>0.21647006619088127</v>
      </c>
      <c r="V32" s="113">
        <f>(U31-R31)/R31</f>
        <v>-4.8669751301330201E-2</v>
      </c>
      <c r="W32" s="114">
        <f>(W31-U31)/U31</f>
        <v>-7.5660394564854058E-2</v>
      </c>
      <c r="X32" s="114">
        <f>(X31-W31)/W31</f>
        <v>-0.17922915022362529</v>
      </c>
      <c r="Y32" s="114">
        <v>0.14000000000000001</v>
      </c>
      <c r="Z32" s="114">
        <v>0.02</v>
      </c>
      <c r="AA32" s="114"/>
      <c r="AB32" s="82">
        <f>SUM(W32:Z32)/4</f>
        <v>-2.3722386197119836E-2</v>
      </c>
      <c r="AC32" s="82"/>
      <c r="AD32" s="114"/>
      <c r="AE32" s="114"/>
      <c r="AF32" s="114"/>
    </row>
    <row r="33" spans="1:32" ht="19.5">
      <c r="A33" s="115" t="s">
        <v>217</v>
      </c>
      <c r="B33" s="116"/>
      <c r="C33" s="115"/>
      <c r="D33" s="115"/>
      <c r="E33" s="115"/>
      <c r="F33" s="115"/>
      <c r="G33" s="117"/>
      <c r="H33" s="115"/>
      <c r="I33" s="115"/>
      <c r="J33" s="115"/>
      <c r="K33" s="117"/>
      <c r="L33" s="118"/>
      <c r="M33" s="115"/>
      <c r="N33" s="115"/>
      <c r="O33" s="115"/>
      <c r="P33" s="117"/>
      <c r="Q33" s="118"/>
      <c r="R33" s="115"/>
      <c r="S33" s="115"/>
      <c r="T33" s="115"/>
      <c r="U33" s="117"/>
      <c r="V33" s="118"/>
      <c r="W33" s="115"/>
      <c r="X33" s="115"/>
      <c r="Y33" s="115"/>
      <c r="Z33" s="115"/>
      <c r="AA33" s="115"/>
      <c r="AB33" s="115"/>
      <c r="AC33" s="115"/>
      <c r="AD33" s="115"/>
      <c r="AE33" s="115"/>
      <c r="AF33" s="115"/>
    </row>
    <row r="34" spans="1:32" ht="19.5">
      <c r="A34" s="119" t="s">
        <v>215</v>
      </c>
      <c r="B34" s="120" t="s">
        <v>216</v>
      </c>
      <c r="C34" s="115"/>
      <c r="D34" s="115"/>
      <c r="E34" s="115"/>
      <c r="F34" s="115"/>
      <c r="G34" s="117">
        <v>124.62</v>
      </c>
      <c r="H34" s="115">
        <v>165.61</v>
      </c>
      <c r="I34" s="115">
        <v>205.73</v>
      </c>
      <c r="J34" s="115">
        <v>159.25</v>
      </c>
      <c r="K34" s="117">
        <v>94.97</v>
      </c>
      <c r="L34" s="118">
        <f>AVERAGE(H34:K34)</f>
        <v>156.39000000000001</v>
      </c>
      <c r="M34" s="115">
        <v>141.99</v>
      </c>
      <c r="N34" s="115">
        <v>150.77000000000001</v>
      </c>
      <c r="O34" s="115">
        <v>107.22</v>
      </c>
      <c r="P34" s="117">
        <v>93.25</v>
      </c>
      <c r="Q34" s="121">
        <f>AVERAGE(M34:P34)</f>
        <v>123.3075</v>
      </c>
      <c r="R34" s="115">
        <v>125.75</v>
      </c>
      <c r="S34" s="115">
        <v>105.07</v>
      </c>
      <c r="T34" s="115">
        <v>112.46</v>
      </c>
      <c r="U34" s="117">
        <v>130.46</v>
      </c>
      <c r="V34" s="118">
        <f>AVERAGE(R34:U34)</f>
        <v>118.435</v>
      </c>
      <c r="W34" s="122">
        <v>124.86</v>
      </c>
      <c r="X34" s="122">
        <v>107.69</v>
      </c>
      <c r="Y34" s="122">
        <f t="shared" ref="Y34:Z34" si="42">X34*(1+Y35)</f>
        <v>118.459</v>
      </c>
      <c r="Z34" s="122">
        <f t="shared" si="42"/>
        <v>114.90523</v>
      </c>
      <c r="AA34" s="122"/>
      <c r="AB34" s="122">
        <f t="shared" ref="AB34:AB35" si="43">SUM(W34:Z34)/4</f>
        <v>116.47855750000001</v>
      </c>
      <c r="AC34" s="122"/>
      <c r="AD34" s="115"/>
      <c r="AE34" s="115"/>
      <c r="AF34" s="115"/>
    </row>
    <row r="35" spans="1:32" ht="19.5">
      <c r="A35" s="114">
        <v>0.2</v>
      </c>
      <c r="B35" s="120" t="s">
        <v>205</v>
      </c>
      <c r="C35" s="115"/>
      <c r="D35" s="115"/>
      <c r="E35" s="115"/>
      <c r="F35" s="115"/>
      <c r="G35" s="117"/>
      <c r="H35" s="112">
        <f t="shared" ref="H35:K35" si="44">(H34-G34)/G34</f>
        <v>0.32891991654630082</v>
      </c>
      <c r="I35" s="112">
        <f t="shared" si="44"/>
        <v>0.2422559024213512</v>
      </c>
      <c r="J35" s="112">
        <f t="shared" si="44"/>
        <v>-0.22592718611772708</v>
      </c>
      <c r="K35" s="112">
        <f t="shared" si="44"/>
        <v>-0.40364207221350079</v>
      </c>
      <c r="L35" s="112">
        <f>(K34-H34)/H34</f>
        <v>-0.42654429080369549</v>
      </c>
      <c r="M35" s="112">
        <f>(M34-K34)/K34</f>
        <v>0.49510371696325167</v>
      </c>
      <c r="N35" s="112">
        <f t="shared" ref="N35:P35" si="45">(N34-M34)/M34</f>
        <v>6.1835340516937815E-2</v>
      </c>
      <c r="O35" s="112">
        <f t="shared" si="45"/>
        <v>-0.28885056708894347</v>
      </c>
      <c r="P35" s="112">
        <f t="shared" si="45"/>
        <v>-0.13029285581048311</v>
      </c>
      <c r="Q35" s="112">
        <f>(P34-M34)/M34</f>
        <v>-0.3432636101133883</v>
      </c>
      <c r="R35" s="112">
        <f>(R34-P34)/P34</f>
        <v>0.34852546916890081</v>
      </c>
      <c r="S35" s="112">
        <f t="shared" ref="S35:U35" si="46">(S34-R34)/R34</f>
        <v>-0.1644532803180915</v>
      </c>
      <c r="T35" s="112">
        <f t="shared" si="46"/>
        <v>7.0334063005615316E-2</v>
      </c>
      <c r="U35" s="112">
        <f t="shared" si="46"/>
        <v>0.16005690912324397</v>
      </c>
      <c r="V35" s="113">
        <f>(U34-R34)/R34</f>
        <v>3.7455268389662094E-2</v>
      </c>
      <c r="W35" s="114">
        <f>(W34-U34)/U34</f>
        <v>-4.2925034493331349E-2</v>
      </c>
      <c r="X35" s="114">
        <f>(X34-W34)/W34</f>
        <v>-0.13751401569758132</v>
      </c>
      <c r="Y35" s="114">
        <v>0.1</v>
      </c>
      <c r="Z35" s="114">
        <v>-0.03</v>
      </c>
      <c r="AA35" s="114"/>
      <c r="AB35" s="112">
        <f t="shared" si="43"/>
        <v>-2.7609762547728164E-2</v>
      </c>
      <c r="AC35" s="112"/>
      <c r="AD35" s="123"/>
      <c r="AE35" s="114"/>
      <c r="AF35" s="114"/>
    </row>
    <row r="36" spans="1:32" ht="39">
      <c r="A36" s="20" t="s">
        <v>218</v>
      </c>
      <c r="B36" s="20"/>
      <c r="C36" s="20"/>
      <c r="D36" s="20"/>
      <c r="E36" s="20"/>
      <c r="F36" s="20"/>
      <c r="G36" s="124"/>
      <c r="H36" s="20"/>
      <c r="I36" s="20"/>
      <c r="J36" s="20"/>
      <c r="K36" s="124"/>
      <c r="L36" s="125">
        <f t="shared" ref="L36:AB36" si="47">(L32*$A$32+L35*$A$35)</f>
        <v>0.97476591104655497</v>
      </c>
      <c r="M36" s="125">
        <f t="shared" si="47"/>
        <v>0.47703550959445506</v>
      </c>
      <c r="N36" s="125">
        <f t="shared" si="47"/>
        <v>-5.0028475072099905E-2</v>
      </c>
      <c r="O36" s="125">
        <f t="shared" si="47"/>
        <v>-0.31796588381053797</v>
      </c>
      <c r="P36" s="125">
        <f t="shared" si="47"/>
        <v>-7.0388394215324002E-2</v>
      </c>
      <c r="Q36" s="125">
        <f t="shared" si="47"/>
        <v>-0.39852904514245491</v>
      </c>
      <c r="R36" s="125">
        <f t="shared" si="47"/>
        <v>0.31873622651741002</v>
      </c>
      <c r="S36" s="125">
        <f t="shared" si="47"/>
        <v>-0.3162914657802175</v>
      </c>
      <c r="T36" s="125">
        <f t="shared" si="47"/>
        <v>0.18291589455365329</v>
      </c>
      <c r="U36" s="125">
        <f t="shared" si="47"/>
        <v>0.20518743477735382</v>
      </c>
      <c r="V36" s="125">
        <f t="shared" si="47"/>
        <v>-3.1444747363131742E-2</v>
      </c>
      <c r="W36" s="125">
        <f t="shared" si="47"/>
        <v>-6.9113322550549514E-2</v>
      </c>
      <c r="X36" s="125">
        <f t="shared" si="47"/>
        <v>-0.17088612331841652</v>
      </c>
      <c r="Y36" s="125">
        <f t="shared" si="47"/>
        <v>0.13200000000000001</v>
      </c>
      <c r="Z36" s="125">
        <f t="shared" si="47"/>
        <v>0.01</v>
      </c>
      <c r="AA36" s="125"/>
      <c r="AB36" s="126">
        <f t="shared" si="47"/>
        <v>-2.44998614672415E-2</v>
      </c>
      <c r="AC36" s="126"/>
      <c r="AD36" s="126"/>
      <c r="AE36" s="126"/>
      <c r="AF36" s="126"/>
    </row>
    <row r="37" spans="1:32" ht="19.5">
      <c r="A37" s="20"/>
      <c r="B37" s="20"/>
      <c r="C37" s="20"/>
      <c r="D37" s="20"/>
      <c r="E37" s="20"/>
      <c r="F37" s="20"/>
      <c r="G37" s="124"/>
      <c r="H37" s="20"/>
      <c r="I37" s="20"/>
      <c r="J37" s="20"/>
      <c r="K37" s="124"/>
      <c r="L37" s="127"/>
      <c r="M37" s="20"/>
      <c r="N37" s="20"/>
      <c r="O37" s="20"/>
      <c r="P37" s="124"/>
      <c r="Q37" s="127"/>
      <c r="R37" s="20"/>
      <c r="S37" s="20"/>
      <c r="T37" s="20"/>
      <c r="U37" s="124"/>
      <c r="V37" s="127"/>
      <c r="W37" s="20"/>
      <c r="X37" s="20"/>
      <c r="Y37" s="20"/>
      <c r="Z37" s="20"/>
      <c r="AA37" s="20"/>
      <c r="AB37" s="20">
        <f t="shared" ref="AB37:AB52" si="48">SUM(W37:Z37)/4</f>
        <v>0</v>
      </c>
      <c r="AC37" s="20"/>
      <c r="AD37" s="20"/>
      <c r="AE37" s="20"/>
      <c r="AF37" s="20"/>
    </row>
    <row r="38" spans="1:32" ht="19.5">
      <c r="A38" s="20"/>
      <c r="B38" s="20"/>
      <c r="C38" s="20"/>
      <c r="D38" s="20"/>
      <c r="E38" s="20"/>
      <c r="F38" s="20"/>
      <c r="G38" s="124"/>
      <c r="H38" s="20"/>
      <c r="I38" s="20"/>
      <c r="J38" s="20">
        <v>2023</v>
      </c>
      <c r="K38" s="124">
        <v>1822</v>
      </c>
      <c r="L38" s="127"/>
      <c r="M38" s="20"/>
      <c r="N38" s="20"/>
      <c r="O38" s="20"/>
      <c r="P38" s="124"/>
      <c r="Q38" s="127"/>
      <c r="R38" s="20"/>
      <c r="S38" s="20"/>
      <c r="T38" s="20"/>
      <c r="U38" s="124"/>
      <c r="V38" s="127"/>
      <c r="W38" s="20"/>
      <c r="X38" s="20"/>
      <c r="Y38" s="20"/>
      <c r="Z38" s="20"/>
      <c r="AA38" s="20"/>
      <c r="AB38" s="20">
        <f t="shared" si="48"/>
        <v>0</v>
      </c>
      <c r="AC38" s="20"/>
      <c r="AD38" s="20"/>
      <c r="AE38" s="20"/>
      <c r="AF38" s="20"/>
    </row>
    <row r="39" spans="1:32" ht="19.5">
      <c r="A39" s="20"/>
      <c r="B39" s="20"/>
      <c r="C39" s="20"/>
      <c r="D39" s="20"/>
      <c r="E39" s="20"/>
      <c r="F39" s="20"/>
      <c r="G39" s="124"/>
      <c r="H39" s="20"/>
      <c r="I39" s="20"/>
      <c r="J39" s="20">
        <v>2024</v>
      </c>
      <c r="K39" s="124">
        <v>1854</v>
      </c>
      <c r="L39" s="127"/>
      <c r="M39" s="20"/>
      <c r="N39" s="20"/>
      <c r="O39" s="20"/>
      <c r="P39" s="124"/>
      <c r="Q39" s="127"/>
      <c r="R39" s="20"/>
      <c r="S39" s="20"/>
      <c r="T39" s="20"/>
      <c r="U39" s="124"/>
      <c r="V39" s="127"/>
      <c r="W39" s="20"/>
      <c r="X39" s="20"/>
      <c r="Y39" s="20"/>
      <c r="Z39" s="20"/>
      <c r="AA39" s="20"/>
      <c r="AB39" s="20">
        <f t="shared" si="48"/>
        <v>0</v>
      </c>
      <c r="AC39" s="20"/>
      <c r="AD39" s="20"/>
      <c r="AE39" s="20"/>
      <c r="AF39" s="20"/>
    </row>
    <row r="40" spans="1:32" ht="19.5">
      <c r="A40" s="20"/>
      <c r="B40" s="20"/>
      <c r="C40" s="20"/>
      <c r="D40" s="20"/>
      <c r="E40" s="20"/>
      <c r="F40" s="20"/>
      <c r="G40" s="124"/>
      <c r="H40" s="20"/>
      <c r="I40" s="20"/>
      <c r="J40" s="20">
        <v>2025</v>
      </c>
      <c r="K40" s="124">
        <v>1882</v>
      </c>
      <c r="L40" s="127"/>
      <c r="M40" s="20"/>
      <c r="N40" s="20"/>
      <c r="O40" s="20"/>
      <c r="P40" s="124"/>
      <c r="Q40" s="127"/>
      <c r="R40" s="20"/>
      <c r="S40" s="20"/>
      <c r="T40" s="20"/>
      <c r="U40" s="124"/>
      <c r="V40" s="127"/>
      <c r="W40" s="20"/>
      <c r="X40" s="20"/>
      <c r="Y40" s="20"/>
      <c r="Z40" s="20"/>
      <c r="AA40" s="20"/>
      <c r="AB40" s="20">
        <f t="shared" si="48"/>
        <v>0</v>
      </c>
      <c r="AC40" s="20"/>
      <c r="AD40" s="20"/>
      <c r="AE40" s="20"/>
      <c r="AF40" s="20"/>
    </row>
    <row r="41" spans="1:32" ht="19.5">
      <c r="A41" s="20"/>
      <c r="B41" s="20"/>
      <c r="C41" s="20"/>
      <c r="D41" s="20"/>
      <c r="E41" s="20"/>
      <c r="F41" s="20"/>
      <c r="G41" s="124"/>
      <c r="H41" s="20"/>
      <c r="I41" s="20"/>
      <c r="J41" s="20">
        <v>2026</v>
      </c>
      <c r="K41" s="124">
        <v>1910</v>
      </c>
      <c r="L41" s="127"/>
      <c r="M41" s="20"/>
      <c r="N41" s="20"/>
      <c r="O41" s="20"/>
      <c r="P41" s="124"/>
      <c r="Q41" s="127"/>
      <c r="R41" s="20"/>
      <c r="S41" s="20"/>
      <c r="T41" s="20"/>
      <c r="U41" s="124"/>
      <c r="V41" s="127"/>
      <c r="W41" s="20"/>
      <c r="X41" s="20"/>
      <c r="Y41" s="20"/>
      <c r="Z41" s="20"/>
      <c r="AA41" s="20"/>
      <c r="AB41" s="20">
        <f t="shared" si="48"/>
        <v>0</v>
      </c>
      <c r="AC41" s="20"/>
      <c r="AD41" s="20"/>
      <c r="AE41" s="20"/>
      <c r="AF41" s="20"/>
    </row>
    <row r="42" spans="1:32" ht="19.5">
      <c r="A42" s="20"/>
      <c r="B42" s="20"/>
      <c r="C42" s="20"/>
      <c r="D42" s="20"/>
      <c r="E42" s="20"/>
      <c r="F42" s="20"/>
      <c r="G42" s="124"/>
      <c r="H42" s="20"/>
      <c r="I42" s="20"/>
      <c r="J42" s="20"/>
      <c r="K42" s="124"/>
      <c r="L42" s="127"/>
      <c r="M42" s="20"/>
      <c r="N42" s="20"/>
      <c r="O42" s="20"/>
      <c r="P42" s="124"/>
      <c r="Q42" s="127"/>
      <c r="R42" s="20"/>
      <c r="S42" s="20"/>
      <c r="T42" s="20"/>
      <c r="U42" s="124"/>
      <c r="V42" s="127"/>
      <c r="W42" s="20"/>
      <c r="X42" s="20"/>
      <c r="Y42" s="20"/>
      <c r="Z42" s="20"/>
      <c r="AA42" s="20"/>
      <c r="AB42" s="20">
        <f t="shared" si="48"/>
        <v>0</v>
      </c>
      <c r="AC42" s="20"/>
      <c r="AD42" s="20"/>
      <c r="AE42" s="20"/>
      <c r="AF42" s="20"/>
    </row>
    <row r="43" spans="1:32" ht="19.5">
      <c r="A43" s="20"/>
      <c r="B43" s="20"/>
      <c r="C43" s="20"/>
      <c r="D43" s="20"/>
      <c r="E43" s="20"/>
      <c r="F43" s="20"/>
      <c r="G43" s="124"/>
      <c r="H43" s="20"/>
      <c r="I43" s="20"/>
      <c r="J43" s="20"/>
      <c r="K43" s="124"/>
      <c r="L43" s="127"/>
      <c r="M43" s="20"/>
      <c r="N43" s="20"/>
      <c r="O43" s="20"/>
      <c r="P43" s="124"/>
      <c r="Q43" s="127"/>
      <c r="R43" s="20"/>
      <c r="S43" s="20"/>
      <c r="T43" s="20"/>
      <c r="U43" s="124"/>
      <c r="V43" s="127"/>
      <c r="W43" s="20"/>
      <c r="X43" s="20"/>
      <c r="Y43" s="20"/>
      <c r="Z43" s="20"/>
      <c r="AA43" s="20"/>
      <c r="AB43" s="20">
        <f t="shared" si="48"/>
        <v>0</v>
      </c>
      <c r="AC43" s="20"/>
      <c r="AD43" s="20"/>
      <c r="AE43" s="20"/>
      <c r="AF43" s="20"/>
    </row>
    <row r="44" spans="1:32" ht="19.5">
      <c r="A44" s="20"/>
      <c r="B44" s="20"/>
      <c r="C44" s="20"/>
      <c r="D44" s="20"/>
      <c r="E44" s="20"/>
      <c r="F44" s="20"/>
      <c r="G44" s="124"/>
      <c r="H44" s="20"/>
      <c r="I44" s="20"/>
      <c r="J44" s="20"/>
      <c r="K44" s="124"/>
      <c r="L44" s="127"/>
      <c r="M44" s="20"/>
      <c r="N44" s="20"/>
      <c r="O44" s="20"/>
      <c r="P44" s="124"/>
      <c r="Q44" s="127"/>
      <c r="R44" s="20"/>
      <c r="S44" s="20"/>
      <c r="T44" s="20"/>
      <c r="U44" s="124"/>
      <c r="V44" s="127"/>
      <c r="W44" s="20"/>
      <c r="X44" s="20"/>
      <c r="Y44" s="20"/>
      <c r="Z44" s="20"/>
      <c r="AA44" s="20"/>
      <c r="AB44" s="20">
        <f t="shared" si="48"/>
        <v>0</v>
      </c>
      <c r="AC44" s="20"/>
      <c r="AD44" s="20"/>
      <c r="AE44" s="20"/>
      <c r="AF44" s="20"/>
    </row>
    <row r="45" spans="1:32" ht="19.5">
      <c r="A45" s="20"/>
      <c r="B45" s="20"/>
      <c r="C45" s="20"/>
      <c r="D45" s="20"/>
      <c r="E45" s="20"/>
      <c r="F45" s="20"/>
      <c r="G45" s="124"/>
      <c r="H45" s="20"/>
      <c r="I45" s="20"/>
      <c r="J45" s="20"/>
      <c r="K45" s="124"/>
      <c r="L45" s="127"/>
      <c r="M45" s="20"/>
      <c r="N45" s="20"/>
      <c r="O45" s="20"/>
      <c r="P45" s="124"/>
      <c r="Q45" s="127"/>
      <c r="R45" s="20"/>
      <c r="S45" s="20"/>
      <c r="T45" s="20"/>
      <c r="U45" s="124"/>
      <c r="V45" s="127"/>
      <c r="W45" s="20"/>
      <c r="X45" s="20"/>
      <c r="Y45" s="20"/>
      <c r="Z45" s="20"/>
      <c r="AA45" s="20"/>
      <c r="AB45" s="20">
        <f t="shared" si="48"/>
        <v>0</v>
      </c>
      <c r="AC45" s="20"/>
      <c r="AD45" s="20"/>
      <c r="AE45" s="20"/>
      <c r="AF45" s="20"/>
    </row>
    <row r="46" spans="1:32" ht="19.5">
      <c r="A46" s="20"/>
      <c r="B46" s="20"/>
      <c r="C46" s="20"/>
      <c r="D46" s="20"/>
      <c r="E46" s="20"/>
      <c r="F46" s="20"/>
      <c r="G46" s="124"/>
      <c r="H46" s="20"/>
      <c r="I46" s="20"/>
      <c r="J46" s="20"/>
      <c r="K46" s="124"/>
      <c r="L46" s="127"/>
      <c r="M46" s="20"/>
      <c r="N46" s="20"/>
      <c r="O46" s="20"/>
      <c r="P46" s="124"/>
      <c r="Q46" s="127"/>
      <c r="R46" s="20"/>
      <c r="S46" s="20"/>
      <c r="T46" s="20"/>
      <c r="U46" s="124"/>
      <c r="V46" s="127"/>
      <c r="W46" s="20"/>
      <c r="X46" s="20"/>
      <c r="Y46" s="20"/>
      <c r="Z46" s="20"/>
      <c r="AA46" s="20"/>
      <c r="AB46" s="20">
        <f t="shared" si="48"/>
        <v>0</v>
      </c>
      <c r="AC46" s="20"/>
      <c r="AD46" s="20"/>
      <c r="AE46" s="20"/>
      <c r="AF46" s="20"/>
    </row>
    <row r="47" spans="1:32" ht="19.5">
      <c r="A47" s="20"/>
      <c r="B47" s="20"/>
      <c r="C47" s="20"/>
      <c r="D47" s="20"/>
      <c r="E47" s="20"/>
      <c r="F47" s="20"/>
      <c r="G47" s="124"/>
      <c r="H47" s="20"/>
      <c r="I47" s="20"/>
      <c r="J47" s="20"/>
      <c r="K47" s="124"/>
      <c r="L47" s="127"/>
      <c r="M47" s="20"/>
      <c r="N47" s="20"/>
      <c r="O47" s="20"/>
      <c r="P47" s="124"/>
      <c r="Q47" s="127"/>
      <c r="R47" s="20"/>
      <c r="S47" s="20"/>
      <c r="T47" s="20"/>
      <c r="U47" s="124"/>
      <c r="V47" s="127"/>
      <c r="W47" s="20"/>
      <c r="X47" s="20"/>
      <c r="Y47" s="20"/>
      <c r="Z47" s="20"/>
      <c r="AA47" s="20"/>
      <c r="AB47" s="20">
        <f t="shared" si="48"/>
        <v>0</v>
      </c>
      <c r="AC47" s="20"/>
      <c r="AD47" s="20"/>
      <c r="AE47" s="20"/>
      <c r="AF47" s="20"/>
    </row>
    <row r="48" spans="1:32" ht="19.5">
      <c r="A48" s="20"/>
      <c r="B48" s="20"/>
      <c r="C48" s="20"/>
      <c r="D48" s="20"/>
      <c r="E48" s="20"/>
      <c r="F48" s="20"/>
      <c r="G48" s="124"/>
      <c r="H48" s="20"/>
      <c r="I48" s="20"/>
      <c r="J48" s="20"/>
      <c r="K48" s="124"/>
      <c r="L48" s="127"/>
      <c r="M48" s="20"/>
      <c r="N48" s="20"/>
      <c r="O48" s="20"/>
      <c r="P48" s="124"/>
      <c r="Q48" s="127"/>
      <c r="R48" s="20"/>
      <c r="S48" s="20"/>
      <c r="T48" s="20"/>
      <c r="U48" s="124"/>
      <c r="V48" s="127"/>
      <c r="W48" s="20"/>
      <c r="X48" s="20"/>
      <c r="Y48" s="20"/>
      <c r="Z48" s="20"/>
      <c r="AA48" s="20"/>
      <c r="AB48" s="20">
        <f t="shared" si="48"/>
        <v>0</v>
      </c>
      <c r="AC48" s="20"/>
      <c r="AD48" s="20"/>
      <c r="AE48" s="20"/>
      <c r="AF48" s="20"/>
    </row>
    <row r="49" spans="1:32" ht="19.5">
      <c r="A49" s="20"/>
      <c r="B49" s="20"/>
      <c r="C49" s="20"/>
      <c r="D49" s="20"/>
      <c r="E49" s="20"/>
      <c r="F49" s="20"/>
      <c r="G49" s="124"/>
      <c r="H49" s="20"/>
      <c r="I49" s="20"/>
      <c r="J49" s="20"/>
      <c r="K49" s="124"/>
      <c r="L49" s="127"/>
      <c r="M49" s="20"/>
      <c r="N49" s="20"/>
      <c r="O49" s="20"/>
      <c r="P49" s="124"/>
      <c r="Q49" s="127"/>
      <c r="R49" s="20"/>
      <c r="S49" s="20"/>
      <c r="T49" s="20"/>
      <c r="U49" s="124"/>
      <c r="V49" s="127"/>
      <c r="W49" s="20"/>
      <c r="X49" s="20"/>
      <c r="Y49" s="20"/>
      <c r="Z49" s="20"/>
      <c r="AA49" s="20"/>
      <c r="AB49" s="20">
        <f t="shared" si="48"/>
        <v>0</v>
      </c>
      <c r="AC49" s="20"/>
      <c r="AD49" s="20"/>
      <c r="AE49" s="20"/>
      <c r="AF49" s="20"/>
    </row>
    <row r="50" spans="1:32" ht="19.5">
      <c r="A50" s="20"/>
      <c r="B50" s="20"/>
      <c r="C50" s="20"/>
      <c r="D50" s="20"/>
      <c r="E50" s="20"/>
      <c r="F50" s="20"/>
      <c r="G50" s="124"/>
      <c r="H50" s="20"/>
      <c r="I50" s="20"/>
      <c r="J50" s="20"/>
      <c r="K50" s="124"/>
      <c r="L50" s="127"/>
      <c r="M50" s="20"/>
      <c r="N50" s="20"/>
      <c r="O50" s="20"/>
      <c r="P50" s="124"/>
      <c r="Q50" s="127"/>
      <c r="R50" s="20"/>
      <c r="S50" s="20"/>
      <c r="T50" s="20"/>
      <c r="U50" s="124"/>
      <c r="V50" s="127"/>
      <c r="W50" s="20"/>
      <c r="X50" s="20"/>
      <c r="Y50" s="20"/>
      <c r="Z50" s="20"/>
      <c r="AA50" s="20"/>
      <c r="AB50" s="20">
        <f t="shared" si="48"/>
        <v>0</v>
      </c>
      <c r="AC50" s="20"/>
      <c r="AD50" s="20"/>
      <c r="AE50" s="20"/>
      <c r="AF50" s="20"/>
    </row>
    <row r="51" spans="1:32" ht="19.5">
      <c r="A51" s="20"/>
      <c r="B51" s="20"/>
      <c r="C51" s="20"/>
      <c r="D51" s="20"/>
      <c r="E51" s="20"/>
      <c r="F51" s="20"/>
      <c r="G51" s="124"/>
      <c r="H51" s="20"/>
      <c r="I51" s="20"/>
      <c r="J51" s="20"/>
      <c r="K51" s="124"/>
      <c r="L51" s="127"/>
      <c r="M51" s="20"/>
      <c r="N51" s="20"/>
      <c r="O51" s="20"/>
      <c r="P51" s="124"/>
      <c r="Q51" s="127"/>
      <c r="R51" s="20"/>
      <c r="S51" s="20"/>
      <c r="T51" s="20"/>
      <c r="U51" s="124"/>
      <c r="V51" s="127"/>
      <c r="W51" s="20"/>
      <c r="X51" s="20"/>
      <c r="Y51" s="20"/>
      <c r="Z51" s="20"/>
      <c r="AA51" s="20"/>
      <c r="AB51" s="20">
        <f t="shared" si="48"/>
        <v>0</v>
      </c>
      <c r="AC51" s="20"/>
      <c r="AD51" s="20"/>
      <c r="AE51" s="20"/>
      <c r="AF51" s="20"/>
    </row>
    <row r="52" spans="1:32" ht="19.5">
      <c r="A52" s="20"/>
      <c r="B52" s="20"/>
      <c r="C52" s="20"/>
      <c r="D52" s="20"/>
      <c r="E52" s="20"/>
      <c r="F52" s="20"/>
      <c r="G52" s="124"/>
      <c r="H52" s="20"/>
      <c r="I52" s="20"/>
      <c r="J52" s="20"/>
      <c r="K52" s="124"/>
      <c r="L52" s="127"/>
      <c r="M52" s="20"/>
      <c r="N52" s="20"/>
      <c r="O52" s="20"/>
      <c r="P52" s="124"/>
      <c r="Q52" s="127"/>
      <c r="R52" s="20"/>
      <c r="S52" s="20"/>
      <c r="T52" s="20"/>
      <c r="U52" s="124"/>
      <c r="V52" s="127"/>
      <c r="W52" s="20"/>
      <c r="X52" s="20"/>
      <c r="Y52" s="20"/>
      <c r="Z52" s="20"/>
      <c r="AA52" s="20"/>
      <c r="AB52" s="20">
        <f t="shared" si="48"/>
        <v>0</v>
      </c>
      <c r="AC52" s="20"/>
      <c r="AD52" s="20"/>
      <c r="AE52" s="20"/>
      <c r="AF52" s="20"/>
    </row>
    <row r="53" spans="1:32" ht="19.5">
      <c r="A53" s="20"/>
      <c r="B53" s="20"/>
      <c r="C53" s="20"/>
      <c r="D53" s="20"/>
      <c r="E53" s="20"/>
      <c r="F53" s="20"/>
      <c r="G53" s="124"/>
      <c r="H53" s="20"/>
      <c r="I53" s="20"/>
      <c r="J53" s="20"/>
      <c r="K53" s="124"/>
      <c r="L53" s="127"/>
      <c r="M53" s="20"/>
      <c r="N53" s="20"/>
      <c r="O53" s="20"/>
      <c r="P53" s="124"/>
      <c r="Q53" s="127"/>
      <c r="R53" s="20"/>
      <c r="S53" s="20"/>
      <c r="T53" s="20"/>
      <c r="U53" s="124"/>
      <c r="V53" s="127"/>
      <c r="W53" s="20"/>
      <c r="X53" s="20"/>
      <c r="Y53" s="20"/>
      <c r="Z53" s="20"/>
      <c r="AA53" s="20"/>
      <c r="AB53" s="20"/>
      <c r="AC53" s="20"/>
      <c r="AD53" s="20"/>
      <c r="AE53" s="20"/>
      <c r="AF53" s="20"/>
    </row>
    <row r="54" spans="1:32" ht="19.5">
      <c r="A54" s="20"/>
      <c r="B54" s="20"/>
      <c r="C54" s="20"/>
      <c r="D54" s="20"/>
      <c r="E54" s="20"/>
      <c r="F54" s="20"/>
      <c r="G54" s="124"/>
      <c r="H54" s="20"/>
      <c r="I54" s="20"/>
      <c r="J54" s="20"/>
      <c r="K54" s="124"/>
      <c r="L54" s="127"/>
      <c r="M54" s="20"/>
      <c r="N54" s="20"/>
      <c r="O54" s="20"/>
      <c r="P54" s="124"/>
      <c r="Q54" s="127"/>
      <c r="R54" s="20"/>
      <c r="S54" s="20"/>
      <c r="T54" s="20"/>
      <c r="U54" s="124"/>
      <c r="V54" s="127"/>
      <c r="W54" s="20"/>
      <c r="X54" s="20"/>
      <c r="Y54" s="20"/>
      <c r="Z54" s="20"/>
      <c r="AA54" s="20"/>
      <c r="AB54" s="20"/>
      <c r="AC54" s="20"/>
      <c r="AD54" s="20"/>
      <c r="AE54" s="20"/>
      <c r="AF54" s="20"/>
    </row>
    <row r="55" spans="1:32" ht="19.5">
      <c r="A55" s="20"/>
      <c r="B55" s="20"/>
      <c r="C55" s="20"/>
      <c r="D55" s="20"/>
      <c r="E55" s="20"/>
      <c r="F55" s="20"/>
      <c r="G55" s="124"/>
      <c r="H55" s="20"/>
      <c r="I55" s="20"/>
      <c r="J55" s="20"/>
      <c r="K55" s="124"/>
      <c r="L55" s="127"/>
      <c r="M55" s="20"/>
      <c r="N55" s="20"/>
      <c r="O55" s="20"/>
      <c r="P55" s="124"/>
      <c r="Q55" s="127"/>
      <c r="R55" s="20"/>
      <c r="S55" s="20"/>
      <c r="T55" s="20"/>
      <c r="U55" s="124"/>
      <c r="V55" s="127"/>
      <c r="W55" s="20"/>
      <c r="X55" s="20"/>
      <c r="Y55" s="20"/>
      <c r="Z55" s="20"/>
      <c r="AA55" s="20"/>
      <c r="AB55" s="20"/>
      <c r="AC55" s="20"/>
      <c r="AD55" s="20"/>
      <c r="AE55" s="20"/>
      <c r="AF55" s="20"/>
    </row>
    <row r="56" spans="1:32" ht="19.5">
      <c r="A56" s="20"/>
      <c r="B56" s="20"/>
      <c r="C56" s="20"/>
      <c r="D56" s="20"/>
      <c r="E56" s="20"/>
      <c r="F56" s="20"/>
      <c r="G56" s="124"/>
      <c r="H56" s="20"/>
      <c r="I56" s="20"/>
      <c r="J56" s="20"/>
      <c r="K56" s="124"/>
      <c r="L56" s="127"/>
      <c r="M56" s="20"/>
      <c r="N56" s="20"/>
      <c r="O56" s="20"/>
      <c r="P56" s="124"/>
      <c r="Q56" s="127"/>
      <c r="R56" s="20"/>
      <c r="S56" s="20"/>
      <c r="T56" s="20"/>
      <c r="U56" s="124"/>
      <c r="V56" s="127"/>
      <c r="W56" s="20"/>
      <c r="X56" s="20"/>
      <c r="Y56" s="20"/>
      <c r="Z56" s="20"/>
      <c r="AA56" s="20"/>
      <c r="AB56" s="20"/>
      <c r="AC56" s="20"/>
      <c r="AD56" s="20"/>
      <c r="AE56" s="20"/>
      <c r="AF56" s="20"/>
    </row>
    <row r="57" spans="1:32" ht="19.5">
      <c r="A57" s="20"/>
      <c r="B57" s="20"/>
      <c r="C57" s="20"/>
      <c r="D57" s="20"/>
      <c r="E57" s="20"/>
      <c r="F57" s="20"/>
      <c r="G57" s="124"/>
      <c r="H57" s="20"/>
      <c r="I57" s="20"/>
      <c r="J57" s="20"/>
      <c r="K57" s="124"/>
      <c r="L57" s="127"/>
      <c r="M57" s="20"/>
      <c r="N57" s="20"/>
      <c r="O57" s="20"/>
      <c r="P57" s="124"/>
      <c r="Q57" s="127"/>
      <c r="R57" s="20"/>
      <c r="S57" s="20"/>
      <c r="T57" s="20"/>
      <c r="U57" s="124"/>
      <c r="V57" s="127"/>
      <c r="W57" s="20"/>
      <c r="X57" s="20"/>
      <c r="Y57" s="20"/>
      <c r="Z57" s="20"/>
      <c r="AA57" s="20"/>
      <c r="AB57" s="20"/>
      <c r="AC57" s="20"/>
      <c r="AD57" s="20"/>
      <c r="AE57" s="20"/>
      <c r="AF57" s="20"/>
    </row>
    <row r="58" spans="1:32" ht="19.5">
      <c r="A58" s="20"/>
      <c r="B58" s="20"/>
      <c r="C58" s="20"/>
      <c r="D58" s="20"/>
      <c r="E58" s="20"/>
      <c r="F58" s="20"/>
      <c r="G58" s="124"/>
      <c r="H58" s="20"/>
      <c r="I58" s="20"/>
      <c r="J58" s="20"/>
      <c r="K58" s="124"/>
      <c r="L58" s="127"/>
      <c r="M58" s="20"/>
      <c r="N58" s="20"/>
      <c r="O58" s="20"/>
      <c r="P58" s="124"/>
      <c r="Q58" s="127"/>
      <c r="R58" s="20"/>
      <c r="S58" s="20"/>
      <c r="T58" s="20"/>
      <c r="U58" s="124"/>
      <c r="V58" s="127"/>
      <c r="W58" s="20"/>
      <c r="X58" s="20"/>
      <c r="Y58" s="20"/>
      <c r="Z58" s="20"/>
      <c r="AA58" s="20"/>
      <c r="AB58" s="20"/>
      <c r="AC58" s="20"/>
      <c r="AD58" s="20"/>
      <c r="AE58" s="20"/>
      <c r="AF58" s="20"/>
    </row>
    <row r="59" spans="1:32" ht="19.5">
      <c r="A59" s="20"/>
      <c r="B59" s="20"/>
      <c r="C59" s="20"/>
      <c r="D59" s="20"/>
      <c r="E59" s="20"/>
      <c r="F59" s="20"/>
      <c r="G59" s="124"/>
      <c r="H59" s="20"/>
      <c r="I59" s="20"/>
      <c r="J59" s="20"/>
      <c r="K59" s="124"/>
      <c r="L59" s="127"/>
      <c r="M59" s="20"/>
      <c r="N59" s="20"/>
      <c r="O59" s="20"/>
      <c r="P59" s="124"/>
      <c r="Q59" s="127"/>
      <c r="R59" s="20"/>
      <c r="S59" s="20"/>
      <c r="T59" s="20"/>
      <c r="U59" s="124"/>
      <c r="V59" s="127"/>
      <c r="W59" s="20"/>
      <c r="X59" s="20"/>
      <c r="Y59" s="20"/>
      <c r="Z59" s="20"/>
      <c r="AA59" s="20"/>
      <c r="AB59" s="20"/>
      <c r="AC59" s="20"/>
      <c r="AD59" s="20"/>
      <c r="AE59" s="20"/>
      <c r="AF59" s="20"/>
    </row>
    <row r="60" spans="1:32" ht="19.5">
      <c r="A60" s="20"/>
      <c r="B60" s="20"/>
      <c r="C60" s="624" t="s">
        <v>201</v>
      </c>
      <c r="D60" s="625"/>
      <c r="E60" s="20"/>
      <c r="F60" s="20"/>
      <c r="G60" s="124"/>
      <c r="H60" s="20"/>
      <c r="I60" s="20"/>
      <c r="J60" s="20"/>
      <c r="K60" s="124"/>
      <c r="L60" s="127"/>
      <c r="M60" s="20"/>
      <c r="N60" s="20"/>
      <c r="O60" s="20"/>
      <c r="P60" s="124"/>
      <c r="Q60" s="127"/>
      <c r="R60" s="20"/>
      <c r="S60" s="20"/>
      <c r="T60" s="20"/>
      <c r="U60" s="124"/>
      <c r="V60" s="127"/>
      <c r="W60" s="20"/>
      <c r="X60" s="20"/>
      <c r="Y60" s="20"/>
      <c r="Z60" s="20"/>
      <c r="AA60" s="20"/>
      <c r="AB60" s="20"/>
      <c r="AC60" s="20"/>
      <c r="AD60" s="20"/>
      <c r="AE60" s="20"/>
      <c r="AF60" s="20"/>
    </row>
    <row r="61" spans="1:32" ht="117">
      <c r="A61" s="20"/>
      <c r="B61" s="20"/>
      <c r="C61" s="28" t="s">
        <v>219</v>
      </c>
      <c r="D61" s="28" t="s">
        <v>220</v>
      </c>
      <c r="E61" s="28" t="s">
        <v>221</v>
      </c>
      <c r="F61" s="28">
        <v>2025</v>
      </c>
      <c r="G61" s="124"/>
      <c r="H61" s="20"/>
      <c r="I61" s="20"/>
      <c r="J61" s="20"/>
      <c r="K61" s="124"/>
      <c r="L61" s="127"/>
      <c r="M61" s="20"/>
      <c r="N61" s="20"/>
      <c r="O61" s="20"/>
      <c r="P61" s="124"/>
      <c r="Q61" s="127"/>
      <c r="R61" s="20"/>
      <c r="S61" s="20"/>
      <c r="T61" s="20"/>
      <c r="U61" s="124"/>
      <c r="V61" s="127"/>
      <c r="W61" s="20"/>
      <c r="X61" s="20"/>
      <c r="Y61" s="20"/>
      <c r="Z61" s="20"/>
      <c r="AA61" s="20"/>
      <c r="AB61" s="20"/>
      <c r="AC61" s="20"/>
      <c r="AD61" s="20"/>
      <c r="AE61" s="20"/>
      <c r="AF61" s="20"/>
    </row>
    <row r="62" spans="1:32" ht="409.5">
      <c r="A62" s="20"/>
      <c r="B62" s="20"/>
      <c r="C62" s="20" t="s">
        <v>222</v>
      </c>
      <c r="D62" s="20" t="s">
        <v>223</v>
      </c>
      <c r="E62" s="20" t="s">
        <v>224</v>
      </c>
      <c r="F62" s="20" t="s">
        <v>225</v>
      </c>
      <c r="G62" s="124"/>
      <c r="H62" s="20"/>
      <c r="I62" s="20"/>
      <c r="J62" s="20"/>
      <c r="K62" s="124"/>
      <c r="L62" s="127"/>
      <c r="M62" s="20"/>
      <c r="N62" s="20"/>
      <c r="O62" s="20"/>
      <c r="P62" s="124"/>
      <c r="Q62" s="127"/>
      <c r="R62" s="20"/>
      <c r="S62" s="20"/>
      <c r="T62" s="20"/>
      <c r="U62" s="124"/>
      <c r="V62" s="127"/>
      <c r="W62" s="20"/>
      <c r="X62" s="20"/>
      <c r="Y62" s="20"/>
      <c r="Z62" s="20"/>
      <c r="AA62" s="20"/>
      <c r="AB62" s="20"/>
      <c r="AC62" s="20"/>
      <c r="AD62" s="20"/>
      <c r="AE62" s="20"/>
      <c r="AF62" s="20"/>
    </row>
    <row r="63" spans="1:32" ht="19.5">
      <c r="A63" s="20"/>
      <c r="B63" s="20"/>
      <c r="C63" s="20"/>
      <c r="D63" s="20"/>
      <c r="E63" s="20"/>
      <c r="F63" s="20"/>
      <c r="G63" s="124"/>
      <c r="H63" s="20"/>
      <c r="I63" s="20"/>
      <c r="J63" s="20"/>
      <c r="K63" s="124"/>
      <c r="L63" s="127"/>
      <c r="M63" s="20"/>
      <c r="N63" s="20"/>
      <c r="O63" s="20"/>
      <c r="P63" s="124"/>
      <c r="Q63" s="127"/>
      <c r="R63" s="20"/>
      <c r="S63" s="20"/>
      <c r="T63" s="20"/>
      <c r="U63" s="124"/>
      <c r="V63" s="127"/>
      <c r="W63" s="20"/>
      <c r="X63" s="20"/>
      <c r="Y63" s="20"/>
      <c r="Z63" s="20"/>
      <c r="AA63" s="20"/>
      <c r="AB63" s="20"/>
      <c r="AC63" s="20"/>
      <c r="AD63" s="20"/>
      <c r="AE63" s="20"/>
      <c r="AF63" s="20"/>
    </row>
    <row r="64" spans="1:32" ht="19.5">
      <c r="A64" s="20"/>
      <c r="B64" s="20"/>
      <c r="C64" s="20"/>
      <c r="D64" s="20"/>
      <c r="E64" s="20"/>
      <c r="F64" s="20"/>
      <c r="G64" s="124"/>
      <c r="H64" s="20"/>
      <c r="I64" s="20"/>
      <c r="J64" s="20"/>
      <c r="K64" s="124"/>
      <c r="L64" s="127"/>
      <c r="M64" s="20"/>
      <c r="N64" s="20"/>
      <c r="O64" s="20"/>
      <c r="P64" s="124"/>
      <c r="Q64" s="127"/>
      <c r="R64" s="20"/>
      <c r="S64" s="20"/>
      <c r="T64" s="20"/>
      <c r="U64" s="124"/>
      <c r="V64" s="127"/>
      <c r="W64" s="20"/>
      <c r="X64" s="20"/>
      <c r="Y64" s="20"/>
      <c r="Z64" s="20"/>
      <c r="AA64" s="20"/>
      <c r="AB64" s="20"/>
      <c r="AC64" s="20"/>
      <c r="AD64" s="20"/>
      <c r="AE64" s="20"/>
      <c r="AF64" s="20"/>
    </row>
    <row r="65" spans="1:32" ht="19.5">
      <c r="A65" s="20"/>
      <c r="B65" s="20"/>
      <c r="C65" s="20"/>
      <c r="D65" s="20"/>
      <c r="E65" s="20"/>
      <c r="F65" s="20"/>
      <c r="G65" s="124"/>
      <c r="H65" s="20"/>
      <c r="I65" s="20"/>
      <c r="J65" s="20"/>
      <c r="K65" s="124"/>
      <c r="L65" s="127"/>
      <c r="M65" s="20"/>
      <c r="N65" s="20"/>
      <c r="O65" s="20"/>
      <c r="P65" s="124"/>
      <c r="Q65" s="127"/>
      <c r="R65" s="20"/>
      <c r="S65" s="20"/>
      <c r="T65" s="20"/>
      <c r="U65" s="124"/>
      <c r="V65" s="127"/>
      <c r="W65" s="20"/>
      <c r="X65" s="20"/>
      <c r="Y65" s="20"/>
      <c r="Z65" s="20"/>
      <c r="AA65" s="20"/>
      <c r="AB65" s="20"/>
      <c r="AC65" s="20"/>
      <c r="AD65" s="20"/>
      <c r="AE65" s="20"/>
      <c r="AF65" s="20"/>
    </row>
    <row r="66" spans="1:32" ht="19.5">
      <c r="A66" s="20"/>
      <c r="B66" s="20"/>
      <c r="C66" s="20"/>
      <c r="D66" s="20"/>
      <c r="E66" s="20"/>
      <c r="F66" s="20"/>
      <c r="G66" s="124"/>
      <c r="H66" s="20"/>
      <c r="I66" s="20"/>
      <c r="J66" s="20"/>
      <c r="K66" s="124"/>
      <c r="L66" s="127"/>
      <c r="M66" s="20"/>
      <c r="N66" s="20"/>
      <c r="O66" s="20"/>
      <c r="P66" s="124"/>
      <c r="Q66" s="127"/>
      <c r="R66" s="20"/>
      <c r="S66" s="20"/>
      <c r="T66" s="20"/>
      <c r="U66" s="124"/>
      <c r="V66" s="127"/>
      <c r="W66" s="20"/>
      <c r="X66" s="20"/>
      <c r="Y66" s="20"/>
      <c r="Z66" s="20"/>
      <c r="AA66" s="20"/>
      <c r="AB66" s="20"/>
      <c r="AC66" s="20"/>
      <c r="AD66" s="20"/>
      <c r="AE66" s="20"/>
      <c r="AF66" s="20"/>
    </row>
    <row r="67" spans="1:32" ht="19.5">
      <c r="A67" s="20"/>
      <c r="B67" s="20"/>
      <c r="C67" s="20"/>
      <c r="D67" s="20"/>
      <c r="E67" s="20"/>
      <c r="F67" s="20"/>
      <c r="G67" s="124"/>
      <c r="H67" s="20"/>
      <c r="I67" s="20"/>
      <c r="J67" s="20"/>
      <c r="K67" s="124"/>
      <c r="L67" s="127"/>
      <c r="M67" s="20"/>
      <c r="N67" s="20"/>
      <c r="O67" s="20"/>
      <c r="P67" s="124"/>
      <c r="Q67" s="127"/>
      <c r="R67" s="20"/>
      <c r="S67" s="20"/>
      <c r="T67" s="20"/>
      <c r="U67" s="124"/>
      <c r="V67" s="127"/>
      <c r="W67" s="20"/>
      <c r="X67" s="20"/>
      <c r="Y67" s="20"/>
      <c r="Z67" s="20"/>
      <c r="AA67" s="20"/>
      <c r="AB67" s="20"/>
      <c r="AC67" s="20"/>
      <c r="AD67" s="20"/>
      <c r="AE67" s="20"/>
      <c r="AF67" s="20"/>
    </row>
    <row r="68" spans="1:32" ht="19.5">
      <c r="A68" s="20"/>
      <c r="B68" s="20"/>
      <c r="C68" s="20"/>
      <c r="D68" s="20"/>
      <c r="E68" s="20"/>
      <c r="F68" s="20"/>
      <c r="G68" s="124"/>
      <c r="H68" s="20"/>
      <c r="I68" s="20"/>
      <c r="J68" s="20"/>
      <c r="K68" s="124"/>
      <c r="L68" s="127"/>
      <c r="M68" s="20"/>
      <c r="N68" s="20"/>
      <c r="O68" s="20"/>
      <c r="P68" s="124"/>
      <c r="Q68" s="127"/>
      <c r="R68" s="20"/>
      <c r="S68" s="20"/>
      <c r="T68" s="20"/>
      <c r="U68" s="124"/>
      <c r="V68" s="127"/>
      <c r="W68" s="20"/>
      <c r="X68" s="20"/>
      <c r="Y68" s="20"/>
      <c r="Z68" s="20"/>
      <c r="AA68" s="20"/>
      <c r="AB68" s="20"/>
      <c r="AC68" s="20"/>
      <c r="AD68" s="20"/>
      <c r="AE68" s="20"/>
      <c r="AF68" s="20"/>
    </row>
    <row r="69" spans="1:32" ht="19.5">
      <c r="A69" s="20"/>
      <c r="B69" s="20"/>
      <c r="C69" s="20"/>
      <c r="D69" s="20"/>
      <c r="E69" s="20"/>
      <c r="F69" s="20"/>
      <c r="G69" s="124"/>
      <c r="H69" s="20"/>
      <c r="I69" s="20"/>
      <c r="J69" s="20"/>
      <c r="K69" s="124"/>
      <c r="L69" s="127"/>
      <c r="M69" s="20"/>
      <c r="N69" s="20"/>
      <c r="O69" s="20"/>
      <c r="P69" s="124"/>
      <c r="Q69" s="127"/>
      <c r="R69" s="20"/>
      <c r="S69" s="20"/>
      <c r="T69" s="20"/>
      <c r="U69" s="124"/>
      <c r="V69" s="127"/>
      <c r="W69" s="20"/>
      <c r="X69" s="20"/>
      <c r="Y69" s="20"/>
      <c r="Z69" s="20"/>
      <c r="AA69" s="20"/>
      <c r="AB69" s="20"/>
      <c r="AC69" s="20"/>
      <c r="AD69" s="20"/>
      <c r="AE69" s="20"/>
      <c r="AF69" s="20"/>
    </row>
    <row r="70" spans="1:32" ht="19.5">
      <c r="A70" s="20"/>
      <c r="B70" s="20"/>
      <c r="C70" s="20"/>
      <c r="D70" s="20"/>
      <c r="E70" s="20"/>
      <c r="F70" s="20"/>
      <c r="G70" s="124"/>
      <c r="H70" s="20"/>
      <c r="I70" s="20"/>
      <c r="J70" s="20"/>
      <c r="K70" s="124"/>
      <c r="L70" s="127"/>
      <c r="M70" s="20"/>
      <c r="N70" s="20"/>
      <c r="O70" s="20"/>
      <c r="P70" s="124"/>
      <c r="Q70" s="127"/>
      <c r="R70" s="20"/>
      <c r="S70" s="20"/>
      <c r="T70" s="20"/>
      <c r="U70" s="124"/>
      <c r="V70" s="127"/>
      <c r="W70" s="20"/>
      <c r="X70" s="20"/>
      <c r="Y70" s="20"/>
      <c r="Z70" s="20"/>
      <c r="AA70" s="20"/>
      <c r="AB70" s="20"/>
      <c r="AC70" s="20"/>
      <c r="AD70" s="20"/>
      <c r="AE70" s="20"/>
      <c r="AF70" s="20"/>
    </row>
    <row r="71" spans="1:32" ht="136.5">
      <c r="A71" s="20"/>
      <c r="B71" s="20"/>
      <c r="C71" s="20" t="s">
        <v>226</v>
      </c>
      <c r="D71" s="20">
        <v>2024</v>
      </c>
      <c r="E71" s="20">
        <v>2025</v>
      </c>
      <c r="F71" s="20">
        <v>2026</v>
      </c>
      <c r="G71" s="124"/>
      <c r="H71" s="20"/>
      <c r="I71" s="20"/>
      <c r="J71" s="20"/>
      <c r="K71" s="124"/>
      <c r="L71" s="127"/>
      <c r="M71" s="20"/>
      <c r="N71" s="20"/>
      <c r="O71" s="20"/>
      <c r="P71" s="124"/>
      <c r="Q71" s="127"/>
      <c r="R71" s="20"/>
      <c r="S71" s="20"/>
      <c r="T71" s="20"/>
      <c r="U71" s="124"/>
      <c r="V71" s="127"/>
      <c r="W71" s="20"/>
      <c r="X71" s="20"/>
      <c r="Y71" s="20"/>
      <c r="Z71" s="20"/>
      <c r="AA71" s="20"/>
      <c r="AB71" s="20"/>
      <c r="AC71" s="20"/>
      <c r="AD71" s="20"/>
      <c r="AE71" s="20"/>
      <c r="AF71" s="20"/>
    </row>
    <row r="72" spans="1:32" ht="409.5">
      <c r="A72" s="20"/>
      <c r="B72" s="20"/>
      <c r="C72" s="20" t="s">
        <v>227</v>
      </c>
      <c r="D72" s="20" t="s">
        <v>228</v>
      </c>
      <c r="E72" s="20" t="s">
        <v>229</v>
      </c>
      <c r="F72" s="20" t="s">
        <v>230</v>
      </c>
      <c r="G72" s="124"/>
      <c r="H72" s="20"/>
      <c r="I72" s="20"/>
      <c r="J72" s="20"/>
      <c r="K72" s="124"/>
      <c r="L72" s="127"/>
      <c r="M72" s="20"/>
      <c r="N72" s="20"/>
      <c r="O72" s="20"/>
      <c r="P72" s="124"/>
      <c r="Q72" s="127"/>
      <c r="R72" s="20"/>
      <c r="S72" s="20"/>
      <c r="T72" s="20"/>
      <c r="U72" s="124"/>
      <c r="V72" s="127"/>
      <c r="W72" s="20"/>
      <c r="X72" s="20"/>
      <c r="Y72" s="20"/>
      <c r="Z72" s="20"/>
      <c r="AA72" s="20"/>
      <c r="AB72" s="20"/>
      <c r="AC72" s="20"/>
      <c r="AD72" s="20"/>
      <c r="AE72" s="20"/>
      <c r="AF72" s="20"/>
    </row>
    <row r="73" spans="1:32" ht="409.5">
      <c r="A73" s="20"/>
      <c r="B73" s="20"/>
      <c r="C73" s="20" t="s">
        <v>231</v>
      </c>
      <c r="D73" s="20" t="s">
        <v>232</v>
      </c>
      <c r="E73" s="20"/>
      <c r="F73" s="20"/>
      <c r="G73" s="124"/>
      <c r="H73" s="20"/>
      <c r="I73" s="20"/>
      <c r="J73" s="20"/>
      <c r="K73" s="124"/>
      <c r="L73" s="127"/>
      <c r="M73" s="20"/>
      <c r="N73" s="20"/>
      <c r="O73" s="20"/>
      <c r="P73" s="124"/>
      <c r="Q73" s="127"/>
      <c r="R73" s="20"/>
      <c r="S73" s="20"/>
      <c r="T73" s="20"/>
      <c r="U73" s="124"/>
      <c r="V73" s="127"/>
      <c r="W73" s="20"/>
      <c r="X73" s="20"/>
      <c r="Y73" s="20"/>
      <c r="Z73" s="20"/>
      <c r="AA73" s="20"/>
      <c r="AB73" s="20"/>
      <c r="AC73" s="20"/>
      <c r="AD73" s="20"/>
      <c r="AE73" s="20"/>
      <c r="AF73" s="20"/>
    </row>
    <row r="74" spans="1:32" ht="19.5">
      <c r="A74" s="20"/>
      <c r="B74" s="20"/>
      <c r="C74" s="20"/>
      <c r="D74" s="20"/>
      <c r="E74" s="20"/>
      <c r="F74" s="20"/>
      <c r="G74" s="124"/>
      <c r="H74" s="20"/>
      <c r="I74" s="20"/>
      <c r="J74" s="20"/>
      <c r="K74" s="124"/>
      <c r="L74" s="127"/>
      <c r="M74" s="20"/>
      <c r="N74" s="20"/>
      <c r="O74" s="20"/>
      <c r="P74" s="124"/>
      <c r="Q74" s="127"/>
      <c r="R74" s="20"/>
      <c r="S74" s="20"/>
      <c r="T74" s="20"/>
      <c r="U74" s="124"/>
      <c r="V74" s="127"/>
      <c r="W74" s="20"/>
      <c r="X74" s="20"/>
      <c r="Y74" s="20"/>
      <c r="Z74" s="20"/>
      <c r="AA74" s="20"/>
      <c r="AB74" s="20"/>
      <c r="AC74" s="20"/>
      <c r="AD74" s="20"/>
      <c r="AE74" s="20"/>
      <c r="AF74" s="20"/>
    </row>
    <row r="75" spans="1:32" ht="19.5">
      <c r="A75" s="20"/>
      <c r="B75" s="20"/>
      <c r="C75" s="20"/>
      <c r="D75" s="20"/>
      <c r="E75" s="20"/>
      <c r="F75" s="20"/>
      <c r="G75" s="124"/>
      <c r="H75" s="20"/>
      <c r="I75" s="20"/>
      <c r="J75" s="20"/>
      <c r="K75" s="124"/>
      <c r="L75" s="127"/>
      <c r="M75" s="20"/>
      <c r="N75" s="20"/>
      <c r="O75" s="20"/>
      <c r="P75" s="124"/>
      <c r="Q75" s="127"/>
      <c r="R75" s="20"/>
      <c r="S75" s="20"/>
      <c r="T75" s="20"/>
      <c r="U75" s="124"/>
      <c r="V75" s="127"/>
      <c r="W75" s="20"/>
      <c r="X75" s="20"/>
      <c r="Y75" s="20"/>
      <c r="Z75" s="20"/>
      <c r="AA75" s="20"/>
      <c r="AB75" s="20"/>
      <c r="AC75" s="20"/>
      <c r="AD75" s="20"/>
      <c r="AE75" s="20"/>
      <c r="AF75" s="20"/>
    </row>
    <row r="76" spans="1:32" ht="19.5">
      <c r="A76" s="20"/>
      <c r="B76" s="20"/>
      <c r="C76" s="20"/>
      <c r="D76" s="20"/>
      <c r="E76" s="20"/>
      <c r="F76" s="20"/>
      <c r="G76" s="124"/>
      <c r="H76" s="20"/>
      <c r="I76" s="20"/>
      <c r="J76" s="20"/>
      <c r="K76" s="124"/>
      <c r="L76" s="127"/>
      <c r="M76" s="20"/>
      <c r="N76" s="20"/>
      <c r="O76" s="20"/>
      <c r="P76" s="124"/>
      <c r="Q76" s="127"/>
      <c r="R76" s="20"/>
      <c r="S76" s="20"/>
      <c r="T76" s="20"/>
      <c r="U76" s="124"/>
      <c r="V76" s="127"/>
      <c r="W76" s="20"/>
      <c r="X76" s="20"/>
      <c r="Y76" s="20"/>
      <c r="Z76" s="20"/>
      <c r="AA76" s="20"/>
      <c r="AB76" s="20"/>
      <c r="AC76" s="20"/>
      <c r="AD76" s="20"/>
      <c r="AE76" s="20"/>
      <c r="AF76" s="20"/>
    </row>
    <row r="77" spans="1:32" ht="19.5">
      <c r="A77" s="20"/>
      <c r="B77" s="20"/>
      <c r="C77" s="20"/>
      <c r="D77" s="20"/>
      <c r="E77" s="20"/>
      <c r="F77" s="20"/>
      <c r="G77" s="124"/>
      <c r="H77" s="20"/>
      <c r="I77" s="20"/>
      <c r="J77" s="20"/>
      <c r="K77" s="124"/>
      <c r="L77" s="127"/>
      <c r="M77" s="20"/>
      <c r="N77" s="20"/>
      <c r="O77" s="20"/>
      <c r="P77" s="124"/>
      <c r="Q77" s="127"/>
      <c r="R77" s="20"/>
      <c r="S77" s="20"/>
      <c r="T77" s="20"/>
      <c r="U77" s="124"/>
      <c r="V77" s="127"/>
      <c r="W77" s="20"/>
      <c r="X77" s="20"/>
      <c r="Y77" s="20"/>
      <c r="Z77" s="20"/>
      <c r="AA77" s="20"/>
      <c r="AB77" s="20"/>
      <c r="AC77" s="20"/>
      <c r="AD77" s="20"/>
      <c r="AE77" s="20"/>
      <c r="AF77" s="20"/>
    </row>
    <row r="78" spans="1:32" ht="19.5">
      <c r="A78" s="20"/>
      <c r="B78" s="20"/>
      <c r="C78" s="20"/>
      <c r="D78" s="20"/>
      <c r="E78" s="20"/>
      <c r="F78" s="20"/>
      <c r="G78" s="124"/>
      <c r="H78" s="20"/>
      <c r="I78" s="20"/>
      <c r="J78" s="20"/>
      <c r="K78" s="124"/>
      <c r="L78" s="127"/>
      <c r="M78" s="20"/>
      <c r="N78" s="20"/>
      <c r="O78" s="20"/>
      <c r="P78" s="124"/>
      <c r="Q78" s="127"/>
      <c r="R78" s="20"/>
      <c r="S78" s="20"/>
      <c r="T78" s="20"/>
      <c r="U78" s="124"/>
      <c r="V78" s="127"/>
      <c r="W78" s="20"/>
      <c r="X78" s="20"/>
      <c r="Y78" s="20"/>
      <c r="Z78" s="20"/>
      <c r="AA78" s="20"/>
      <c r="AB78" s="20"/>
      <c r="AC78" s="20"/>
      <c r="AD78" s="20"/>
      <c r="AE78" s="20"/>
      <c r="AF78" s="20"/>
    </row>
    <row r="79" spans="1:32" ht="19.5">
      <c r="A79" s="20"/>
      <c r="B79" s="20"/>
      <c r="C79" s="20"/>
      <c r="D79" s="20"/>
      <c r="E79" s="20"/>
      <c r="F79" s="20"/>
      <c r="G79" s="124"/>
      <c r="H79" s="20"/>
      <c r="I79" s="20"/>
      <c r="J79" s="20"/>
      <c r="K79" s="124"/>
      <c r="L79" s="127"/>
      <c r="M79" s="20"/>
      <c r="N79" s="20"/>
      <c r="O79" s="20"/>
      <c r="P79" s="124"/>
      <c r="Q79" s="127"/>
      <c r="R79" s="20"/>
      <c r="S79" s="20"/>
      <c r="T79" s="20"/>
      <c r="U79" s="124"/>
      <c r="V79" s="127"/>
      <c r="W79" s="20"/>
      <c r="X79" s="20"/>
      <c r="Y79" s="20"/>
      <c r="Z79" s="20"/>
      <c r="AA79" s="20"/>
      <c r="AB79" s="20"/>
      <c r="AC79" s="20"/>
      <c r="AD79" s="20"/>
      <c r="AE79" s="20"/>
      <c r="AF79" s="20"/>
    </row>
    <row r="80" spans="1:32" ht="19.5">
      <c r="A80" s="20"/>
      <c r="B80" s="20"/>
      <c r="C80" s="20"/>
      <c r="D80" s="20"/>
      <c r="E80" s="20"/>
      <c r="F80" s="20"/>
      <c r="G80" s="124"/>
      <c r="H80" s="20"/>
      <c r="I80" s="20"/>
      <c r="J80" s="20"/>
      <c r="K80" s="124"/>
      <c r="L80" s="127"/>
      <c r="M80" s="20"/>
      <c r="N80" s="20"/>
      <c r="O80" s="20"/>
      <c r="P80" s="124"/>
      <c r="Q80" s="127"/>
      <c r="R80" s="20"/>
      <c r="S80" s="20"/>
      <c r="T80" s="20"/>
      <c r="U80" s="124"/>
      <c r="V80" s="127"/>
      <c r="W80" s="20"/>
      <c r="X80" s="20"/>
      <c r="Y80" s="20"/>
      <c r="Z80" s="20"/>
      <c r="AA80" s="20"/>
      <c r="AB80" s="20"/>
      <c r="AC80" s="20"/>
      <c r="AD80" s="20"/>
      <c r="AE80" s="20"/>
      <c r="AF80" s="20"/>
    </row>
    <row r="81" spans="1:32" ht="19.5">
      <c r="A81" s="20"/>
      <c r="B81" s="20"/>
      <c r="C81" s="20"/>
      <c r="D81" s="20"/>
      <c r="E81" s="20"/>
      <c r="F81" s="20"/>
      <c r="G81" s="124"/>
      <c r="H81" s="20"/>
      <c r="I81" s="20"/>
      <c r="J81" s="20"/>
      <c r="K81" s="124"/>
      <c r="L81" s="127"/>
      <c r="M81" s="20"/>
      <c r="N81" s="20"/>
      <c r="O81" s="20"/>
      <c r="P81" s="124"/>
      <c r="Q81" s="127"/>
      <c r="R81" s="20"/>
      <c r="S81" s="20"/>
      <c r="T81" s="20"/>
      <c r="U81" s="124"/>
      <c r="V81" s="127"/>
      <c r="W81" s="20"/>
      <c r="X81" s="20"/>
      <c r="Y81" s="20"/>
      <c r="Z81" s="20"/>
      <c r="AA81" s="20"/>
      <c r="AB81" s="20"/>
      <c r="AC81" s="20"/>
      <c r="AD81" s="20"/>
      <c r="AE81" s="20"/>
      <c r="AF81" s="20"/>
    </row>
    <row r="82" spans="1:32" ht="19.5">
      <c r="A82" s="20"/>
      <c r="B82" s="20"/>
      <c r="C82" s="20"/>
      <c r="D82" s="20"/>
      <c r="E82" s="20"/>
      <c r="F82" s="20"/>
      <c r="G82" s="124"/>
      <c r="H82" s="20"/>
      <c r="I82" s="20"/>
      <c r="J82" s="20"/>
      <c r="K82" s="124"/>
      <c r="L82" s="127"/>
      <c r="M82" s="20"/>
      <c r="N82" s="20"/>
      <c r="O82" s="20"/>
      <c r="P82" s="124"/>
      <c r="Q82" s="127"/>
      <c r="R82" s="20"/>
      <c r="S82" s="20"/>
      <c r="T82" s="20"/>
      <c r="U82" s="124"/>
      <c r="V82" s="127"/>
      <c r="W82" s="20"/>
      <c r="X82" s="20"/>
      <c r="Y82" s="20"/>
      <c r="Z82" s="20"/>
      <c r="AA82" s="20"/>
      <c r="AB82" s="20"/>
      <c r="AC82" s="20"/>
      <c r="AD82" s="20"/>
      <c r="AE82" s="20"/>
      <c r="AF82" s="20"/>
    </row>
    <row r="83" spans="1:32" ht="19.5">
      <c r="A83" s="20"/>
      <c r="B83" s="20"/>
      <c r="C83" s="20"/>
      <c r="D83" s="20"/>
      <c r="E83" s="20"/>
      <c r="F83" s="20"/>
      <c r="G83" s="124"/>
      <c r="H83" s="20"/>
      <c r="I83" s="20"/>
      <c r="J83" s="20"/>
      <c r="K83" s="124"/>
      <c r="L83" s="127"/>
      <c r="M83" s="20"/>
      <c r="N83" s="20"/>
      <c r="O83" s="20"/>
      <c r="P83" s="124"/>
      <c r="Q83" s="127"/>
      <c r="R83" s="20"/>
      <c r="S83" s="20"/>
      <c r="T83" s="20"/>
      <c r="U83" s="124"/>
      <c r="V83" s="127"/>
      <c r="W83" s="20"/>
      <c r="X83" s="20"/>
      <c r="Y83" s="20"/>
      <c r="Z83" s="20"/>
      <c r="AA83" s="20"/>
      <c r="AB83" s="20"/>
      <c r="AC83" s="20"/>
      <c r="AD83" s="20"/>
      <c r="AE83" s="20"/>
      <c r="AF83" s="20"/>
    </row>
    <row r="84" spans="1:32" ht="19.5">
      <c r="A84" s="20"/>
      <c r="B84" s="20"/>
      <c r="C84" s="20"/>
      <c r="D84" s="20"/>
      <c r="E84" s="20"/>
      <c r="F84" s="20"/>
      <c r="G84" s="124"/>
      <c r="H84" s="20"/>
      <c r="I84" s="20"/>
      <c r="J84" s="20"/>
      <c r="K84" s="124"/>
      <c r="L84" s="127"/>
      <c r="M84" s="20"/>
      <c r="N84" s="20"/>
      <c r="O84" s="20"/>
      <c r="P84" s="124"/>
      <c r="Q84" s="127"/>
      <c r="R84" s="20"/>
      <c r="S84" s="20"/>
      <c r="T84" s="20"/>
      <c r="U84" s="124"/>
      <c r="V84" s="127"/>
      <c r="W84" s="20"/>
      <c r="X84" s="20"/>
      <c r="Y84" s="20"/>
      <c r="Z84" s="20"/>
      <c r="AA84" s="20"/>
      <c r="AB84" s="20"/>
      <c r="AC84" s="20"/>
      <c r="AD84" s="20"/>
      <c r="AE84" s="20"/>
      <c r="AF84" s="20"/>
    </row>
    <row r="85" spans="1:32" ht="19.5">
      <c r="A85" s="20"/>
      <c r="B85" s="20"/>
      <c r="C85" s="20"/>
      <c r="D85" s="20"/>
      <c r="E85" s="20"/>
      <c r="F85" s="20"/>
      <c r="G85" s="124"/>
      <c r="H85" s="20"/>
      <c r="I85" s="20"/>
      <c r="J85" s="20"/>
      <c r="K85" s="124"/>
      <c r="L85" s="127"/>
      <c r="M85" s="20"/>
      <c r="N85" s="20"/>
      <c r="O85" s="20"/>
      <c r="P85" s="124"/>
      <c r="Q85" s="127"/>
      <c r="R85" s="20"/>
      <c r="S85" s="20"/>
      <c r="T85" s="20"/>
      <c r="U85" s="124"/>
      <c r="V85" s="127"/>
      <c r="W85" s="20"/>
      <c r="X85" s="20"/>
      <c r="Y85" s="20"/>
      <c r="Z85" s="20"/>
      <c r="AA85" s="20"/>
      <c r="AB85" s="20"/>
      <c r="AC85" s="20"/>
      <c r="AD85" s="20"/>
      <c r="AE85" s="20"/>
      <c r="AF85" s="20"/>
    </row>
    <row r="86" spans="1:32" ht="19.5">
      <c r="A86" s="20"/>
      <c r="B86" s="20"/>
      <c r="C86" s="20"/>
      <c r="D86" s="20"/>
      <c r="E86" s="20"/>
      <c r="F86" s="20"/>
      <c r="G86" s="124"/>
      <c r="H86" s="20"/>
      <c r="I86" s="20"/>
      <c r="J86" s="20"/>
      <c r="K86" s="124"/>
      <c r="L86" s="127"/>
      <c r="M86" s="20"/>
      <c r="N86" s="20"/>
      <c r="O86" s="20"/>
      <c r="P86" s="124"/>
      <c r="Q86" s="127"/>
      <c r="R86" s="20"/>
      <c r="S86" s="20"/>
      <c r="T86" s="20"/>
      <c r="U86" s="124"/>
      <c r="V86" s="127"/>
      <c r="W86" s="20"/>
      <c r="X86" s="20"/>
      <c r="Y86" s="20"/>
      <c r="Z86" s="20"/>
      <c r="AA86" s="20"/>
      <c r="AB86" s="20"/>
      <c r="AC86" s="20"/>
      <c r="AD86" s="20"/>
      <c r="AE86" s="20"/>
      <c r="AF86" s="20"/>
    </row>
    <row r="87" spans="1:32" ht="19.5">
      <c r="A87" s="20"/>
      <c r="B87" s="20"/>
      <c r="C87" s="20"/>
      <c r="D87" s="20"/>
      <c r="E87" s="20"/>
      <c r="F87" s="20"/>
      <c r="G87" s="124"/>
      <c r="H87" s="20"/>
      <c r="I87" s="20"/>
      <c r="J87" s="20"/>
      <c r="K87" s="124"/>
      <c r="L87" s="127"/>
      <c r="M87" s="20"/>
      <c r="N87" s="20"/>
      <c r="O87" s="20"/>
      <c r="P87" s="124"/>
      <c r="Q87" s="127"/>
      <c r="R87" s="20"/>
      <c r="S87" s="20"/>
      <c r="T87" s="20"/>
      <c r="U87" s="124"/>
      <c r="V87" s="127"/>
      <c r="W87" s="20"/>
      <c r="X87" s="20"/>
      <c r="Y87" s="20"/>
      <c r="Z87" s="20"/>
      <c r="AA87" s="20"/>
      <c r="AB87" s="20"/>
      <c r="AC87" s="20"/>
      <c r="AD87" s="20"/>
      <c r="AE87" s="20"/>
      <c r="AF87" s="20"/>
    </row>
    <row r="88" spans="1:32" ht="19.5">
      <c r="A88" s="20"/>
      <c r="B88" s="20"/>
      <c r="C88" s="20"/>
      <c r="D88" s="20"/>
      <c r="E88" s="20"/>
      <c r="F88" s="20"/>
      <c r="G88" s="124"/>
      <c r="H88" s="20"/>
      <c r="I88" s="20"/>
      <c r="J88" s="20"/>
      <c r="K88" s="124"/>
      <c r="L88" s="127"/>
      <c r="M88" s="20"/>
      <c r="N88" s="20"/>
      <c r="O88" s="20"/>
      <c r="P88" s="124"/>
      <c r="Q88" s="127"/>
      <c r="R88" s="20"/>
      <c r="S88" s="20"/>
      <c r="T88" s="20"/>
      <c r="U88" s="124"/>
      <c r="V88" s="127"/>
      <c r="W88" s="20"/>
      <c r="X88" s="20"/>
      <c r="Y88" s="20"/>
      <c r="Z88" s="20"/>
      <c r="AA88" s="20"/>
      <c r="AB88" s="20"/>
      <c r="AC88" s="20"/>
      <c r="AD88" s="20"/>
      <c r="AE88" s="20"/>
      <c r="AF88" s="20"/>
    </row>
    <row r="89" spans="1:32" ht="19.5">
      <c r="A89" s="20"/>
      <c r="B89" s="20"/>
      <c r="C89" s="20"/>
      <c r="D89" s="20"/>
      <c r="E89" s="20"/>
      <c r="F89" s="20"/>
      <c r="G89" s="124"/>
      <c r="H89" s="20"/>
      <c r="I89" s="20"/>
      <c r="J89" s="20"/>
      <c r="K89" s="124"/>
      <c r="L89" s="127"/>
      <c r="M89" s="20"/>
      <c r="N89" s="20"/>
      <c r="O89" s="20"/>
      <c r="P89" s="124"/>
      <c r="Q89" s="127"/>
      <c r="R89" s="20"/>
      <c r="S89" s="20"/>
      <c r="T89" s="20"/>
      <c r="U89" s="124"/>
      <c r="V89" s="127"/>
      <c r="W89" s="20"/>
      <c r="X89" s="20"/>
      <c r="Y89" s="20"/>
      <c r="Z89" s="20"/>
      <c r="AA89" s="20"/>
      <c r="AB89" s="20"/>
      <c r="AC89" s="20"/>
      <c r="AD89" s="20"/>
      <c r="AE89" s="20"/>
      <c r="AF89" s="20"/>
    </row>
    <row r="90" spans="1:32" ht="19.5">
      <c r="A90" s="20"/>
      <c r="B90" s="20"/>
      <c r="C90" s="20"/>
      <c r="D90" s="20"/>
      <c r="E90" s="20"/>
      <c r="F90" s="20"/>
      <c r="G90" s="124"/>
      <c r="H90" s="20"/>
      <c r="I90" s="20"/>
      <c r="J90" s="20"/>
      <c r="K90" s="124"/>
      <c r="L90" s="127"/>
      <c r="M90" s="20"/>
      <c r="N90" s="20"/>
      <c r="O90" s="20"/>
      <c r="P90" s="124"/>
      <c r="Q90" s="127"/>
      <c r="R90" s="20"/>
      <c r="S90" s="20"/>
      <c r="T90" s="20"/>
      <c r="U90" s="124"/>
      <c r="V90" s="127"/>
      <c r="W90" s="20"/>
      <c r="X90" s="20"/>
      <c r="Y90" s="20"/>
      <c r="Z90" s="20"/>
      <c r="AA90" s="20"/>
      <c r="AB90" s="20"/>
      <c r="AC90" s="20"/>
      <c r="AD90" s="20"/>
      <c r="AE90" s="20"/>
      <c r="AF90" s="20"/>
    </row>
    <row r="91" spans="1:32" ht="19.5">
      <c r="A91" s="20"/>
      <c r="B91" s="20"/>
      <c r="C91" s="20"/>
      <c r="D91" s="20"/>
      <c r="E91" s="20"/>
      <c r="F91" s="20"/>
      <c r="G91" s="124"/>
      <c r="H91" s="20"/>
      <c r="I91" s="20"/>
      <c r="J91" s="20"/>
      <c r="K91" s="124"/>
      <c r="L91" s="127"/>
      <c r="M91" s="20"/>
      <c r="N91" s="20"/>
      <c r="O91" s="20"/>
      <c r="P91" s="124"/>
      <c r="Q91" s="127"/>
      <c r="R91" s="20"/>
      <c r="S91" s="20"/>
      <c r="T91" s="20"/>
      <c r="U91" s="124"/>
      <c r="V91" s="127"/>
      <c r="W91" s="20"/>
      <c r="X91" s="20"/>
      <c r="Y91" s="20"/>
      <c r="Z91" s="20"/>
      <c r="AA91" s="20"/>
      <c r="AB91" s="20"/>
      <c r="AC91" s="20"/>
      <c r="AD91" s="20"/>
      <c r="AE91" s="20"/>
      <c r="AF91" s="20"/>
    </row>
    <row r="92" spans="1:32" ht="19.5">
      <c r="A92" s="20"/>
      <c r="B92" s="20"/>
      <c r="C92" s="20"/>
      <c r="D92" s="20"/>
      <c r="E92" s="20"/>
      <c r="F92" s="20"/>
      <c r="G92" s="124"/>
      <c r="H92" s="20"/>
      <c r="I92" s="20"/>
      <c r="J92" s="20"/>
      <c r="K92" s="124"/>
      <c r="L92" s="127"/>
      <c r="M92" s="20"/>
      <c r="N92" s="20"/>
      <c r="O92" s="20"/>
      <c r="P92" s="124"/>
      <c r="Q92" s="127"/>
      <c r="R92" s="20"/>
      <c r="S92" s="20"/>
      <c r="T92" s="20"/>
      <c r="U92" s="124"/>
      <c r="V92" s="127"/>
      <c r="W92" s="20"/>
      <c r="X92" s="20"/>
      <c r="Y92" s="20"/>
      <c r="Z92" s="20"/>
      <c r="AA92" s="20"/>
      <c r="AB92" s="20"/>
      <c r="AC92" s="20"/>
      <c r="AD92" s="20"/>
      <c r="AE92" s="20"/>
      <c r="AF92" s="20"/>
    </row>
    <row r="93" spans="1:32" ht="19.5">
      <c r="A93" s="20"/>
      <c r="B93" s="20"/>
      <c r="C93" s="20"/>
      <c r="D93" s="20"/>
      <c r="E93" s="20"/>
      <c r="F93" s="20"/>
      <c r="G93" s="124"/>
      <c r="H93" s="20"/>
      <c r="I93" s="20"/>
      <c r="J93" s="20"/>
      <c r="K93" s="124"/>
      <c r="L93" s="127"/>
      <c r="M93" s="20"/>
      <c r="N93" s="20"/>
      <c r="O93" s="20"/>
      <c r="P93" s="124"/>
      <c r="Q93" s="127"/>
      <c r="R93" s="20"/>
      <c r="S93" s="20"/>
      <c r="T93" s="20"/>
      <c r="U93" s="124"/>
      <c r="V93" s="127"/>
      <c r="W93" s="20"/>
      <c r="X93" s="20"/>
      <c r="Y93" s="20"/>
      <c r="Z93" s="20"/>
      <c r="AA93" s="20"/>
      <c r="AB93" s="20"/>
      <c r="AC93" s="20"/>
      <c r="AD93" s="20"/>
      <c r="AE93" s="20"/>
      <c r="AF93" s="20"/>
    </row>
    <row r="94" spans="1:32" ht="19.5">
      <c r="A94" s="20"/>
      <c r="B94" s="20"/>
      <c r="C94" s="20"/>
      <c r="D94" s="20"/>
      <c r="E94" s="20"/>
      <c r="F94" s="20"/>
      <c r="G94" s="124"/>
      <c r="H94" s="20"/>
      <c r="I94" s="20"/>
      <c r="J94" s="20"/>
      <c r="K94" s="124"/>
      <c r="L94" s="127"/>
      <c r="M94" s="20"/>
      <c r="N94" s="20"/>
      <c r="O94" s="20"/>
      <c r="P94" s="124"/>
      <c r="Q94" s="127"/>
      <c r="R94" s="20"/>
      <c r="S94" s="20"/>
      <c r="T94" s="20"/>
      <c r="U94" s="124"/>
      <c r="V94" s="127"/>
      <c r="W94" s="20"/>
      <c r="X94" s="20"/>
      <c r="Y94" s="20"/>
      <c r="Z94" s="20"/>
      <c r="AA94" s="20"/>
      <c r="AB94" s="20"/>
      <c r="AC94" s="20"/>
      <c r="AD94" s="20"/>
      <c r="AE94" s="20"/>
      <c r="AF94" s="20"/>
    </row>
    <row r="95" spans="1:32" ht="19.5">
      <c r="A95" s="20"/>
      <c r="B95" s="20"/>
      <c r="C95" s="20"/>
      <c r="D95" s="20"/>
      <c r="E95" s="20"/>
      <c r="F95" s="20"/>
      <c r="G95" s="124"/>
      <c r="H95" s="20"/>
      <c r="I95" s="20"/>
      <c r="J95" s="20"/>
      <c r="K95" s="124"/>
      <c r="L95" s="127"/>
      <c r="M95" s="20"/>
      <c r="N95" s="20"/>
      <c r="O95" s="20"/>
      <c r="P95" s="124"/>
      <c r="Q95" s="127"/>
      <c r="R95" s="20"/>
      <c r="S95" s="20"/>
      <c r="T95" s="20"/>
      <c r="U95" s="124"/>
      <c r="V95" s="127"/>
      <c r="W95" s="20"/>
      <c r="X95" s="20"/>
      <c r="Y95" s="20"/>
      <c r="Z95" s="20"/>
      <c r="AA95" s="20"/>
      <c r="AB95" s="20"/>
      <c r="AC95" s="20"/>
      <c r="AD95" s="20"/>
      <c r="AE95" s="20"/>
      <c r="AF95" s="20"/>
    </row>
    <row r="96" spans="1:32" ht="19.5">
      <c r="A96" s="20"/>
      <c r="B96" s="20"/>
      <c r="C96" s="20"/>
      <c r="D96" s="20"/>
      <c r="E96" s="20"/>
      <c r="F96" s="20"/>
      <c r="G96" s="124"/>
      <c r="H96" s="20"/>
      <c r="I96" s="20"/>
      <c r="J96" s="20"/>
      <c r="K96" s="124"/>
      <c r="L96" s="127"/>
      <c r="M96" s="20"/>
      <c r="N96" s="20"/>
      <c r="O96" s="20"/>
      <c r="P96" s="124"/>
      <c r="Q96" s="127"/>
      <c r="R96" s="20"/>
      <c r="S96" s="20"/>
      <c r="T96" s="20"/>
      <c r="U96" s="124"/>
      <c r="V96" s="127"/>
      <c r="W96" s="20"/>
      <c r="X96" s="20"/>
      <c r="Y96" s="20"/>
      <c r="Z96" s="20"/>
      <c r="AA96" s="20"/>
      <c r="AB96" s="20"/>
      <c r="AC96" s="20"/>
      <c r="AD96" s="20"/>
      <c r="AE96" s="20"/>
      <c r="AF96" s="20"/>
    </row>
    <row r="97" spans="1:32" ht="19.5">
      <c r="A97" s="20"/>
      <c r="B97" s="20"/>
      <c r="C97" s="20"/>
      <c r="D97" s="20"/>
      <c r="E97" s="20"/>
      <c r="F97" s="20"/>
      <c r="G97" s="124"/>
      <c r="H97" s="20"/>
      <c r="I97" s="20"/>
      <c r="J97" s="20"/>
      <c r="K97" s="124"/>
      <c r="L97" s="127"/>
      <c r="M97" s="20"/>
      <c r="N97" s="20"/>
      <c r="O97" s="20"/>
      <c r="P97" s="124"/>
      <c r="Q97" s="127"/>
      <c r="R97" s="20"/>
      <c r="S97" s="20"/>
      <c r="T97" s="20"/>
      <c r="U97" s="124"/>
      <c r="V97" s="127"/>
      <c r="W97" s="20"/>
      <c r="X97" s="20"/>
      <c r="Y97" s="20"/>
      <c r="Z97" s="20"/>
      <c r="AA97" s="20"/>
      <c r="AB97" s="20"/>
      <c r="AC97" s="20"/>
      <c r="AD97" s="20"/>
      <c r="AE97" s="20"/>
      <c r="AF97" s="20"/>
    </row>
    <row r="98" spans="1:32" ht="19.5">
      <c r="A98" s="20"/>
      <c r="B98" s="20"/>
      <c r="C98" s="20"/>
      <c r="D98" s="20"/>
      <c r="E98" s="20"/>
      <c r="F98" s="20"/>
      <c r="G98" s="124"/>
      <c r="H98" s="20"/>
      <c r="I98" s="20"/>
      <c r="J98" s="20"/>
      <c r="K98" s="124"/>
      <c r="L98" s="127"/>
      <c r="M98" s="20"/>
      <c r="N98" s="20"/>
      <c r="O98" s="20"/>
      <c r="P98" s="124"/>
      <c r="Q98" s="127"/>
      <c r="R98" s="20"/>
      <c r="S98" s="20"/>
      <c r="T98" s="20"/>
      <c r="U98" s="124"/>
      <c r="V98" s="127"/>
      <c r="W98" s="20"/>
      <c r="X98" s="20"/>
      <c r="Y98" s="20"/>
      <c r="Z98" s="20"/>
      <c r="AA98" s="20"/>
      <c r="AB98" s="20"/>
      <c r="AC98" s="20"/>
      <c r="AD98" s="20"/>
      <c r="AE98" s="20"/>
      <c r="AF98" s="20"/>
    </row>
    <row r="99" spans="1:32" ht="19.5">
      <c r="A99" s="20"/>
      <c r="B99" s="20"/>
      <c r="C99" s="20"/>
      <c r="D99" s="20"/>
      <c r="E99" s="20"/>
      <c r="F99" s="20"/>
      <c r="G99" s="124"/>
      <c r="H99" s="20"/>
      <c r="I99" s="20"/>
      <c r="J99" s="20"/>
      <c r="K99" s="124"/>
      <c r="L99" s="127"/>
      <c r="M99" s="20"/>
      <c r="N99" s="20"/>
      <c r="O99" s="20"/>
      <c r="P99" s="124"/>
      <c r="Q99" s="127"/>
      <c r="R99" s="20"/>
      <c r="S99" s="20"/>
      <c r="T99" s="20"/>
      <c r="U99" s="124"/>
      <c r="V99" s="127"/>
      <c r="W99" s="20"/>
      <c r="X99" s="20"/>
      <c r="Y99" s="20"/>
      <c r="Z99" s="20"/>
      <c r="AA99" s="20"/>
      <c r="AB99" s="20"/>
      <c r="AC99" s="20"/>
      <c r="AD99" s="20"/>
      <c r="AE99" s="20"/>
      <c r="AF99" s="20"/>
    </row>
    <row r="100" spans="1:32" ht="19.5">
      <c r="A100" s="20"/>
      <c r="B100" s="20"/>
      <c r="C100" s="20"/>
      <c r="D100" s="20"/>
      <c r="E100" s="20"/>
      <c r="F100" s="20"/>
      <c r="G100" s="124"/>
      <c r="H100" s="20"/>
      <c r="I100" s="20"/>
      <c r="J100" s="20"/>
      <c r="K100" s="124"/>
      <c r="L100" s="127"/>
      <c r="M100" s="20"/>
      <c r="N100" s="20"/>
      <c r="O100" s="20"/>
      <c r="P100" s="124"/>
      <c r="Q100" s="127"/>
      <c r="R100" s="20"/>
      <c r="S100" s="20"/>
      <c r="T100" s="20"/>
      <c r="U100" s="124"/>
      <c r="V100" s="127"/>
      <c r="W100" s="20"/>
      <c r="X100" s="20"/>
      <c r="Y100" s="20"/>
      <c r="Z100" s="20"/>
      <c r="AA100" s="20"/>
      <c r="AB100" s="20"/>
      <c r="AC100" s="20"/>
      <c r="AD100" s="20"/>
      <c r="AE100" s="20"/>
      <c r="AF100" s="20"/>
    </row>
    <row r="101" spans="1:32" ht="19.5">
      <c r="A101" s="20"/>
      <c r="B101" s="20"/>
      <c r="C101" s="20"/>
      <c r="D101" s="20"/>
      <c r="E101" s="20"/>
      <c r="F101" s="20"/>
      <c r="G101" s="124"/>
      <c r="H101" s="20"/>
      <c r="I101" s="20"/>
      <c r="J101" s="20"/>
      <c r="K101" s="124"/>
      <c r="L101" s="127"/>
      <c r="M101" s="20"/>
      <c r="N101" s="20"/>
      <c r="O101" s="20"/>
      <c r="P101" s="124"/>
      <c r="Q101" s="127"/>
      <c r="R101" s="20"/>
      <c r="S101" s="20"/>
      <c r="T101" s="20"/>
      <c r="U101" s="124"/>
      <c r="V101" s="127"/>
      <c r="W101" s="20"/>
      <c r="X101" s="20"/>
      <c r="Y101" s="20"/>
      <c r="Z101" s="20"/>
      <c r="AA101" s="20"/>
      <c r="AB101" s="20"/>
      <c r="AC101" s="20"/>
      <c r="AD101" s="20"/>
      <c r="AE101" s="20"/>
      <c r="AF101" s="20"/>
    </row>
    <row r="102" spans="1:32" ht="19.5">
      <c r="A102" s="20"/>
      <c r="B102" s="20"/>
      <c r="C102" s="20"/>
      <c r="D102" s="20"/>
      <c r="E102" s="20"/>
      <c r="F102" s="20"/>
      <c r="G102" s="124"/>
      <c r="H102" s="20"/>
      <c r="I102" s="20"/>
      <c r="J102" s="20"/>
      <c r="K102" s="124"/>
      <c r="L102" s="127"/>
      <c r="M102" s="20"/>
      <c r="N102" s="20"/>
      <c r="O102" s="20"/>
      <c r="P102" s="124"/>
      <c r="Q102" s="127"/>
      <c r="R102" s="20"/>
      <c r="S102" s="20"/>
      <c r="T102" s="20"/>
      <c r="U102" s="124"/>
      <c r="V102" s="127"/>
      <c r="W102" s="20"/>
      <c r="X102" s="20"/>
      <c r="Y102" s="20"/>
      <c r="Z102" s="20"/>
      <c r="AA102" s="20"/>
      <c r="AB102" s="20"/>
      <c r="AC102" s="20"/>
      <c r="AD102" s="20"/>
      <c r="AE102" s="20"/>
      <c r="AF102" s="20"/>
    </row>
    <row r="103" spans="1:32" ht="19.5">
      <c r="A103" s="20"/>
      <c r="B103" s="20"/>
      <c r="C103" s="20"/>
      <c r="D103" s="20"/>
      <c r="E103" s="20"/>
      <c r="F103" s="20"/>
      <c r="G103" s="124"/>
      <c r="H103" s="20"/>
      <c r="I103" s="20"/>
      <c r="J103" s="20"/>
      <c r="K103" s="124"/>
      <c r="L103" s="127"/>
      <c r="M103" s="20"/>
      <c r="N103" s="20"/>
      <c r="O103" s="20"/>
      <c r="P103" s="124"/>
      <c r="Q103" s="127"/>
      <c r="R103" s="20"/>
      <c r="S103" s="20"/>
      <c r="T103" s="20"/>
      <c r="U103" s="124"/>
      <c r="V103" s="127"/>
      <c r="W103" s="20"/>
      <c r="X103" s="20"/>
      <c r="Y103" s="20"/>
      <c r="Z103" s="20"/>
      <c r="AA103" s="20"/>
      <c r="AB103" s="20"/>
      <c r="AC103" s="20"/>
      <c r="AD103" s="20"/>
      <c r="AE103" s="20"/>
      <c r="AF103" s="20"/>
    </row>
    <row r="104" spans="1:32" ht="19.5">
      <c r="A104" s="20"/>
      <c r="B104" s="20"/>
      <c r="C104" s="20"/>
      <c r="D104" s="20"/>
      <c r="E104" s="20"/>
      <c r="F104" s="20"/>
      <c r="G104" s="124"/>
      <c r="H104" s="20"/>
      <c r="I104" s="20"/>
      <c r="J104" s="20"/>
      <c r="K104" s="124"/>
      <c r="L104" s="127"/>
      <c r="M104" s="20"/>
      <c r="N104" s="20"/>
      <c r="O104" s="20"/>
      <c r="P104" s="124"/>
      <c r="Q104" s="127"/>
      <c r="R104" s="20"/>
      <c r="S104" s="20"/>
      <c r="T104" s="20"/>
      <c r="U104" s="124"/>
      <c r="V104" s="127"/>
      <c r="W104" s="20"/>
      <c r="X104" s="20"/>
      <c r="Y104" s="20"/>
      <c r="Z104" s="20"/>
      <c r="AA104" s="20"/>
      <c r="AB104" s="20"/>
      <c r="AC104" s="20"/>
      <c r="AD104" s="20"/>
      <c r="AE104" s="20"/>
      <c r="AF104" s="20"/>
    </row>
    <row r="105" spans="1:32" ht="19.5">
      <c r="A105" s="20"/>
      <c r="B105" s="20"/>
      <c r="C105" s="20"/>
      <c r="D105" s="20"/>
      <c r="E105" s="20"/>
      <c r="F105" s="20"/>
      <c r="G105" s="124"/>
      <c r="H105" s="20"/>
      <c r="I105" s="20"/>
      <c r="J105" s="20"/>
      <c r="K105" s="124"/>
      <c r="L105" s="127"/>
      <c r="M105" s="20"/>
      <c r="N105" s="20"/>
      <c r="O105" s="20"/>
      <c r="P105" s="124"/>
      <c r="Q105" s="127"/>
      <c r="R105" s="20"/>
      <c r="S105" s="20"/>
      <c r="T105" s="20"/>
      <c r="U105" s="124"/>
      <c r="V105" s="127"/>
      <c r="W105" s="20"/>
      <c r="X105" s="20"/>
      <c r="Y105" s="20"/>
      <c r="Z105" s="20"/>
      <c r="AA105" s="20"/>
      <c r="AB105" s="20"/>
      <c r="AC105" s="20"/>
      <c r="AD105" s="20"/>
      <c r="AE105" s="20"/>
      <c r="AF105" s="20"/>
    </row>
    <row r="106" spans="1:32" ht="19.5">
      <c r="A106" s="20"/>
      <c r="B106" s="20"/>
      <c r="C106" s="20"/>
      <c r="D106" s="20"/>
      <c r="E106" s="20"/>
      <c r="F106" s="20"/>
      <c r="G106" s="124"/>
      <c r="H106" s="20"/>
      <c r="I106" s="20"/>
      <c r="J106" s="20"/>
      <c r="K106" s="124"/>
      <c r="L106" s="127"/>
      <c r="M106" s="20"/>
      <c r="N106" s="20"/>
      <c r="O106" s="20"/>
      <c r="P106" s="124"/>
      <c r="Q106" s="127"/>
      <c r="R106" s="20"/>
      <c r="S106" s="20"/>
      <c r="T106" s="20"/>
      <c r="U106" s="124"/>
      <c r="V106" s="127"/>
      <c r="W106" s="20"/>
      <c r="X106" s="20"/>
      <c r="Y106" s="20"/>
      <c r="Z106" s="20"/>
      <c r="AA106" s="20"/>
      <c r="AB106" s="20"/>
      <c r="AC106" s="20"/>
      <c r="AD106" s="20"/>
      <c r="AE106" s="20"/>
      <c r="AF106" s="20"/>
    </row>
    <row r="107" spans="1:32" ht="19.5">
      <c r="A107" s="20"/>
      <c r="B107" s="20"/>
      <c r="C107" s="20"/>
      <c r="D107" s="20"/>
      <c r="E107" s="20"/>
      <c r="F107" s="20"/>
      <c r="G107" s="124"/>
      <c r="H107" s="20"/>
      <c r="I107" s="20"/>
      <c r="J107" s="20"/>
      <c r="K107" s="124"/>
      <c r="L107" s="127"/>
      <c r="M107" s="20"/>
      <c r="N107" s="20"/>
      <c r="O107" s="20"/>
      <c r="P107" s="124"/>
      <c r="Q107" s="127"/>
      <c r="R107" s="20"/>
      <c r="S107" s="20"/>
      <c r="T107" s="20"/>
      <c r="U107" s="124"/>
      <c r="V107" s="127"/>
      <c r="W107" s="20"/>
      <c r="X107" s="20"/>
      <c r="Y107" s="20"/>
      <c r="Z107" s="20"/>
      <c r="AA107" s="20"/>
      <c r="AB107" s="20"/>
      <c r="AC107" s="20"/>
      <c r="AD107" s="20"/>
      <c r="AE107" s="20"/>
      <c r="AF107" s="20"/>
    </row>
    <row r="108" spans="1:32" ht="19.5">
      <c r="A108" s="20"/>
      <c r="B108" s="20"/>
      <c r="C108" s="20"/>
      <c r="D108" s="20"/>
      <c r="E108" s="20"/>
      <c r="F108" s="20"/>
      <c r="G108" s="124"/>
      <c r="H108" s="20"/>
      <c r="I108" s="20"/>
      <c r="J108" s="20"/>
      <c r="K108" s="124"/>
      <c r="L108" s="127"/>
      <c r="M108" s="20"/>
      <c r="N108" s="20"/>
      <c r="O108" s="20"/>
      <c r="P108" s="124"/>
      <c r="Q108" s="127"/>
      <c r="R108" s="20"/>
      <c r="S108" s="20"/>
      <c r="T108" s="20"/>
      <c r="U108" s="124"/>
      <c r="V108" s="127"/>
      <c r="W108" s="20"/>
      <c r="X108" s="20"/>
      <c r="Y108" s="20"/>
      <c r="Z108" s="20"/>
      <c r="AA108" s="20"/>
      <c r="AB108" s="20"/>
      <c r="AC108" s="20"/>
      <c r="AD108" s="20"/>
      <c r="AE108" s="20"/>
      <c r="AF108" s="20"/>
    </row>
    <row r="109" spans="1:32" ht="19.5">
      <c r="A109" s="20"/>
      <c r="B109" s="20"/>
      <c r="C109" s="20"/>
      <c r="D109" s="20"/>
      <c r="E109" s="20"/>
      <c r="F109" s="20"/>
      <c r="G109" s="124"/>
      <c r="H109" s="20"/>
      <c r="I109" s="20"/>
      <c r="J109" s="20"/>
      <c r="K109" s="124"/>
      <c r="L109" s="127"/>
      <c r="M109" s="20"/>
      <c r="N109" s="20"/>
      <c r="O109" s="20"/>
      <c r="P109" s="124"/>
      <c r="Q109" s="127"/>
      <c r="R109" s="20"/>
      <c r="S109" s="20"/>
      <c r="T109" s="20"/>
      <c r="U109" s="124"/>
      <c r="V109" s="127"/>
      <c r="W109" s="20"/>
      <c r="X109" s="20"/>
      <c r="Y109" s="20"/>
      <c r="Z109" s="20"/>
      <c r="AA109" s="20"/>
      <c r="AB109" s="20"/>
      <c r="AC109" s="20"/>
      <c r="AD109" s="20"/>
      <c r="AE109" s="20"/>
      <c r="AF109" s="20"/>
    </row>
    <row r="110" spans="1:32" ht="19.5">
      <c r="A110" s="20"/>
      <c r="B110" s="20"/>
      <c r="C110" s="20"/>
      <c r="D110" s="20"/>
      <c r="E110" s="20"/>
      <c r="F110" s="20"/>
      <c r="G110" s="124"/>
      <c r="H110" s="20"/>
      <c r="I110" s="20"/>
      <c r="J110" s="20"/>
      <c r="K110" s="124"/>
      <c r="L110" s="127"/>
      <c r="M110" s="20"/>
      <c r="N110" s="20"/>
      <c r="O110" s="20"/>
      <c r="P110" s="124"/>
      <c r="Q110" s="127"/>
      <c r="R110" s="20"/>
      <c r="S110" s="20"/>
      <c r="T110" s="20"/>
      <c r="U110" s="124"/>
      <c r="V110" s="127"/>
      <c r="W110" s="20"/>
      <c r="X110" s="20"/>
      <c r="Y110" s="20"/>
      <c r="Z110" s="20"/>
      <c r="AA110" s="20"/>
      <c r="AB110" s="20"/>
      <c r="AC110" s="20"/>
      <c r="AD110" s="20"/>
      <c r="AE110" s="20"/>
      <c r="AF110" s="20"/>
    </row>
    <row r="111" spans="1:32" ht="19.5">
      <c r="A111" s="20"/>
      <c r="B111" s="20"/>
      <c r="C111" s="20"/>
      <c r="D111" s="20"/>
      <c r="E111" s="20"/>
      <c r="F111" s="20"/>
      <c r="G111" s="124"/>
      <c r="H111" s="20"/>
      <c r="I111" s="20"/>
      <c r="J111" s="20"/>
      <c r="K111" s="124"/>
      <c r="L111" s="127"/>
      <c r="M111" s="20"/>
      <c r="N111" s="20"/>
      <c r="O111" s="20"/>
      <c r="P111" s="124"/>
      <c r="Q111" s="127"/>
      <c r="R111" s="20"/>
      <c r="S111" s="20"/>
      <c r="T111" s="20"/>
      <c r="U111" s="124"/>
      <c r="V111" s="127"/>
      <c r="W111" s="20"/>
      <c r="X111" s="20"/>
      <c r="Y111" s="20"/>
      <c r="Z111" s="20"/>
      <c r="AA111" s="20"/>
      <c r="AB111" s="20"/>
      <c r="AC111" s="20"/>
      <c r="AD111" s="20"/>
      <c r="AE111" s="20"/>
      <c r="AF111" s="20"/>
    </row>
    <row r="112" spans="1:32" ht="19.5">
      <c r="A112" s="20"/>
      <c r="B112" s="20"/>
      <c r="C112" s="20"/>
      <c r="D112" s="20"/>
      <c r="E112" s="20"/>
      <c r="F112" s="20"/>
      <c r="G112" s="124"/>
      <c r="H112" s="20"/>
      <c r="I112" s="20"/>
      <c r="J112" s="20"/>
      <c r="K112" s="124"/>
      <c r="L112" s="127"/>
      <c r="M112" s="20"/>
      <c r="N112" s="20"/>
      <c r="O112" s="20"/>
      <c r="P112" s="124"/>
      <c r="Q112" s="127"/>
      <c r="R112" s="20"/>
      <c r="S112" s="20"/>
      <c r="T112" s="20"/>
      <c r="U112" s="124"/>
      <c r="V112" s="127"/>
      <c r="W112" s="20"/>
      <c r="X112" s="20"/>
      <c r="Y112" s="20"/>
      <c r="Z112" s="20"/>
      <c r="AA112" s="20"/>
      <c r="AB112" s="20"/>
      <c r="AC112" s="20"/>
      <c r="AD112" s="20"/>
      <c r="AE112" s="20"/>
      <c r="AF112" s="20"/>
    </row>
    <row r="113" spans="1:32" ht="19.5">
      <c r="A113" s="20"/>
      <c r="B113" s="20"/>
      <c r="C113" s="20"/>
      <c r="D113" s="20"/>
      <c r="E113" s="20"/>
      <c r="F113" s="20"/>
      <c r="G113" s="124"/>
      <c r="H113" s="20"/>
      <c r="I113" s="20"/>
      <c r="J113" s="20"/>
      <c r="K113" s="124"/>
      <c r="L113" s="127"/>
      <c r="M113" s="20"/>
      <c r="N113" s="20"/>
      <c r="O113" s="20"/>
      <c r="P113" s="124"/>
      <c r="Q113" s="127"/>
      <c r="R113" s="20"/>
      <c r="S113" s="20"/>
      <c r="T113" s="20"/>
      <c r="U113" s="124"/>
      <c r="V113" s="127"/>
      <c r="W113" s="20"/>
      <c r="X113" s="20"/>
      <c r="Y113" s="20"/>
      <c r="Z113" s="20"/>
      <c r="AA113" s="20"/>
      <c r="AB113" s="20"/>
      <c r="AC113" s="20"/>
      <c r="AD113" s="20"/>
      <c r="AE113" s="20"/>
      <c r="AF113" s="20"/>
    </row>
    <row r="114" spans="1:32" ht="19.5">
      <c r="A114" s="20"/>
      <c r="B114" s="20"/>
      <c r="C114" s="20"/>
      <c r="D114" s="20"/>
      <c r="E114" s="20"/>
      <c r="F114" s="20"/>
      <c r="G114" s="124"/>
      <c r="H114" s="20"/>
      <c r="I114" s="20"/>
      <c r="J114" s="20"/>
      <c r="K114" s="124"/>
      <c r="L114" s="127"/>
      <c r="M114" s="20"/>
      <c r="N114" s="20"/>
      <c r="O114" s="20"/>
      <c r="P114" s="124"/>
      <c r="Q114" s="127"/>
      <c r="R114" s="20"/>
      <c r="S114" s="20"/>
      <c r="T114" s="20"/>
      <c r="U114" s="124"/>
      <c r="V114" s="127"/>
      <c r="W114" s="20"/>
      <c r="X114" s="20"/>
      <c r="Y114" s="20"/>
      <c r="Z114" s="20"/>
      <c r="AA114" s="20"/>
      <c r="AB114" s="20"/>
      <c r="AC114" s="20"/>
      <c r="AD114" s="20"/>
      <c r="AE114" s="20"/>
      <c r="AF114" s="20"/>
    </row>
    <row r="115" spans="1:32" ht="19.5">
      <c r="A115" s="20"/>
      <c r="B115" s="20"/>
      <c r="C115" s="20"/>
      <c r="D115" s="20"/>
      <c r="E115" s="20"/>
      <c r="F115" s="20"/>
      <c r="G115" s="124"/>
      <c r="H115" s="20"/>
      <c r="I115" s="20"/>
      <c r="J115" s="20"/>
      <c r="K115" s="124"/>
      <c r="L115" s="127"/>
      <c r="M115" s="20"/>
      <c r="N115" s="20"/>
      <c r="O115" s="20"/>
      <c r="P115" s="124"/>
      <c r="Q115" s="127"/>
      <c r="R115" s="20"/>
      <c r="S115" s="20"/>
      <c r="T115" s="20"/>
      <c r="U115" s="124"/>
      <c r="V115" s="127"/>
      <c r="W115" s="20"/>
      <c r="X115" s="20"/>
      <c r="Y115" s="20"/>
      <c r="Z115" s="20"/>
      <c r="AA115" s="20"/>
      <c r="AB115" s="20"/>
      <c r="AC115" s="20"/>
      <c r="AD115" s="20"/>
      <c r="AE115" s="20"/>
      <c r="AF115" s="20"/>
    </row>
    <row r="116" spans="1:32" ht="19.5">
      <c r="A116" s="20"/>
      <c r="B116" s="20"/>
      <c r="C116" s="20"/>
      <c r="D116" s="20"/>
      <c r="E116" s="20"/>
      <c r="F116" s="20"/>
      <c r="G116" s="124"/>
      <c r="H116" s="20"/>
      <c r="I116" s="20"/>
      <c r="J116" s="20"/>
      <c r="K116" s="124"/>
      <c r="L116" s="127"/>
      <c r="M116" s="20"/>
      <c r="N116" s="20"/>
      <c r="O116" s="20"/>
      <c r="P116" s="124"/>
      <c r="Q116" s="127"/>
      <c r="R116" s="20"/>
      <c r="S116" s="20"/>
      <c r="T116" s="20"/>
      <c r="U116" s="124"/>
      <c r="V116" s="127"/>
      <c r="W116" s="20"/>
      <c r="X116" s="20"/>
      <c r="Y116" s="20"/>
      <c r="Z116" s="20"/>
      <c r="AA116" s="20"/>
      <c r="AB116" s="20"/>
      <c r="AC116" s="20"/>
      <c r="AD116" s="20"/>
      <c r="AE116" s="20"/>
      <c r="AF116" s="20"/>
    </row>
    <row r="117" spans="1:32" ht="19.5">
      <c r="A117" s="20"/>
      <c r="B117" s="20"/>
      <c r="C117" s="20"/>
      <c r="D117" s="20"/>
      <c r="E117" s="20"/>
      <c r="F117" s="20"/>
      <c r="G117" s="124"/>
      <c r="H117" s="20"/>
      <c r="I117" s="20"/>
      <c r="J117" s="20"/>
      <c r="K117" s="124"/>
      <c r="L117" s="127"/>
      <c r="M117" s="20"/>
      <c r="N117" s="20"/>
      <c r="O117" s="20"/>
      <c r="P117" s="124"/>
      <c r="Q117" s="127"/>
      <c r="R117" s="20"/>
      <c r="S117" s="20"/>
      <c r="T117" s="20"/>
      <c r="U117" s="124"/>
      <c r="V117" s="127"/>
      <c r="W117" s="20"/>
      <c r="X117" s="20"/>
      <c r="Y117" s="20"/>
      <c r="Z117" s="20"/>
      <c r="AA117" s="20"/>
      <c r="AB117" s="20"/>
      <c r="AC117" s="20"/>
      <c r="AD117" s="20"/>
      <c r="AE117" s="20"/>
      <c r="AF117" s="20"/>
    </row>
    <row r="118" spans="1:32" ht="19.5">
      <c r="A118" s="20"/>
      <c r="B118" s="20"/>
      <c r="C118" s="20"/>
      <c r="D118" s="20"/>
      <c r="E118" s="20"/>
      <c r="F118" s="20"/>
      <c r="G118" s="124"/>
      <c r="H118" s="20"/>
      <c r="I118" s="20"/>
      <c r="J118" s="20"/>
      <c r="K118" s="124"/>
      <c r="L118" s="127"/>
      <c r="M118" s="20"/>
      <c r="N118" s="20"/>
      <c r="O118" s="20"/>
      <c r="P118" s="124"/>
      <c r="Q118" s="127"/>
      <c r="R118" s="20"/>
      <c r="S118" s="20"/>
      <c r="T118" s="20"/>
      <c r="U118" s="124"/>
      <c r="V118" s="127"/>
      <c r="W118" s="20"/>
      <c r="X118" s="20"/>
      <c r="Y118" s="20"/>
      <c r="Z118" s="20"/>
      <c r="AA118" s="20"/>
      <c r="AB118" s="20"/>
      <c r="AC118" s="20"/>
      <c r="AD118" s="20"/>
      <c r="AE118" s="20"/>
      <c r="AF118" s="20"/>
    </row>
    <row r="119" spans="1:32" ht="19.5">
      <c r="A119" s="20"/>
      <c r="B119" s="20"/>
      <c r="C119" s="20"/>
      <c r="D119" s="20"/>
      <c r="E119" s="20"/>
      <c r="F119" s="20"/>
      <c r="G119" s="124"/>
      <c r="H119" s="20"/>
      <c r="I119" s="20"/>
      <c r="J119" s="20"/>
      <c r="K119" s="124"/>
      <c r="L119" s="127"/>
      <c r="M119" s="20"/>
      <c r="N119" s="20"/>
      <c r="O119" s="20"/>
      <c r="P119" s="124"/>
      <c r="Q119" s="127"/>
      <c r="R119" s="20"/>
      <c r="S119" s="20"/>
      <c r="T119" s="20"/>
      <c r="U119" s="124"/>
      <c r="V119" s="127"/>
      <c r="W119" s="20"/>
      <c r="X119" s="20"/>
      <c r="Y119" s="20"/>
      <c r="Z119" s="20"/>
      <c r="AA119" s="20"/>
      <c r="AB119" s="20"/>
      <c r="AC119" s="20"/>
      <c r="AD119" s="20"/>
      <c r="AE119" s="20"/>
      <c r="AF119" s="20"/>
    </row>
    <row r="120" spans="1:32" ht="19.5">
      <c r="A120" s="20"/>
      <c r="B120" s="20"/>
      <c r="C120" s="20"/>
      <c r="D120" s="20"/>
      <c r="E120" s="20"/>
      <c r="F120" s="20"/>
      <c r="G120" s="124"/>
      <c r="H120" s="20"/>
      <c r="I120" s="20"/>
      <c r="J120" s="20"/>
      <c r="K120" s="124"/>
      <c r="L120" s="127"/>
      <c r="M120" s="20"/>
      <c r="N120" s="20"/>
      <c r="O120" s="20"/>
      <c r="P120" s="124"/>
      <c r="Q120" s="127"/>
      <c r="R120" s="20"/>
      <c r="S120" s="20"/>
      <c r="T120" s="20"/>
      <c r="U120" s="124"/>
      <c r="V120" s="127"/>
      <c r="W120" s="20"/>
      <c r="X120" s="20"/>
      <c r="Y120" s="20"/>
      <c r="Z120" s="20"/>
      <c r="AA120" s="20"/>
      <c r="AB120" s="20"/>
      <c r="AC120" s="20"/>
      <c r="AD120" s="20"/>
      <c r="AE120" s="20"/>
      <c r="AF120" s="20"/>
    </row>
    <row r="121" spans="1:32" ht="19.5">
      <c r="A121" s="20"/>
      <c r="B121" s="20"/>
      <c r="C121" s="20"/>
      <c r="D121" s="20"/>
      <c r="E121" s="20"/>
      <c r="F121" s="20"/>
      <c r="G121" s="124"/>
      <c r="H121" s="20"/>
      <c r="I121" s="20"/>
      <c r="J121" s="20"/>
      <c r="K121" s="124"/>
      <c r="L121" s="127"/>
      <c r="M121" s="20"/>
      <c r="N121" s="20"/>
      <c r="O121" s="20"/>
      <c r="P121" s="124"/>
      <c r="Q121" s="127"/>
      <c r="R121" s="20"/>
      <c r="S121" s="20"/>
      <c r="T121" s="20"/>
      <c r="U121" s="124"/>
      <c r="V121" s="127"/>
      <c r="W121" s="20"/>
      <c r="X121" s="20"/>
      <c r="Y121" s="20"/>
      <c r="Z121" s="20"/>
      <c r="AA121" s="20"/>
      <c r="AB121" s="20"/>
      <c r="AC121" s="20"/>
      <c r="AD121" s="20"/>
      <c r="AE121" s="20"/>
      <c r="AF121" s="20"/>
    </row>
    <row r="122" spans="1:32" ht="19.5">
      <c r="A122" s="20"/>
      <c r="B122" s="20"/>
      <c r="C122" s="20"/>
      <c r="D122" s="20"/>
      <c r="E122" s="20"/>
      <c r="F122" s="20"/>
      <c r="G122" s="124"/>
      <c r="H122" s="20"/>
      <c r="I122" s="20"/>
      <c r="J122" s="20"/>
      <c r="K122" s="124"/>
      <c r="L122" s="127"/>
      <c r="M122" s="20"/>
      <c r="N122" s="20"/>
      <c r="O122" s="20"/>
      <c r="P122" s="124"/>
      <c r="Q122" s="127"/>
      <c r="R122" s="20"/>
      <c r="S122" s="20"/>
      <c r="T122" s="20"/>
      <c r="U122" s="124"/>
      <c r="V122" s="127"/>
      <c r="W122" s="20"/>
      <c r="X122" s="20"/>
      <c r="Y122" s="20"/>
      <c r="Z122" s="20"/>
      <c r="AA122" s="20"/>
      <c r="AB122" s="20"/>
      <c r="AC122" s="20"/>
      <c r="AD122" s="20"/>
      <c r="AE122" s="20"/>
      <c r="AF122" s="20"/>
    </row>
    <row r="123" spans="1:32" ht="19.5">
      <c r="A123" s="20"/>
      <c r="B123" s="20"/>
      <c r="C123" s="20"/>
      <c r="D123" s="20"/>
      <c r="E123" s="20"/>
      <c r="F123" s="20"/>
      <c r="G123" s="124"/>
      <c r="H123" s="20"/>
      <c r="I123" s="20"/>
      <c r="J123" s="20"/>
      <c r="K123" s="124"/>
      <c r="L123" s="127"/>
      <c r="M123" s="20"/>
      <c r="N123" s="20"/>
      <c r="O123" s="20"/>
      <c r="P123" s="124"/>
      <c r="Q123" s="127"/>
      <c r="R123" s="20"/>
      <c r="S123" s="20"/>
      <c r="T123" s="20"/>
      <c r="U123" s="124"/>
      <c r="V123" s="127"/>
      <c r="W123" s="20"/>
      <c r="X123" s="20"/>
      <c r="Y123" s="20"/>
      <c r="Z123" s="20"/>
      <c r="AA123" s="20"/>
      <c r="AB123" s="20"/>
      <c r="AC123" s="20"/>
      <c r="AD123" s="20"/>
      <c r="AE123" s="20"/>
      <c r="AF123" s="20"/>
    </row>
    <row r="124" spans="1:32" ht="19.5">
      <c r="A124" s="20"/>
      <c r="B124" s="20"/>
      <c r="C124" s="20"/>
      <c r="D124" s="20"/>
      <c r="E124" s="20"/>
      <c r="F124" s="20"/>
      <c r="G124" s="124"/>
      <c r="H124" s="20"/>
      <c r="I124" s="20"/>
      <c r="J124" s="20"/>
      <c r="K124" s="124"/>
      <c r="L124" s="127"/>
      <c r="M124" s="20"/>
      <c r="N124" s="20"/>
      <c r="O124" s="20"/>
      <c r="P124" s="124"/>
      <c r="Q124" s="127"/>
      <c r="R124" s="20"/>
      <c r="S124" s="20"/>
      <c r="T124" s="20"/>
      <c r="U124" s="124"/>
      <c r="V124" s="127"/>
      <c r="W124" s="20"/>
      <c r="X124" s="20"/>
      <c r="Y124" s="20"/>
      <c r="Z124" s="20"/>
      <c r="AA124" s="20"/>
      <c r="AB124" s="20"/>
      <c r="AC124" s="20"/>
      <c r="AD124" s="20"/>
      <c r="AE124" s="20"/>
      <c r="AF124" s="20"/>
    </row>
    <row r="125" spans="1:32" ht="19.5">
      <c r="A125" s="20"/>
      <c r="B125" s="20"/>
      <c r="C125" s="20"/>
      <c r="D125" s="20"/>
      <c r="E125" s="20"/>
      <c r="F125" s="20"/>
      <c r="G125" s="124"/>
      <c r="H125" s="20"/>
      <c r="I125" s="20"/>
      <c r="J125" s="20"/>
      <c r="K125" s="124"/>
      <c r="L125" s="127"/>
      <c r="M125" s="20"/>
      <c r="N125" s="20"/>
      <c r="O125" s="20"/>
      <c r="P125" s="124"/>
      <c r="Q125" s="127"/>
      <c r="R125" s="20"/>
      <c r="S125" s="20"/>
      <c r="T125" s="20"/>
      <c r="U125" s="124"/>
      <c r="V125" s="127"/>
      <c r="W125" s="20"/>
      <c r="X125" s="20"/>
      <c r="Y125" s="20"/>
      <c r="Z125" s="20"/>
      <c r="AA125" s="20"/>
      <c r="AB125" s="20"/>
      <c r="AC125" s="20"/>
      <c r="AD125" s="20"/>
      <c r="AE125" s="20"/>
      <c r="AF125" s="20"/>
    </row>
    <row r="126" spans="1:32" ht="19.5">
      <c r="A126" s="20"/>
      <c r="B126" s="20"/>
      <c r="C126" s="20"/>
      <c r="D126" s="20"/>
      <c r="E126" s="20"/>
      <c r="F126" s="20"/>
      <c r="G126" s="124"/>
      <c r="H126" s="20"/>
      <c r="I126" s="20"/>
      <c r="J126" s="20"/>
      <c r="K126" s="124"/>
      <c r="L126" s="127"/>
      <c r="M126" s="20"/>
      <c r="N126" s="20"/>
      <c r="O126" s="20"/>
      <c r="P126" s="124"/>
      <c r="Q126" s="127"/>
      <c r="R126" s="20"/>
      <c r="S126" s="20"/>
      <c r="T126" s="20"/>
      <c r="U126" s="124"/>
      <c r="V126" s="127"/>
      <c r="W126" s="20"/>
      <c r="X126" s="20"/>
      <c r="Y126" s="20"/>
      <c r="Z126" s="20"/>
      <c r="AA126" s="20"/>
      <c r="AB126" s="20"/>
      <c r="AC126" s="20"/>
      <c r="AD126" s="20"/>
      <c r="AE126" s="20"/>
      <c r="AF126" s="20"/>
    </row>
    <row r="127" spans="1:32" ht="19.5">
      <c r="A127" s="20"/>
      <c r="B127" s="20"/>
      <c r="C127" s="20"/>
      <c r="D127" s="20"/>
      <c r="E127" s="20"/>
      <c r="F127" s="20"/>
      <c r="G127" s="124"/>
      <c r="H127" s="20"/>
      <c r="I127" s="20"/>
      <c r="J127" s="20"/>
      <c r="K127" s="124"/>
      <c r="L127" s="127"/>
      <c r="M127" s="20"/>
      <c r="N127" s="20"/>
      <c r="O127" s="20"/>
      <c r="P127" s="124"/>
      <c r="Q127" s="127"/>
      <c r="R127" s="20"/>
      <c r="S127" s="20"/>
      <c r="T127" s="20"/>
      <c r="U127" s="124"/>
      <c r="V127" s="127"/>
      <c r="W127" s="20"/>
      <c r="X127" s="20"/>
      <c r="Y127" s="20"/>
      <c r="Z127" s="20"/>
      <c r="AA127" s="20"/>
      <c r="AB127" s="20"/>
      <c r="AC127" s="20"/>
      <c r="AD127" s="20"/>
      <c r="AE127" s="20"/>
      <c r="AF127" s="20"/>
    </row>
    <row r="128" spans="1:32" ht="19.5">
      <c r="A128" s="20"/>
      <c r="B128" s="20"/>
      <c r="C128" s="20"/>
      <c r="D128" s="20"/>
      <c r="E128" s="20"/>
      <c r="F128" s="20"/>
      <c r="G128" s="124"/>
      <c r="H128" s="20"/>
      <c r="I128" s="20"/>
      <c r="J128" s="20"/>
      <c r="K128" s="124"/>
      <c r="L128" s="127"/>
      <c r="M128" s="20"/>
      <c r="N128" s="20"/>
      <c r="O128" s="20"/>
      <c r="P128" s="124"/>
      <c r="Q128" s="127"/>
      <c r="R128" s="20"/>
      <c r="S128" s="20"/>
      <c r="T128" s="20"/>
      <c r="U128" s="124"/>
      <c r="V128" s="127"/>
      <c r="W128" s="20"/>
      <c r="X128" s="20"/>
      <c r="Y128" s="20"/>
      <c r="Z128" s="20"/>
      <c r="AA128" s="20"/>
      <c r="AB128" s="20"/>
      <c r="AC128" s="20"/>
      <c r="AD128" s="20"/>
      <c r="AE128" s="20"/>
      <c r="AF128" s="20"/>
    </row>
    <row r="129" spans="1:32" ht="19.5">
      <c r="A129" s="20"/>
      <c r="B129" s="20"/>
      <c r="C129" s="20"/>
      <c r="D129" s="20"/>
      <c r="E129" s="20"/>
      <c r="F129" s="20"/>
      <c r="G129" s="124"/>
      <c r="H129" s="20"/>
      <c r="I129" s="20"/>
      <c r="J129" s="20"/>
      <c r="K129" s="124"/>
      <c r="L129" s="127"/>
      <c r="M129" s="20"/>
      <c r="N129" s="20"/>
      <c r="O129" s="20"/>
      <c r="P129" s="124"/>
      <c r="Q129" s="127"/>
      <c r="R129" s="20"/>
      <c r="S129" s="20"/>
      <c r="T129" s="20"/>
      <c r="U129" s="124"/>
      <c r="V129" s="127"/>
      <c r="W129" s="20"/>
      <c r="X129" s="20"/>
      <c r="Y129" s="20"/>
      <c r="Z129" s="20"/>
      <c r="AA129" s="20"/>
      <c r="AB129" s="20"/>
      <c r="AC129" s="20"/>
      <c r="AD129" s="20"/>
      <c r="AE129" s="20"/>
      <c r="AF129" s="20"/>
    </row>
    <row r="130" spans="1:32" ht="19.5">
      <c r="A130" s="20"/>
      <c r="B130" s="20"/>
      <c r="C130" s="20"/>
      <c r="D130" s="20"/>
      <c r="E130" s="20"/>
      <c r="F130" s="20"/>
      <c r="G130" s="124"/>
      <c r="H130" s="20"/>
      <c r="I130" s="20"/>
      <c r="J130" s="20"/>
      <c r="K130" s="124"/>
      <c r="L130" s="127"/>
      <c r="M130" s="20"/>
      <c r="N130" s="20"/>
      <c r="O130" s="20"/>
      <c r="P130" s="124"/>
      <c r="Q130" s="127"/>
      <c r="R130" s="20"/>
      <c r="S130" s="20"/>
      <c r="T130" s="20"/>
      <c r="U130" s="124"/>
      <c r="V130" s="127"/>
      <c r="W130" s="20"/>
      <c r="X130" s="20"/>
      <c r="Y130" s="20"/>
      <c r="Z130" s="20"/>
      <c r="AA130" s="20"/>
      <c r="AB130" s="20"/>
      <c r="AC130" s="20"/>
      <c r="AD130" s="20"/>
      <c r="AE130" s="20"/>
      <c r="AF130" s="20"/>
    </row>
    <row r="131" spans="1:32" ht="19.5">
      <c r="A131" s="20"/>
      <c r="B131" s="20"/>
      <c r="C131" s="20"/>
      <c r="D131" s="20"/>
      <c r="E131" s="20"/>
      <c r="F131" s="20"/>
      <c r="G131" s="124"/>
      <c r="H131" s="20"/>
      <c r="I131" s="20"/>
      <c r="J131" s="20"/>
      <c r="K131" s="124"/>
      <c r="L131" s="127"/>
      <c r="M131" s="20"/>
      <c r="N131" s="20"/>
      <c r="O131" s="20"/>
      <c r="P131" s="124"/>
      <c r="Q131" s="127"/>
      <c r="R131" s="20"/>
      <c r="S131" s="20"/>
      <c r="T131" s="20"/>
      <c r="U131" s="124"/>
      <c r="V131" s="127"/>
      <c r="W131" s="20"/>
      <c r="X131" s="20"/>
      <c r="Y131" s="20"/>
      <c r="Z131" s="20"/>
      <c r="AA131" s="20"/>
      <c r="AB131" s="20"/>
      <c r="AC131" s="20"/>
      <c r="AD131" s="20"/>
      <c r="AE131" s="20"/>
      <c r="AF131" s="20"/>
    </row>
    <row r="132" spans="1:32" ht="19.5">
      <c r="A132" s="20"/>
      <c r="B132" s="20"/>
      <c r="C132" s="20"/>
      <c r="D132" s="20"/>
      <c r="E132" s="20"/>
      <c r="F132" s="20"/>
      <c r="G132" s="124"/>
      <c r="H132" s="20"/>
      <c r="I132" s="20"/>
      <c r="J132" s="20"/>
      <c r="K132" s="124"/>
      <c r="L132" s="127"/>
      <c r="M132" s="20"/>
      <c r="N132" s="20"/>
      <c r="O132" s="20"/>
      <c r="P132" s="124"/>
      <c r="Q132" s="127"/>
      <c r="R132" s="20"/>
      <c r="S132" s="20"/>
      <c r="T132" s="20"/>
      <c r="U132" s="124"/>
      <c r="V132" s="127"/>
      <c r="W132" s="20"/>
      <c r="X132" s="20"/>
      <c r="Y132" s="20"/>
      <c r="Z132" s="20"/>
      <c r="AA132" s="20"/>
      <c r="AB132" s="20"/>
      <c r="AC132" s="20"/>
      <c r="AD132" s="20"/>
      <c r="AE132" s="20"/>
      <c r="AF132" s="20"/>
    </row>
    <row r="133" spans="1:32" ht="19.5">
      <c r="A133" s="20"/>
      <c r="B133" s="20"/>
      <c r="C133" s="20"/>
      <c r="D133" s="20"/>
      <c r="E133" s="20"/>
      <c r="F133" s="20"/>
      <c r="G133" s="124"/>
      <c r="H133" s="20"/>
      <c r="I133" s="20"/>
      <c r="J133" s="20"/>
      <c r="K133" s="124"/>
      <c r="L133" s="127"/>
      <c r="M133" s="20"/>
      <c r="N133" s="20"/>
      <c r="O133" s="20"/>
      <c r="P133" s="124"/>
      <c r="Q133" s="127"/>
      <c r="R133" s="20"/>
      <c r="S133" s="20"/>
      <c r="T133" s="20"/>
      <c r="U133" s="124"/>
      <c r="V133" s="127"/>
      <c r="W133" s="20"/>
      <c r="X133" s="20"/>
      <c r="Y133" s="20"/>
      <c r="Z133" s="20"/>
      <c r="AA133" s="20"/>
      <c r="AB133" s="20"/>
      <c r="AC133" s="20"/>
      <c r="AD133" s="20"/>
      <c r="AE133" s="20"/>
      <c r="AF133" s="20"/>
    </row>
    <row r="134" spans="1:32" ht="19.5">
      <c r="A134" s="20"/>
      <c r="B134" s="20"/>
      <c r="C134" s="20"/>
      <c r="D134" s="20"/>
      <c r="E134" s="20"/>
      <c r="F134" s="20"/>
      <c r="G134" s="124"/>
      <c r="H134" s="20"/>
      <c r="I134" s="20"/>
      <c r="J134" s="20"/>
      <c r="K134" s="124"/>
      <c r="L134" s="127"/>
      <c r="M134" s="20"/>
      <c r="N134" s="20"/>
      <c r="O134" s="20"/>
      <c r="P134" s="124"/>
      <c r="Q134" s="127"/>
      <c r="R134" s="20"/>
      <c r="S134" s="20"/>
      <c r="T134" s="20"/>
      <c r="U134" s="124"/>
      <c r="V134" s="127"/>
      <c r="W134" s="20"/>
      <c r="X134" s="20"/>
      <c r="Y134" s="20"/>
      <c r="Z134" s="20"/>
      <c r="AA134" s="20"/>
      <c r="AB134" s="20"/>
      <c r="AC134" s="20"/>
      <c r="AD134" s="20"/>
      <c r="AE134" s="20"/>
      <c r="AF134" s="20"/>
    </row>
    <row r="135" spans="1:32" ht="19.5">
      <c r="A135" s="20"/>
      <c r="B135" s="20"/>
      <c r="C135" s="20"/>
      <c r="D135" s="20"/>
      <c r="E135" s="20"/>
      <c r="F135" s="20"/>
      <c r="G135" s="124"/>
      <c r="H135" s="20"/>
      <c r="I135" s="20"/>
      <c r="J135" s="20"/>
      <c r="K135" s="124"/>
      <c r="L135" s="127"/>
      <c r="M135" s="20"/>
      <c r="N135" s="20"/>
      <c r="O135" s="20"/>
      <c r="P135" s="124"/>
      <c r="Q135" s="127"/>
      <c r="R135" s="20"/>
      <c r="S135" s="20"/>
      <c r="T135" s="20"/>
      <c r="U135" s="124"/>
      <c r="V135" s="127"/>
      <c r="W135" s="20"/>
      <c r="X135" s="20"/>
      <c r="Y135" s="20"/>
      <c r="Z135" s="20"/>
      <c r="AA135" s="20"/>
      <c r="AB135" s="20"/>
      <c r="AC135" s="20"/>
      <c r="AD135" s="20"/>
      <c r="AE135" s="20"/>
      <c r="AF135" s="20"/>
    </row>
    <row r="136" spans="1:32" ht="19.5">
      <c r="A136" s="20"/>
      <c r="B136" s="20"/>
      <c r="C136" s="20"/>
      <c r="D136" s="20"/>
      <c r="E136" s="20"/>
      <c r="F136" s="20"/>
      <c r="G136" s="124"/>
      <c r="H136" s="20"/>
      <c r="I136" s="20"/>
      <c r="J136" s="20"/>
      <c r="K136" s="124"/>
      <c r="L136" s="127"/>
      <c r="M136" s="20"/>
      <c r="N136" s="20"/>
      <c r="O136" s="20"/>
      <c r="P136" s="124"/>
      <c r="Q136" s="127"/>
      <c r="R136" s="20"/>
      <c r="S136" s="20"/>
      <c r="T136" s="20"/>
      <c r="U136" s="124"/>
      <c r="V136" s="127"/>
      <c r="W136" s="20"/>
      <c r="X136" s="20"/>
      <c r="Y136" s="20"/>
      <c r="Z136" s="20"/>
      <c r="AA136" s="20"/>
      <c r="AB136" s="20"/>
      <c r="AC136" s="20"/>
      <c r="AD136" s="20"/>
      <c r="AE136" s="20"/>
      <c r="AF136" s="20"/>
    </row>
    <row r="137" spans="1:32" ht="19.5">
      <c r="A137" s="20"/>
      <c r="B137" s="20"/>
      <c r="C137" s="20"/>
      <c r="D137" s="20"/>
      <c r="E137" s="20"/>
      <c r="F137" s="20"/>
      <c r="G137" s="124"/>
      <c r="H137" s="20"/>
      <c r="I137" s="20"/>
      <c r="J137" s="20"/>
      <c r="K137" s="124"/>
      <c r="L137" s="127"/>
      <c r="M137" s="20"/>
      <c r="N137" s="20"/>
      <c r="O137" s="20"/>
      <c r="P137" s="124"/>
      <c r="Q137" s="127"/>
      <c r="R137" s="20"/>
      <c r="S137" s="20"/>
      <c r="T137" s="20"/>
      <c r="U137" s="124"/>
      <c r="V137" s="127"/>
      <c r="W137" s="20"/>
      <c r="X137" s="20"/>
      <c r="Y137" s="20"/>
      <c r="Z137" s="20"/>
      <c r="AA137" s="20"/>
      <c r="AB137" s="20"/>
      <c r="AC137" s="20"/>
      <c r="AD137" s="20"/>
      <c r="AE137" s="20"/>
      <c r="AF137" s="20"/>
    </row>
    <row r="138" spans="1:32" ht="19.5">
      <c r="A138" s="20"/>
      <c r="B138" s="20"/>
      <c r="C138" s="20"/>
      <c r="D138" s="20"/>
      <c r="E138" s="20"/>
      <c r="F138" s="20"/>
      <c r="G138" s="124"/>
      <c r="H138" s="20"/>
      <c r="I138" s="20"/>
      <c r="J138" s="20"/>
      <c r="K138" s="124"/>
      <c r="L138" s="127"/>
      <c r="M138" s="20"/>
      <c r="N138" s="20"/>
      <c r="O138" s="20"/>
      <c r="P138" s="124"/>
      <c r="Q138" s="127"/>
      <c r="R138" s="20"/>
      <c r="S138" s="20"/>
      <c r="T138" s="20"/>
      <c r="U138" s="124"/>
      <c r="V138" s="127"/>
      <c r="W138" s="20"/>
      <c r="X138" s="20"/>
      <c r="Y138" s="20"/>
      <c r="Z138" s="20"/>
      <c r="AA138" s="20"/>
      <c r="AB138" s="20"/>
      <c r="AC138" s="20"/>
      <c r="AD138" s="20"/>
      <c r="AE138" s="20"/>
      <c r="AF138" s="20"/>
    </row>
    <row r="139" spans="1:32" ht="19.5">
      <c r="A139" s="20"/>
      <c r="B139" s="20"/>
      <c r="C139" s="20"/>
      <c r="D139" s="20"/>
      <c r="E139" s="20"/>
      <c r="F139" s="20"/>
      <c r="G139" s="124"/>
      <c r="H139" s="20"/>
      <c r="I139" s="20"/>
      <c r="J139" s="20"/>
      <c r="K139" s="124"/>
      <c r="L139" s="127"/>
      <c r="M139" s="20"/>
      <c r="N139" s="20"/>
      <c r="O139" s="20"/>
      <c r="P139" s="124"/>
      <c r="Q139" s="127"/>
      <c r="R139" s="20"/>
      <c r="S139" s="20"/>
      <c r="T139" s="20"/>
      <c r="U139" s="124"/>
      <c r="V139" s="127"/>
      <c r="W139" s="20"/>
      <c r="X139" s="20"/>
      <c r="Y139" s="20"/>
      <c r="Z139" s="20"/>
      <c r="AA139" s="20"/>
      <c r="AB139" s="20"/>
      <c r="AC139" s="20"/>
      <c r="AD139" s="20"/>
      <c r="AE139" s="20"/>
      <c r="AF139" s="20"/>
    </row>
    <row r="140" spans="1:32" ht="19.5">
      <c r="A140" s="20"/>
      <c r="B140" s="20"/>
      <c r="C140" s="20"/>
      <c r="D140" s="20"/>
      <c r="E140" s="20"/>
      <c r="F140" s="20"/>
      <c r="G140" s="124"/>
      <c r="H140" s="20"/>
      <c r="I140" s="20"/>
      <c r="J140" s="20"/>
      <c r="K140" s="124"/>
      <c r="L140" s="127"/>
      <c r="M140" s="20"/>
      <c r="N140" s="20"/>
      <c r="O140" s="20"/>
      <c r="P140" s="124"/>
      <c r="Q140" s="127"/>
      <c r="R140" s="20"/>
      <c r="S140" s="20"/>
      <c r="T140" s="20"/>
      <c r="U140" s="124"/>
      <c r="V140" s="127"/>
      <c r="W140" s="20"/>
      <c r="X140" s="20"/>
      <c r="Y140" s="20"/>
      <c r="Z140" s="20"/>
      <c r="AA140" s="20"/>
      <c r="AB140" s="20"/>
      <c r="AC140" s="20"/>
      <c r="AD140" s="20"/>
      <c r="AE140" s="20"/>
      <c r="AF140" s="20"/>
    </row>
    <row r="141" spans="1:32" ht="19.5">
      <c r="A141" s="20"/>
      <c r="B141" s="20"/>
      <c r="C141" s="20"/>
      <c r="D141" s="20"/>
      <c r="E141" s="20"/>
      <c r="F141" s="20"/>
      <c r="G141" s="124"/>
      <c r="H141" s="20"/>
      <c r="I141" s="20"/>
      <c r="J141" s="20"/>
      <c r="K141" s="124"/>
      <c r="L141" s="127"/>
      <c r="M141" s="20"/>
      <c r="N141" s="20"/>
      <c r="O141" s="20"/>
      <c r="P141" s="124"/>
      <c r="Q141" s="127"/>
      <c r="R141" s="20"/>
      <c r="S141" s="20"/>
      <c r="T141" s="20"/>
      <c r="U141" s="124"/>
      <c r="V141" s="127"/>
      <c r="W141" s="20"/>
      <c r="X141" s="20"/>
      <c r="Y141" s="20"/>
      <c r="Z141" s="20"/>
      <c r="AA141" s="20"/>
      <c r="AB141" s="20"/>
      <c r="AC141" s="20"/>
      <c r="AD141" s="20"/>
      <c r="AE141" s="20"/>
      <c r="AF141" s="20"/>
    </row>
    <row r="142" spans="1:32" ht="19.5">
      <c r="A142" s="20"/>
      <c r="B142" s="20"/>
      <c r="C142" s="20"/>
      <c r="D142" s="20"/>
      <c r="E142" s="20"/>
      <c r="F142" s="20"/>
      <c r="G142" s="124"/>
      <c r="H142" s="20"/>
      <c r="I142" s="20"/>
      <c r="J142" s="20"/>
      <c r="K142" s="124"/>
      <c r="L142" s="127"/>
      <c r="M142" s="20"/>
      <c r="N142" s="20"/>
      <c r="O142" s="20"/>
      <c r="P142" s="124"/>
      <c r="Q142" s="127"/>
      <c r="R142" s="20"/>
      <c r="S142" s="20"/>
      <c r="T142" s="20"/>
      <c r="U142" s="124"/>
      <c r="V142" s="127"/>
      <c r="W142" s="20"/>
      <c r="X142" s="20"/>
      <c r="Y142" s="20"/>
      <c r="Z142" s="20"/>
      <c r="AA142" s="20"/>
      <c r="AB142" s="20"/>
      <c r="AC142" s="20"/>
      <c r="AD142" s="20"/>
      <c r="AE142" s="20"/>
      <c r="AF142" s="20"/>
    </row>
    <row r="143" spans="1:32" ht="19.5">
      <c r="A143" s="20"/>
      <c r="B143" s="20"/>
      <c r="C143" s="20"/>
      <c r="D143" s="20"/>
      <c r="E143" s="20"/>
      <c r="F143" s="20"/>
      <c r="G143" s="124"/>
      <c r="H143" s="20"/>
      <c r="I143" s="20"/>
      <c r="J143" s="20"/>
      <c r="K143" s="124"/>
      <c r="L143" s="127"/>
      <c r="M143" s="20"/>
      <c r="N143" s="20"/>
      <c r="O143" s="20"/>
      <c r="P143" s="124"/>
      <c r="Q143" s="127"/>
      <c r="R143" s="20"/>
      <c r="S143" s="20"/>
      <c r="T143" s="20"/>
      <c r="U143" s="124"/>
      <c r="V143" s="127"/>
      <c r="W143" s="20"/>
      <c r="X143" s="20"/>
      <c r="Y143" s="20"/>
      <c r="Z143" s="20"/>
      <c r="AA143" s="20"/>
      <c r="AB143" s="20"/>
      <c r="AC143" s="20"/>
      <c r="AD143" s="20"/>
      <c r="AE143" s="20"/>
      <c r="AF143" s="20"/>
    </row>
    <row r="144" spans="1:32" ht="19.5">
      <c r="A144" s="20"/>
      <c r="B144" s="20"/>
      <c r="C144" s="20"/>
      <c r="D144" s="20"/>
      <c r="E144" s="20"/>
      <c r="F144" s="20"/>
      <c r="G144" s="124"/>
      <c r="H144" s="20"/>
      <c r="I144" s="20"/>
      <c r="J144" s="20"/>
      <c r="K144" s="124"/>
      <c r="L144" s="127"/>
      <c r="M144" s="20"/>
      <c r="N144" s="20"/>
      <c r="O144" s="20"/>
      <c r="P144" s="124"/>
      <c r="Q144" s="127"/>
      <c r="R144" s="20"/>
      <c r="S144" s="20"/>
      <c r="T144" s="20"/>
      <c r="U144" s="124"/>
      <c r="V144" s="127"/>
      <c r="W144" s="20"/>
      <c r="X144" s="20"/>
      <c r="Y144" s="20"/>
      <c r="Z144" s="20"/>
      <c r="AA144" s="20"/>
      <c r="AB144" s="20"/>
      <c r="AC144" s="20"/>
      <c r="AD144" s="20"/>
      <c r="AE144" s="20"/>
      <c r="AF144" s="20"/>
    </row>
    <row r="145" spans="1:32" ht="19.5">
      <c r="A145" s="20"/>
      <c r="B145" s="20"/>
      <c r="C145" s="20"/>
      <c r="D145" s="20"/>
      <c r="E145" s="20"/>
      <c r="F145" s="20"/>
      <c r="G145" s="124"/>
      <c r="H145" s="20"/>
      <c r="I145" s="20"/>
      <c r="J145" s="20"/>
      <c r="K145" s="124"/>
      <c r="L145" s="127"/>
      <c r="M145" s="20"/>
      <c r="N145" s="20"/>
      <c r="O145" s="20"/>
      <c r="P145" s="124"/>
      <c r="Q145" s="127"/>
      <c r="R145" s="20"/>
      <c r="S145" s="20"/>
      <c r="T145" s="20"/>
      <c r="U145" s="124"/>
      <c r="V145" s="127"/>
      <c r="W145" s="20"/>
      <c r="X145" s="20"/>
      <c r="Y145" s="20"/>
      <c r="Z145" s="20"/>
      <c r="AA145" s="20"/>
      <c r="AB145" s="20"/>
      <c r="AC145" s="20"/>
      <c r="AD145" s="20"/>
      <c r="AE145" s="20"/>
      <c r="AF145" s="20"/>
    </row>
    <row r="146" spans="1:32" ht="19.5">
      <c r="A146" s="20"/>
      <c r="B146" s="20"/>
      <c r="C146" s="20"/>
      <c r="D146" s="20"/>
      <c r="E146" s="20"/>
      <c r="F146" s="20"/>
      <c r="G146" s="124"/>
      <c r="H146" s="20"/>
      <c r="I146" s="20"/>
      <c r="J146" s="20"/>
      <c r="K146" s="124"/>
      <c r="L146" s="127"/>
      <c r="M146" s="20"/>
      <c r="N146" s="20"/>
      <c r="O146" s="20"/>
      <c r="P146" s="124"/>
      <c r="Q146" s="127"/>
      <c r="R146" s="20"/>
      <c r="S146" s="20"/>
      <c r="T146" s="20"/>
      <c r="U146" s="124"/>
      <c r="V146" s="127"/>
      <c r="W146" s="20"/>
      <c r="X146" s="20"/>
      <c r="Y146" s="20"/>
      <c r="Z146" s="20"/>
      <c r="AA146" s="20"/>
      <c r="AB146" s="20"/>
      <c r="AC146" s="20"/>
      <c r="AD146" s="20"/>
      <c r="AE146" s="20"/>
      <c r="AF146" s="20"/>
    </row>
    <row r="147" spans="1:32" ht="19.5">
      <c r="A147" s="20"/>
      <c r="B147" s="20"/>
      <c r="C147" s="20"/>
      <c r="D147" s="20"/>
      <c r="E147" s="20"/>
      <c r="F147" s="20"/>
      <c r="G147" s="124"/>
      <c r="H147" s="20"/>
      <c r="I147" s="20"/>
      <c r="J147" s="20"/>
      <c r="K147" s="124"/>
      <c r="L147" s="127"/>
      <c r="M147" s="20"/>
      <c r="N147" s="20"/>
      <c r="O147" s="20"/>
      <c r="P147" s="124"/>
      <c r="Q147" s="127"/>
      <c r="R147" s="20"/>
      <c r="S147" s="20"/>
      <c r="T147" s="20"/>
      <c r="U147" s="124"/>
      <c r="V147" s="127"/>
      <c r="W147" s="20"/>
      <c r="X147" s="20"/>
      <c r="Y147" s="20"/>
      <c r="Z147" s="20"/>
      <c r="AA147" s="20"/>
      <c r="AB147" s="20"/>
      <c r="AC147" s="20"/>
      <c r="AD147" s="20"/>
      <c r="AE147" s="20"/>
      <c r="AF147" s="20"/>
    </row>
    <row r="148" spans="1:32" ht="19.5">
      <c r="A148" s="20"/>
      <c r="B148" s="20"/>
      <c r="C148" s="20"/>
      <c r="D148" s="20"/>
      <c r="E148" s="20"/>
      <c r="F148" s="20"/>
      <c r="G148" s="124"/>
      <c r="H148" s="20"/>
      <c r="I148" s="20"/>
      <c r="J148" s="20"/>
      <c r="K148" s="124"/>
      <c r="L148" s="127"/>
      <c r="M148" s="20"/>
      <c r="N148" s="20"/>
      <c r="O148" s="20"/>
      <c r="P148" s="124"/>
      <c r="Q148" s="127"/>
      <c r="R148" s="20"/>
      <c r="S148" s="20"/>
      <c r="T148" s="20"/>
      <c r="U148" s="124"/>
      <c r="V148" s="127"/>
      <c r="W148" s="20"/>
      <c r="X148" s="20"/>
      <c r="Y148" s="20"/>
      <c r="Z148" s="20"/>
      <c r="AA148" s="20"/>
      <c r="AB148" s="20"/>
      <c r="AC148" s="20"/>
      <c r="AD148" s="20"/>
      <c r="AE148" s="20"/>
      <c r="AF148" s="20"/>
    </row>
    <row r="149" spans="1:32" ht="19.5">
      <c r="A149" s="20"/>
      <c r="B149" s="20"/>
      <c r="C149" s="20"/>
      <c r="D149" s="20"/>
      <c r="E149" s="20"/>
      <c r="F149" s="20"/>
      <c r="G149" s="124"/>
      <c r="H149" s="20"/>
      <c r="I149" s="20"/>
      <c r="J149" s="20"/>
      <c r="K149" s="124"/>
      <c r="L149" s="127"/>
      <c r="M149" s="20"/>
      <c r="N149" s="20"/>
      <c r="O149" s="20"/>
      <c r="P149" s="124"/>
      <c r="Q149" s="127"/>
      <c r="R149" s="20"/>
      <c r="S149" s="20"/>
      <c r="T149" s="20"/>
      <c r="U149" s="124"/>
      <c r="V149" s="127"/>
      <c r="W149" s="20"/>
      <c r="X149" s="20"/>
      <c r="Y149" s="20"/>
      <c r="Z149" s="20"/>
      <c r="AA149" s="20"/>
      <c r="AB149" s="20"/>
      <c r="AC149" s="20"/>
      <c r="AD149" s="20"/>
      <c r="AE149" s="20"/>
      <c r="AF149" s="20"/>
    </row>
    <row r="150" spans="1:32" ht="19.5">
      <c r="A150" s="20"/>
      <c r="B150" s="20"/>
      <c r="C150" s="20"/>
      <c r="D150" s="20"/>
      <c r="E150" s="20"/>
      <c r="F150" s="20"/>
      <c r="G150" s="124"/>
      <c r="H150" s="20"/>
      <c r="I150" s="20"/>
      <c r="J150" s="20"/>
      <c r="K150" s="124"/>
      <c r="L150" s="127"/>
      <c r="M150" s="20"/>
      <c r="N150" s="20"/>
      <c r="O150" s="20"/>
      <c r="P150" s="124"/>
      <c r="Q150" s="127"/>
      <c r="R150" s="20"/>
      <c r="S150" s="20"/>
      <c r="T150" s="20"/>
      <c r="U150" s="124"/>
      <c r="V150" s="127"/>
      <c r="W150" s="20"/>
      <c r="X150" s="20"/>
      <c r="Y150" s="20"/>
      <c r="Z150" s="20"/>
      <c r="AA150" s="20"/>
      <c r="AB150" s="20"/>
      <c r="AC150" s="20"/>
      <c r="AD150" s="20"/>
      <c r="AE150" s="20"/>
      <c r="AF150" s="20"/>
    </row>
    <row r="151" spans="1:32" ht="19.5">
      <c r="A151" s="20"/>
      <c r="B151" s="20"/>
      <c r="C151" s="20"/>
      <c r="D151" s="20"/>
      <c r="E151" s="20"/>
      <c r="F151" s="20"/>
      <c r="G151" s="124"/>
      <c r="H151" s="20"/>
      <c r="I151" s="20"/>
      <c r="J151" s="20"/>
      <c r="K151" s="124"/>
      <c r="L151" s="127"/>
      <c r="M151" s="20"/>
      <c r="N151" s="20"/>
      <c r="O151" s="20"/>
      <c r="P151" s="124"/>
      <c r="Q151" s="127"/>
      <c r="R151" s="20"/>
      <c r="S151" s="20"/>
      <c r="T151" s="20"/>
      <c r="U151" s="124"/>
      <c r="V151" s="127"/>
      <c r="W151" s="20"/>
      <c r="X151" s="20"/>
      <c r="Y151" s="20"/>
      <c r="Z151" s="20"/>
      <c r="AA151" s="20"/>
      <c r="AB151" s="20"/>
      <c r="AC151" s="20"/>
      <c r="AD151" s="20"/>
      <c r="AE151" s="20"/>
      <c r="AF151" s="20"/>
    </row>
    <row r="152" spans="1:32" ht="19.5">
      <c r="A152" s="20"/>
      <c r="B152" s="20"/>
      <c r="C152" s="20"/>
      <c r="D152" s="20"/>
      <c r="E152" s="20"/>
      <c r="F152" s="20"/>
      <c r="G152" s="124"/>
      <c r="H152" s="20"/>
      <c r="I152" s="20"/>
      <c r="J152" s="20"/>
      <c r="K152" s="124"/>
      <c r="L152" s="127"/>
      <c r="M152" s="20"/>
      <c r="N152" s="20"/>
      <c r="O152" s="20"/>
      <c r="P152" s="124"/>
      <c r="Q152" s="127"/>
      <c r="R152" s="20"/>
      <c r="S152" s="20"/>
      <c r="T152" s="20"/>
      <c r="U152" s="124"/>
      <c r="V152" s="127"/>
      <c r="W152" s="20"/>
      <c r="X152" s="20"/>
      <c r="Y152" s="20"/>
      <c r="Z152" s="20"/>
      <c r="AA152" s="20"/>
      <c r="AB152" s="20"/>
      <c r="AC152" s="20"/>
      <c r="AD152" s="20"/>
      <c r="AE152" s="20"/>
      <c r="AF152" s="20"/>
    </row>
    <row r="153" spans="1:32" ht="19.5">
      <c r="A153" s="20"/>
      <c r="B153" s="20"/>
      <c r="C153" s="20"/>
      <c r="D153" s="20"/>
      <c r="E153" s="20"/>
      <c r="F153" s="20"/>
      <c r="G153" s="124"/>
      <c r="H153" s="20"/>
      <c r="I153" s="20"/>
      <c r="J153" s="20"/>
      <c r="K153" s="124"/>
      <c r="L153" s="127"/>
      <c r="M153" s="20"/>
      <c r="N153" s="20"/>
      <c r="O153" s="20"/>
      <c r="P153" s="124"/>
      <c r="Q153" s="127"/>
      <c r="R153" s="20"/>
      <c r="S153" s="20"/>
      <c r="T153" s="20"/>
      <c r="U153" s="124"/>
      <c r="V153" s="127"/>
      <c r="W153" s="20"/>
      <c r="X153" s="20"/>
      <c r="Y153" s="20"/>
      <c r="Z153" s="20"/>
      <c r="AA153" s="20"/>
      <c r="AB153" s="20"/>
      <c r="AC153" s="20"/>
      <c r="AD153" s="20"/>
      <c r="AE153" s="20"/>
      <c r="AF153" s="20"/>
    </row>
    <row r="154" spans="1:32" ht="19.5">
      <c r="A154" s="20"/>
      <c r="B154" s="20"/>
      <c r="C154" s="20"/>
      <c r="D154" s="20"/>
      <c r="E154" s="20"/>
      <c r="F154" s="20"/>
      <c r="G154" s="124"/>
      <c r="H154" s="20"/>
      <c r="I154" s="20"/>
      <c r="J154" s="20"/>
      <c r="K154" s="124"/>
      <c r="L154" s="127"/>
      <c r="M154" s="20"/>
      <c r="N154" s="20"/>
      <c r="O154" s="20"/>
      <c r="P154" s="124"/>
      <c r="Q154" s="127"/>
      <c r="R154" s="20"/>
      <c r="S154" s="20"/>
      <c r="T154" s="20"/>
      <c r="U154" s="124"/>
      <c r="V154" s="127"/>
      <c r="W154" s="20"/>
      <c r="X154" s="20"/>
      <c r="Y154" s="20"/>
      <c r="Z154" s="20"/>
      <c r="AA154" s="20"/>
      <c r="AB154" s="20"/>
      <c r="AC154" s="20"/>
      <c r="AD154" s="20"/>
      <c r="AE154" s="20"/>
      <c r="AF154" s="20"/>
    </row>
    <row r="155" spans="1:32" ht="19.5">
      <c r="A155" s="20"/>
      <c r="B155" s="20"/>
      <c r="C155" s="20"/>
      <c r="D155" s="20"/>
      <c r="E155" s="20"/>
      <c r="F155" s="20"/>
      <c r="G155" s="124"/>
      <c r="H155" s="20"/>
      <c r="I155" s="20"/>
      <c r="J155" s="20"/>
      <c r="K155" s="124"/>
      <c r="L155" s="127"/>
      <c r="M155" s="20"/>
      <c r="N155" s="20"/>
      <c r="O155" s="20"/>
      <c r="P155" s="124"/>
      <c r="Q155" s="127"/>
      <c r="R155" s="20"/>
      <c r="S155" s="20"/>
      <c r="T155" s="20"/>
      <c r="U155" s="124"/>
      <c r="V155" s="127"/>
      <c r="W155" s="20"/>
      <c r="X155" s="20"/>
      <c r="Y155" s="20"/>
      <c r="Z155" s="20"/>
      <c r="AA155" s="20"/>
      <c r="AB155" s="20"/>
      <c r="AC155" s="20"/>
      <c r="AD155" s="20"/>
      <c r="AE155" s="20"/>
      <c r="AF155" s="20"/>
    </row>
    <row r="156" spans="1:32" ht="19.5">
      <c r="A156" s="20"/>
      <c r="B156" s="20"/>
      <c r="C156" s="20"/>
      <c r="D156" s="20"/>
      <c r="E156" s="20"/>
      <c r="F156" s="20"/>
      <c r="G156" s="124"/>
      <c r="H156" s="20"/>
      <c r="I156" s="20"/>
      <c r="J156" s="20"/>
      <c r="K156" s="124"/>
      <c r="L156" s="127"/>
      <c r="M156" s="20"/>
      <c r="N156" s="20"/>
      <c r="O156" s="20"/>
      <c r="P156" s="124"/>
      <c r="Q156" s="127"/>
      <c r="R156" s="20"/>
      <c r="S156" s="20"/>
      <c r="T156" s="20"/>
      <c r="U156" s="124"/>
      <c r="V156" s="127"/>
      <c r="W156" s="20"/>
      <c r="X156" s="20"/>
      <c r="Y156" s="20"/>
      <c r="Z156" s="20"/>
      <c r="AA156" s="20"/>
      <c r="AB156" s="20"/>
      <c r="AC156" s="20"/>
      <c r="AD156" s="20"/>
      <c r="AE156" s="20"/>
      <c r="AF156" s="20"/>
    </row>
    <row r="157" spans="1:32" ht="19.5">
      <c r="A157" s="20"/>
      <c r="B157" s="20"/>
      <c r="C157" s="20"/>
      <c r="D157" s="20"/>
      <c r="E157" s="20"/>
      <c r="F157" s="20"/>
      <c r="G157" s="124"/>
      <c r="H157" s="20"/>
      <c r="I157" s="20"/>
      <c r="J157" s="20"/>
      <c r="K157" s="124"/>
      <c r="L157" s="127"/>
      <c r="M157" s="20"/>
      <c r="N157" s="20"/>
      <c r="O157" s="20"/>
      <c r="P157" s="124"/>
      <c r="Q157" s="127"/>
      <c r="R157" s="20"/>
      <c r="S157" s="20"/>
      <c r="T157" s="20"/>
      <c r="U157" s="124"/>
      <c r="V157" s="127"/>
      <c r="W157" s="20"/>
      <c r="X157" s="20"/>
      <c r="Y157" s="20"/>
      <c r="Z157" s="20"/>
      <c r="AA157" s="20"/>
      <c r="AB157" s="20"/>
      <c r="AC157" s="20"/>
      <c r="AD157" s="20"/>
      <c r="AE157" s="20"/>
      <c r="AF157" s="20"/>
    </row>
    <row r="158" spans="1:32" ht="19.5">
      <c r="A158" s="20"/>
      <c r="B158" s="20"/>
      <c r="C158" s="20"/>
      <c r="D158" s="20"/>
      <c r="E158" s="20"/>
      <c r="F158" s="20"/>
      <c r="G158" s="124"/>
      <c r="H158" s="20"/>
      <c r="I158" s="20"/>
      <c r="J158" s="20"/>
      <c r="K158" s="124"/>
      <c r="L158" s="127"/>
      <c r="M158" s="20"/>
      <c r="N158" s="20"/>
      <c r="O158" s="20"/>
      <c r="P158" s="124"/>
      <c r="Q158" s="127"/>
      <c r="R158" s="20"/>
      <c r="S158" s="20"/>
      <c r="T158" s="20"/>
      <c r="U158" s="124"/>
      <c r="V158" s="127"/>
      <c r="W158" s="20"/>
      <c r="X158" s="20"/>
      <c r="Y158" s="20"/>
      <c r="Z158" s="20"/>
      <c r="AA158" s="20"/>
      <c r="AB158" s="20"/>
      <c r="AC158" s="20"/>
      <c r="AD158" s="20"/>
      <c r="AE158" s="20"/>
      <c r="AF158" s="20"/>
    </row>
    <row r="159" spans="1:32" ht="19.5">
      <c r="A159" s="20"/>
      <c r="B159" s="20"/>
      <c r="C159" s="20"/>
      <c r="D159" s="20"/>
      <c r="E159" s="20"/>
      <c r="F159" s="20"/>
      <c r="G159" s="124"/>
      <c r="H159" s="20"/>
      <c r="I159" s="20"/>
      <c r="J159" s="20"/>
      <c r="K159" s="124"/>
      <c r="L159" s="127"/>
      <c r="M159" s="20"/>
      <c r="N159" s="20"/>
      <c r="O159" s="20"/>
      <c r="P159" s="124"/>
      <c r="Q159" s="127"/>
      <c r="R159" s="20"/>
      <c r="S159" s="20"/>
      <c r="T159" s="20"/>
      <c r="U159" s="124"/>
      <c r="V159" s="127"/>
      <c r="W159" s="20"/>
      <c r="X159" s="20"/>
      <c r="Y159" s="20"/>
      <c r="Z159" s="20"/>
      <c r="AA159" s="20"/>
      <c r="AB159" s="20"/>
      <c r="AC159" s="20"/>
      <c r="AD159" s="20"/>
      <c r="AE159" s="20"/>
      <c r="AF159" s="20"/>
    </row>
    <row r="160" spans="1:32" ht="19.5">
      <c r="A160" s="20"/>
      <c r="B160" s="20"/>
      <c r="C160" s="20"/>
      <c r="D160" s="20"/>
      <c r="E160" s="20"/>
      <c r="F160" s="20"/>
      <c r="G160" s="124"/>
      <c r="H160" s="20"/>
      <c r="I160" s="20"/>
      <c r="J160" s="20"/>
      <c r="K160" s="124"/>
      <c r="L160" s="127"/>
      <c r="M160" s="20"/>
      <c r="N160" s="20"/>
      <c r="O160" s="20"/>
      <c r="P160" s="124"/>
      <c r="Q160" s="127"/>
      <c r="R160" s="20"/>
      <c r="S160" s="20"/>
      <c r="T160" s="20"/>
      <c r="U160" s="124"/>
      <c r="V160" s="127"/>
      <c r="W160" s="20"/>
      <c r="X160" s="20"/>
      <c r="Y160" s="20"/>
      <c r="Z160" s="20"/>
      <c r="AA160" s="20"/>
      <c r="AB160" s="20"/>
      <c r="AC160" s="20"/>
      <c r="AD160" s="20"/>
      <c r="AE160" s="20"/>
      <c r="AF160" s="20"/>
    </row>
    <row r="161" spans="1:32" ht="19.5">
      <c r="A161" s="20"/>
      <c r="B161" s="20"/>
      <c r="C161" s="20"/>
      <c r="D161" s="20"/>
      <c r="E161" s="20"/>
      <c r="F161" s="20"/>
      <c r="G161" s="124"/>
      <c r="H161" s="20"/>
      <c r="I161" s="20"/>
      <c r="J161" s="20"/>
      <c r="K161" s="124"/>
      <c r="L161" s="127"/>
      <c r="M161" s="20"/>
      <c r="N161" s="20"/>
      <c r="O161" s="20"/>
      <c r="P161" s="124"/>
      <c r="Q161" s="127"/>
      <c r="R161" s="20"/>
      <c r="S161" s="20"/>
      <c r="T161" s="20"/>
      <c r="U161" s="124"/>
      <c r="V161" s="127"/>
      <c r="W161" s="20"/>
      <c r="X161" s="20"/>
      <c r="Y161" s="20"/>
      <c r="Z161" s="20"/>
      <c r="AA161" s="20"/>
      <c r="AB161" s="20"/>
      <c r="AC161" s="20"/>
      <c r="AD161" s="20"/>
      <c r="AE161" s="20"/>
      <c r="AF161" s="20"/>
    </row>
    <row r="162" spans="1:32" ht="19.5">
      <c r="A162" s="20"/>
      <c r="B162" s="20"/>
      <c r="C162" s="20"/>
      <c r="D162" s="20"/>
      <c r="E162" s="20"/>
      <c r="F162" s="20"/>
      <c r="G162" s="124"/>
      <c r="H162" s="20"/>
      <c r="I162" s="20"/>
      <c r="J162" s="20"/>
      <c r="K162" s="124"/>
      <c r="L162" s="127"/>
      <c r="M162" s="20"/>
      <c r="N162" s="20"/>
      <c r="O162" s="20"/>
      <c r="P162" s="124"/>
      <c r="Q162" s="127"/>
      <c r="R162" s="20"/>
      <c r="S162" s="20"/>
      <c r="T162" s="20"/>
      <c r="U162" s="124"/>
      <c r="V162" s="127"/>
      <c r="W162" s="20"/>
      <c r="X162" s="20"/>
      <c r="Y162" s="20"/>
      <c r="Z162" s="20"/>
      <c r="AA162" s="20"/>
      <c r="AB162" s="20"/>
      <c r="AC162" s="20"/>
      <c r="AD162" s="20"/>
      <c r="AE162" s="20"/>
      <c r="AF162" s="20"/>
    </row>
    <row r="163" spans="1:32" ht="19.5">
      <c r="A163" s="20"/>
      <c r="B163" s="20"/>
      <c r="C163" s="20"/>
      <c r="D163" s="20"/>
      <c r="E163" s="20"/>
      <c r="F163" s="20"/>
      <c r="G163" s="124"/>
      <c r="H163" s="20"/>
      <c r="I163" s="20"/>
      <c r="J163" s="20"/>
      <c r="K163" s="124"/>
      <c r="L163" s="127"/>
      <c r="M163" s="20"/>
      <c r="N163" s="20"/>
      <c r="O163" s="20"/>
      <c r="P163" s="124"/>
      <c r="Q163" s="127"/>
      <c r="R163" s="20"/>
      <c r="S163" s="20"/>
      <c r="T163" s="20"/>
      <c r="U163" s="124"/>
      <c r="V163" s="127"/>
      <c r="W163" s="20"/>
      <c r="X163" s="20"/>
      <c r="Y163" s="20"/>
      <c r="Z163" s="20"/>
      <c r="AA163" s="20"/>
      <c r="AB163" s="20"/>
      <c r="AC163" s="20"/>
      <c r="AD163" s="20"/>
      <c r="AE163" s="20"/>
      <c r="AF163" s="20"/>
    </row>
    <row r="164" spans="1:32" ht="19.5">
      <c r="A164" s="20"/>
      <c r="B164" s="20"/>
      <c r="C164" s="20"/>
      <c r="D164" s="20"/>
      <c r="E164" s="20"/>
      <c r="F164" s="20"/>
      <c r="G164" s="124"/>
      <c r="H164" s="20"/>
      <c r="I164" s="20"/>
      <c r="J164" s="20"/>
      <c r="K164" s="124"/>
      <c r="L164" s="127"/>
      <c r="M164" s="20"/>
      <c r="N164" s="20"/>
      <c r="O164" s="20"/>
      <c r="P164" s="124"/>
      <c r="Q164" s="127"/>
      <c r="R164" s="20"/>
      <c r="S164" s="20"/>
      <c r="T164" s="20"/>
      <c r="U164" s="124"/>
      <c r="V164" s="127"/>
      <c r="W164" s="20"/>
      <c r="X164" s="20"/>
      <c r="Y164" s="20"/>
      <c r="Z164" s="20"/>
      <c r="AA164" s="20"/>
      <c r="AB164" s="20"/>
      <c r="AC164" s="20"/>
      <c r="AD164" s="20"/>
      <c r="AE164" s="20"/>
      <c r="AF164" s="20"/>
    </row>
    <row r="165" spans="1:32" ht="19.5">
      <c r="A165" s="20"/>
      <c r="B165" s="20"/>
      <c r="C165" s="20"/>
      <c r="D165" s="20"/>
      <c r="E165" s="20"/>
      <c r="F165" s="20"/>
      <c r="G165" s="124"/>
      <c r="H165" s="20"/>
      <c r="I165" s="20"/>
      <c r="J165" s="20"/>
      <c r="K165" s="124"/>
      <c r="L165" s="127"/>
      <c r="M165" s="20"/>
      <c r="N165" s="20"/>
      <c r="O165" s="20"/>
      <c r="P165" s="124"/>
      <c r="Q165" s="127"/>
      <c r="R165" s="20"/>
      <c r="S165" s="20"/>
      <c r="T165" s="20"/>
      <c r="U165" s="124"/>
      <c r="V165" s="127"/>
      <c r="W165" s="20"/>
      <c r="X165" s="20"/>
      <c r="Y165" s="20"/>
      <c r="Z165" s="20"/>
      <c r="AA165" s="20"/>
      <c r="AB165" s="20"/>
      <c r="AC165" s="20"/>
      <c r="AD165" s="20"/>
      <c r="AE165" s="20"/>
      <c r="AF165" s="20"/>
    </row>
    <row r="166" spans="1:32" ht="19.5">
      <c r="A166" s="20"/>
      <c r="B166" s="20"/>
      <c r="C166" s="20"/>
      <c r="D166" s="20"/>
      <c r="E166" s="20"/>
      <c r="F166" s="20"/>
      <c r="G166" s="124"/>
      <c r="H166" s="20"/>
      <c r="I166" s="20"/>
      <c r="J166" s="20"/>
      <c r="K166" s="124"/>
      <c r="L166" s="127"/>
      <c r="M166" s="20"/>
      <c r="N166" s="20"/>
      <c r="O166" s="20"/>
      <c r="P166" s="124"/>
      <c r="Q166" s="127"/>
      <c r="R166" s="20"/>
      <c r="S166" s="20"/>
      <c r="T166" s="20"/>
      <c r="U166" s="124"/>
      <c r="V166" s="127"/>
      <c r="W166" s="20"/>
      <c r="X166" s="20"/>
      <c r="Y166" s="20"/>
      <c r="Z166" s="20"/>
      <c r="AA166" s="20"/>
      <c r="AB166" s="20"/>
      <c r="AC166" s="20"/>
      <c r="AD166" s="20"/>
      <c r="AE166" s="20"/>
      <c r="AF166" s="20"/>
    </row>
    <row r="167" spans="1:32" ht="19.5">
      <c r="A167" s="20"/>
      <c r="B167" s="20"/>
      <c r="C167" s="20"/>
      <c r="D167" s="20"/>
      <c r="E167" s="20"/>
      <c r="F167" s="20"/>
      <c r="G167" s="124"/>
      <c r="H167" s="20"/>
      <c r="I167" s="20"/>
      <c r="J167" s="20"/>
      <c r="K167" s="124"/>
      <c r="L167" s="127"/>
      <c r="M167" s="20"/>
      <c r="N167" s="20"/>
      <c r="O167" s="20"/>
      <c r="P167" s="124"/>
      <c r="Q167" s="127"/>
      <c r="R167" s="20"/>
      <c r="S167" s="20"/>
      <c r="T167" s="20"/>
      <c r="U167" s="124"/>
      <c r="V167" s="127"/>
      <c r="W167" s="20"/>
      <c r="X167" s="20"/>
      <c r="Y167" s="20"/>
      <c r="Z167" s="20"/>
      <c r="AA167" s="20"/>
      <c r="AB167" s="20"/>
      <c r="AC167" s="20"/>
      <c r="AD167" s="20"/>
      <c r="AE167" s="20"/>
      <c r="AF167" s="20"/>
    </row>
    <row r="168" spans="1:32" ht="19.5">
      <c r="A168" s="20"/>
      <c r="B168" s="20"/>
      <c r="C168" s="20"/>
      <c r="D168" s="20"/>
      <c r="E168" s="20"/>
      <c r="F168" s="20"/>
      <c r="G168" s="124"/>
      <c r="H168" s="20"/>
      <c r="I168" s="20"/>
      <c r="J168" s="20"/>
      <c r="K168" s="124"/>
      <c r="L168" s="127"/>
      <c r="M168" s="20"/>
      <c r="N168" s="20"/>
      <c r="O168" s="20"/>
      <c r="P168" s="124"/>
      <c r="Q168" s="127"/>
      <c r="R168" s="20"/>
      <c r="S168" s="20"/>
      <c r="T168" s="20"/>
      <c r="U168" s="124"/>
      <c r="V168" s="127"/>
      <c r="W168" s="20"/>
      <c r="X168" s="20"/>
      <c r="Y168" s="20"/>
      <c r="Z168" s="20"/>
      <c r="AA168" s="20"/>
      <c r="AB168" s="20"/>
      <c r="AC168" s="20"/>
      <c r="AD168" s="20"/>
      <c r="AE168" s="20"/>
      <c r="AF168" s="20"/>
    </row>
    <row r="169" spans="1:32" ht="19.5">
      <c r="A169" s="20"/>
      <c r="B169" s="20"/>
      <c r="C169" s="20"/>
      <c r="D169" s="20"/>
      <c r="E169" s="20"/>
      <c r="F169" s="20"/>
      <c r="G169" s="124"/>
      <c r="H169" s="20"/>
      <c r="I169" s="20"/>
      <c r="J169" s="20"/>
      <c r="K169" s="124"/>
      <c r="L169" s="127"/>
      <c r="M169" s="20"/>
      <c r="N169" s="20"/>
      <c r="O169" s="20"/>
      <c r="P169" s="124"/>
      <c r="Q169" s="127"/>
      <c r="R169" s="20"/>
      <c r="S169" s="20"/>
      <c r="T169" s="20"/>
      <c r="U169" s="124"/>
      <c r="V169" s="127"/>
      <c r="W169" s="20"/>
      <c r="X169" s="20"/>
      <c r="Y169" s="20"/>
      <c r="Z169" s="20"/>
      <c r="AA169" s="20"/>
      <c r="AB169" s="20"/>
      <c r="AC169" s="20"/>
      <c r="AD169" s="20"/>
      <c r="AE169" s="20"/>
      <c r="AF169" s="20"/>
    </row>
    <row r="170" spans="1:32" ht="19.5">
      <c r="A170" s="20"/>
      <c r="B170" s="20"/>
      <c r="C170" s="20"/>
      <c r="D170" s="20"/>
      <c r="E170" s="20"/>
      <c r="F170" s="20"/>
      <c r="G170" s="124"/>
      <c r="H170" s="20"/>
      <c r="I170" s="20"/>
      <c r="J170" s="20"/>
      <c r="K170" s="124"/>
      <c r="L170" s="127"/>
      <c r="M170" s="20"/>
      <c r="N170" s="20"/>
      <c r="O170" s="20"/>
      <c r="P170" s="124"/>
      <c r="Q170" s="127"/>
      <c r="R170" s="20"/>
      <c r="S170" s="20"/>
      <c r="T170" s="20"/>
      <c r="U170" s="124"/>
      <c r="V170" s="127"/>
      <c r="W170" s="20"/>
      <c r="X170" s="20"/>
      <c r="Y170" s="20"/>
      <c r="Z170" s="20"/>
      <c r="AA170" s="20"/>
      <c r="AB170" s="20"/>
      <c r="AC170" s="20"/>
      <c r="AD170" s="20"/>
      <c r="AE170" s="20"/>
      <c r="AF170" s="20"/>
    </row>
    <row r="171" spans="1:32" ht="19.5">
      <c r="A171" s="20"/>
      <c r="B171" s="20"/>
      <c r="C171" s="20"/>
      <c r="D171" s="20"/>
      <c r="E171" s="20"/>
      <c r="F171" s="20"/>
      <c r="G171" s="124"/>
      <c r="H171" s="20"/>
      <c r="I171" s="20"/>
      <c r="J171" s="20"/>
      <c r="K171" s="124"/>
      <c r="L171" s="127"/>
      <c r="M171" s="20"/>
      <c r="N171" s="20"/>
      <c r="O171" s="20"/>
      <c r="P171" s="124"/>
      <c r="Q171" s="127"/>
      <c r="R171" s="20"/>
      <c r="S171" s="20"/>
      <c r="T171" s="20"/>
      <c r="U171" s="124"/>
      <c r="V171" s="127"/>
      <c r="W171" s="20"/>
      <c r="X171" s="20"/>
      <c r="Y171" s="20"/>
      <c r="Z171" s="20"/>
      <c r="AA171" s="20"/>
      <c r="AB171" s="20"/>
      <c r="AC171" s="20"/>
      <c r="AD171" s="20"/>
      <c r="AE171" s="20"/>
      <c r="AF171" s="20"/>
    </row>
    <row r="172" spans="1:32" ht="19.5">
      <c r="A172" s="20"/>
      <c r="B172" s="20"/>
      <c r="C172" s="20"/>
      <c r="D172" s="20"/>
      <c r="E172" s="20"/>
      <c r="F172" s="20"/>
      <c r="G172" s="124"/>
      <c r="H172" s="20"/>
      <c r="I172" s="20"/>
      <c r="J172" s="20"/>
      <c r="K172" s="124"/>
      <c r="L172" s="127"/>
      <c r="M172" s="20"/>
      <c r="N172" s="20"/>
      <c r="O172" s="20"/>
      <c r="P172" s="124"/>
      <c r="Q172" s="127"/>
      <c r="R172" s="20"/>
      <c r="S172" s="20"/>
      <c r="T172" s="20"/>
      <c r="U172" s="124"/>
      <c r="V172" s="127"/>
      <c r="W172" s="20"/>
      <c r="X172" s="20"/>
      <c r="Y172" s="20"/>
      <c r="Z172" s="20"/>
      <c r="AA172" s="20"/>
      <c r="AB172" s="20"/>
      <c r="AC172" s="20"/>
      <c r="AD172" s="20"/>
      <c r="AE172" s="20"/>
      <c r="AF172" s="20"/>
    </row>
    <row r="173" spans="1:32" ht="19.5">
      <c r="A173" s="20"/>
      <c r="B173" s="20"/>
      <c r="C173" s="20"/>
      <c r="D173" s="20"/>
      <c r="E173" s="20"/>
      <c r="F173" s="20"/>
      <c r="G173" s="124"/>
      <c r="H173" s="20"/>
      <c r="I173" s="20"/>
      <c r="J173" s="20"/>
      <c r="K173" s="124"/>
      <c r="L173" s="127"/>
      <c r="M173" s="20"/>
      <c r="N173" s="20"/>
      <c r="O173" s="20"/>
      <c r="P173" s="124"/>
      <c r="Q173" s="127"/>
      <c r="R173" s="20"/>
      <c r="S173" s="20"/>
      <c r="T173" s="20"/>
      <c r="U173" s="124"/>
      <c r="V173" s="127"/>
      <c r="W173" s="20"/>
      <c r="X173" s="20"/>
      <c r="Y173" s="20"/>
      <c r="Z173" s="20"/>
      <c r="AA173" s="20"/>
      <c r="AB173" s="20"/>
      <c r="AC173" s="20"/>
      <c r="AD173" s="20"/>
      <c r="AE173" s="20"/>
      <c r="AF173" s="20"/>
    </row>
    <row r="174" spans="1:32" ht="19.5">
      <c r="A174" s="20"/>
      <c r="B174" s="20"/>
      <c r="C174" s="20"/>
      <c r="D174" s="20"/>
      <c r="E174" s="20"/>
      <c r="F174" s="20"/>
      <c r="G174" s="124"/>
      <c r="H174" s="20"/>
      <c r="I174" s="20"/>
      <c r="J174" s="20"/>
      <c r="K174" s="124"/>
      <c r="L174" s="127"/>
      <c r="M174" s="20"/>
      <c r="N174" s="20"/>
      <c r="O174" s="20"/>
      <c r="P174" s="124"/>
      <c r="Q174" s="127"/>
      <c r="R174" s="20"/>
      <c r="S174" s="20"/>
      <c r="T174" s="20"/>
      <c r="U174" s="124"/>
      <c r="V174" s="127"/>
      <c r="W174" s="20"/>
      <c r="X174" s="20"/>
      <c r="Y174" s="20"/>
      <c r="Z174" s="20"/>
      <c r="AA174" s="20"/>
      <c r="AB174" s="20"/>
      <c r="AC174" s="20"/>
      <c r="AD174" s="20"/>
      <c r="AE174" s="20"/>
      <c r="AF174" s="20"/>
    </row>
    <row r="175" spans="1:32" ht="19.5">
      <c r="A175" s="20"/>
      <c r="B175" s="20"/>
      <c r="C175" s="20"/>
      <c r="D175" s="20"/>
      <c r="E175" s="20"/>
      <c r="F175" s="20"/>
      <c r="G175" s="124"/>
      <c r="H175" s="20"/>
      <c r="I175" s="20"/>
      <c r="J175" s="20"/>
      <c r="K175" s="124"/>
      <c r="L175" s="127"/>
      <c r="M175" s="20"/>
      <c r="N175" s="20"/>
      <c r="O175" s="20"/>
      <c r="P175" s="124"/>
      <c r="Q175" s="127"/>
      <c r="R175" s="20"/>
      <c r="S175" s="20"/>
      <c r="T175" s="20"/>
      <c r="U175" s="124"/>
      <c r="V175" s="127"/>
      <c r="W175" s="20"/>
      <c r="X175" s="20"/>
      <c r="Y175" s="20"/>
      <c r="Z175" s="20"/>
      <c r="AA175" s="20"/>
      <c r="AB175" s="20"/>
      <c r="AC175" s="20"/>
      <c r="AD175" s="20"/>
      <c r="AE175" s="20"/>
      <c r="AF175" s="20"/>
    </row>
    <row r="176" spans="1:32" ht="19.5">
      <c r="A176" s="20"/>
      <c r="B176" s="20"/>
      <c r="C176" s="20"/>
      <c r="D176" s="20"/>
      <c r="E176" s="20"/>
      <c r="F176" s="20"/>
      <c r="G176" s="124"/>
      <c r="H176" s="20"/>
      <c r="I176" s="20"/>
      <c r="J176" s="20"/>
      <c r="K176" s="124"/>
      <c r="L176" s="127"/>
      <c r="M176" s="20"/>
      <c r="N176" s="20"/>
      <c r="O176" s="20"/>
      <c r="P176" s="124"/>
      <c r="Q176" s="127"/>
      <c r="R176" s="20"/>
      <c r="S176" s="20"/>
      <c r="T176" s="20"/>
      <c r="U176" s="124"/>
      <c r="V176" s="127"/>
      <c r="W176" s="20"/>
      <c r="X176" s="20"/>
      <c r="Y176" s="20"/>
      <c r="Z176" s="20"/>
      <c r="AA176" s="20"/>
      <c r="AB176" s="20"/>
      <c r="AC176" s="20"/>
      <c r="AD176" s="20"/>
      <c r="AE176" s="20"/>
      <c r="AF176" s="20"/>
    </row>
    <row r="177" spans="1:32" ht="19.5">
      <c r="A177" s="20"/>
      <c r="B177" s="20"/>
      <c r="C177" s="20"/>
      <c r="D177" s="20"/>
      <c r="E177" s="20"/>
      <c r="F177" s="20"/>
      <c r="G177" s="124"/>
      <c r="H177" s="20"/>
      <c r="I177" s="20"/>
      <c r="J177" s="20"/>
      <c r="K177" s="124"/>
      <c r="L177" s="127"/>
      <c r="M177" s="20"/>
      <c r="N177" s="20"/>
      <c r="O177" s="20"/>
      <c r="P177" s="124"/>
      <c r="Q177" s="127"/>
      <c r="R177" s="20"/>
      <c r="S177" s="20"/>
      <c r="T177" s="20"/>
      <c r="U177" s="124"/>
      <c r="V177" s="127"/>
      <c r="W177" s="20"/>
      <c r="X177" s="20"/>
      <c r="Y177" s="20"/>
      <c r="Z177" s="20"/>
      <c r="AA177" s="20"/>
      <c r="AB177" s="20"/>
      <c r="AC177" s="20"/>
      <c r="AD177" s="20"/>
      <c r="AE177" s="20"/>
      <c r="AF177" s="20"/>
    </row>
    <row r="178" spans="1:32" ht="19.5">
      <c r="A178" s="20"/>
      <c r="B178" s="20"/>
      <c r="C178" s="20"/>
      <c r="D178" s="20"/>
      <c r="E178" s="20"/>
      <c r="F178" s="20"/>
      <c r="G178" s="124"/>
      <c r="H178" s="20"/>
      <c r="I178" s="20"/>
      <c r="J178" s="20"/>
      <c r="K178" s="124"/>
      <c r="L178" s="127"/>
      <c r="M178" s="20"/>
      <c r="N178" s="20"/>
      <c r="O178" s="20"/>
      <c r="P178" s="124"/>
      <c r="Q178" s="127"/>
      <c r="R178" s="20"/>
      <c r="S178" s="20"/>
      <c r="T178" s="20"/>
      <c r="U178" s="124"/>
      <c r="V178" s="127"/>
      <c r="W178" s="20"/>
      <c r="X178" s="20"/>
      <c r="Y178" s="20"/>
      <c r="Z178" s="20"/>
      <c r="AA178" s="20"/>
      <c r="AB178" s="20"/>
      <c r="AC178" s="20"/>
      <c r="AD178" s="20"/>
      <c r="AE178" s="20"/>
      <c r="AF178" s="20"/>
    </row>
    <row r="179" spans="1:32" ht="19.5">
      <c r="A179" s="20"/>
      <c r="B179" s="20"/>
      <c r="C179" s="20"/>
      <c r="D179" s="20"/>
      <c r="E179" s="20"/>
      <c r="F179" s="20"/>
      <c r="G179" s="124"/>
      <c r="H179" s="20"/>
      <c r="I179" s="20"/>
      <c r="J179" s="20"/>
      <c r="K179" s="124"/>
      <c r="L179" s="127"/>
      <c r="M179" s="20"/>
      <c r="N179" s="20"/>
      <c r="O179" s="20"/>
      <c r="P179" s="124"/>
      <c r="Q179" s="127"/>
      <c r="R179" s="20"/>
      <c r="S179" s="20"/>
      <c r="T179" s="20"/>
      <c r="U179" s="124"/>
      <c r="V179" s="127"/>
      <c r="W179" s="20"/>
      <c r="X179" s="20"/>
      <c r="Y179" s="20"/>
      <c r="Z179" s="20"/>
      <c r="AA179" s="20"/>
      <c r="AB179" s="20"/>
      <c r="AC179" s="20"/>
      <c r="AD179" s="20"/>
      <c r="AE179" s="20"/>
      <c r="AF179" s="20"/>
    </row>
    <row r="180" spans="1:32" ht="19.5">
      <c r="A180" s="20"/>
      <c r="B180" s="20"/>
      <c r="C180" s="20"/>
      <c r="D180" s="20"/>
      <c r="E180" s="20"/>
      <c r="F180" s="20"/>
      <c r="G180" s="124"/>
      <c r="H180" s="20"/>
      <c r="I180" s="20"/>
      <c r="J180" s="20"/>
      <c r="K180" s="124"/>
      <c r="L180" s="127"/>
      <c r="M180" s="20"/>
      <c r="N180" s="20"/>
      <c r="O180" s="20"/>
      <c r="P180" s="124"/>
      <c r="Q180" s="127"/>
      <c r="R180" s="20"/>
      <c r="S180" s="20"/>
      <c r="T180" s="20"/>
      <c r="U180" s="124"/>
      <c r="V180" s="127"/>
      <c r="W180" s="20"/>
      <c r="X180" s="20"/>
      <c r="Y180" s="20"/>
      <c r="Z180" s="20"/>
      <c r="AA180" s="20"/>
      <c r="AB180" s="20"/>
      <c r="AC180" s="20"/>
      <c r="AD180" s="20"/>
      <c r="AE180" s="20"/>
      <c r="AF180" s="20"/>
    </row>
    <row r="181" spans="1:32" ht="19.5">
      <c r="A181" s="20"/>
      <c r="B181" s="20"/>
      <c r="C181" s="20"/>
      <c r="D181" s="20"/>
      <c r="E181" s="20"/>
      <c r="F181" s="20"/>
      <c r="G181" s="124"/>
      <c r="H181" s="20"/>
      <c r="I181" s="20"/>
      <c r="J181" s="20"/>
      <c r="K181" s="124"/>
      <c r="L181" s="127"/>
      <c r="M181" s="20"/>
      <c r="N181" s="20"/>
      <c r="O181" s="20"/>
      <c r="P181" s="124"/>
      <c r="Q181" s="127"/>
      <c r="R181" s="20"/>
      <c r="S181" s="20"/>
      <c r="T181" s="20"/>
      <c r="U181" s="124"/>
      <c r="V181" s="127"/>
      <c r="W181" s="20"/>
      <c r="X181" s="20"/>
      <c r="Y181" s="20"/>
      <c r="Z181" s="20"/>
      <c r="AA181" s="20"/>
      <c r="AB181" s="20"/>
      <c r="AC181" s="20"/>
      <c r="AD181" s="20"/>
      <c r="AE181" s="20"/>
      <c r="AF181" s="20"/>
    </row>
    <row r="182" spans="1:32" ht="19.5">
      <c r="A182" s="20"/>
      <c r="B182" s="20"/>
      <c r="C182" s="20"/>
      <c r="D182" s="20"/>
      <c r="E182" s="20"/>
      <c r="F182" s="20"/>
      <c r="G182" s="124"/>
      <c r="H182" s="20"/>
      <c r="I182" s="20"/>
      <c r="J182" s="20"/>
      <c r="K182" s="124"/>
      <c r="L182" s="127"/>
      <c r="M182" s="20"/>
      <c r="N182" s="20"/>
      <c r="O182" s="20"/>
      <c r="P182" s="124"/>
      <c r="Q182" s="127"/>
      <c r="R182" s="20"/>
      <c r="S182" s="20"/>
      <c r="T182" s="20"/>
      <c r="U182" s="124"/>
      <c r="V182" s="127"/>
      <c r="W182" s="20"/>
      <c r="X182" s="20"/>
      <c r="Y182" s="20"/>
      <c r="Z182" s="20"/>
      <c r="AA182" s="20"/>
      <c r="AB182" s="20"/>
      <c r="AC182" s="20"/>
      <c r="AD182" s="20"/>
      <c r="AE182" s="20"/>
      <c r="AF182" s="20"/>
    </row>
    <row r="183" spans="1:32" ht="19.5">
      <c r="A183" s="20"/>
      <c r="B183" s="20"/>
      <c r="C183" s="20"/>
      <c r="D183" s="20"/>
      <c r="E183" s="20"/>
      <c r="F183" s="20"/>
      <c r="G183" s="124"/>
      <c r="H183" s="20"/>
      <c r="I183" s="20"/>
      <c r="J183" s="20"/>
      <c r="K183" s="124"/>
      <c r="L183" s="127"/>
      <c r="M183" s="20"/>
      <c r="N183" s="20"/>
      <c r="O183" s="20"/>
      <c r="P183" s="124"/>
      <c r="Q183" s="127"/>
      <c r="R183" s="20"/>
      <c r="S183" s="20"/>
      <c r="T183" s="20"/>
      <c r="U183" s="124"/>
      <c r="V183" s="127"/>
      <c r="W183" s="20"/>
      <c r="X183" s="20"/>
      <c r="Y183" s="20"/>
      <c r="Z183" s="20"/>
      <c r="AA183" s="20"/>
      <c r="AB183" s="20"/>
      <c r="AC183" s="20"/>
      <c r="AD183" s="20"/>
      <c r="AE183" s="20"/>
      <c r="AF183" s="20"/>
    </row>
    <row r="184" spans="1:32" ht="19.5">
      <c r="A184" s="20"/>
      <c r="B184" s="20"/>
      <c r="C184" s="20"/>
      <c r="D184" s="20"/>
      <c r="E184" s="20"/>
      <c r="F184" s="20"/>
      <c r="G184" s="124"/>
      <c r="H184" s="20"/>
      <c r="I184" s="20"/>
      <c r="J184" s="20"/>
      <c r="K184" s="124"/>
      <c r="L184" s="127"/>
      <c r="M184" s="20"/>
      <c r="N184" s="20"/>
      <c r="O184" s="20"/>
      <c r="P184" s="124"/>
      <c r="Q184" s="127"/>
      <c r="R184" s="20"/>
      <c r="S184" s="20"/>
      <c r="T184" s="20"/>
      <c r="U184" s="124"/>
      <c r="V184" s="127"/>
      <c r="W184" s="20"/>
      <c r="X184" s="20"/>
      <c r="Y184" s="20"/>
      <c r="Z184" s="20"/>
      <c r="AA184" s="20"/>
      <c r="AB184" s="20"/>
      <c r="AC184" s="20"/>
      <c r="AD184" s="20"/>
      <c r="AE184" s="20"/>
      <c r="AF184" s="20"/>
    </row>
    <row r="185" spans="1:32" ht="19.5">
      <c r="A185" s="20"/>
      <c r="B185" s="20"/>
      <c r="C185" s="20"/>
      <c r="D185" s="20"/>
      <c r="E185" s="20"/>
      <c r="F185" s="20"/>
      <c r="G185" s="124"/>
      <c r="H185" s="20"/>
      <c r="I185" s="20"/>
      <c r="J185" s="20"/>
      <c r="K185" s="124"/>
      <c r="L185" s="127"/>
      <c r="M185" s="20"/>
      <c r="N185" s="20"/>
      <c r="O185" s="20"/>
      <c r="P185" s="124"/>
      <c r="Q185" s="127"/>
      <c r="R185" s="20"/>
      <c r="S185" s="20"/>
      <c r="T185" s="20"/>
      <c r="U185" s="124"/>
      <c r="V185" s="127"/>
      <c r="W185" s="20"/>
      <c r="X185" s="20"/>
      <c r="Y185" s="20"/>
      <c r="Z185" s="20"/>
      <c r="AA185" s="20"/>
      <c r="AB185" s="20"/>
      <c r="AC185" s="20"/>
      <c r="AD185" s="20"/>
      <c r="AE185" s="20"/>
      <c r="AF185" s="20"/>
    </row>
    <row r="186" spans="1:32" ht="19.5">
      <c r="A186" s="20"/>
      <c r="B186" s="20"/>
      <c r="C186" s="20"/>
      <c r="D186" s="20"/>
      <c r="E186" s="20"/>
      <c r="F186" s="20"/>
      <c r="G186" s="124"/>
      <c r="H186" s="20"/>
      <c r="I186" s="20"/>
      <c r="J186" s="20"/>
      <c r="K186" s="124"/>
      <c r="L186" s="127"/>
      <c r="M186" s="20"/>
      <c r="N186" s="20"/>
      <c r="O186" s="20"/>
      <c r="P186" s="124"/>
      <c r="Q186" s="127"/>
      <c r="R186" s="20"/>
      <c r="S186" s="20"/>
      <c r="T186" s="20"/>
      <c r="U186" s="124"/>
      <c r="V186" s="127"/>
      <c r="W186" s="20"/>
      <c r="X186" s="20"/>
      <c r="Y186" s="20"/>
      <c r="Z186" s="20"/>
      <c r="AA186" s="20"/>
      <c r="AB186" s="20"/>
      <c r="AC186" s="20"/>
      <c r="AD186" s="20"/>
      <c r="AE186" s="20"/>
      <c r="AF186" s="20"/>
    </row>
    <row r="187" spans="1:32" ht="19.5">
      <c r="A187" s="20"/>
      <c r="B187" s="20"/>
      <c r="C187" s="20"/>
      <c r="D187" s="20"/>
      <c r="E187" s="20"/>
      <c r="F187" s="20"/>
      <c r="G187" s="124"/>
      <c r="H187" s="20"/>
      <c r="I187" s="20"/>
      <c r="J187" s="20"/>
      <c r="K187" s="124"/>
      <c r="L187" s="127"/>
      <c r="M187" s="20"/>
      <c r="N187" s="20"/>
      <c r="O187" s="20"/>
      <c r="P187" s="124"/>
      <c r="Q187" s="127"/>
      <c r="R187" s="20"/>
      <c r="S187" s="20"/>
      <c r="T187" s="20"/>
      <c r="U187" s="124"/>
      <c r="V187" s="127"/>
      <c r="W187" s="20"/>
      <c r="X187" s="20"/>
      <c r="Y187" s="20"/>
      <c r="Z187" s="20"/>
      <c r="AA187" s="20"/>
      <c r="AB187" s="20"/>
      <c r="AC187" s="20"/>
      <c r="AD187" s="20"/>
      <c r="AE187" s="20"/>
      <c r="AF187" s="20"/>
    </row>
    <row r="188" spans="1:32" ht="19.5">
      <c r="A188" s="20"/>
      <c r="B188" s="20"/>
      <c r="C188" s="20"/>
      <c r="D188" s="20"/>
      <c r="E188" s="20"/>
      <c r="F188" s="20"/>
      <c r="G188" s="124"/>
      <c r="H188" s="20"/>
      <c r="I188" s="20"/>
      <c r="J188" s="20"/>
      <c r="K188" s="124"/>
      <c r="L188" s="127"/>
      <c r="M188" s="20"/>
      <c r="N188" s="20"/>
      <c r="O188" s="20"/>
      <c r="P188" s="124"/>
      <c r="Q188" s="127"/>
      <c r="R188" s="20"/>
      <c r="S188" s="20"/>
      <c r="T188" s="20"/>
      <c r="U188" s="124"/>
      <c r="V188" s="127"/>
      <c r="W188" s="20"/>
      <c r="X188" s="20"/>
      <c r="Y188" s="20"/>
      <c r="Z188" s="20"/>
      <c r="AA188" s="20"/>
      <c r="AB188" s="20"/>
      <c r="AC188" s="20"/>
      <c r="AD188" s="20"/>
      <c r="AE188" s="20"/>
      <c r="AF188" s="20"/>
    </row>
    <row r="189" spans="1:32" ht="19.5">
      <c r="A189" s="20"/>
      <c r="B189" s="20"/>
      <c r="C189" s="20"/>
      <c r="D189" s="20"/>
      <c r="E189" s="20"/>
      <c r="F189" s="20"/>
      <c r="G189" s="124"/>
      <c r="H189" s="20"/>
      <c r="I189" s="20"/>
      <c r="J189" s="20"/>
      <c r="K189" s="124"/>
      <c r="L189" s="127"/>
      <c r="M189" s="20"/>
      <c r="N189" s="20"/>
      <c r="O189" s="20"/>
      <c r="P189" s="124"/>
      <c r="Q189" s="127"/>
      <c r="R189" s="20"/>
      <c r="S189" s="20"/>
      <c r="T189" s="20"/>
      <c r="U189" s="124"/>
      <c r="V189" s="127"/>
      <c r="W189" s="20"/>
      <c r="X189" s="20"/>
      <c r="Y189" s="20"/>
      <c r="Z189" s="20"/>
      <c r="AA189" s="20"/>
      <c r="AB189" s="20"/>
      <c r="AC189" s="20"/>
      <c r="AD189" s="20"/>
      <c r="AE189" s="20"/>
      <c r="AF189" s="20"/>
    </row>
    <row r="190" spans="1:32" ht="19.5">
      <c r="A190" s="20"/>
      <c r="B190" s="20"/>
      <c r="C190" s="20"/>
      <c r="D190" s="20"/>
      <c r="E190" s="20"/>
      <c r="F190" s="20"/>
      <c r="G190" s="124"/>
      <c r="H190" s="20"/>
      <c r="I190" s="20"/>
      <c r="J190" s="20"/>
      <c r="K190" s="124"/>
      <c r="L190" s="127"/>
      <c r="M190" s="20"/>
      <c r="N190" s="20"/>
      <c r="O190" s="20"/>
      <c r="P190" s="124"/>
      <c r="Q190" s="127"/>
      <c r="R190" s="20"/>
      <c r="S190" s="20"/>
      <c r="T190" s="20"/>
      <c r="U190" s="124"/>
      <c r="V190" s="127"/>
      <c r="W190" s="20"/>
      <c r="X190" s="20"/>
      <c r="Y190" s="20"/>
      <c r="Z190" s="20"/>
      <c r="AA190" s="20"/>
      <c r="AB190" s="20"/>
      <c r="AC190" s="20"/>
      <c r="AD190" s="20"/>
      <c r="AE190" s="20"/>
      <c r="AF190" s="20"/>
    </row>
    <row r="191" spans="1:32" ht="19.5">
      <c r="A191" s="20"/>
      <c r="B191" s="20"/>
      <c r="C191" s="20"/>
      <c r="D191" s="20"/>
      <c r="E191" s="20"/>
      <c r="F191" s="20"/>
      <c r="G191" s="124"/>
      <c r="H191" s="20"/>
      <c r="I191" s="20"/>
      <c r="J191" s="20"/>
      <c r="K191" s="124"/>
      <c r="L191" s="127"/>
      <c r="M191" s="20"/>
      <c r="N191" s="20"/>
      <c r="O191" s="20"/>
      <c r="P191" s="124"/>
      <c r="Q191" s="127"/>
      <c r="R191" s="20"/>
      <c r="S191" s="20"/>
      <c r="T191" s="20"/>
      <c r="U191" s="124"/>
      <c r="V191" s="127"/>
      <c r="W191" s="20"/>
      <c r="X191" s="20"/>
      <c r="Y191" s="20"/>
      <c r="Z191" s="20"/>
      <c r="AA191" s="20"/>
      <c r="AB191" s="20"/>
      <c r="AC191" s="20"/>
      <c r="AD191" s="20"/>
      <c r="AE191" s="20"/>
      <c r="AF191" s="20"/>
    </row>
    <row r="192" spans="1:32" ht="19.5">
      <c r="A192" s="20"/>
      <c r="B192" s="20"/>
      <c r="C192" s="20"/>
      <c r="D192" s="20"/>
      <c r="E192" s="20"/>
      <c r="F192" s="20"/>
      <c r="G192" s="124"/>
      <c r="H192" s="20"/>
      <c r="I192" s="20"/>
      <c r="J192" s="20"/>
      <c r="K192" s="124"/>
      <c r="L192" s="127"/>
      <c r="M192" s="20"/>
      <c r="N192" s="20"/>
      <c r="O192" s="20"/>
      <c r="P192" s="124"/>
      <c r="Q192" s="127"/>
      <c r="R192" s="20"/>
      <c r="S192" s="20"/>
      <c r="T192" s="20"/>
      <c r="U192" s="124"/>
      <c r="V192" s="127"/>
      <c r="W192" s="20"/>
      <c r="X192" s="20"/>
      <c r="Y192" s="20"/>
      <c r="Z192" s="20"/>
      <c r="AA192" s="20"/>
      <c r="AB192" s="20"/>
      <c r="AC192" s="20"/>
      <c r="AD192" s="20"/>
      <c r="AE192" s="20"/>
      <c r="AF192" s="20"/>
    </row>
    <row r="193" spans="1:32" ht="19.5">
      <c r="A193" s="20"/>
      <c r="B193" s="20"/>
      <c r="C193" s="20"/>
      <c r="D193" s="20"/>
      <c r="E193" s="20"/>
      <c r="F193" s="20"/>
      <c r="G193" s="124"/>
      <c r="H193" s="20"/>
      <c r="I193" s="20"/>
      <c r="J193" s="20"/>
      <c r="K193" s="124"/>
      <c r="L193" s="127"/>
      <c r="M193" s="20"/>
      <c r="N193" s="20"/>
      <c r="O193" s="20"/>
      <c r="P193" s="124"/>
      <c r="Q193" s="127"/>
      <c r="R193" s="20"/>
      <c r="S193" s="20"/>
      <c r="T193" s="20"/>
      <c r="U193" s="124"/>
      <c r="V193" s="127"/>
      <c r="W193" s="20"/>
      <c r="X193" s="20"/>
      <c r="Y193" s="20"/>
      <c r="Z193" s="20"/>
      <c r="AA193" s="20"/>
      <c r="AB193" s="20"/>
      <c r="AC193" s="20"/>
      <c r="AD193" s="20"/>
      <c r="AE193" s="20"/>
      <c r="AF193" s="20"/>
    </row>
    <row r="194" spans="1:32" ht="19.5">
      <c r="A194" s="20"/>
      <c r="B194" s="20"/>
      <c r="C194" s="20"/>
      <c r="D194" s="20"/>
      <c r="E194" s="20"/>
      <c r="F194" s="20"/>
      <c r="G194" s="124"/>
      <c r="H194" s="20"/>
      <c r="I194" s="20"/>
      <c r="J194" s="20"/>
      <c r="K194" s="124"/>
      <c r="L194" s="127"/>
      <c r="M194" s="20"/>
      <c r="N194" s="20"/>
      <c r="O194" s="20"/>
      <c r="P194" s="124"/>
      <c r="Q194" s="127"/>
      <c r="R194" s="20"/>
      <c r="S194" s="20"/>
      <c r="T194" s="20"/>
      <c r="U194" s="124"/>
      <c r="V194" s="127"/>
      <c r="W194" s="20"/>
      <c r="X194" s="20"/>
      <c r="Y194" s="20"/>
      <c r="Z194" s="20"/>
      <c r="AA194" s="20"/>
      <c r="AB194" s="20"/>
      <c r="AC194" s="20"/>
      <c r="AD194" s="20"/>
      <c r="AE194" s="20"/>
      <c r="AF194" s="20"/>
    </row>
    <row r="195" spans="1:32" ht="19.5">
      <c r="A195" s="20"/>
      <c r="B195" s="20"/>
      <c r="C195" s="20"/>
      <c r="D195" s="20"/>
      <c r="E195" s="20"/>
      <c r="F195" s="20"/>
      <c r="G195" s="124"/>
      <c r="H195" s="20"/>
      <c r="I195" s="20"/>
      <c r="J195" s="20"/>
      <c r="K195" s="124"/>
      <c r="L195" s="127"/>
      <c r="M195" s="20"/>
      <c r="N195" s="20"/>
      <c r="O195" s="20"/>
      <c r="P195" s="124"/>
      <c r="Q195" s="127"/>
      <c r="R195" s="20"/>
      <c r="S195" s="20"/>
      <c r="T195" s="20"/>
      <c r="U195" s="124"/>
      <c r="V195" s="127"/>
      <c r="W195" s="20"/>
      <c r="X195" s="20"/>
      <c r="Y195" s="20"/>
      <c r="Z195" s="20"/>
      <c r="AA195" s="20"/>
      <c r="AB195" s="20"/>
      <c r="AC195" s="20"/>
      <c r="AD195" s="20"/>
      <c r="AE195" s="20"/>
      <c r="AF195" s="20"/>
    </row>
    <row r="196" spans="1:32" ht="19.5">
      <c r="A196" s="20"/>
      <c r="B196" s="20"/>
      <c r="C196" s="20"/>
      <c r="D196" s="20"/>
      <c r="E196" s="20"/>
      <c r="F196" s="20"/>
      <c r="G196" s="124"/>
      <c r="H196" s="20"/>
      <c r="I196" s="20"/>
      <c r="J196" s="20"/>
      <c r="K196" s="124"/>
      <c r="L196" s="127"/>
      <c r="M196" s="20"/>
      <c r="N196" s="20"/>
      <c r="O196" s="20"/>
      <c r="P196" s="124"/>
      <c r="Q196" s="127"/>
      <c r="R196" s="20"/>
      <c r="S196" s="20"/>
      <c r="T196" s="20"/>
      <c r="U196" s="124"/>
      <c r="V196" s="127"/>
      <c r="W196" s="20"/>
      <c r="X196" s="20"/>
      <c r="Y196" s="20"/>
      <c r="Z196" s="20"/>
      <c r="AA196" s="20"/>
      <c r="AB196" s="20"/>
      <c r="AC196" s="20"/>
      <c r="AD196" s="20"/>
      <c r="AE196" s="20"/>
      <c r="AF196" s="20"/>
    </row>
    <row r="197" spans="1:32" ht="19.5">
      <c r="A197" s="20"/>
      <c r="B197" s="20"/>
      <c r="C197" s="20"/>
      <c r="D197" s="20"/>
      <c r="E197" s="20"/>
      <c r="F197" s="20"/>
      <c r="G197" s="124"/>
      <c r="H197" s="20"/>
      <c r="I197" s="20"/>
      <c r="J197" s="20"/>
      <c r="K197" s="124"/>
      <c r="L197" s="127"/>
      <c r="M197" s="20"/>
      <c r="N197" s="20"/>
      <c r="O197" s="20"/>
      <c r="P197" s="124"/>
      <c r="Q197" s="127"/>
      <c r="R197" s="20"/>
      <c r="S197" s="20"/>
      <c r="T197" s="20"/>
      <c r="U197" s="124"/>
      <c r="V197" s="127"/>
      <c r="W197" s="20"/>
      <c r="X197" s="20"/>
      <c r="Y197" s="20"/>
      <c r="Z197" s="20"/>
      <c r="AA197" s="20"/>
      <c r="AB197" s="20"/>
      <c r="AC197" s="20"/>
      <c r="AD197" s="20"/>
      <c r="AE197" s="20"/>
      <c r="AF197" s="20"/>
    </row>
    <row r="198" spans="1:32" ht="19.5">
      <c r="A198" s="20"/>
      <c r="B198" s="20"/>
      <c r="C198" s="20"/>
      <c r="D198" s="20"/>
      <c r="E198" s="20"/>
      <c r="F198" s="20"/>
      <c r="G198" s="124"/>
      <c r="H198" s="20"/>
      <c r="I198" s="20"/>
      <c r="J198" s="20"/>
      <c r="K198" s="124"/>
      <c r="L198" s="127"/>
      <c r="M198" s="20"/>
      <c r="N198" s="20"/>
      <c r="O198" s="20"/>
      <c r="P198" s="124"/>
      <c r="Q198" s="127"/>
      <c r="R198" s="20"/>
      <c r="S198" s="20"/>
      <c r="T198" s="20"/>
      <c r="U198" s="124"/>
      <c r="V198" s="127"/>
      <c r="W198" s="20"/>
      <c r="X198" s="20"/>
      <c r="Y198" s="20"/>
      <c r="Z198" s="20"/>
      <c r="AA198" s="20"/>
      <c r="AB198" s="20"/>
      <c r="AC198" s="20"/>
      <c r="AD198" s="20"/>
      <c r="AE198" s="20"/>
      <c r="AF198" s="20"/>
    </row>
    <row r="199" spans="1:32" ht="19.5">
      <c r="A199" s="20"/>
      <c r="B199" s="20"/>
      <c r="C199" s="20"/>
      <c r="D199" s="20"/>
      <c r="E199" s="20"/>
      <c r="F199" s="20"/>
      <c r="G199" s="124"/>
      <c r="H199" s="20"/>
      <c r="I199" s="20"/>
      <c r="J199" s="20"/>
      <c r="K199" s="124"/>
      <c r="L199" s="127"/>
      <c r="M199" s="20"/>
      <c r="N199" s="20"/>
      <c r="O199" s="20"/>
      <c r="P199" s="124"/>
      <c r="Q199" s="127"/>
      <c r="R199" s="20"/>
      <c r="S199" s="20"/>
      <c r="T199" s="20"/>
      <c r="U199" s="124"/>
      <c r="V199" s="127"/>
      <c r="W199" s="20"/>
      <c r="X199" s="20"/>
      <c r="Y199" s="20"/>
      <c r="Z199" s="20"/>
      <c r="AA199" s="20"/>
      <c r="AB199" s="20"/>
      <c r="AC199" s="20"/>
      <c r="AD199" s="20"/>
      <c r="AE199" s="20"/>
      <c r="AF199" s="20"/>
    </row>
    <row r="200" spans="1:32" ht="19.5">
      <c r="A200" s="20"/>
      <c r="B200" s="20"/>
      <c r="C200" s="20"/>
      <c r="D200" s="20"/>
      <c r="E200" s="20"/>
      <c r="F200" s="20"/>
      <c r="G200" s="124"/>
      <c r="H200" s="20"/>
      <c r="I200" s="20"/>
      <c r="J200" s="20"/>
      <c r="K200" s="124"/>
      <c r="L200" s="127"/>
      <c r="M200" s="20"/>
      <c r="N200" s="20"/>
      <c r="O200" s="20"/>
      <c r="P200" s="124"/>
      <c r="Q200" s="127"/>
      <c r="R200" s="20"/>
      <c r="S200" s="20"/>
      <c r="T200" s="20"/>
      <c r="U200" s="124"/>
      <c r="V200" s="127"/>
      <c r="W200" s="20"/>
      <c r="X200" s="20"/>
      <c r="Y200" s="20"/>
      <c r="Z200" s="20"/>
      <c r="AA200" s="20"/>
      <c r="AB200" s="20"/>
      <c r="AC200" s="20"/>
      <c r="AD200" s="20"/>
      <c r="AE200" s="20"/>
      <c r="AF200" s="20"/>
    </row>
    <row r="201" spans="1:32" ht="19.5">
      <c r="A201" s="20"/>
      <c r="B201" s="20"/>
      <c r="C201" s="20"/>
      <c r="D201" s="20"/>
      <c r="E201" s="20"/>
      <c r="F201" s="20"/>
      <c r="G201" s="124"/>
      <c r="H201" s="20"/>
      <c r="I201" s="20"/>
      <c r="J201" s="20"/>
      <c r="K201" s="124"/>
      <c r="L201" s="127"/>
      <c r="M201" s="20"/>
      <c r="N201" s="20"/>
      <c r="O201" s="20"/>
      <c r="P201" s="124"/>
      <c r="Q201" s="127"/>
      <c r="R201" s="20"/>
      <c r="S201" s="20"/>
      <c r="T201" s="20"/>
      <c r="U201" s="124"/>
      <c r="V201" s="127"/>
      <c r="W201" s="20"/>
      <c r="X201" s="20"/>
      <c r="Y201" s="20"/>
      <c r="Z201" s="20"/>
      <c r="AA201" s="20"/>
      <c r="AB201" s="20"/>
      <c r="AC201" s="20"/>
      <c r="AD201" s="20"/>
      <c r="AE201" s="20"/>
      <c r="AF201" s="20"/>
    </row>
    <row r="202" spans="1:32" ht="19.5">
      <c r="A202" s="20"/>
      <c r="B202" s="20"/>
      <c r="C202" s="20"/>
      <c r="D202" s="20"/>
      <c r="E202" s="20"/>
      <c r="F202" s="20"/>
      <c r="G202" s="124"/>
      <c r="H202" s="20"/>
      <c r="I202" s="20"/>
      <c r="J202" s="20"/>
      <c r="K202" s="124"/>
      <c r="L202" s="127"/>
      <c r="M202" s="20"/>
      <c r="N202" s="20"/>
      <c r="O202" s="20"/>
      <c r="P202" s="124"/>
      <c r="Q202" s="127"/>
      <c r="R202" s="20"/>
      <c r="S202" s="20"/>
      <c r="T202" s="20"/>
      <c r="U202" s="124"/>
      <c r="V202" s="127"/>
      <c r="W202" s="20"/>
      <c r="X202" s="20"/>
      <c r="Y202" s="20"/>
      <c r="Z202" s="20"/>
      <c r="AA202" s="20"/>
      <c r="AB202" s="20"/>
      <c r="AC202" s="20"/>
      <c r="AD202" s="20"/>
      <c r="AE202" s="20"/>
      <c r="AF202" s="20"/>
    </row>
    <row r="203" spans="1:32" ht="19.5">
      <c r="A203" s="20"/>
      <c r="B203" s="20"/>
      <c r="C203" s="20"/>
      <c r="D203" s="20"/>
      <c r="E203" s="20"/>
      <c r="F203" s="20"/>
      <c r="G203" s="124"/>
      <c r="H203" s="20"/>
      <c r="I203" s="20"/>
      <c r="J203" s="20"/>
      <c r="K203" s="124"/>
      <c r="L203" s="127"/>
      <c r="M203" s="20"/>
      <c r="N203" s="20"/>
      <c r="O203" s="20"/>
      <c r="P203" s="124"/>
      <c r="Q203" s="127"/>
      <c r="R203" s="20"/>
      <c r="S203" s="20"/>
      <c r="T203" s="20"/>
      <c r="U203" s="124"/>
      <c r="V203" s="127"/>
      <c r="W203" s="20"/>
      <c r="X203" s="20"/>
      <c r="Y203" s="20"/>
      <c r="Z203" s="20"/>
      <c r="AA203" s="20"/>
      <c r="AB203" s="20"/>
      <c r="AC203" s="20"/>
      <c r="AD203" s="20"/>
      <c r="AE203" s="20"/>
      <c r="AF203" s="20"/>
    </row>
    <row r="204" spans="1:32" ht="19.5">
      <c r="A204" s="20"/>
      <c r="B204" s="20"/>
      <c r="C204" s="20"/>
      <c r="D204" s="20"/>
      <c r="E204" s="20"/>
      <c r="F204" s="20"/>
      <c r="G204" s="124"/>
      <c r="H204" s="20"/>
      <c r="I204" s="20"/>
      <c r="J204" s="20"/>
      <c r="K204" s="124"/>
      <c r="L204" s="127"/>
      <c r="M204" s="20"/>
      <c r="N204" s="20"/>
      <c r="O204" s="20"/>
      <c r="P204" s="124"/>
      <c r="Q204" s="127"/>
      <c r="R204" s="20"/>
      <c r="S204" s="20"/>
      <c r="T204" s="20"/>
      <c r="U204" s="124"/>
      <c r="V204" s="127"/>
      <c r="W204" s="20"/>
      <c r="X204" s="20"/>
      <c r="Y204" s="20"/>
      <c r="Z204" s="20"/>
      <c r="AA204" s="20"/>
      <c r="AB204" s="20"/>
      <c r="AC204" s="20"/>
      <c r="AD204" s="20"/>
      <c r="AE204" s="20"/>
      <c r="AF204" s="20"/>
    </row>
    <row r="205" spans="1:32" ht="19.5">
      <c r="A205" s="20"/>
      <c r="B205" s="20"/>
      <c r="C205" s="20"/>
      <c r="D205" s="20"/>
      <c r="E205" s="20"/>
      <c r="F205" s="20"/>
      <c r="G205" s="124"/>
      <c r="H205" s="20"/>
      <c r="I205" s="20"/>
      <c r="J205" s="20"/>
      <c r="K205" s="124"/>
      <c r="L205" s="127"/>
      <c r="M205" s="20"/>
      <c r="N205" s="20"/>
      <c r="O205" s="20"/>
      <c r="P205" s="124"/>
      <c r="Q205" s="127"/>
      <c r="R205" s="20"/>
      <c r="S205" s="20"/>
      <c r="T205" s="20"/>
      <c r="U205" s="124"/>
      <c r="V205" s="127"/>
      <c r="W205" s="20"/>
      <c r="X205" s="20"/>
      <c r="Y205" s="20"/>
      <c r="Z205" s="20"/>
      <c r="AA205" s="20"/>
      <c r="AB205" s="20"/>
      <c r="AC205" s="20"/>
      <c r="AD205" s="20"/>
      <c r="AE205" s="20"/>
      <c r="AF205" s="20"/>
    </row>
    <row r="206" spans="1:32" ht="19.5">
      <c r="A206" s="20"/>
      <c r="B206" s="20"/>
      <c r="C206" s="20"/>
      <c r="D206" s="20"/>
      <c r="E206" s="20"/>
      <c r="F206" s="20"/>
      <c r="G206" s="124"/>
      <c r="H206" s="20"/>
      <c r="I206" s="20"/>
      <c r="J206" s="20"/>
      <c r="K206" s="124"/>
      <c r="L206" s="127"/>
      <c r="M206" s="20"/>
      <c r="N206" s="20"/>
      <c r="O206" s="20"/>
      <c r="P206" s="124"/>
      <c r="Q206" s="127"/>
      <c r="R206" s="20"/>
      <c r="S206" s="20"/>
      <c r="T206" s="20"/>
      <c r="U206" s="124"/>
      <c r="V206" s="127"/>
      <c r="W206" s="20"/>
      <c r="X206" s="20"/>
      <c r="Y206" s="20"/>
      <c r="Z206" s="20"/>
      <c r="AA206" s="20"/>
      <c r="AB206" s="20"/>
      <c r="AC206" s="20"/>
      <c r="AD206" s="20"/>
      <c r="AE206" s="20"/>
      <c r="AF206" s="20"/>
    </row>
    <row r="207" spans="1:32" ht="19.5">
      <c r="A207" s="20"/>
      <c r="B207" s="20"/>
      <c r="C207" s="20"/>
      <c r="D207" s="20"/>
      <c r="E207" s="20"/>
      <c r="F207" s="20"/>
      <c r="G207" s="124"/>
      <c r="H207" s="20"/>
      <c r="I207" s="20"/>
      <c r="J207" s="20"/>
      <c r="K207" s="124"/>
      <c r="L207" s="127"/>
      <c r="M207" s="20"/>
      <c r="N207" s="20"/>
      <c r="O207" s="20"/>
      <c r="P207" s="124"/>
      <c r="Q207" s="127"/>
      <c r="R207" s="20"/>
      <c r="S207" s="20"/>
      <c r="T207" s="20"/>
      <c r="U207" s="124"/>
      <c r="V207" s="127"/>
      <c r="W207" s="20"/>
      <c r="X207" s="20"/>
      <c r="Y207" s="20"/>
      <c r="Z207" s="20"/>
      <c r="AA207" s="20"/>
      <c r="AB207" s="20"/>
      <c r="AC207" s="20"/>
      <c r="AD207" s="20"/>
      <c r="AE207" s="20"/>
      <c r="AF207" s="20"/>
    </row>
    <row r="208" spans="1:32" ht="19.5">
      <c r="A208" s="20"/>
      <c r="B208" s="20"/>
      <c r="C208" s="20"/>
      <c r="D208" s="20"/>
      <c r="E208" s="20"/>
      <c r="F208" s="20"/>
      <c r="G208" s="124"/>
      <c r="H208" s="20"/>
      <c r="I208" s="20"/>
      <c r="J208" s="20"/>
      <c r="K208" s="124"/>
      <c r="L208" s="127"/>
      <c r="M208" s="20"/>
      <c r="N208" s="20"/>
      <c r="O208" s="20"/>
      <c r="P208" s="124"/>
      <c r="Q208" s="127"/>
      <c r="R208" s="20"/>
      <c r="S208" s="20"/>
      <c r="T208" s="20"/>
      <c r="U208" s="124"/>
      <c r="V208" s="127"/>
      <c r="W208" s="20"/>
      <c r="X208" s="20"/>
      <c r="Y208" s="20"/>
      <c r="Z208" s="20"/>
      <c r="AA208" s="20"/>
      <c r="AB208" s="20"/>
      <c r="AC208" s="20"/>
      <c r="AD208" s="20"/>
      <c r="AE208" s="20"/>
      <c r="AF208" s="20"/>
    </row>
    <row r="209" spans="1:32" ht="19.5">
      <c r="A209" s="20"/>
      <c r="B209" s="20"/>
      <c r="C209" s="20"/>
      <c r="D209" s="20"/>
      <c r="E209" s="20"/>
      <c r="F209" s="20"/>
      <c r="G209" s="124"/>
      <c r="H209" s="20"/>
      <c r="I209" s="20"/>
      <c r="J209" s="20"/>
      <c r="K209" s="124"/>
      <c r="L209" s="127"/>
      <c r="M209" s="20"/>
      <c r="N209" s="20"/>
      <c r="O209" s="20"/>
      <c r="P209" s="124"/>
      <c r="Q209" s="127"/>
      <c r="R209" s="20"/>
      <c r="S209" s="20"/>
      <c r="T209" s="20"/>
      <c r="U209" s="124"/>
      <c r="V209" s="127"/>
      <c r="W209" s="20"/>
      <c r="X209" s="20"/>
      <c r="Y209" s="20"/>
      <c r="Z209" s="20"/>
      <c r="AA209" s="20"/>
      <c r="AB209" s="20"/>
      <c r="AC209" s="20"/>
      <c r="AD209" s="20"/>
      <c r="AE209" s="20"/>
      <c r="AF209" s="20"/>
    </row>
    <row r="210" spans="1:32" ht="19.5">
      <c r="A210" s="20"/>
      <c r="B210" s="20"/>
      <c r="C210" s="20"/>
      <c r="D210" s="20"/>
      <c r="E210" s="20"/>
      <c r="F210" s="20"/>
      <c r="G210" s="124"/>
      <c r="H210" s="20"/>
      <c r="I210" s="20"/>
      <c r="J210" s="20"/>
      <c r="K210" s="124"/>
      <c r="L210" s="127"/>
      <c r="M210" s="20"/>
      <c r="N210" s="20"/>
      <c r="O210" s="20"/>
      <c r="P210" s="124"/>
      <c r="Q210" s="127"/>
      <c r="R210" s="20"/>
      <c r="S210" s="20"/>
      <c r="T210" s="20"/>
      <c r="U210" s="124"/>
      <c r="V210" s="127"/>
      <c r="W210" s="20"/>
      <c r="X210" s="20"/>
      <c r="Y210" s="20"/>
      <c r="Z210" s="20"/>
      <c r="AA210" s="20"/>
      <c r="AB210" s="20"/>
      <c r="AC210" s="20"/>
      <c r="AD210" s="20"/>
      <c r="AE210" s="20"/>
      <c r="AF210" s="20"/>
    </row>
    <row r="211" spans="1:32" ht="19.5">
      <c r="A211" s="20"/>
      <c r="B211" s="20"/>
      <c r="C211" s="20"/>
      <c r="D211" s="20"/>
      <c r="E211" s="20"/>
      <c r="F211" s="20"/>
      <c r="G211" s="124"/>
      <c r="H211" s="20"/>
      <c r="I211" s="20"/>
      <c r="J211" s="20"/>
      <c r="K211" s="124"/>
      <c r="L211" s="127"/>
      <c r="M211" s="20"/>
      <c r="N211" s="20"/>
      <c r="O211" s="20"/>
      <c r="P211" s="124"/>
      <c r="Q211" s="127"/>
      <c r="R211" s="20"/>
      <c r="S211" s="20"/>
      <c r="T211" s="20"/>
      <c r="U211" s="124"/>
      <c r="V211" s="127"/>
      <c r="W211" s="20"/>
      <c r="X211" s="20"/>
      <c r="Y211" s="20"/>
      <c r="Z211" s="20"/>
      <c r="AA211" s="20"/>
      <c r="AB211" s="20"/>
      <c r="AC211" s="20"/>
      <c r="AD211" s="20"/>
      <c r="AE211" s="20"/>
      <c r="AF211" s="20"/>
    </row>
    <row r="212" spans="1:32" ht="19.5">
      <c r="A212" s="20"/>
      <c r="B212" s="20"/>
      <c r="C212" s="20"/>
      <c r="D212" s="20"/>
      <c r="E212" s="20"/>
      <c r="F212" s="20"/>
      <c r="G212" s="124"/>
      <c r="H212" s="20"/>
      <c r="I212" s="20"/>
      <c r="J212" s="20"/>
      <c r="K212" s="124"/>
      <c r="L212" s="127"/>
      <c r="M212" s="20"/>
      <c r="N212" s="20"/>
      <c r="O212" s="20"/>
      <c r="P212" s="124"/>
      <c r="Q212" s="127"/>
      <c r="R212" s="20"/>
      <c r="S212" s="20"/>
      <c r="T212" s="20"/>
      <c r="U212" s="124"/>
      <c r="V212" s="127"/>
      <c r="W212" s="20"/>
      <c r="X212" s="20"/>
      <c r="Y212" s="20"/>
      <c r="Z212" s="20"/>
      <c r="AA212" s="20"/>
      <c r="AB212" s="20"/>
      <c r="AC212" s="20"/>
      <c r="AD212" s="20"/>
      <c r="AE212" s="20"/>
      <c r="AF212" s="20"/>
    </row>
    <row r="213" spans="1:32" ht="19.5">
      <c r="A213" s="20"/>
      <c r="B213" s="20"/>
      <c r="C213" s="20"/>
      <c r="D213" s="20"/>
      <c r="E213" s="20"/>
      <c r="F213" s="20"/>
      <c r="G213" s="124"/>
      <c r="H213" s="20"/>
      <c r="I213" s="20"/>
      <c r="J213" s="20"/>
      <c r="K213" s="124"/>
      <c r="L213" s="127"/>
      <c r="M213" s="20"/>
      <c r="N213" s="20"/>
      <c r="O213" s="20"/>
      <c r="P213" s="124"/>
      <c r="Q213" s="127"/>
      <c r="R213" s="20"/>
      <c r="S213" s="20"/>
      <c r="T213" s="20"/>
      <c r="U213" s="124"/>
      <c r="V213" s="127"/>
      <c r="W213" s="20"/>
      <c r="X213" s="20"/>
      <c r="Y213" s="20"/>
      <c r="Z213" s="20"/>
      <c r="AA213" s="20"/>
      <c r="AB213" s="20"/>
      <c r="AC213" s="20"/>
      <c r="AD213" s="20"/>
      <c r="AE213" s="20"/>
      <c r="AF213" s="20"/>
    </row>
    <row r="214" spans="1:32" ht="19.5">
      <c r="A214" s="20"/>
      <c r="B214" s="20"/>
      <c r="C214" s="20"/>
      <c r="D214" s="20"/>
      <c r="E214" s="20"/>
      <c r="F214" s="20"/>
      <c r="G214" s="124"/>
      <c r="H214" s="20"/>
      <c r="I214" s="20"/>
      <c r="J214" s="20"/>
      <c r="K214" s="124"/>
      <c r="L214" s="127"/>
      <c r="M214" s="20"/>
      <c r="N214" s="20"/>
      <c r="O214" s="20"/>
      <c r="P214" s="124"/>
      <c r="Q214" s="127"/>
      <c r="R214" s="20"/>
      <c r="S214" s="20"/>
      <c r="T214" s="20"/>
      <c r="U214" s="124"/>
      <c r="V214" s="127"/>
      <c r="W214" s="20"/>
      <c r="X214" s="20"/>
      <c r="Y214" s="20"/>
      <c r="Z214" s="20"/>
      <c r="AA214" s="20"/>
      <c r="AB214" s="20"/>
      <c r="AC214" s="20"/>
      <c r="AD214" s="20"/>
      <c r="AE214" s="20"/>
      <c r="AF214" s="20"/>
    </row>
    <row r="215" spans="1:32" ht="19.5">
      <c r="A215" s="20"/>
      <c r="B215" s="20"/>
      <c r="C215" s="20"/>
      <c r="D215" s="20"/>
      <c r="E215" s="20"/>
      <c r="F215" s="20"/>
      <c r="G215" s="124"/>
      <c r="H215" s="20"/>
      <c r="I215" s="20"/>
      <c r="J215" s="20"/>
      <c r="K215" s="124"/>
      <c r="L215" s="127"/>
      <c r="M215" s="20"/>
      <c r="N215" s="20"/>
      <c r="O215" s="20"/>
      <c r="P215" s="124"/>
      <c r="Q215" s="127"/>
      <c r="R215" s="20"/>
      <c r="S215" s="20"/>
      <c r="T215" s="20"/>
      <c r="U215" s="124"/>
      <c r="V215" s="127"/>
      <c r="W215" s="20"/>
      <c r="X215" s="20"/>
      <c r="Y215" s="20"/>
      <c r="Z215" s="20"/>
      <c r="AA215" s="20"/>
      <c r="AB215" s="20"/>
      <c r="AC215" s="20"/>
      <c r="AD215" s="20"/>
      <c r="AE215" s="20"/>
      <c r="AF215" s="20"/>
    </row>
    <row r="216" spans="1:32" ht="19.5">
      <c r="A216" s="20"/>
      <c r="B216" s="20"/>
      <c r="C216" s="20"/>
      <c r="D216" s="20"/>
      <c r="E216" s="20"/>
      <c r="F216" s="20"/>
      <c r="G216" s="124"/>
      <c r="H216" s="20"/>
      <c r="I216" s="20"/>
      <c r="J216" s="20"/>
      <c r="K216" s="124"/>
      <c r="L216" s="127"/>
      <c r="M216" s="20"/>
      <c r="N216" s="20"/>
      <c r="O216" s="20"/>
      <c r="P216" s="124"/>
      <c r="Q216" s="127"/>
      <c r="R216" s="20"/>
      <c r="S216" s="20"/>
      <c r="T216" s="20"/>
      <c r="U216" s="124"/>
      <c r="V216" s="127"/>
      <c r="W216" s="20"/>
      <c r="X216" s="20"/>
      <c r="Y216" s="20"/>
      <c r="Z216" s="20"/>
      <c r="AA216" s="20"/>
      <c r="AB216" s="20"/>
      <c r="AC216" s="20"/>
      <c r="AD216" s="20"/>
      <c r="AE216" s="20"/>
      <c r="AF216" s="20"/>
    </row>
    <row r="217" spans="1:32" ht="19.5">
      <c r="A217" s="20"/>
      <c r="B217" s="20"/>
      <c r="C217" s="20"/>
      <c r="D217" s="20"/>
      <c r="E217" s="20"/>
      <c r="F217" s="20"/>
      <c r="G217" s="124"/>
      <c r="H217" s="20"/>
      <c r="I217" s="20"/>
      <c r="J217" s="20"/>
      <c r="K217" s="124"/>
      <c r="L217" s="127"/>
      <c r="M217" s="20"/>
      <c r="N217" s="20"/>
      <c r="O217" s="20"/>
      <c r="P217" s="124"/>
      <c r="Q217" s="127"/>
      <c r="R217" s="20"/>
      <c r="S217" s="20"/>
      <c r="T217" s="20"/>
      <c r="U217" s="124"/>
      <c r="V217" s="127"/>
      <c r="W217" s="20"/>
      <c r="X217" s="20"/>
      <c r="Y217" s="20"/>
      <c r="Z217" s="20"/>
      <c r="AA217" s="20"/>
      <c r="AB217" s="20"/>
      <c r="AC217" s="20"/>
      <c r="AD217" s="20"/>
      <c r="AE217" s="20"/>
      <c r="AF217" s="20"/>
    </row>
    <row r="218" spans="1:32" ht="19.5">
      <c r="A218" s="20"/>
      <c r="B218" s="20"/>
      <c r="C218" s="20"/>
      <c r="D218" s="20"/>
      <c r="E218" s="20"/>
      <c r="F218" s="20"/>
      <c r="G218" s="124"/>
      <c r="H218" s="20"/>
      <c r="I218" s="20"/>
      <c r="J218" s="20"/>
      <c r="K218" s="124"/>
      <c r="L218" s="127"/>
      <c r="M218" s="20"/>
      <c r="N218" s="20"/>
      <c r="O218" s="20"/>
      <c r="P218" s="124"/>
      <c r="Q218" s="127"/>
      <c r="R218" s="20"/>
      <c r="S218" s="20"/>
      <c r="T218" s="20"/>
      <c r="U218" s="124"/>
      <c r="V218" s="127"/>
      <c r="W218" s="20"/>
      <c r="X218" s="20"/>
      <c r="Y218" s="20"/>
      <c r="Z218" s="20"/>
      <c r="AA218" s="20"/>
      <c r="AB218" s="20"/>
      <c r="AC218" s="20"/>
      <c r="AD218" s="20"/>
      <c r="AE218" s="20"/>
      <c r="AF218" s="20"/>
    </row>
    <row r="219" spans="1:32" ht="19.5">
      <c r="A219" s="20"/>
      <c r="B219" s="20"/>
      <c r="C219" s="20"/>
      <c r="D219" s="20"/>
      <c r="E219" s="20"/>
      <c r="F219" s="20"/>
      <c r="G219" s="124"/>
      <c r="H219" s="20"/>
      <c r="I219" s="20"/>
      <c r="J219" s="20"/>
      <c r="K219" s="124"/>
      <c r="L219" s="127"/>
      <c r="M219" s="20"/>
      <c r="N219" s="20"/>
      <c r="O219" s="20"/>
      <c r="P219" s="124"/>
      <c r="Q219" s="127"/>
      <c r="R219" s="20"/>
      <c r="S219" s="20"/>
      <c r="T219" s="20"/>
      <c r="U219" s="124"/>
      <c r="V219" s="127"/>
      <c r="W219" s="20"/>
      <c r="X219" s="20"/>
      <c r="Y219" s="20"/>
      <c r="Z219" s="20"/>
      <c r="AA219" s="20"/>
      <c r="AB219" s="20"/>
      <c r="AC219" s="20"/>
      <c r="AD219" s="20"/>
      <c r="AE219" s="20"/>
      <c r="AF219" s="20"/>
    </row>
    <row r="220" spans="1:32" ht="19.5">
      <c r="A220" s="20"/>
      <c r="B220" s="20"/>
      <c r="C220" s="20"/>
      <c r="D220" s="20"/>
      <c r="E220" s="20"/>
      <c r="F220" s="20"/>
      <c r="G220" s="124"/>
      <c r="H220" s="20"/>
      <c r="I220" s="20"/>
      <c r="J220" s="20"/>
      <c r="K220" s="124"/>
      <c r="L220" s="127"/>
      <c r="M220" s="20"/>
      <c r="N220" s="20"/>
      <c r="O220" s="20"/>
      <c r="P220" s="124"/>
      <c r="Q220" s="127"/>
      <c r="R220" s="20"/>
      <c r="S220" s="20"/>
      <c r="T220" s="20"/>
      <c r="U220" s="124"/>
      <c r="V220" s="127"/>
      <c r="W220" s="20"/>
      <c r="X220" s="20"/>
      <c r="Y220" s="20"/>
      <c r="Z220" s="20"/>
      <c r="AA220" s="20"/>
      <c r="AB220" s="20"/>
      <c r="AC220" s="20"/>
      <c r="AD220" s="20"/>
      <c r="AE220" s="20"/>
      <c r="AF220" s="20"/>
    </row>
    <row r="221" spans="1:32" ht="19.5">
      <c r="A221" s="20"/>
      <c r="B221" s="20"/>
      <c r="C221" s="20"/>
      <c r="D221" s="20"/>
      <c r="E221" s="20"/>
      <c r="F221" s="20"/>
      <c r="G221" s="124"/>
      <c r="H221" s="20"/>
      <c r="I221" s="20"/>
      <c r="J221" s="20"/>
      <c r="K221" s="124"/>
      <c r="L221" s="127"/>
      <c r="M221" s="20"/>
      <c r="N221" s="20"/>
      <c r="O221" s="20"/>
      <c r="P221" s="124"/>
      <c r="Q221" s="127"/>
      <c r="R221" s="20"/>
      <c r="S221" s="20"/>
      <c r="T221" s="20"/>
      <c r="U221" s="124"/>
      <c r="V221" s="127"/>
      <c r="W221" s="20"/>
      <c r="X221" s="20"/>
      <c r="Y221" s="20"/>
      <c r="Z221" s="20"/>
      <c r="AA221" s="20"/>
      <c r="AB221" s="20"/>
      <c r="AC221" s="20"/>
      <c r="AD221" s="20"/>
      <c r="AE221" s="20"/>
      <c r="AF221" s="20"/>
    </row>
    <row r="222" spans="1:32" ht="19.5">
      <c r="A222" s="20"/>
      <c r="B222" s="20"/>
      <c r="C222" s="20"/>
      <c r="D222" s="20"/>
      <c r="E222" s="20"/>
      <c r="F222" s="20"/>
      <c r="G222" s="124"/>
      <c r="H222" s="20"/>
      <c r="I222" s="20"/>
      <c r="J222" s="20"/>
      <c r="K222" s="124"/>
      <c r="L222" s="127"/>
      <c r="M222" s="20"/>
      <c r="N222" s="20"/>
      <c r="O222" s="20"/>
      <c r="P222" s="124"/>
      <c r="Q222" s="127"/>
      <c r="R222" s="20"/>
      <c r="S222" s="20"/>
      <c r="T222" s="20"/>
      <c r="U222" s="124"/>
      <c r="V222" s="127"/>
      <c r="W222" s="20"/>
      <c r="X222" s="20"/>
      <c r="Y222" s="20"/>
      <c r="Z222" s="20"/>
      <c r="AA222" s="20"/>
      <c r="AB222" s="20"/>
      <c r="AC222" s="20"/>
      <c r="AD222" s="20"/>
      <c r="AE222" s="20"/>
      <c r="AF222" s="20"/>
    </row>
    <row r="223" spans="1:32" ht="19.5">
      <c r="A223" s="20"/>
      <c r="B223" s="20"/>
      <c r="C223" s="20"/>
      <c r="D223" s="20"/>
      <c r="E223" s="20"/>
      <c r="F223" s="20"/>
      <c r="G223" s="124"/>
      <c r="H223" s="20"/>
      <c r="I223" s="20"/>
      <c r="J223" s="20"/>
      <c r="K223" s="124"/>
      <c r="L223" s="127"/>
      <c r="M223" s="20"/>
      <c r="N223" s="20"/>
      <c r="O223" s="20"/>
      <c r="P223" s="124"/>
      <c r="Q223" s="127"/>
      <c r="R223" s="20"/>
      <c r="S223" s="20"/>
      <c r="T223" s="20"/>
      <c r="U223" s="124"/>
      <c r="V223" s="127"/>
      <c r="W223" s="20"/>
      <c r="X223" s="20"/>
      <c r="Y223" s="20"/>
      <c r="Z223" s="20"/>
      <c r="AA223" s="20"/>
      <c r="AB223" s="20"/>
      <c r="AC223" s="20"/>
      <c r="AD223" s="20"/>
      <c r="AE223" s="20"/>
      <c r="AF223" s="20"/>
    </row>
    <row r="224" spans="1:32" ht="19.5">
      <c r="A224" s="20"/>
      <c r="B224" s="20"/>
      <c r="C224" s="20"/>
      <c r="D224" s="20"/>
      <c r="E224" s="20"/>
      <c r="F224" s="20"/>
      <c r="G224" s="124"/>
      <c r="H224" s="20"/>
      <c r="I224" s="20"/>
      <c r="J224" s="20"/>
      <c r="K224" s="124"/>
      <c r="L224" s="127"/>
      <c r="M224" s="20"/>
      <c r="N224" s="20"/>
      <c r="O224" s="20"/>
      <c r="P224" s="124"/>
      <c r="Q224" s="127"/>
      <c r="R224" s="20"/>
      <c r="S224" s="20"/>
      <c r="T224" s="20"/>
      <c r="U224" s="124"/>
      <c r="V224" s="127"/>
      <c r="W224" s="20"/>
      <c r="X224" s="20"/>
      <c r="Y224" s="20"/>
      <c r="Z224" s="20"/>
      <c r="AA224" s="20"/>
      <c r="AB224" s="20"/>
      <c r="AC224" s="20"/>
      <c r="AD224" s="20"/>
      <c r="AE224" s="20"/>
      <c r="AF224" s="20"/>
    </row>
    <row r="225" spans="1:32" ht="19.5">
      <c r="A225" s="20"/>
      <c r="B225" s="20"/>
      <c r="C225" s="20"/>
      <c r="D225" s="20"/>
      <c r="E225" s="20"/>
      <c r="F225" s="20"/>
      <c r="G225" s="124"/>
      <c r="H225" s="20"/>
      <c r="I225" s="20"/>
      <c r="J225" s="20"/>
      <c r="K225" s="124"/>
      <c r="L225" s="127"/>
      <c r="M225" s="20"/>
      <c r="N225" s="20"/>
      <c r="O225" s="20"/>
      <c r="P225" s="124"/>
      <c r="Q225" s="127"/>
      <c r="R225" s="20"/>
      <c r="S225" s="20"/>
      <c r="T225" s="20"/>
      <c r="U225" s="124"/>
      <c r="V225" s="127"/>
      <c r="W225" s="20"/>
      <c r="X225" s="20"/>
      <c r="Y225" s="20"/>
      <c r="Z225" s="20"/>
      <c r="AA225" s="20"/>
      <c r="AB225" s="20"/>
      <c r="AC225" s="20"/>
      <c r="AD225" s="20"/>
      <c r="AE225" s="20"/>
      <c r="AF225" s="20"/>
    </row>
    <row r="226" spans="1:32" ht="19.5">
      <c r="A226" s="20"/>
      <c r="B226" s="20"/>
      <c r="C226" s="20"/>
      <c r="D226" s="20"/>
      <c r="E226" s="20"/>
      <c r="F226" s="20"/>
      <c r="G226" s="124"/>
      <c r="H226" s="20"/>
      <c r="I226" s="20"/>
      <c r="J226" s="20"/>
      <c r="K226" s="124"/>
      <c r="L226" s="127"/>
      <c r="M226" s="20"/>
      <c r="N226" s="20"/>
      <c r="O226" s="20"/>
      <c r="P226" s="124"/>
      <c r="Q226" s="127"/>
      <c r="R226" s="20"/>
      <c r="S226" s="20"/>
      <c r="T226" s="20"/>
      <c r="U226" s="124"/>
      <c r="V226" s="127"/>
      <c r="W226" s="20"/>
      <c r="X226" s="20"/>
      <c r="Y226" s="20"/>
      <c r="Z226" s="20"/>
      <c r="AA226" s="20"/>
      <c r="AB226" s="20"/>
      <c r="AC226" s="20"/>
      <c r="AD226" s="20"/>
      <c r="AE226" s="20"/>
      <c r="AF226" s="20"/>
    </row>
    <row r="227" spans="1:32" ht="19.5">
      <c r="A227" s="20"/>
      <c r="B227" s="20"/>
      <c r="C227" s="20"/>
      <c r="D227" s="20"/>
      <c r="E227" s="20"/>
      <c r="F227" s="20"/>
      <c r="G227" s="124"/>
      <c r="H227" s="20"/>
      <c r="I227" s="20"/>
      <c r="J227" s="20"/>
      <c r="K227" s="124"/>
      <c r="L227" s="127"/>
      <c r="M227" s="20"/>
      <c r="N227" s="20"/>
      <c r="O227" s="20"/>
      <c r="P227" s="124"/>
      <c r="Q227" s="127"/>
      <c r="R227" s="20"/>
      <c r="S227" s="20"/>
      <c r="T227" s="20"/>
      <c r="U227" s="124"/>
      <c r="V227" s="127"/>
      <c r="W227" s="20"/>
      <c r="X227" s="20"/>
      <c r="Y227" s="20"/>
      <c r="Z227" s="20"/>
      <c r="AA227" s="20"/>
      <c r="AB227" s="20"/>
      <c r="AC227" s="20"/>
      <c r="AD227" s="20"/>
      <c r="AE227" s="20"/>
      <c r="AF227" s="20"/>
    </row>
    <row r="228" spans="1:32" ht="19.5">
      <c r="A228" s="20"/>
      <c r="B228" s="20"/>
      <c r="C228" s="20"/>
      <c r="D228" s="20"/>
      <c r="E228" s="20"/>
      <c r="F228" s="20"/>
      <c r="G228" s="124"/>
      <c r="H228" s="20"/>
      <c r="I228" s="20"/>
      <c r="J228" s="20"/>
      <c r="K228" s="124"/>
      <c r="L228" s="127"/>
      <c r="M228" s="20"/>
      <c r="N228" s="20"/>
      <c r="O228" s="20"/>
      <c r="P228" s="124"/>
      <c r="Q228" s="127"/>
      <c r="R228" s="20"/>
      <c r="S228" s="20"/>
      <c r="T228" s="20"/>
      <c r="U228" s="124"/>
      <c r="V228" s="127"/>
      <c r="W228" s="20"/>
      <c r="X228" s="20"/>
      <c r="Y228" s="20"/>
      <c r="Z228" s="20"/>
      <c r="AA228" s="20"/>
      <c r="AB228" s="20"/>
      <c r="AC228" s="20"/>
      <c r="AD228" s="20"/>
      <c r="AE228" s="20"/>
      <c r="AF228" s="20"/>
    </row>
    <row r="229" spans="1:32" ht="19.5">
      <c r="A229" s="20"/>
      <c r="B229" s="20"/>
      <c r="C229" s="20"/>
      <c r="D229" s="20"/>
      <c r="E229" s="20"/>
      <c r="F229" s="20"/>
      <c r="G229" s="124"/>
      <c r="H229" s="20"/>
      <c r="I229" s="20"/>
      <c r="J229" s="20"/>
      <c r="K229" s="124"/>
      <c r="L229" s="127"/>
      <c r="M229" s="20"/>
      <c r="N229" s="20"/>
      <c r="O229" s="20"/>
      <c r="P229" s="124"/>
      <c r="Q229" s="127"/>
      <c r="R229" s="20"/>
      <c r="S229" s="20"/>
      <c r="T229" s="20"/>
      <c r="U229" s="124"/>
      <c r="V229" s="127"/>
      <c r="W229" s="20"/>
      <c r="X229" s="20"/>
      <c r="Y229" s="20"/>
      <c r="Z229" s="20"/>
      <c r="AA229" s="20"/>
      <c r="AB229" s="20"/>
      <c r="AC229" s="20"/>
      <c r="AD229" s="20"/>
      <c r="AE229" s="20"/>
      <c r="AF229" s="20"/>
    </row>
    <row r="230" spans="1:32" ht="19.5">
      <c r="A230" s="20"/>
      <c r="B230" s="20"/>
      <c r="C230" s="20"/>
      <c r="D230" s="20"/>
      <c r="E230" s="20"/>
      <c r="F230" s="20"/>
      <c r="G230" s="124"/>
      <c r="H230" s="20"/>
      <c r="I230" s="20"/>
      <c r="J230" s="20"/>
      <c r="K230" s="124"/>
      <c r="L230" s="127"/>
      <c r="M230" s="20"/>
      <c r="N230" s="20"/>
      <c r="O230" s="20"/>
      <c r="P230" s="124"/>
      <c r="Q230" s="127"/>
      <c r="R230" s="20"/>
      <c r="S230" s="20"/>
      <c r="T230" s="20"/>
      <c r="U230" s="124"/>
      <c r="V230" s="127"/>
      <c r="W230" s="20"/>
      <c r="X230" s="20"/>
      <c r="Y230" s="20"/>
      <c r="Z230" s="20"/>
      <c r="AA230" s="20"/>
      <c r="AB230" s="20"/>
      <c r="AC230" s="20"/>
      <c r="AD230" s="20"/>
      <c r="AE230" s="20"/>
      <c r="AF230" s="20"/>
    </row>
    <row r="231" spans="1:32" ht="19.5">
      <c r="A231" s="20"/>
      <c r="B231" s="20"/>
      <c r="C231" s="20"/>
      <c r="D231" s="20"/>
      <c r="E231" s="20"/>
      <c r="F231" s="20"/>
      <c r="G231" s="124"/>
      <c r="H231" s="20"/>
      <c r="I231" s="20"/>
      <c r="J231" s="20"/>
      <c r="K231" s="124"/>
      <c r="L231" s="127"/>
      <c r="M231" s="20"/>
      <c r="N231" s="20"/>
      <c r="O231" s="20"/>
      <c r="P231" s="124"/>
      <c r="Q231" s="127"/>
      <c r="R231" s="20"/>
      <c r="S231" s="20"/>
      <c r="T231" s="20"/>
      <c r="U231" s="124"/>
      <c r="V231" s="127"/>
      <c r="W231" s="20"/>
      <c r="X231" s="20"/>
      <c r="Y231" s="20"/>
      <c r="Z231" s="20"/>
      <c r="AA231" s="20"/>
      <c r="AB231" s="20"/>
      <c r="AC231" s="20"/>
      <c r="AD231" s="20"/>
      <c r="AE231" s="20"/>
      <c r="AF231" s="20"/>
    </row>
    <row r="232" spans="1:32" ht="19.5">
      <c r="A232" s="20"/>
      <c r="B232" s="20"/>
      <c r="C232" s="20"/>
      <c r="D232" s="20"/>
      <c r="E232" s="20"/>
      <c r="F232" s="20"/>
      <c r="G232" s="124"/>
      <c r="H232" s="20"/>
      <c r="I232" s="20"/>
      <c r="J232" s="20"/>
      <c r="K232" s="124"/>
      <c r="L232" s="127"/>
      <c r="M232" s="20"/>
      <c r="N232" s="20"/>
      <c r="O232" s="20"/>
      <c r="P232" s="124"/>
      <c r="Q232" s="127"/>
      <c r="R232" s="20"/>
      <c r="S232" s="20"/>
      <c r="T232" s="20"/>
      <c r="U232" s="124"/>
      <c r="V232" s="127"/>
      <c r="W232" s="20"/>
      <c r="X232" s="20"/>
      <c r="Y232" s="20"/>
      <c r="Z232" s="20"/>
      <c r="AA232" s="20"/>
      <c r="AB232" s="20"/>
      <c r="AC232" s="20"/>
      <c r="AD232" s="20"/>
      <c r="AE232" s="20"/>
      <c r="AF232" s="20"/>
    </row>
    <row r="233" spans="1:32" ht="19.5">
      <c r="A233" s="20"/>
      <c r="B233" s="20"/>
      <c r="C233" s="20"/>
      <c r="D233" s="20"/>
      <c r="E233" s="20"/>
      <c r="F233" s="20"/>
      <c r="G233" s="124"/>
      <c r="H233" s="20"/>
      <c r="I233" s="20"/>
      <c r="J233" s="20"/>
      <c r="K233" s="124"/>
      <c r="L233" s="127"/>
      <c r="M233" s="20"/>
      <c r="N233" s="20"/>
      <c r="O233" s="20"/>
      <c r="P233" s="124"/>
      <c r="Q233" s="127"/>
      <c r="R233" s="20"/>
      <c r="S233" s="20"/>
      <c r="T233" s="20"/>
      <c r="U233" s="124"/>
      <c r="V233" s="127"/>
      <c r="W233" s="20"/>
      <c r="X233" s="20"/>
      <c r="Y233" s="20"/>
      <c r="Z233" s="20"/>
      <c r="AA233" s="20"/>
      <c r="AB233" s="20"/>
      <c r="AC233" s="20"/>
      <c r="AD233" s="20"/>
      <c r="AE233" s="20"/>
      <c r="AF233" s="20"/>
    </row>
    <row r="234" spans="1:32" ht="19.5">
      <c r="A234" s="20"/>
      <c r="B234" s="20"/>
      <c r="C234" s="20"/>
      <c r="D234" s="20"/>
      <c r="E234" s="20"/>
      <c r="F234" s="20"/>
      <c r="G234" s="124"/>
      <c r="H234" s="20"/>
      <c r="I234" s="20"/>
      <c r="J234" s="20"/>
      <c r="K234" s="124"/>
      <c r="L234" s="127"/>
      <c r="M234" s="20"/>
      <c r="N234" s="20"/>
      <c r="O234" s="20"/>
      <c r="P234" s="124"/>
      <c r="Q234" s="127"/>
      <c r="R234" s="20"/>
      <c r="S234" s="20"/>
      <c r="T234" s="20"/>
      <c r="U234" s="124"/>
      <c r="V234" s="127"/>
      <c r="W234" s="20"/>
      <c r="X234" s="20"/>
      <c r="Y234" s="20"/>
      <c r="Z234" s="20"/>
      <c r="AA234" s="20"/>
      <c r="AB234" s="20"/>
      <c r="AC234" s="20"/>
      <c r="AD234" s="20"/>
      <c r="AE234" s="20"/>
      <c r="AF234" s="20"/>
    </row>
    <row r="235" spans="1:32" ht="19.5">
      <c r="A235" s="20"/>
      <c r="B235" s="20"/>
      <c r="C235" s="20"/>
      <c r="D235" s="20"/>
      <c r="E235" s="20"/>
      <c r="F235" s="20"/>
      <c r="G235" s="124"/>
      <c r="H235" s="20"/>
      <c r="I235" s="20"/>
      <c r="J235" s="20"/>
      <c r="K235" s="124"/>
      <c r="L235" s="127"/>
      <c r="M235" s="20"/>
      <c r="N235" s="20"/>
      <c r="O235" s="20"/>
      <c r="P235" s="124"/>
      <c r="Q235" s="127"/>
      <c r="R235" s="20"/>
      <c r="S235" s="20"/>
      <c r="T235" s="20"/>
      <c r="U235" s="124"/>
      <c r="V235" s="127"/>
      <c r="W235" s="20"/>
      <c r="X235" s="20"/>
      <c r="Y235" s="20"/>
      <c r="Z235" s="20"/>
      <c r="AA235" s="20"/>
      <c r="AB235" s="20"/>
      <c r="AC235" s="20"/>
      <c r="AD235" s="20"/>
      <c r="AE235" s="20"/>
      <c r="AF235" s="20"/>
    </row>
    <row r="236" spans="1:32" ht="19.5">
      <c r="A236" s="20"/>
      <c r="B236" s="20"/>
      <c r="C236" s="20"/>
      <c r="D236" s="20"/>
      <c r="E236" s="20"/>
      <c r="F236" s="20"/>
      <c r="G236" s="124"/>
      <c r="H236" s="20"/>
      <c r="I236" s="20"/>
      <c r="J236" s="20"/>
      <c r="K236" s="124"/>
      <c r="L236" s="127"/>
      <c r="M236" s="20"/>
      <c r="N236" s="20"/>
      <c r="O236" s="20"/>
      <c r="P236" s="124"/>
      <c r="Q236" s="127"/>
      <c r="R236" s="20"/>
      <c r="S236" s="20"/>
      <c r="T236" s="20"/>
      <c r="U236" s="124"/>
      <c r="V236" s="127"/>
      <c r="W236" s="20"/>
      <c r="X236" s="20"/>
      <c r="Y236" s="20"/>
      <c r="Z236" s="20"/>
      <c r="AA236" s="20"/>
      <c r="AB236" s="20"/>
      <c r="AC236" s="20"/>
      <c r="AD236" s="20"/>
      <c r="AE236" s="20"/>
      <c r="AF236" s="20"/>
    </row>
    <row r="237" spans="1:32" ht="19.5">
      <c r="A237" s="20"/>
      <c r="B237" s="20"/>
      <c r="C237" s="20"/>
      <c r="D237" s="20"/>
      <c r="E237" s="20"/>
      <c r="F237" s="20"/>
      <c r="G237" s="124"/>
      <c r="H237" s="20"/>
      <c r="I237" s="20"/>
      <c r="J237" s="20"/>
      <c r="K237" s="124"/>
      <c r="L237" s="127"/>
      <c r="M237" s="20"/>
      <c r="N237" s="20"/>
      <c r="O237" s="20"/>
      <c r="P237" s="124"/>
      <c r="Q237" s="127"/>
      <c r="R237" s="20"/>
      <c r="S237" s="20"/>
      <c r="T237" s="20"/>
      <c r="U237" s="124"/>
      <c r="V237" s="127"/>
      <c r="W237" s="20"/>
      <c r="X237" s="20"/>
      <c r="Y237" s="20"/>
      <c r="Z237" s="20"/>
      <c r="AA237" s="20"/>
      <c r="AB237" s="20"/>
      <c r="AC237" s="20"/>
      <c r="AD237" s="20"/>
      <c r="AE237" s="20"/>
      <c r="AF237" s="20"/>
    </row>
    <row r="238" spans="1:32" ht="19.5">
      <c r="A238" s="20"/>
      <c r="B238" s="20"/>
      <c r="C238" s="20"/>
      <c r="D238" s="20"/>
      <c r="E238" s="20"/>
      <c r="F238" s="20"/>
      <c r="G238" s="124"/>
      <c r="H238" s="20"/>
      <c r="I238" s="20"/>
      <c r="J238" s="20"/>
      <c r="K238" s="124"/>
      <c r="L238" s="127"/>
      <c r="M238" s="20"/>
      <c r="N238" s="20"/>
      <c r="O238" s="20"/>
      <c r="P238" s="124"/>
      <c r="Q238" s="127"/>
      <c r="R238" s="20"/>
      <c r="S238" s="20"/>
      <c r="T238" s="20"/>
      <c r="U238" s="124"/>
      <c r="V238" s="127"/>
      <c r="W238" s="20"/>
      <c r="X238" s="20"/>
      <c r="Y238" s="20"/>
      <c r="Z238" s="20"/>
      <c r="AA238" s="20"/>
      <c r="AB238" s="20"/>
      <c r="AC238" s="20"/>
      <c r="AD238" s="20"/>
      <c r="AE238" s="20"/>
      <c r="AF238" s="20"/>
    </row>
    <row r="239" spans="1:32" ht="19.5">
      <c r="A239" s="20"/>
      <c r="B239" s="20"/>
      <c r="C239" s="20"/>
      <c r="D239" s="20"/>
      <c r="E239" s="20"/>
      <c r="F239" s="20"/>
      <c r="G239" s="124"/>
      <c r="H239" s="20"/>
      <c r="I239" s="20"/>
      <c r="J239" s="20"/>
      <c r="K239" s="124"/>
      <c r="L239" s="127"/>
      <c r="M239" s="20"/>
      <c r="N239" s="20"/>
      <c r="O239" s="20"/>
      <c r="P239" s="124"/>
      <c r="Q239" s="127"/>
      <c r="R239" s="20"/>
      <c r="S239" s="20"/>
      <c r="T239" s="20"/>
      <c r="U239" s="124"/>
      <c r="V239" s="127"/>
      <c r="W239" s="20"/>
      <c r="X239" s="20"/>
      <c r="Y239" s="20"/>
      <c r="Z239" s="20"/>
      <c r="AA239" s="20"/>
      <c r="AB239" s="20"/>
      <c r="AC239" s="20"/>
      <c r="AD239" s="20"/>
      <c r="AE239" s="20"/>
      <c r="AF239" s="20"/>
    </row>
    <row r="240" spans="1:32" ht="19.5">
      <c r="A240" s="20"/>
      <c r="B240" s="20"/>
      <c r="C240" s="20"/>
      <c r="D240" s="20"/>
      <c r="E240" s="20"/>
      <c r="F240" s="20"/>
      <c r="G240" s="124"/>
      <c r="H240" s="20"/>
      <c r="I240" s="20"/>
      <c r="J240" s="20"/>
      <c r="K240" s="124"/>
      <c r="L240" s="127"/>
      <c r="M240" s="20"/>
      <c r="N240" s="20"/>
      <c r="O240" s="20"/>
      <c r="P240" s="124"/>
      <c r="Q240" s="127"/>
      <c r="R240" s="20"/>
      <c r="S240" s="20"/>
      <c r="T240" s="20"/>
      <c r="U240" s="124"/>
      <c r="V240" s="127"/>
      <c r="W240" s="20"/>
      <c r="X240" s="20"/>
      <c r="Y240" s="20"/>
      <c r="Z240" s="20"/>
      <c r="AA240" s="20"/>
      <c r="AB240" s="20"/>
      <c r="AC240" s="20"/>
      <c r="AD240" s="20"/>
      <c r="AE240" s="20"/>
      <c r="AF240" s="20"/>
    </row>
    <row r="241" spans="1:32" ht="19.5">
      <c r="A241" s="20"/>
      <c r="B241" s="20"/>
      <c r="C241" s="20"/>
      <c r="D241" s="20"/>
      <c r="E241" s="20"/>
      <c r="F241" s="20"/>
      <c r="G241" s="124"/>
      <c r="H241" s="20"/>
      <c r="I241" s="20"/>
      <c r="J241" s="20"/>
      <c r="K241" s="124"/>
      <c r="L241" s="127"/>
      <c r="M241" s="20"/>
      <c r="N241" s="20"/>
      <c r="O241" s="20"/>
      <c r="P241" s="124"/>
      <c r="Q241" s="127"/>
      <c r="R241" s="20"/>
      <c r="S241" s="20"/>
      <c r="T241" s="20"/>
      <c r="U241" s="124"/>
      <c r="V241" s="127"/>
      <c r="W241" s="20"/>
      <c r="X241" s="20"/>
      <c r="Y241" s="20"/>
      <c r="Z241" s="20"/>
      <c r="AA241" s="20"/>
      <c r="AB241" s="20"/>
      <c r="AC241" s="20"/>
      <c r="AD241" s="20"/>
      <c r="AE241" s="20"/>
      <c r="AF241" s="20"/>
    </row>
    <row r="242" spans="1:32" ht="19.5">
      <c r="A242" s="20"/>
      <c r="B242" s="20"/>
      <c r="C242" s="20"/>
      <c r="D242" s="20"/>
      <c r="E242" s="20"/>
      <c r="F242" s="20"/>
      <c r="G242" s="124"/>
      <c r="H242" s="20"/>
      <c r="I242" s="20"/>
      <c r="J242" s="20"/>
      <c r="K242" s="124"/>
      <c r="L242" s="127"/>
      <c r="M242" s="20"/>
      <c r="N242" s="20"/>
      <c r="O242" s="20"/>
      <c r="P242" s="124"/>
      <c r="Q242" s="127"/>
      <c r="R242" s="20"/>
      <c r="S242" s="20"/>
      <c r="T242" s="20"/>
      <c r="U242" s="124"/>
      <c r="V242" s="127"/>
      <c r="W242" s="20"/>
      <c r="X242" s="20"/>
      <c r="Y242" s="20"/>
      <c r="Z242" s="20"/>
      <c r="AA242" s="20"/>
      <c r="AB242" s="20"/>
      <c r="AC242" s="20"/>
      <c r="AD242" s="20"/>
      <c r="AE242" s="20"/>
      <c r="AF242" s="20"/>
    </row>
    <row r="243" spans="1:32" ht="19.5">
      <c r="A243" s="20"/>
      <c r="B243" s="20"/>
      <c r="C243" s="20"/>
      <c r="D243" s="20"/>
      <c r="E243" s="20"/>
      <c r="F243" s="20"/>
      <c r="G243" s="124"/>
      <c r="H243" s="20"/>
      <c r="I243" s="20"/>
      <c r="J243" s="20"/>
      <c r="K243" s="124"/>
      <c r="L243" s="127"/>
      <c r="M243" s="20"/>
      <c r="N243" s="20"/>
      <c r="O243" s="20"/>
      <c r="P243" s="124"/>
      <c r="Q243" s="127"/>
      <c r="R243" s="20"/>
      <c r="S243" s="20"/>
      <c r="T243" s="20"/>
      <c r="U243" s="124"/>
      <c r="V243" s="127"/>
      <c r="W243" s="20"/>
      <c r="X243" s="20"/>
      <c r="Y243" s="20"/>
      <c r="Z243" s="20"/>
      <c r="AA243" s="20"/>
      <c r="AB243" s="20"/>
      <c r="AC243" s="20"/>
      <c r="AD243" s="20"/>
      <c r="AE243" s="20"/>
      <c r="AF243" s="20"/>
    </row>
    <row r="244" spans="1:32" ht="19.5">
      <c r="A244" s="20"/>
      <c r="B244" s="20"/>
      <c r="C244" s="20"/>
      <c r="D244" s="20"/>
      <c r="E244" s="20"/>
      <c r="F244" s="20"/>
      <c r="G244" s="124"/>
      <c r="H244" s="20"/>
      <c r="I244" s="20"/>
      <c r="J244" s="20"/>
      <c r="K244" s="124"/>
      <c r="L244" s="127"/>
      <c r="M244" s="20"/>
      <c r="N244" s="20"/>
      <c r="O244" s="20"/>
      <c r="P244" s="124"/>
      <c r="Q244" s="127"/>
      <c r="R244" s="20"/>
      <c r="S244" s="20"/>
      <c r="T244" s="20"/>
      <c r="U244" s="124"/>
      <c r="V244" s="127"/>
      <c r="W244" s="20"/>
      <c r="X244" s="20"/>
      <c r="Y244" s="20"/>
      <c r="Z244" s="20"/>
      <c r="AA244" s="20"/>
      <c r="AB244" s="20"/>
      <c r="AC244" s="20"/>
      <c r="AD244" s="20"/>
      <c r="AE244" s="20"/>
      <c r="AF244" s="20"/>
    </row>
    <row r="245" spans="1:32" ht="19.5">
      <c r="A245" s="20"/>
      <c r="B245" s="20"/>
      <c r="C245" s="20"/>
      <c r="D245" s="20"/>
      <c r="E245" s="20"/>
      <c r="F245" s="20"/>
      <c r="G245" s="124"/>
      <c r="H245" s="20"/>
      <c r="I245" s="20"/>
      <c r="J245" s="20"/>
      <c r="K245" s="124"/>
      <c r="L245" s="127"/>
      <c r="M245" s="20"/>
      <c r="N245" s="20"/>
      <c r="O245" s="20"/>
      <c r="P245" s="124"/>
      <c r="Q245" s="127"/>
      <c r="R245" s="20"/>
      <c r="S245" s="20"/>
      <c r="T245" s="20"/>
      <c r="U245" s="124"/>
      <c r="V245" s="127"/>
      <c r="W245" s="20"/>
      <c r="X245" s="20"/>
      <c r="Y245" s="20"/>
      <c r="Z245" s="20"/>
      <c r="AA245" s="20"/>
      <c r="AB245" s="20"/>
      <c r="AC245" s="20"/>
      <c r="AD245" s="20"/>
      <c r="AE245" s="20"/>
      <c r="AF245" s="20"/>
    </row>
    <row r="246" spans="1:32" ht="19.5">
      <c r="A246" s="20"/>
      <c r="B246" s="20"/>
      <c r="C246" s="20"/>
      <c r="D246" s="20"/>
      <c r="E246" s="20"/>
      <c r="F246" s="20"/>
      <c r="G246" s="124"/>
      <c r="H246" s="20"/>
      <c r="I246" s="20"/>
      <c r="J246" s="20"/>
      <c r="K246" s="124"/>
      <c r="L246" s="127"/>
      <c r="M246" s="20"/>
      <c r="N246" s="20"/>
      <c r="O246" s="20"/>
      <c r="P246" s="124"/>
      <c r="Q246" s="127"/>
      <c r="R246" s="20"/>
      <c r="S246" s="20"/>
      <c r="T246" s="20"/>
      <c r="U246" s="124"/>
      <c r="V246" s="127"/>
      <c r="W246" s="20"/>
      <c r="X246" s="20"/>
      <c r="Y246" s="20"/>
      <c r="Z246" s="20"/>
      <c r="AA246" s="20"/>
      <c r="AB246" s="20"/>
      <c r="AC246" s="20"/>
      <c r="AD246" s="20"/>
      <c r="AE246" s="20"/>
      <c r="AF246" s="20"/>
    </row>
    <row r="247" spans="1:32" ht="19.5">
      <c r="A247" s="20"/>
      <c r="B247" s="20"/>
      <c r="C247" s="20"/>
      <c r="D247" s="20"/>
      <c r="E247" s="20"/>
      <c r="F247" s="20"/>
      <c r="G247" s="124"/>
      <c r="H247" s="20"/>
      <c r="I247" s="20"/>
      <c r="J247" s="20"/>
      <c r="K247" s="124"/>
      <c r="L247" s="127"/>
      <c r="M247" s="20"/>
      <c r="N247" s="20"/>
      <c r="O247" s="20"/>
      <c r="P247" s="124"/>
      <c r="Q247" s="127"/>
      <c r="R247" s="20"/>
      <c r="S247" s="20"/>
      <c r="T247" s="20"/>
      <c r="U247" s="124"/>
      <c r="V247" s="127"/>
      <c r="W247" s="20"/>
      <c r="X247" s="20"/>
      <c r="Y247" s="20"/>
      <c r="Z247" s="20"/>
      <c r="AA247" s="20"/>
      <c r="AB247" s="20"/>
      <c r="AC247" s="20"/>
      <c r="AD247" s="20"/>
      <c r="AE247" s="20"/>
      <c r="AF247" s="20"/>
    </row>
    <row r="248" spans="1:32" ht="19.5">
      <c r="A248" s="20"/>
      <c r="B248" s="20"/>
      <c r="C248" s="20"/>
      <c r="D248" s="20"/>
      <c r="E248" s="20"/>
      <c r="F248" s="20"/>
      <c r="G248" s="124"/>
      <c r="H248" s="20"/>
      <c r="I248" s="20"/>
      <c r="J248" s="20"/>
      <c r="K248" s="124"/>
      <c r="L248" s="127"/>
      <c r="M248" s="20"/>
      <c r="N248" s="20"/>
      <c r="O248" s="20"/>
      <c r="P248" s="124"/>
      <c r="Q248" s="127"/>
      <c r="R248" s="20"/>
      <c r="S248" s="20"/>
      <c r="T248" s="20"/>
      <c r="U248" s="124"/>
      <c r="V248" s="127"/>
      <c r="W248" s="20"/>
      <c r="X248" s="20"/>
      <c r="Y248" s="20"/>
      <c r="Z248" s="20"/>
      <c r="AA248" s="20"/>
      <c r="AB248" s="20"/>
      <c r="AC248" s="20"/>
      <c r="AD248" s="20"/>
      <c r="AE248" s="20"/>
      <c r="AF248" s="20"/>
    </row>
    <row r="249" spans="1:32" ht="19.5">
      <c r="A249" s="20"/>
      <c r="B249" s="20"/>
      <c r="C249" s="20"/>
      <c r="D249" s="20"/>
      <c r="E249" s="20"/>
      <c r="F249" s="20"/>
      <c r="G249" s="124"/>
      <c r="H249" s="20"/>
      <c r="I249" s="20"/>
      <c r="J249" s="20"/>
      <c r="K249" s="124"/>
      <c r="L249" s="127"/>
      <c r="M249" s="20"/>
      <c r="N249" s="20"/>
      <c r="O249" s="20"/>
      <c r="P249" s="124"/>
      <c r="Q249" s="127"/>
      <c r="R249" s="20"/>
      <c r="S249" s="20"/>
      <c r="T249" s="20"/>
      <c r="U249" s="124"/>
      <c r="V249" s="127"/>
      <c r="W249" s="20"/>
      <c r="X249" s="20"/>
      <c r="Y249" s="20"/>
      <c r="Z249" s="20"/>
      <c r="AA249" s="20"/>
      <c r="AB249" s="20"/>
      <c r="AC249" s="20"/>
      <c r="AD249" s="20"/>
      <c r="AE249" s="20"/>
      <c r="AF249" s="20"/>
    </row>
    <row r="250" spans="1:32" ht="19.5">
      <c r="A250" s="20"/>
      <c r="B250" s="20"/>
      <c r="C250" s="20"/>
      <c r="D250" s="20"/>
      <c r="E250" s="20"/>
      <c r="F250" s="20"/>
      <c r="G250" s="124"/>
      <c r="H250" s="20"/>
      <c r="I250" s="20"/>
      <c r="J250" s="20"/>
      <c r="K250" s="124"/>
      <c r="L250" s="127"/>
      <c r="M250" s="20"/>
      <c r="N250" s="20"/>
      <c r="O250" s="20"/>
      <c r="P250" s="124"/>
      <c r="Q250" s="127"/>
      <c r="R250" s="20"/>
      <c r="S250" s="20"/>
      <c r="T250" s="20"/>
      <c r="U250" s="124"/>
      <c r="V250" s="127"/>
      <c r="W250" s="20"/>
      <c r="X250" s="20"/>
      <c r="Y250" s="20"/>
      <c r="Z250" s="20"/>
      <c r="AA250" s="20"/>
      <c r="AB250" s="20"/>
      <c r="AC250" s="20"/>
      <c r="AD250" s="20"/>
      <c r="AE250" s="20"/>
      <c r="AF250" s="20"/>
    </row>
    <row r="251" spans="1:32" ht="19.5">
      <c r="A251" s="20"/>
      <c r="B251" s="20"/>
      <c r="C251" s="20"/>
      <c r="D251" s="20"/>
      <c r="E251" s="20"/>
      <c r="F251" s="20"/>
      <c r="G251" s="124"/>
      <c r="H251" s="20"/>
      <c r="I251" s="20"/>
      <c r="J251" s="20"/>
      <c r="K251" s="124"/>
      <c r="L251" s="127"/>
      <c r="M251" s="20"/>
      <c r="N251" s="20"/>
      <c r="O251" s="20"/>
      <c r="P251" s="124"/>
      <c r="Q251" s="127"/>
      <c r="R251" s="20"/>
      <c r="S251" s="20"/>
      <c r="T251" s="20"/>
      <c r="U251" s="124"/>
      <c r="V251" s="127"/>
      <c r="W251" s="20"/>
      <c r="X251" s="20"/>
      <c r="Y251" s="20"/>
      <c r="Z251" s="20"/>
      <c r="AA251" s="20"/>
      <c r="AB251" s="20"/>
      <c r="AC251" s="20"/>
      <c r="AD251" s="20"/>
      <c r="AE251" s="20"/>
      <c r="AF251" s="20"/>
    </row>
    <row r="252" spans="1:32" ht="19.5">
      <c r="A252" s="20"/>
      <c r="B252" s="20"/>
      <c r="C252" s="20"/>
      <c r="D252" s="20"/>
      <c r="E252" s="20"/>
      <c r="F252" s="20"/>
      <c r="G252" s="124"/>
      <c r="H252" s="20"/>
      <c r="I252" s="20"/>
      <c r="J252" s="20"/>
      <c r="K252" s="124"/>
      <c r="L252" s="127"/>
      <c r="M252" s="20"/>
      <c r="N252" s="20"/>
      <c r="O252" s="20"/>
      <c r="P252" s="124"/>
      <c r="Q252" s="127"/>
      <c r="R252" s="20"/>
      <c r="S252" s="20"/>
      <c r="T252" s="20"/>
      <c r="U252" s="124"/>
      <c r="V252" s="127"/>
      <c r="W252" s="20"/>
      <c r="X252" s="20"/>
      <c r="Y252" s="20"/>
      <c r="Z252" s="20"/>
      <c r="AA252" s="20"/>
      <c r="AB252" s="20"/>
      <c r="AC252" s="20"/>
      <c r="AD252" s="20"/>
      <c r="AE252" s="20"/>
      <c r="AF252" s="20"/>
    </row>
    <row r="253" spans="1:32" ht="19.5">
      <c r="A253" s="20"/>
      <c r="B253" s="20"/>
      <c r="C253" s="20"/>
      <c r="D253" s="20"/>
      <c r="E253" s="20"/>
      <c r="F253" s="20"/>
      <c r="G253" s="124"/>
      <c r="H253" s="20"/>
      <c r="I253" s="20"/>
      <c r="J253" s="20"/>
      <c r="K253" s="124"/>
      <c r="L253" s="127"/>
      <c r="M253" s="20"/>
      <c r="N253" s="20"/>
      <c r="O253" s="20"/>
      <c r="P253" s="124"/>
      <c r="Q253" s="127"/>
      <c r="R253" s="20"/>
      <c r="S253" s="20"/>
      <c r="T253" s="20"/>
      <c r="U253" s="124"/>
      <c r="V253" s="127"/>
      <c r="W253" s="20"/>
      <c r="X253" s="20"/>
      <c r="Y253" s="20"/>
      <c r="Z253" s="20"/>
      <c r="AA253" s="20"/>
      <c r="AB253" s="20"/>
      <c r="AC253" s="20"/>
      <c r="AD253" s="20"/>
      <c r="AE253" s="20"/>
      <c r="AF253" s="20"/>
    </row>
    <row r="254" spans="1:32" ht="19.5">
      <c r="A254" s="20"/>
      <c r="B254" s="20"/>
      <c r="C254" s="20"/>
      <c r="D254" s="20"/>
      <c r="E254" s="20"/>
      <c r="F254" s="20"/>
      <c r="G254" s="124"/>
      <c r="H254" s="20"/>
      <c r="I254" s="20"/>
      <c r="J254" s="20"/>
      <c r="K254" s="124"/>
      <c r="L254" s="127"/>
      <c r="M254" s="20"/>
      <c r="N254" s="20"/>
      <c r="O254" s="20"/>
      <c r="P254" s="124"/>
      <c r="Q254" s="127"/>
      <c r="R254" s="20"/>
      <c r="S254" s="20"/>
      <c r="T254" s="20"/>
      <c r="U254" s="124"/>
      <c r="V254" s="127"/>
      <c r="W254" s="20"/>
      <c r="X254" s="20"/>
      <c r="Y254" s="20"/>
      <c r="Z254" s="20"/>
      <c r="AA254" s="20"/>
      <c r="AB254" s="20"/>
      <c r="AC254" s="20"/>
      <c r="AD254" s="20"/>
      <c r="AE254" s="20"/>
      <c r="AF254" s="20"/>
    </row>
    <row r="255" spans="1:32" ht="19.5">
      <c r="A255" s="20"/>
      <c r="B255" s="20"/>
      <c r="C255" s="20"/>
      <c r="D255" s="20"/>
      <c r="E255" s="20"/>
      <c r="F255" s="20"/>
      <c r="G255" s="124"/>
      <c r="H255" s="20"/>
      <c r="I255" s="20"/>
      <c r="J255" s="20"/>
      <c r="K255" s="124"/>
      <c r="L255" s="127"/>
      <c r="M255" s="20"/>
      <c r="N255" s="20"/>
      <c r="O255" s="20"/>
      <c r="P255" s="124"/>
      <c r="Q255" s="127"/>
      <c r="R255" s="20"/>
      <c r="S255" s="20"/>
      <c r="T255" s="20"/>
      <c r="U255" s="124"/>
      <c r="V255" s="127"/>
      <c r="W255" s="20"/>
      <c r="X255" s="20"/>
      <c r="Y255" s="20"/>
      <c r="Z255" s="20"/>
      <c r="AA255" s="20"/>
      <c r="AB255" s="20"/>
      <c r="AC255" s="20"/>
      <c r="AD255" s="20"/>
      <c r="AE255" s="20"/>
      <c r="AF255" s="20"/>
    </row>
    <row r="256" spans="1:32" ht="19.5">
      <c r="A256" s="20"/>
      <c r="B256" s="20"/>
      <c r="C256" s="20"/>
      <c r="D256" s="20"/>
      <c r="E256" s="20"/>
      <c r="F256" s="20"/>
      <c r="G256" s="124"/>
      <c r="H256" s="20"/>
      <c r="I256" s="20"/>
      <c r="J256" s="20"/>
      <c r="K256" s="124"/>
      <c r="L256" s="127"/>
      <c r="M256" s="20"/>
      <c r="N256" s="20"/>
      <c r="O256" s="20"/>
      <c r="P256" s="124"/>
      <c r="Q256" s="127"/>
      <c r="R256" s="20"/>
      <c r="S256" s="20"/>
      <c r="T256" s="20"/>
      <c r="U256" s="124"/>
      <c r="V256" s="127"/>
      <c r="W256" s="20"/>
      <c r="X256" s="20"/>
      <c r="Y256" s="20"/>
      <c r="Z256" s="20"/>
      <c r="AA256" s="20"/>
      <c r="AB256" s="20"/>
      <c r="AC256" s="20"/>
      <c r="AD256" s="20"/>
      <c r="AE256" s="20"/>
      <c r="AF256" s="20"/>
    </row>
    <row r="257" spans="1:32" ht="19.5">
      <c r="A257" s="20"/>
      <c r="B257" s="20"/>
      <c r="C257" s="20"/>
      <c r="D257" s="20"/>
      <c r="E257" s="20"/>
      <c r="F257" s="20"/>
      <c r="G257" s="124"/>
      <c r="H257" s="20"/>
      <c r="I257" s="20"/>
      <c r="J257" s="20"/>
      <c r="K257" s="124"/>
      <c r="L257" s="127"/>
      <c r="M257" s="20"/>
      <c r="N257" s="20"/>
      <c r="O257" s="20"/>
      <c r="P257" s="124"/>
      <c r="Q257" s="127"/>
      <c r="R257" s="20"/>
      <c r="S257" s="20"/>
      <c r="T257" s="20"/>
      <c r="U257" s="124"/>
      <c r="V257" s="127"/>
      <c r="W257" s="20"/>
      <c r="X257" s="20"/>
      <c r="Y257" s="20"/>
      <c r="Z257" s="20"/>
      <c r="AA257" s="20"/>
      <c r="AB257" s="20"/>
      <c r="AC257" s="20"/>
      <c r="AD257" s="20"/>
      <c r="AE257" s="20"/>
      <c r="AF257" s="20"/>
    </row>
    <row r="258" spans="1:32" ht="19.5">
      <c r="A258" s="20"/>
      <c r="B258" s="20"/>
      <c r="C258" s="20"/>
      <c r="D258" s="20"/>
      <c r="E258" s="20"/>
      <c r="F258" s="20"/>
      <c r="G258" s="124"/>
      <c r="H258" s="20"/>
      <c r="I258" s="20"/>
      <c r="J258" s="20"/>
      <c r="K258" s="124"/>
      <c r="L258" s="127"/>
      <c r="M258" s="20"/>
      <c r="N258" s="20"/>
      <c r="O258" s="20"/>
      <c r="P258" s="124"/>
      <c r="Q258" s="127"/>
      <c r="R258" s="20"/>
      <c r="S258" s="20"/>
      <c r="T258" s="20"/>
      <c r="U258" s="124"/>
      <c r="V258" s="127"/>
      <c r="W258" s="20"/>
      <c r="X258" s="20"/>
      <c r="Y258" s="20"/>
      <c r="Z258" s="20"/>
      <c r="AA258" s="20"/>
      <c r="AB258" s="20"/>
      <c r="AC258" s="20"/>
      <c r="AD258" s="20"/>
      <c r="AE258" s="20"/>
      <c r="AF258" s="20"/>
    </row>
    <row r="259" spans="1:32" ht="19.5">
      <c r="A259" s="20"/>
      <c r="B259" s="20"/>
      <c r="C259" s="20"/>
      <c r="D259" s="20"/>
      <c r="E259" s="20"/>
      <c r="F259" s="20"/>
      <c r="G259" s="124"/>
      <c r="H259" s="20"/>
      <c r="I259" s="20"/>
      <c r="J259" s="20"/>
      <c r="K259" s="124"/>
      <c r="L259" s="127"/>
      <c r="M259" s="20"/>
      <c r="N259" s="20"/>
      <c r="O259" s="20"/>
      <c r="P259" s="124"/>
      <c r="Q259" s="127"/>
      <c r="R259" s="20"/>
      <c r="S259" s="20"/>
      <c r="T259" s="20"/>
      <c r="U259" s="124"/>
      <c r="V259" s="127"/>
      <c r="W259" s="20"/>
      <c r="X259" s="20"/>
      <c r="Y259" s="20"/>
      <c r="Z259" s="20"/>
      <c r="AA259" s="20"/>
      <c r="AB259" s="20"/>
      <c r="AC259" s="20"/>
      <c r="AD259" s="20"/>
      <c r="AE259" s="20"/>
      <c r="AF259" s="20"/>
    </row>
    <row r="260" spans="1:32" ht="19.5">
      <c r="A260" s="20"/>
      <c r="B260" s="20"/>
      <c r="C260" s="20"/>
      <c r="D260" s="20"/>
      <c r="E260" s="20"/>
      <c r="F260" s="20"/>
      <c r="G260" s="124"/>
      <c r="H260" s="20"/>
      <c r="I260" s="20"/>
      <c r="J260" s="20"/>
      <c r="K260" s="124"/>
      <c r="L260" s="127"/>
      <c r="M260" s="20"/>
      <c r="N260" s="20"/>
      <c r="O260" s="20"/>
      <c r="P260" s="124"/>
      <c r="Q260" s="127"/>
      <c r="R260" s="20"/>
      <c r="S260" s="20"/>
      <c r="T260" s="20"/>
      <c r="U260" s="124"/>
      <c r="V260" s="127"/>
      <c r="W260" s="20"/>
      <c r="X260" s="20"/>
      <c r="Y260" s="20"/>
      <c r="Z260" s="20"/>
      <c r="AA260" s="20"/>
      <c r="AB260" s="20"/>
      <c r="AC260" s="20"/>
      <c r="AD260" s="20"/>
      <c r="AE260" s="20"/>
      <c r="AF260" s="20"/>
    </row>
    <row r="261" spans="1:32" ht="19.5">
      <c r="A261" s="20"/>
      <c r="B261" s="20"/>
      <c r="C261" s="20"/>
      <c r="D261" s="20"/>
      <c r="E261" s="20"/>
      <c r="F261" s="20"/>
      <c r="G261" s="124"/>
      <c r="H261" s="20"/>
      <c r="I261" s="20"/>
      <c r="J261" s="20"/>
      <c r="K261" s="124"/>
      <c r="L261" s="127"/>
      <c r="M261" s="20"/>
      <c r="N261" s="20"/>
      <c r="O261" s="20"/>
      <c r="P261" s="124"/>
      <c r="Q261" s="127"/>
      <c r="R261" s="20"/>
      <c r="S261" s="20"/>
      <c r="T261" s="20"/>
      <c r="U261" s="124"/>
      <c r="V261" s="127"/>
      <c r="W261" s="20"/>
      <c r="X261" s="20"/>
      <c r="Y261" s="20"/>
      <c r="Z261" s="20"/>
      <c r="AA261" s="20"/>
      <c r="AB261" s="20"/>
      <c r="AC261" s="20"/>
      <c r="AD261" s="20"/>
      <c r="AE261" s="20"/>
      <c r="AF261" s="20"/>
    </row>
    <row r="262" spans="1:32" ht="19.5">
      <c r="A262" s="20"/>
      <c r="B262" s="20"/>
      <c r="C262" s="20"/>
      <c r="D262" s="20"/>
      <c r="E262" s="20"/>
      <c r="F262" s="20"/>
      <c r="G262" s="124"/>
      <c r="H262" s="20"/>
      <c r="I262" s="20"/>
      <c r="J262" s="20"/>
      <c r="K262" s="124"/>
      <c r="L262" s="127"/>
      <c r="M262" s="20"/>
      <c r="N262" s="20"/>
      <c r="O262" s="20"/>
      <c r="P262" s="124"/>
      <c r="Q262" s="127"/>
      <c r="R262" s="20"/>
      <c r="S262" s="20"/>
      <c r="T262" s="20"/>
      <c r="U262" s="124"/>
      <c r="V262" s="127"/>
      <c r="W262" s="20"/>
      <c r="X262" s="20"/>
      <c r="Y262" s="20"/>
      <c r="Z262" s="20"/>
      <c r="AA262" s="20"/>
      <c r="AB262" s="20"/>
      <c r="AC262" s="20"/>
      <c r="AD262" s="20"/>
      <c r="AE262" s="20"/>
      <c r="AF262" s="20"/>
    </row>
    <row r="263" spans="1:32" ht="19.5">
      <c r="A263" s="20"/>
      <c r="B263" s="20"/>
      <c r="C263" s="20"/>
      <c r="D263" s="20"/>
      <c r="E263" s="20"/>
      <c r="F263" s="20"/>
      <c r="G263" s="124"/>
      <c r="H263" s="20"/>
      <c r="I263" s="20"/>
      <c r="J263" s="20"/>
      <c r="K263" s="124"/>
      <c r="L263" s="127"/>
      <c r="M263" s="20"/>
      <c r="N263" s="20"/>
      <c r="O263" s="20"/>
      <c r="P263" s="124"/>
      <c r="Q263" s="127"/>
      <c r="R263" s="20"/>
      <c r="S263" s="20"/>
      <c r="T263" s="20"/>
      <c r="U263" s="124"/>
      <c r="V263" s="127"/>
      <c r="W263" s="20"/>
      <c r="X263" s="20"/>
      <c r="Y263" s="20"/>
      <c r="Z263" s="20"/>
      <c r="AA263" s="20"/>
      <c r="AB263" s="20"/>
      <c r="AC263" s="20"/>
      <c r="AD263" s="20"/>
      <c r="AE263" s="20"/>
      <c r="AF263" s="20"/>
    </row>
    <row r="264" spans="1:32" ht="19.5">
      <c r="A264" s="20"/>
      <c r="B264" s="20"/>
      <c r="C264" s="20"/>
      <c r="D264" s="20"/>
      <c r="E264" s="20"/>
      <c r="F264" s="20"/>
      <c r="G264" s="124"/>
      <c r="H264" s="20"/>
      <c r="I264" s="20"/>
      <c r="J264" s="20"/>
      <c r="K264" s="124"/>
      <c r="L264" s="127"/>
      <c r="M264" s="20"/>
      <c r="N264" s="20"/>
      <c r="O264" s="20"/>
      <c r="P264" s="124"/>
      <c r="Q264" s="127"/>
      <c r="R264" s="20"/>
      <c r="S264" s="20"/>
      <c r="T264" s="20"/>
      <c r="U264" s="124"/>
      <c r="V264" s="127"/>
      <c r="W264" s="20"/>
      <c r="X264" s="20"/>
      <c r="Y264" s="20"/>
      <c r="Z264" s="20"/>
      <c r="AA264" s="20"/>
      <c r="AB264" s="20"/>
      <c r="AC264" s="20"/>
      <c r="AD264" s="20"/>
      <c r="AE264" s="20"/>
      <c r="AF264" s="20"/>
    </row>
    <row r="265" spans="1:32" ht="19.5">
      <c r="A265" s="20"/>
      <c r="B265" s="20"/>
      <c r="C265" s="20"/>
      <c r="D265" s="20"/>
      <c r="E265" s="20"/>
      <c r="F265" s="20"/>
      <c r="G265" s="124"/>
      <c r="H265" s="20"/>
      <c r="I265" s="20"/>
      <c r="J265" s="20"/>
      <c r="K265" s="124"/>
      <c r="L265" s="127"/>
      <c r="M265" s="20"/>
      <c r="N265" s="20"/>
      <c r="O265" s="20"/>
      <c r="P265" s="124"/>
      <c r="Q265" s="127"/>
      <c r="R265" s="20"/>
      <c r="S265" s="20"/>
      <c r="T265" s="20"/>
      <c r="U265" s="124"/>
      <c r="V265" s="127"/>
      <c r="W265" s="20"/>
      <c r="X265" s="20"/>
      <c r="Y265" s="20"/>
      <c r="Z265" s="20"/>
      <c r="AA265" s="20"/>
      <c r="AB265" s="20"/>
      <c r="AC265" s="20"/>
      <c r="AD265" s="20"/>
      <c r="AE265" s="20"/>
      <c r="AF265" s="20"/>
    </row>
    <row r="266" spans="1:32" ht="19.5">
      <c r="A266" s="20"/>
      <c r="B266" s="20"/>
      <c r="C266" s="20"/>
      <c r="D266" s="20"/>
      <c r="E266" s="20"/>
      <c r="F266" s="20"/>
      <c r="G266" s="124"/>
      <c r="H266" s="20"/>
      <c r="I266" s="20"/>
      <c r="J266" s="20"/>
      <c r="K266" s="124"/>
      <c r="L266" s="127"/>
      <c r="M266" s="20"/>
      <c r="N266" s="20"/>
      <c r="O266" s="20"/>
      <c r="P266" s="124"/>
      <c r="Q266" s="127"/>
      <c r="R266" s="20"/>
      <c r="S266" s="20"/>
      <c r="T266" s="20"/>
      <c r="U266" s="124"/>
      <c r="V266" s="127"/>
      <c r="W266" s="20"/>
      <c r="X266" s="20"/>
      <c r="Y266" s="20"/>
      <c r="Z266" s="20"/>
      <c r="AA266" s="20"/>
      <c r="AB266" s="20"/>
      <c r="AC266" s="20"/>
      <c r="AD266" s="20"/>
      <c r="AE266" s="20"/>
      <c r="AF266" s="20"/>
    </row>
    <row r="267" spans="1:32" ht="19.5">
      <c r="A267" s="20"/>
      <c r="B267" s="20"/>
      <c r="C267" s="20"/>
      <c r="D267" s="20"/>
      <c r="E267" s="20"/>
      <c r="F267" s="20"/>
      <c r="G267" s="124"/>
      <c r="H267" s="20"/>
      <c r="I267" s="20"/>
      <c r="J267" s="20"/>
      <c r="K267" s="124"/>
      <c r="L267" s="127"/>
      <c r="M267" s="20"/>
      <c r="N267" s="20"/>
      <c r="O267" s="20"/>
      <c r="P267" s="124"/>
      <c r="Q267" s="127"/>
      <c r="R267" s="20"/>
      <c r="S267" s="20"/>
      <c r="T267" s="20"/>
      <c r="U267" s="124"/>
      <c r="V267" s="127"/>
      <c r="W267" s="20"/>
      <c r="X267" s="20"/>
      <c r="Y267" s="20"/>
      <c r="Z267" s="20"/>
      <c r="AA267" s="20"/>
      <c r="AB267" s="20"/>
      <c r="AC267" s="20"/>
      <c r="AD267" s="20"/>
      <c r="AE267" s="20"/>
      <c r="AF267" s="20"/>
    </row>
    <row r="268" spans="1:32" ht="19.5">
      <c r="A268" s="20"/>
      <c r="B268" s="20"/>
      <c r="C268" s="20"/>
      <c r="D268" s="20"/>
      <c r="E268" s="20"/>
      <c r="F268" s="20"/>
      <c r="G268" s="124"/>
      <c r="H268" s="20"/>
      <c r="I268" s="20"/>
      <c r="J268" s="20"/>
      <c r="K268" s="124"/>
      <c r="L268" s="127"/>
      <c r="M268" s="20"/>
      <c r="N268" s="20"/>
      <c r="O268" s="20"/>
      <c r="P268" s="124"/>
      <c r="Q268" s="127"/>
      <c r="R268" s="20"/>
      <c r="S268" s="20"/>
      <c r="T268" s="20"/>
      <c r="U268" s="124"/>
      <c r="V268" s="127"/>
      <c r="W268" s="20"/>
      <c r="X268" s="20"/>
      <c r="Y268" s="20"/>
      <c r="Z268" s="20"/>
      <c r="AA268" s="20"/>
      <c r="AB268" s="20"/>
      <c r="AC268" s="20"/>
      <c r="AD268" s="20"/>
      <c r="AE268" s="20"/>
      <c r="AF268" s="20"/>
    </row>
    <row r="269" spans="1:32" ht="19.5">
      <c r="A269" s="20"/>
      <c r="B269" s="20"/>
      <c r="C269" s="20"/>
      <c r="D269" s="20"/>
      <c r="E269" s="20"/>
      <c r="F269" s="20"/>
      <c r="G269" s="124"/>
      <c r="H269" s="20"/>
      <c r="I269" s="20"/>
      <c r="J269" s="20"/>
      <c r="K269" s="124"/>
      <c r="L269" s="127"/>
      <c r="M269" s="20"/>
      <c r="N269" s="20"/>
      <c r="O269" s="20"/>
      <c r="P269" s="124"/>
      <c r="Q269" s="127"/>
      <c r="R269" s="20"/>
      <c r="S269" s="20"/>
      <c r="T269" s="20"/>
      <c r="U269" s="124"/>
      <c r="V269" s="127"/>
      <c r="W269" s="20"/>
      <c r="X269" s="20"/>
      <c r="Y269" s="20"/>
      <c r="Z269" s="20"/>
      <c r="AA269" s="20"/>
      <c r="AB269" s="20"/>
      <c r="AC269" s="20"/>
      <c r="AD269" s="20"/>
      <c r="AE269" s="20"/>
      <c r="AF269" s="20"/>
    </row>
    <row r="270" spans="1:32" ht="19.5">
      <c r="A270" s="20"/>
      <c r="B270" s="20"/>
      <c r="C270" s="20"/>
      <c r="D270" s="20"/>
      <c r="E270" s="20"/>
      <c r="F270" s="20"/>
      <c r="G270" s="124"/>
      <c r="H270" s="20"/>
      <c r="I270" s="20"/>
      <c r="J270" s="20"/>
      <c r="K270" s="124"/>
      <c r="L270" s="127"/>
      <c r="M270" s="20"/>
      <c r="N270" s="20"/>
      <c r="O270" s="20"/>
      <c r="P270" s="124"/>
      <c r="Q270" s="127"/>
      <c r="R270" s="20"/>
      <c r="S270" s="20"/>
      <c r="T270" s="20"/>
      <c r="U270" s="124"/>
      <c r="V270" s="127"/>
      <c r="W270" s="20"/>
      <c r="X270" s="20"/>
      <c r="Y270" s="20"/>
      <c r="Z270" s="20"/>
      <c r="AA270" s="20"/>
      <c r="AB270" s="20"/>
      <c r="AC270" s="20"/>
      <c r="AD270" s="20"/>
      <c r="AE270" s="20"/>
      <c r="AF270" s="20"/>
    </row>
    <row r="271" spans="1:32" ht="19.5">
      <c r="A271" s="20"/>
      <c r="B271" s="20"/>
      <c r="C271" s="20"/>
      <c r="D271" s="20"/>
      <c r="E271" s="20"/>
      <c r="F271" s="20"/>
      <c r="G271" s="124"/>
      <c r="H271" s="20"/>
      <c r="I271" s="20"/>
      <c r="J271" s="20"/>
      <c r="K271" s="124"/>
      <c r="L271" s="127"/>
      <c r="M271" s="20"/>
      <c r="N271" s="20"/>
      <c r="O271" s="20"/>
      <c r="P271" s="124"/>
      <c r="Q271" s="127"/>
      <c r="R271" s="20"/>
      <c r="S271" s="20"/>
      <c r="T271" s="20"/>
      <c r="U271" s="124"/>
      <c r="V271" s="127"/>
      <c r="W271" s="20"/>
      <c r="X271" s="20"/>
      <c r="Y271" s="20"/>
      <c r="Z271" s="20"/>
      <c r="AA271" s="20"/>
      <c r="AB271" s="20"/>
      <c r="AC271" s="20"/>
      <c r="AD271" s="20"/>
      <c r="AE271" s="20"/>
      <c r="AF271" s="20"/>
    </row>
    <row r="272" spans="1:32" ht="19.5">
      <c r="A272" s="20"/>
      <c r="B272" s="20"/>
      <c r="C272" s="20"/>
      <c r="D272" s="20"/>
      <c r="E272" s="20"/>
      <c r="F272" s="20"/>
      <c r="G272" s="124"/>
      <c r="H272" s="20"/>
      <c r="I272" s="20"/>
      <c r="J272" s="20"/>
      <c r="K272" s="124"/>
      <c r="L272" s="127"/>
      <c r="M272" s="20"/>
      <c r="N272" s="20"/>
      <c r="O272" s="20"/>
      <c r="P272" s="124"/>
      <c r="Q272" s="127"/>
      <c r="R272" s="20"/>
      <c r="S272" s="20"/>
      <c r="T272" s="20"/>
      <c r="U272" s="124"/>
      <c r="V272" s="127"/>
      <c r="W272" s="20"/>
      <c r="X272" s="20"/>
      <c r="Y272" s="20"/>
      <c r="Z272" s="20"/>
      <c r="AA272" s="20"/>
      <c r="AB272" s="20"/>
      <c r="AC272" s="20"/>
      <c r="AD272" s="20"/>
      <c r="AE272" s="20"/>
      <c r="AF272" s="20"/>
    </row>
    <row r="273" spans="1:32" ht="19.5">
      <c r="A273" s="20"/>
      <c r="B273" s="20"/>
      <c r="C273" s="20"/>
      <c r="D273" s="20"/>
      <c r="E273" s="20"/>
      <c r="F273" s="20"/>
      <c r="G273" s="124"/>
      <c r="H273" s="20"/>
      <c r="I273" s="20"/>
      <c r="J273" s="20"/>
      <c r="K273" s="124"/>
      <c r="L273" s="127"/>
      <c r="M273" s="20"/>
      <c r="N273" s="20"/>
      <c r="O273" s="20"/>
      <c r="P273" s="124"/>
      <c r="Q273" s="127"/>
      <c r="R273" s="20"/>
      <c r="S273" s="20"/>
      <c r="T273" s="20"/>
      <c r="U273" s="124"/>
      <c r="V273" s="127"/>
      <c r="W273" s="20"/>
      <c r="X273" s="20"/>
      <c r="Y273" s="20"/>
      <c r="Z273" s="20"/>
      <c r="AA273" s="20"/>
      <c r="AB273" s="20"/>
      <c r="AC273" s="20"/>
      <c r="AD273" s="20"/>
      <c r="AE273" s="20"/>
      <c r="AF273" s="20"/>
    </row>
    <row r="274" spans="1:32" ht="19.5">
      <c r="A274" s="20"/>
      <c r="B274" s="20"/>
      <c r="C274" s="20"/>
      <c r="D274" s="20"/>
      <c r="E274" s="20"/>
      <c r="F274" s="20"/>
      <c r="G274" s="124"/>
      <c r="H274" s="20"/>
      <c r="I274" s="20"/>
      <c r="J274" s="20"/>
      <c r="K274" s="124"/>
      <c r="L274" s="127"/>
      <c r="M274" s="20"/>
      <c r="N274" s="20"/>
      <c r="O274" s="20"/>
      <c r="P274" s="124"/>
      <c r="Q274" s="127"/>
      <c r="R274" s="20"/>
      <c r="S274" s="20"/>
      <c r="T274" s="20"/>
      <c r="U274" s="124"/>
      <c r="V274" s="127"/>
      <c r="W274" s="20"/>
      <c r="X274" s="20"/>
      <c r="Y274" s="20"/>
      <c r="Z274" s="20"/>
      <c r="AA274" s="20"/>
      <c r="AB274" s="20"/>
      <c r="AC274" s="20"/>
      <c r="AD274" s="20"/>
      <c r="AE274" s="20"/>
      <c r="AF274" s="20"/>
    </row>
    <row r="275" spans="1:32" ht="19.5">
      <c r="A275" s="20"/>
      <c r="B275" s="20"/>
      <c r="C275" s="20"/>
      <c r="D275" s="20"/>
      <c r="E275" s="20"/>
      <c r="F275" s="20"/>
      <c r="G275" s="124"/>
      <c r="H275" s="20"/>
      <c r="I275" s="20"/>
      <c r="J275" s="20"/>
      <c r="K275" s="124"/>
      <c r="L275" s="127"/>
      <c r="M275" s="20"/>
      <c r="N275" s="20"/>
      <c r="O275" s="20"/>
      <c r="P275" s="124"/>
      <c r="Q275" s="127"/>
      <c r="R275" s="20"/>
      <c r="S275" s="20"/>
      <c r="T275" s="20"/>
      <c r="U275" s="124"/>
      <c r="V275" s="127"/>
      <c r="W275" s="20"/>
      <c r="X275" s="20"/>
      <c r="Y275" s="20"/>
      <c r="Z275" s="20"/>
      <c r="AA275" s="20"/>
      <c r="AB275" s="20"/>
      <c r="AC275" s="20"/>
      <c r="AD275" s="20"/>
      <c r="AE275" s="20"/>
      <c r="AF275" s="20"/>
    </row>
    <row r="276" spans="1:32" ht="19.5">
      <c r="A276" s="20"/>
      <c r="B276" s="20"/>
      <c r="C276" s="20"/>
      <c r="D276" s="20"/>
      <c r="E276" s="20"/>
      <c r="F276" s="20"/>
      <c r="G276" s="124"/>
      <c r="H276" s="20"/>
      <c r="I276" s="20"/>
      <c r="J276" s="20"/>
      <c r="K276" s="124"/>
      <c r="L276" s="127"/>
      <c r="M276" s="20"/>
      <c r="N276" s="20"/>
      <c r="O276" s="20"/>
      <c r="P276" s="124"/>
      <c r="Q276" s="127"/>
      <c r="R276" s="20"/>
      <c r="S276" s="20"/>
      <c r="T276" s="20"/>
      <c r="U276" s="124"/>
      <c r="V276" s="127"/>
      <c r="W276" s="20"/>
      <c r="X276" s="20"/>
      <c r="Y276" s="20"/>
      <c r="Z276" s="20"/>
      <c r="AA276" s="20"/>
      <c r="AB276" s="20"/>
      <c r="AC276" s="20"/>
      <c r="AD276" s="20"/>
      <c r="AE276" s="20"/>
      <c r="AF276" s="20"/>
    </row>
    <row r="277" spans="1:32" ht="19.5">
      <c r="A277" s="20"/>
      <c r="B277" s="20"/>
      <c r="C277" s="20"/>
      <c r="D277" s="20"/>
      <c r="E277" s="20"/>
      <c r="F277" s="20"/>
      <c r="G277" s="124"/>
      <c r="H277" s="20"/>
      <c r="I277" s="20"/>
      <c r="J277" s="20"/>
      <c r="K277" s="124"/>
      <c r="L277" s="127"/>
      <c r="M277" s="20"/>
      <c r="N277" s="20"/>
      <c r="O277" s="20"/>
      <c r="P277" s="124"/>
      <c r="Q277" s="127"/>
      <c r="R277" s="20"/>
      <c r="S277" s="20"/>
      <c r="T277" s="20"/>
      <c r="U277" s="124"/>
      <c r="V277" s="127"/>
      <c r="W277" s="20"/>
      <c r="X277" s="20"/>
      <c r="Y277" s="20"/>
      <c r="Z277" s="20"/>
      <c r="AA277" s="20"/>
      <c r="AB277" s="20"/>
      <c r="AC277" s="20"/>
      <c r="AD277" s="20"/>
      <c r="AE277" s="20"/>
      <c r="AF277" s="20"/>
    </row>
    <row r="278" spans="1:32" ht="19.5">
      <c r="A278" s="20"/>
      <c r="B278" s="20"/>
      <c r="C278" s="20"/>
      <c r="D278" s="20"/>
      <c r="E278" s="20"/>
      <c r="F278" s="20"/>
      <c r="G278" s="124"/>
      <c r="H278" s="20"/>
      <c r="I278" s="20"/>
      <c r="J278" s="20"/>
      <c r="K278" s="124"/>
      <c r="L278" s="127"/>
      <c r="M278" s="20"/>
      <c r="N278" s="20"/>
      <c r="O278" s="20"/>
      <c r="P278" s="124"/>
      <c r="Q278" s="127"/>
      <c r="R278" s="20"/>
      <c r="S278" s="20"/>
      <c r="T278" s="20"/>
      <c r="U278" s="124"/>
      <c r="V278" s="127"/>
      <c r="W278" s="20"/>
      <c r="X278" s="20"/>
      <c r="Y278" s="20"/>
      <c r="Z278" s="20"/>
      <c r="AA278" s="20"/>
      <c r="AB278" s="20"/>
      <c r="AC278" s="20"/>
      <c r="AD278" s="20"/>
      <c r="AE278" s="20"/>
      <c r="AF278" s="20"/>
    </row>
    <row r="279" spans="1:32" ht="19.5">
      <c r="A279" s="20"/>
      <c r="B279" s="20"/>
      <c r="C279" s="20"/>
      <c r="D279" s="20"/>
      <c r="E279" s="20"/>
      <c r="F279" s="20"/>
      <c r="G279" s="124"/>
      <c r="H279" s="20"/>
      <c r="I279" s="20"/>
      <c r="J279" s="20"/>
      <c r="K279" s="124"/>
      <c r="L279" s="127"/>
      <c r="M279" s="20"/>
      <c r="N279" s="20"/>
      <c r="O279" s="20"/>
      <c r="P279" s="124"/>
      <c r="Q279" s="127"/>
      <c r="R279" s="20"/>
      <c r="S279" s="20"/>
      <c r="T279" s="20"/>
      <c r="U279" s="124"/>
      <c r="V279" s="127"/>
      <c r="W279" s="20"/>
      <c r="X279" s="20"/>
      <c r="Y279" s="20"/>
      <c r="Z279" s="20"/>
      <c r="AA279" s="20"/>
      <c r="AB279" s="20"/>
      <c r="AC279" s="20"/>
      <c r="AD279" s="20"/>
      <c r="AE279" s="20"/>
      <c r="AF279" s="20"/>
    </row>
    <row r="280" spans="1:32" ht="19.5">
      <c r="A280" s="20"/>
      <c r="B280" s="20"/>
      <c r="C280" s="20"/>
      <c r="D280" s="20"/>
      <c r="E280" s="20"/>
      <c r="F280" s="20"/>
      <c r="G280" s="124"/>
      <c r="H280" s="20"/>
      <c r="I280" s="20"/>
      <c r="J280" s="20"/>
      <c r="K280" s="124"/>
      <c r="L280" s="127"/>
      <c r="M280" s="20"/>
      <c r="N280" s="20"/>
      <c r="O280" s="20"/>
      <c r="P280" s="124"/>
      <c r="Q280" s="127"/>
      <c r="R280" s="20"/>
      <c r="S280" s="20"/>
      <c r="T280" s="20"/>
      <c r="U280" s="124"/>
      <c r="V280" s="127"/>
      <c r="W280" s="20"/>
      <c r="X280" s="20"/>
      <c r="Y280" s="20"/>
      <c r="Z280" s="20"/>
      <c r="AA280" s="20"/>
      <c r="AB280" s="20"/>
      <c r="AC280" s="20"/>
      <c r="AD280" s="20"/>
      <c r="AE280" s="20"/>
      <c r="AF280" s="20"/>
    </row>
    <row r="281" spans="1:32" ht="19.5">
      <c r="A281" s="20"/>
      <c r="B281" s="20"/>
      <c r="C281" s="20"/>
      <c r="D281" s="20"/>
      <c r="E281" s="20"/>
      <c r="F281" s="20"/>
      <c r="G281" s="124"/>
      <c r="H281" s="20"/>
      <c r="I281" s="20"/>
      <c r="J281" s="20"/>
      <c r="K281" s="124"/>
      <c r="L281" s="127"/>
      <c r="M281" s="20"/>
      <c r="N281" s="20"/>
      <c r="O281" s="20"/>
      <c r="P281" s="124"/>
      <c r="Q281" s="127"/>
      <c r="R281" s="20"/>
      <c r="S281" s="20"/>
      <c r="T281" s="20"/>
      <c r="U281" s="124"/>
      <c r="V281" s="127"/>
      <c r="W281" s="20"/>
      <c r="X281" s="20"/>
      <c r="Y281" s="20"/>
      <c r="Z281" s="20"/>
      <c r="AA281" s="20"/>
      <c r="AB281" s="20"/>
      <c r="AC281" s="20"/>
      <c r="AD281" s="20"/>
      <c r="AE281" s="20"/>
      <c r="AF281" s="20"/>
    </row>
    <row r="282" spans="1:32" ht="19.5">
      <c r="A282" s="20"/>
      <c r="B282" s="20"/>
      <c r="C282" s="20"/>
      <c r="D282" s="20"/>
      <c r="E282" s="20"/>
      <c r="F282" s="20"/>
      <c r="G282" s="124"/>
      <c r="H282" s="20"/>
      <c r="I282" s="20"/>
      <c r="J282" s="20"/>
      <c r="K282" s="124"/>
      <c r="L282" s="127"/>
      <c r="M282" s="20"/>
      <c r="N282" s="20"/>
      <c r="O282" s="20"/>
      <c r="P282" s="124"/>
      <c r="Q282" s="127"/>
      <c r="R282" s="20"/>
      <c r="S282" s="20"/>
      <c r="T282" s="20"/>
      <c r="U282" s="124"/>
      <c r="V282" s="127"/>
      <c r="W282" s="20"/>
      <c r="X282" s="20"/>
      <c r="Y282" s="20"/>
      <c r="Z282" s="20"/>
      <c r="AA282" s="20"/>
      <c r="AB282" s="20"/>
      <c r="AC282" s="20"/>
      <c r="AD282" s="20"/>
      <c r="AE282" s="20"/>
      <c r="AF282" s="20"/>
    </row>
    <row r="283" spans="1:32" ht="19.5">
      <c r="A283" s="20"/>
      <c r="B283" s="20"/>
      <c r="C283" s="20"/>
      <c r="D283" s="20"/>
      <c r="E283" s="20"/>
      <c r="F283" s="20"/>
      <c r="G283" s="124"/>
      <c r="H283" s="20"/>
      <c r="I283" s="20"/>
      <c r="J283" s="20"/>
      <c r="K283" s="124"/>
      <c r="L283" s="127"/>
      <c r="M283" s="20"/>
      <c r="N283" s="20"/>
      <c r="O283" s="20"/>
      <c r="P283" s="124"/>
      <c r="Q283" s="127"/>
      <c r="R283" s="20"/>
      <c r="S283" s="20"/>
      <c r="T283" s="20"/>
      <c r="U283" s="124"/>
      <c r="V283" s="127"/>
      <c r="W283" s="20"/>
      <c r="X283" s="20"/>
      <c r="Y283" s="20"/>
      <c r="Z283" s="20"/>
      <c r="AA283" s="20"/>
      <c r="AB283" s="20"/>
      <c r="AC283" s="20"/>
      <c r="AD283" s="20"/>
      <c r="AE283" s="20"/>
      <c r="AF283" s="20"/>
    </row>
    <row r="284" spans="1:32" ht="19.5">
      <c r="A284" s="20"/>
      <c r="B284" s="20"/>
      <c r="C284" s="20"/>
      <c r="D284" s="20"/>
      <c r="E284" s="20"/>
      <c r="F284" s="20"/>
      <c r="G284" s="124"/>
      <c r="H284" s="20"/>
      <c r="I284" s="20"/>
      <c r="J284" s="20"/>
      <c r="K284" s="124"/>
      <c r="L284" s="127"/>
      <c r="M284" s="20"/>
      <c r="N284" s="20"/>
      <c r="O284" s="20"/>
      <c r="P284" s="124"/>
      <c r="Q284" s="127"/>
      <c r="R284" s="20"/>
      <c r="S284" s="20"/>
      <c r="T284" s="20"/>
      <c r="U284" s="124"/>
      <c r="V284" s="127"/>
      <c r="W284" s="20"/>
      <c r="X284" s="20"/>
      <c r="Y284" s="20"/>
      <c r="Z284" s="20"/>
      <c r="AA284" s="20"/>
      <c r="AB284" s="20"/>
      <c r="AC284" s="20"/>
      <c r="AD284" s="20"/>
      <c r="AE284" s="20"/>
      <c r="AF284" s="20"/>
    </row>
    <row r="285" spans="1:32" ht="19.5">
      <c r="A285" s="20"/>
      <c r="B285" s="20"/>
      <c r="C285" s="20"/>
      <c r="D285" s="20"/>
      <c r="E285" s="20"/>
      <c r="F285" s="20"/>
      <c r="G285" s="124"/>
      <c r="H285" s="20"/>
      <c r="I285" s="20"/>
      <c r="J285" s="20"/>
      <c r="K285" s="124"/>
      <c r="L285" s="127"/>
      <c r="M285" s="20"/>
      <c r="N285" s="20"/>
      <c r="O285" s="20"/>
      <c r="P285" s="124"/>
      <c r="Q285" s="127"/>
      <c r="R285" s="20"/>
      <c r="S285" s="20"/>
      <c r="T285" s="20"/>
      <c r="U285" s="124"/>
      <c r="V285" s="127"/>
      <c r="W285" s="20"/>
      <c r="X285" s="20"/>
      <c r="Y285" s="20"/>
      <c r="Z285" s="20"/>
      <c r="AA285" s="20"/>
      <c r="AB285" s="20"/>
      <c r="AC285" s="20"/>
      <c r="AD285" s="20"/>
      <c r="AE285" s="20"/>
      <c r="AF285" s="20"/>
    </row>
    <row r="286" spans="1:32" ht="19.5">
      <c r="A286" s="20"/>
      <c r="B286" s="20"/>
      <c r="C286" s="20"/>
      <c r="D286" s="20"/>
      <c r="E286" s="20"/>
      <c r="F286" s="20"/>
      <c r="G286" s="124"/>
      <c r="H286" s="20"/>
      <c r="I286" s="20"/>
      <c r="J286" s="20"/>
      <c r="K286" s="124"/>
      <c r="L286" s="127"/>
      <c r="M286" s="20"/>
      <c r="N286" s="20"/>
      <c r="O286" s="20"/>
      <c r="P286" s="124"/>
      <c r="Q286" s="127"/>
      <c r="R286" s="20"/>
      <c r="S286" s="20"/>
      <c r="T286" s="20"/>
      <c r="U286" s="124"/>
      <c r="V286" s="127"/>
      <c r="W286" s="20"/>
      <c r="X286" s="20"/>
      <c r="Y286" s="20"/>
      <c r="Z286" s="20"/>
      <c r="AA286" s="20"/>
      <c r="AB286" s="20"/>
      <c r="AC286" s="20"/>
      <c r="AD286" s="20"/>
      <c r="AE286" s="20"/>
      <c r="AF286" s="20"/>
    </row>
    <row r="287" spans="1:32" ht="19.5">
      <c r="A287" s="20"/>
      <c r="B287" s="20"/>
      <c r="C287" s="20"/>
      <c r="D287" s="20"/>
      <c r="E287" s="20"/>
      <c r="F287" s="20"/>
      <c r="G287" s="124"/>
      <c r="H287" s="20"/>
      <c r="I287" s="20"/>
      <c r="J287" s="20"/>
      <c r="K287" s="124"/>
      <c r="L287" s="127"/>
      <c r="M287" s="20"/>
      <c r="N287" s="20"/>
      <c r="O287" s="20"/>
      <c r="P287" s="124"/>
      <c r="Q287" s="127"/>
      <c r="R287" s="20"/>
      <c r="S287" s="20"/>
      <c r="T287" s="20"/>
      <c r="U287" s="124"/>
      <c r="V287" s="127"/>
      <c r="W287" s="20"/>
      <c r="X287" s="20"/>
      <c r="Y287" s="20"/>
      <c r="Z287" s="20"/>
      <c r="AA287" s="20"/>
      <c r="AB287" s="20"/>
      <c r="AC287" s="20"/>
      <c r="AD287" s="20"/>
      <c r="AE287" s="20"/>
      <c r="AF287" s="20"/>
    </row>
    <row r="288" spans="1:32" ht="19.5">
      <c r="A288" s="20"/>
      <c r="B288" s="20"/>
      <c r="C288" s="20"/>
      <c r="D288" s="20"/>
      <c r="E288" s="20"/>
      <c r="F288" s="20"/>
      <c r="G288" s="124"/>
      <c r="H288" s="20"/>
      <c r="I288" s="20"/>
      <c r="J288" s="20"/>
      <c r="K288" s="124"/>
      <c r="L288" s="127"/>
      <c r="M288" s="20"/>
      <c r="N288" s="20"/>
      <c r="O288" s="20"/>
      <c r="P288" s="124"/>
      <c r="Q288" s="127"/>
      <c r="R288" s="20"/>
      <c r="S288" s="20"/>
      <c r="T288" s="20"/>
      <c r="U288" s="124"/>
      <c r="V288" s="127"/>
      <c r="W288" s="20"/>
      <c r="X288" s="20"/>
      <c r="Y288" s="20"/>
      <c r="Z288" s="20"/>
      <c r="AA288" s="20"/>
      <c r="AB288" s="20"/>
      <c r="AC288" s="20"/>
      <c r="AD288" s="20"/>
      <c r="AE288" s="20"/>
      <c r="AF288" s="20"/>
    </row>
    <row r="289" spans="1:32" ht="19.5">
      <c r="A289" s="20"/>
      <c r="B289" s="20"/>
      <c r="C289" s="20"/>
      <c r="D289" s="20"/>
      <c r="E289" s="20"/>
      <c r="F289" s="20"/>
      <c r="G289" s="124"/>
      <c r="H289" s="20"/>
      <c r="I289" s="20"/>
      <c r="J289" s="20"/>
      <c r="K289" s="124"/>
      <c r="L289" s="127"/>
      <c r="M289" s="20"/>
      <c r="N289" s="20"/>
      <c r="O289" s="20"/>
      <c r="P289" s="124"/>
      <c r="Q289" s="127"/>
      <c r="R289" s="20"/>
      <c r="S289" s="20"/>
      <c r="T289" s="20"/>
      <c r="U289" s="124"/>
      <c r="V289" s="127"/>
      <c r="W289" s="20"/>
      <c r="X289" s="20"/>
      <c r="Y289" s="20"/>
      <c r="Z289" s="20"/>
      <c r="AA289" s="20"/>
      <c r="AB289" s="20"/>
      <c r="AC289" s="20"/>
      <c r="AD289" s="20"/>
      <c r="AE289" s="20"/>
      <c r="AF289" s="20"/>
    </row>
    <row r="290" spans="1:32" ht="19.5">
      <c r="A290" s="20"/>
      <c r="B290" s="20"/>
      <c r="C290" s="20"/>
      <c r="D290" s="20"/>
      <c r="E290" s="20"/>
      <c r="F290" s="20"/>
      <c r="G290" s="124"/>
      <c r="H290" s="20"/>
      <c r="I290" s="20"/>
      <c r="J290" s="20"/>
      <c r="K290" s="124"/>
      <c r="L290" s="127"/>
      <c r="M290" s="20"/>
      <c r="N290" s="20"/>
      <c r="O290" s="20"/>
      <c r="P290" s="124"/>
      <c r="Q290" s="127"/>
      <c r="R290" s="20"/>
      <c r="S290" s="20"/>
      <c r="T290" s="20"/>
      <c r="U290" s="124"/>
      <c r="V290" s="127"/>
      <c r="W290" s="20"/>
      <c r="X290" s="20"/>
      <c r="Y290" s="20"/>
      <c r="Z290" s="20"/>
      <c r="AA290" s="20"/>
      <c r="AB290" s="20"/>
      <c r="AC290" s="20"/>
      <c r="AD290" s="20"/>
      <c r="AE290" s="20"/>
      <c r="AF290" s="20"/>
    </row>
    <row r="291" spans="1:32" ht="19.5">
      <c r="A291" s="20"/>
      <c r="B291" s="20"/>
      <c r="C291" s="20"/>
      <c r="D291" s="20"/>
      <c r="E291" s="20"/>
      <c r="F291" s="20"/>
      <c r="G291" s="124"/>
      <c r="H291" s="20"/>
      <c r="I291" s="20"/>
      <c r="J291" s="20"/>
      <c r="K291" s="124"/>
      <c r="L291" s="127"/>
      <c r="M291" s="20"/>
      <c r="N291" s="20"/>
      <c r="O291" s="20"/>
      <c r="P291" s="124"/>
      <c r="Q291" s="127"/>
      <c r="R291" s="20"/>
      <c r="S291" s="20"/>
      <c r="T291" s="20"/>
      <c r="U291" s="124"/>
      <c r="V291" s="127"/>
      <c r="W291" s="20"/>
      <c r="X291" s="20"/>
      <c r="Y291" s="20"/>
      <c r="Z291" s="20"/>
      <c r="AA291" s="20"/>
      <c r="AB291" s="20"/>
      <c r="AC291" s="20"/>
      <c r="AD291" s="20"/>
      <c r="AE291" s="20"/>
      <c r="AF291" s="20"/>
    </row>
    <row r="292" spans="1:32" ht="19.5">
      <c r="A292" s="20"/>
      <c r="B292" s="20"/>
      <c r="C292" s="20"/>
      <c r="D292" s="20"/>
      <c r="E292" s="20"/>
      <c r="F292" s="20"/>
      <c r="G292" s="124"/>
      <c r="H292" s="20"/>
      <c r="I292" s="20"/>
      <c r="J292" s="20"/>
      <c r="K292" s="124"/>
      <c r="L292" s="127"/>
      <c r="M292" s="20"/>
      <c r="N292" s="20"/>
      <c r="O292" s="20"/>
      <c r="P292" s="124"/>
      <c r="Q292" s="127"/>
      <c r="R292" s="20"/>
      <c r="S292" s="20"/>
      <c r="T292" s="20"/>
      <c r="U292" s="124"/>
      <c r="V292" s="127"/>
      <c r="W292" s="20"/>
      <c r="X292" s="20"/>
      <c r="Y292" s="20"/>
      <c r="Z292" s="20"/>
      <c r="AA292" s="20"/>
      <c r="AB292" s="20"/>
      <c r="AC292" s="20"/>
      <c r="AD292" s="20"/>
      <c r="AE292" s="20"/>
      <c r="AF292" s="20"/>
    </row>
    <row r="293" spans="1:32" ht="19.5">
      <c r="A293" s="20"/>
      <c r="B293" s="20"/>
      <c r="C293" s="20"/>
      <c r="D293" s="20"/>
      <c r="E293" s="20"/>
      <c r="F293" s="20"/>
      <c r="G293" s="124"/>
      <c r="H293" s="20"/>
      <c r="I293" s="20"/>
      <c r="J293" s="20"/>
      <c r="K293" s="124"/>
      <c r="L293" s="127"/>
      <c r="M293" s="20"/>
      <c r="N293" s="20"/>
      <c r="O293" s="20"/>
      <c r="P293" s="124"/>
      <c r="Q293" s="127"/>
      <c r="R293" s="20"/>
      <c r="S293" s="20"/>
      <c r="T293" s="20"/>
      <c r="U293" s="124"/>
      <c r="V293" s="127"/>
      <c r="W293" s="20"/>
      <c r="X293" s="20"/>
      <c r="Y293" s="20"/>
      <c r="Z293" s="20"/>
      <c r="AA293" s="20"/>
      <c r="AB293" s="20"/>
      <c r="AC293" s="20"/>
      <c r="AD293" s="20"/>
      <c r="AE293" s="20"/>
      <c r="AF293" s="20"/>
    </row>
    <row r="294" spans="1:32" ht="19.5">
      <c r="A294" s="20"/>
      <c r="B294" s="20"/>
      <c r="C294" s="20"/>
      <c r="D294" s="20"/>
      <c r="E294" s="20"/>
      <c r="F294" s="20"/>
      <c r="G294" s="124"/>
      <c r="H294" s="20"/>
      <c r="I294" s="20"/>
      <c r="J294" s="20"/>
      <c r="K294" s="124"/>
      <c r="L294" s="127"/>
      <c r="M294" s="20"/>
      <c r="N294" s="20"/>
      <c r="O294" s="20"/>
      <c r="P294" s="124"/>
      <c r="Q294" s="127"/>
      <c r="R294" s="20"/>
      <c r="S294" s="20"/>
      <c r="T294" s="20"/>
      <c r="U294" s="124"/>
      <c r="V294" s="127"/>
      <c r="W294" s="20"/>
      <c r="X294" s="20"/>
      <c r="Y294" s="20"/>
      <c r="Z294" s="20"/>
      <c r="AA294" s="20"/>
      <c r="AB294" s="20"/>
      <c r="AC294" s="20"/>
      <c r="AD294" s="20"/>
      <c r="AE294" s="20"/>
      <c r="AF294" s="20"/>
    </row>
    <row r="295" spans="1:32" ht="19.5">
      <c r="A295" s="20"/>
      <c r="B295" s="20"/>
      <c r="C295" s="20"/>
      <c r="D295" s="20"/>
      <c r="E295" s="20"/>
      <c r="F295" s="20"/>
      <c r="G295" s="124"/>
      <c r="H295" s="20"/>
      <c r="I295" s="20"/>
      <c r="J295" s="20"/>
      <c r="K295" s="124"/>
      <c r="L295" s="127"/>
      <c r="M295" s="20"/>
      <c r="N295" s="20"/>
      <c r="O295" s="20"/>
      <c r="P295" s="124"/>
      <c r="Q295" s="127"/>
      <c r="R295" s="20"/>
      <c r="S295" s="20"/>
      <c r="T295" s="20"/>
      <c r="U295" s="124"/>
      <c r="V295" s="127"/>
      <c r="W295" s="20"/>
      <c r="X295" s="20"/>
      <c r="Y295" s="20"/>
      <c r="Z295" s="20"/>
      <c r="AA295" s="20"/>
      <c r="AB295" s="20"/>
      <c r="AC295" s="20"/>
      <c r="AD295" s="20"/>
      <c r="AE295" s="20"/>
      <c r="AF295" s="20"/>
    </row>
    <row r="296" spans="1:32" ht="19.5">
      <c r="A296" s="20"/>
      <c r="B296" s="20"/>
      <c r="C296" s="20"/>
      <c r="D296" s="20"/>
      <c r="E296" s="20"/>
      <c r="F296" s="20"/>
      <c r="G296" s="124"/>
      <c r="H296" s="20"/>
      <c r="I296" s="20"/>
      <c r="J296" s="20"/>
      <c r="K296" s="124"/>
      <c r="L296" s="127"/>
      <c r="M296" s="20"/>
      <c r="N296" s="20"/>
      <c r="O296" s="20"/>
      <c r="P296" s="124"/>
      <c r="Q296" s="127"/>
      <c r="R296" s="20"/>
      <c r="S296" s="20"/>
      <c r="T296" s="20"/>
      <c r="U296" s="124"/>
      <c r="V296" s="127"/>
      <c r="W296" s="20"/>
      <c r="X296" s="20"/>
      <c r="Y296" s="20"/>
      <c r="Z296" s="20"/>
      <c r="AA296" s="20"/>
      <c r="AB296" s="20"/>
      <c r="AC296" s="20"/>
      <c r="AD296" s="20"/>
      <c r="AE296" s="20"/>
      <c r="AF296" s="20"/>
    </row>
    <row r="297" spans="1:32" ht="19.5">
      <c r="A297" s="20"/>
      <c r="B297" s="20"/>
      <c r="C297" s="20"/>
      <c r="D297" s="20"/>
      <c r="E297" s="20"/>
      <c r="F297" s="20"/>
      <c r="G297" s="124"/>
      <c r="H297" s="20"/>
      <c r="I297" s="20"/>
      <c r="J297" s="20"/>
      <c r="K297" s="124"/>
      <c r="L297" s="127"/>
      <c r="M297" s="20"/>
      <c r="N297" s="20"/>
      <c r="O297" s="20"/>
      <c r="P297" s="124"/>
      <c r="Q297" s="127"/>
      <c r="R297" s="20"/>
      <c r="S297" s="20"/>
      <c r="T297" s="20"/>
      <c r="U297" s="124"/>
      <c r="V297" s="127"/>
      <c r="W297" s="20"/>
      <c r="X297" s="20"/>
      <c r="Y297" s="20"/>
      <c r="Z297" s="20"/>
      <c r="AA297" s="20"/>
      <c r="AB297" s="20"/>
      <c r="AC297" s="20"/>
      <c r="AD297" s="20"/>
      <c r="AE297" s="20"/>
      <c r="AF297" s="20"/>
    </row>
    <row r="298" spans="1:32" ht="19.5">
      <c r="A298" s="20"/>
      <c r="B298" s="20"/>
      <c r="C298" s="20"/>
      <c r="D298" s="20"/>
      <c r="E298" s="20"/>
      <c r="F298" s="20"/>
      <c r="G298" s="124"/>
      <c r="H298" s="20"/>
      <c r="I298" s="20"/>
      <c r="J298" s="20"/>
      <c r="K298" s="124"/>
      <c r="L298" s="127"/>
      <c r="M298" s="20"/>
      <c r="N298" s="20"/>
      <c r="O298" s="20"/>
      <c r="P298" s="124"/>
      <c r="Q298" s="127"/>
      <c r="R298" s="20"/>
      <c r="S298" s="20"/>
      <c r="T298" s="20"/>
      <c r="U298" s="124"/>
      <c r="V298" s="127"/>
      <c r="W298" s="20"/>
      <c r="X298" s="20"/>
      <c r="Y298" s="20"/>
      <c r="Z298" s="20"/>
      <c r="AA298" s="20"/>
      <c r="AB298" s="20"/>
      <c r="AC298" s="20"/>
      <c r="AD298" s="20"/>
      <c r="AE298" s="20"/>
      <c r="AF298" s="20"/>
    </row>
    <row r="299" spans="1:32" ht="19.5">
      <c r="A299" s="20"/>
      <c r="B299" s="20"/>
      <c r="C299" s="20"/>
      <c r="D299" s="20"/>
      <c r="E299" s="20"/>
      <c r="F299" s="20"/>
      <c r="G299" s="124"/>
      <c r="H299" s="20"/>
      <c r="I299" s="20"/>
      <c r="J299" s="20"/>
      <c r="K299" s="124"/>
      <c r="L299" s="127"/>
      <c r="M299" s="20"/>
      <c r="N299" s="20"/>
      <c r="O299" s="20"/>
      <c r="P299" s="124"/>
      <c r="Q299" s="127"/>
      <c r="R299" s="20"/>
      <c r="S299" s="20"/>
      <c r="T299" s="20"/>
      <c r="U299" s="124"/>
      <c r="V299" s="127"/>
      <c r="W299" s="20"/>
      <c r="X299" s="20"/>
      <c r="Y299" s="20"/>
      <c r="Z299" s="20"/>
      <c r="AA299" s="20"/>
      <c r="AB299" s="20"/>
      <c r="AC299" s="20"/>
      <c r="AD299" s="20"/>
      <c r="AE299" s="20"/>
      <c r="AF299" s="20"/>
    </row>
    <row r="300" spans="1:32" ht="19.5">
      <c r="A300" s="20"/>
      <c r="B300" s="20"/>
      <c r="C300" s="20"/>
      <c r="D300" s="20"/>
      <c r="E300" s="20"/>
      <c r="F300" s="20"/>
      <c r="G300" s="124"/>
      <c r="H300" s="20"/>
      <c r="I300" s="20"/>
      <c r="J300" s="20"/>
      <c r="K300" s="124"/>
      <c r="L300" s="127"/>
      <c r="M300" s="20"/>
      <c r="N300" s="20"/>
      <c r="O300" s="20"/>
      <c r="P300" s="124"/>
      <c r="Q300" s="127"/>
      <c r="R300" s="20"/>
      <c r="S300" s="20"/>
      <c r="T300" s="20"/>
      <c r="U300" s="124"/>
      <c r="V300" s="127"/>
      <c r="W300" s="20"/>
      <c r="X300" s="20"/>
      <c r="Y300" s="20"/>
      <c r="Z300" s="20"/>
      <c r="AA300" s="20"/>
      <c r="AB300" s="20"/>
      <c r="AC300" s="20"/>
      <c r="AD300" s="20"/>
      <c r="AE300" s="20"/>
      <c r="AF300" s="20"/>
    </row>
    <row r="301" spans="1:32" ht="19.5">
      <c r="A301" s="20"/>
      <c r="B301" s="20"/>
      <c r="C301" s="20"/>
      <c r="D301" s="20"/>
      <c r="E301" s="20"/>
      <c r="F301" s="20"/>
      <c r="G301" s="124"/>
      <c r="H301" s="20"/>
      <c r="I301" s="20"/>
      <c r="J301" s="20"/>
      <c r="K301" s="124"/>
      <c r="L301" s="127"/>
      <c r="M301" s="20"/>
      <c r="N301" s="20"/>
      <c r="O301" s="20"/>
      <c r="P301" s="124"/>
      <c r="Q301" s="127"/>
      <c r="R301" s="20"/>
      <c r="S301" s="20"/>
      <c r="T301" s="20"/>
      <c r="U301" s="124"/>
      <c r="V301" s="127"/>
      <c r="W301" s="20"/>
      <c r="X301" s="20"/>
      <c r="Y301" s="20"/>
      <c r="Z301" s="20"/>
      <c r="AA301" s="20"/>
      <c r="AB301" s="20"/>
      <c r="AC301" s="20"/>
      <c r="AD301" s="20"/>
      <c r="AE301" s="20"/>
      <c r="AF301" s="20"/>
    </row>
    <row r="302" spans="1:32" ht="19.5">
      <c r="A302" s="20"/>
      <c r="B302" s="20"/>
      <c r="C302" s="20"/>
      <c r="D302" s="20"/>
      <c r="E302" s="20"/>
      <c r="F302" s="20"/>
      <c r="G302" s="124"/>
      <c r="H302" s="20"/>
      <c r="I302" s="20"/>
      <c r="J302" s="20"/>
      <c r="K302" s="124"/>
      <c r="L302" s="127"/>
      <c r="M302" s="20"/>
      <c r="N302" s="20"/>
      <c r="O302" s="20"/>
      <c r="P302" s="124"/>
      <c r="Q302" s="127"/>
      <c r="R302" s="20"/>
      <c r="S302" s="20"/>
      <c r="T302" s="20"/>
      <c r="U302" s="124"/>
      <c r="V302" s="127"/>
      <c r="W302" s="20"/>
      <c r="X302" s="20"/>
      <c r="Y302" s="20"/>
      <c r="Z302" s="20"/>
      <c r="AA302" s="20"/>
      <c r="AB302" s="20"/>
      <c r="AC302" s="20"/>
      <c r="AD302" s="20"/>
      <c r="AE302" s="20"/>
      <c r="AF302" s="20"/>
    </row>
    <row r="303" spans="1:32" ht="19.5">
      <c r="A303" s="20"/>
      <c r="B303" s="20"/>
      <c r="C303" s="20"/>
      <c r="D303" s="20"/>
      <c r="E303" s="20"/>
      <c r="F303" s="20"/>
      <c r="G303" s="124"/>
      <c r="H303" s="20"/>
      <c r="I303" s="20"/>
      <c r="J303" s="20"/>
      <c r="K303" s="124"/>
      <c r="L303" s="127"/>
      <c r="M303" s="20"/>
      <c r="N303" s="20"/>
      <c r="O303" s="20"/>
      <c r="P303" s="124"/>
      <c r="Q303" s="127"/>
      <c r="R303" s="20"/>
      <c r="S303" s="20"/>
      <c r="T303" s="20"/>
      <c r="U303" s="124"/>
      <c r="V303" s="127"/>
      <c r="W303" s="20"/>
      <c r="X303" s="20"/>
      <c r="Y303" s="20"/>
      <c r="Z303" s="20"/>
      <c r="AA303" s="20"/>
      <c r="AB303" s="20"/>
      <c r="AC303" s="20"/>
      <c r="AD303" s="20"/>
      <c r="AE303" s="20"/>
      <c r="AF303" s="20"/>
    </row>
    <row r="304" spans="1:32" ht="19.5">
      <c r="A304" s="20"/>
      <c r="B304" s="20"/>
      <c r="C304" s="20"/>
      <c r="D304" s="20"/>
      <c r="E304" s="20"/>
      <c r="F304" s="20"/>
      <c r="G304" s="124"/>
      <c r="H304" s="20"/>
      <c r="I304" s="20"/>
      <c r="J304" s="20"/>
      <c r="K304" s="124"/>
      <c r="L304" s="127"/>
      <c r="M304" s="20"/>
      <c r="N304" s="20"/>
      <c r="O304" s="20"/>
      <c r="P304" s="124"/>
      <c r="Q304" s="127"/>
      <c r="R304" s="20"/>
      <c r="S304" s="20"/>
      <c r="T304" s="20"/>
      <c r="U304" s="124"/>
      <c r="V304" s="127"/>
      <c r="W304" s="20"/>
      <c r="X304" s="20"/>
      <c r="Y304" s="20"/>
      <c r="Z304" s="20"/>
      <c r="AA304" s="20"/>
      <c r="AB304" s="20"/>
      <c r="AC304" s="20"/>
      <c r="AD304" s="20"/>
      <c r="AE304" s="20"/>
      <c r="AF304" s="20"/>
    </row>
    <row r="305" spans="1:32" ht="19.5">
      <c r="A305" s="20"/>
      <c r="B305" s="20"/>
      <c r="C305" s="20"/>
      <c r="D305" s="20"/>
      <c r="E305" s="20"/>
      <c r="F305" s="20"/>
      <c r="G305" s="124"/>
      <c r="H305" s="20"/>
      <c r="I305" s="20"/>
      <c r="J305" s="20"/>
      <c r="K305" s="124"/>
      <c r="L305" s="127"/>
      <c r="M305" s="20"/>
      <c r="N305" s="20"/>
      <c r="O305" s="20"/>
      <c r="P305" s="124"/>
      <c r="Q305" s="127"/>
      <c r="R305" s="20"/>
      <c r="S305" s="20"/>
      <c r="T305" s="20"/>
      <c r="U305" s="124"/>
      <c r="V305" s="127"/>
      <c r="W305" s="20"/>
      <c r="X305" s="20"/>
      <c r="Y305" s="20"/>
      <c r="Z305" s="20"/>
      <c r="AA305" s="20"/>
      <c r="AB305" s="20"/>
      <c r="AC305" s="20"/>
      <c r="AD305" s="20"/>
      <c r="AE305" s="20"/>
      <c r="AF305" s="20"/>
    </row>
    <row r="306" spans="1:32" ht="19.5">
      <c r="A306" s="20"/>
      <c r="B306" s="20"/>
      <c r="C306" s="20"/>
      <c r="D306" s="20"/>
      <c r="E306" s="20"/>
      <c r="F306" s="20"/>
      <c r="G306" s="124"/>
      <c r="H306" s="20"/>
      <c r="I306" s="20"/>
      <c r="J306" s="20"/>
      <c r="K306" s="124"/>
      <c r="L306" s="127"/>
      <c r="M306" s="20"/>
      <c r="N306" s="20"/>
      <c r="O306" s="20"/>
      <c r="P306" s="124"/>
      <c r="Q306" s="127"/>
      <c r="R306" s="20"/>
      <c r="S306" s="20"/>
      <c r="T306" s="20"/>
      <c r="U306" s="124"/>
      <c r="V306" s="127"/>
      <c r="W306" s="20"/>
      <c r="X306" s="20"/>
      <c r="Y306" s="20"/>
      <c r="Z306" s="20"/>
      <c r="AA306" s="20"/>
      <c r="AB306" s="20"/>
      <c r="AC306" s="20"/>
      <c r="AD306" s="20"/>
      <c r="AE306" s="20"/>
      <c r="AF306" s="20"/>
    </row>
    <row r="307" spans="1:32" ht="19.5">
      <c r="A307" s="20"/>
      <c r="B307" s="20"/>
      <c r="C307" s="20"/>
      <c r="D307" s="20"/>
      <c r="E307" s="20"/>
      <c r="F307" s="20"/>
      <c r="G307" s="124"/>
      <c r="H307" s="20"/>
      <c r="I307" s="20"/>
      <c r="J307" s="20"/>
      <c r="K307" s="124"/>
      <c r="L307" s="127"/>
      <c r="M307" s="20"/>
      <c r="N307" s="20"/>
      <c r="O307" s="20"/>
      <c r="P307" s="124"/>
      <c r="Q307" s="127"/>
      <c r="R307" s="20"/>
      <c r="S307" s="20"/>
      <c r="T307" s="20"/>
      <c r="U307" s="124"/>
      <c r="V307" s="127"/>
      <c r="W307" s="20"/>
      <c r="X307" s="20"/>
      <c r="Y307" s="20"/>
      <c r="Z307" s="20"/>
      <c r="AA307" s="20"/>
      <c r="AB307" s="20"/>
      <c r="AC307" s="20"/>
      <c r="AD307" s="20"/>
      <c r="AE307" s="20"/>
      <c r="AF307" s="20"/>
    </row>
    <row r="308" spans="1:32" ht="19.5">
      <c r="A308" s="20"/>
      <c r="B308" s="20"/>
      <c r="C308" s="20"/>
      <c r="D308" s="20"/>
      <c r="E308" s="20"/>
      <c r="F308" s="20"/>
      <c r="G308" s="124"/>
      <c r="H308" s="20"/>
      <c r="I308" s="20"/>
      <c r="J308" s="20"/>
      <c r="K308" s="124"/>
      <c r="L308" s="127"/>
      <c r="M308" s="20"/>
      <c r="N308" s="20"/>
      <c r="O308" s="20"/>
      <c r="P308" s="124"/>
      <c r="Q308" s="127"/>
      <c r="R308" s="20"/>
      <c r="S308" s="20"/>
      <c r="T308" s="20"/>
      <c r="U308" s="124"/>
      <c r="V308" s="127"/>
      <c r="W308" s="20"/>
      <c r="X308" s="20"/>
      <c r="Y308" s="20"/>
      <c r="Z308" s="20"/>
      <c r="AA308" s="20"/>
      <c r="AB308" s="20"/>
      <c r="AC308" s="20"/>
      <c r="AD308" s="20"/>
      <c r="AE308" s="20"/>
      <c r="AF308" s="20"/>
    </row>
    <row r="309" spans="1:32" ht="19.5">
      <c r="A309" s="20"/>
      <c r="B309" s="20"/>
      <c r="C309" s="20"/>
      <c r="D309" s="20"/>
      <c r="E309" s="20"/>
      <c r="F309" s="20"/>
      <c r="G309" s="124"/>
      <c r="H309" s="20"/>
      <c r="I309" s="20"/>
      <c r="J309" s="20"/>
      <c r="K309" s="124"/>
      <c r="L309" s="127"/>
      <c r="M309" s="20"/>
      <c r="N309" s="20"/>
      <c r="O309" s="20"/>
      <c r="P309" s="124"/>
      <c r="Q309" s="127"/>
      <c r="R309" s="20"/>
      <c r="S309" s="20"/>
      <c r="T309" s="20"/>
      <c r="U309" s="124"/>
      <c r="V309" s="127"/>
      <c r="W309" s="20"/>
      <c r="X309" s="20"/>
      <c r="Y309" s="20"/>
      <c r="Z309" s="20"/>
      <c r="AA309" s="20"/>
      <c r="AB309" s="20"/>
      <c r="AC309" s="20"/>
      <c r="AD309" s="20"/>
      <c r="AE309" s="20"/>
      <c r="AF309" s="20"/>
    </row>
    <row r="310" spans="1:32" ht="19.5">
      <c r="A310" s="20"/>
      <c r="B310" s="20"/>
      <c r="C310" s="20"/>
      <c r="D310" s="20"/>
      <c r="E310" s="20"/>
      <c r="F310" s="20"/>
      <c r="G310" s="124"/>
      <c r="H310" s="20"/>
      <c r="I310" s="20"/>
      <c r="J310" s="20"/>
      <c r="K310" s="124"/>
      <c r="L310" s="127"/>
      <c r="M310" s="20"/>
      <c r="N310" s="20"/>
      <c r="O310" s="20"/>
      <c r="P310" s="124"/>
      <c r="Q310" s="127"/>
      <c r="R310" s="20"/>
      <c r="S310" s="20"/>
      <c r="T310" s="20"/>
      <c r="U310" s="124"/>
      <c r="V310" s="127"/>
      <c r="W310" s="20"/>
      <c r="X310" s="20"/>
      <c r="Y310" s="20"/>
      <c r="Z310" s="20"/>
      <c r="AA310" s="20"/>
      <c r="AB310" s="20"/>
      <c r="AC310" s="20"/>
      <c r="AD310" s="20"/>
      <c r="AE310" s="20"/>
      <c r="AF310" s="20"/>
    </row>
    <row r="311" spans="1:32" ht="19.5">
      <c r="A311" s="20"/>
      <c r="B311" s="20"/>
      <c r="C311" s="20"/>
      <c r="D311" s="20"/>
      <c r="E311" s="20"/>
      <c r="F311" s="20"/>
      <c r="G311" s="124"/>
      <c r="H311" s="20"/>
      <c r="I311" s="20"/>
      <c r="J311" s="20"/>
      <c r="K311" s="124"/>
      <c r="L311" s="127"/>
      <c r="M311" s="20"/>
      <c r="N311" s="20"/>
      <c r="O311" s="20"/>
      <c r="P311" s="124"/>
      <c r="Q311" s="127"/>
      <c r="R311" s="20"/>
      <c r="S311" s="20"/>
      <c r="T311" s="20"/>
      <c r="U311" s="124"/>
      <c r="V311" s="127"/>
      <c r="W311" s="20"/>
      <c r="X311" s="20"/>
      <c r="Y311" s="20"/>
      <c r="Z311" s="20"/>
      <c r="AA311" s="20"/>
      <c r="AB311" s="20"/>
      <c r="AC311" s="20"/>
      <c r="AD311" s="20"/>
      <c r="AE311" s="20"/>
      <c r="AF311" s="20"/>
    </row>
    <row r="312" spans="1:32" ht="19.5">
      <c r="A312" s="20"/>
      <c r="B312" s="20"/>
      <c r="C312" s="20"/>
      <c r="D312" s="20"/>
      <c r="E312" s="20"/>
      <c r="F312" s="20"/>
      <c r="G312" s="124"/>
      <c r="H312" s="20"/>
      <c r="I312" s="20"/>
      <c r="J312" s="20"/>
      <c r="K312" s="124"/>
      <c r="L312" s="127"/>
      <c r="M312" s="20"/>
      <c r="N312" s="20"/>
      <c r="O312" s="20"/>
      <c r="P312" s="124"/>
      <c r="Q312" s="127"/>
      <c r="R312" s="20"/>
      <c r="S312" s="20"/>
      <c r="T312" s="20"/>
      <c r="U312" s="124"/>
      <c r="V312" s="127"/>
      <c r="W312" s="20"/>
      <c r="X312" s="20"/>
      <c r="Y312" s="20"/>
      <c r="Z312" s="20"/>
      <c r="AA312" s="20"/>
      <c r="AB312" s="20"/>
      <c r="AC312" s="20"/>
      <c r="AD312" s="20"/>
      <c r="AE312" s="20"/>
      <c r="AF312" s="20"/>
    </row>
    <row r="313" spans="1:32" ht="19.5">
      <c r="A313" s="20"/>
      <c r="B313" s="20"/>
      <c r="C313" s="20"/>
      <c r="D313" s="20"/>
      <c r="E313" s="20"/>
      <c r="F313" s="20"/>
      <c r="G313" s="124"/>
      <c r="H313" s="20"/>
      <c r="I313" s="20"/>
      <c r="J313" s="20"/>
      <c r="K313" s="124"/>
      <c r="L313" s="127"/>
      <c r="M313" s="20"/>
      <c r="N313" s="20"/>
      <c r="O313" s="20"/>
      <c r="P313" s="124"/>
      <c r="Q313" s="127"/>
      <c r="R313" s="20"/>
      <c r="S313" s="20"/>
      <c r="T313" s="20"/>
      <c r="U313" s="124"/>
      <c r="V313" s="127"/>
      <c r="W313" s="20"/>
      <c r="X313" s="20"/>
      <c r="Y313" s="20"/>
      <c r="Z313" s="20"/>
      <c r="AA313" s="20"/>
      <c r="AB313" s="20"/>
      <c r="AC313" s="20"/>
      <c r="AD313" s="20"/>
      <c r="AE313" s="20"/>
      <c r="AF313" s="20"/>
    </row>
    <row r="314" spans="1:32" ht="19.5">
      <c r="A314" s="20"/>
      <c r="B314" s="20"/>
      <c r="C314" s="20"/>
      <c r="D314" s="20"/>
      <c r="E314" s="20"/>
      <c r="F314" s="20"/>
      <c r="G314" s="124"/>
      <c r="H314" s="20"/>
      <c r="I314" s="20"/>
      <c r="J314" s="20"/>
      <c r="K314" s="124"/>
      <c r="L314" s="127"/>
      <c r="M314" s="20"/>
      <c r="N314" s="20"/>
      <c r="O314" s="20"/>
      <c r="P314" s="124"/>
      <c r="Q314" s="127"/>
      <c r="R314" s="20"/>
      <c r="S314" s="20"/>
      <c r="T314" s="20"/>
      <c r="U314" s="124"/>
      <c r="V314" s="127"/>
      <c r="W314" s="20"/>
      <c r="X314" s="20"/>
      <c r="Y314" s="20"/>
      <c r="Z314" s="20"/>
      <c r="AA314" s="20"/>
      <c r="AB314" s="20"/>
      <c r="AC314" s="20"/>
      <c r="AD314" s="20"/>
      <c r="AE314" s="20"/>
      <c r="AF314" s="20"/>
    </row>
    <row r="315" spans="1:32" ht="19.5">
      <c r="A315" s="20"/>
      <c r="B315" s="20"/>
      <c r="C315" s="20"/>
      <c r="D315" s="20"/>
      <c r="E315" s="20"/>
      <c r="F315" s="20"/>
      <c r="G315" s="124"/>
      <c r="H315" s="20"/>
      <c r="I315" s="20"/>
      <c r="J315" s="20"/>
      <c r="K315" s="124"/>
      <c r="L315" s="127"/>
      <c r="M315" s="20"/>
      <c r="N315" s="20"/>
      <c r="O315" s="20"/>
      <c r="P315" s="124"/>
      <c r="Q315" s="127"/>
      <c r="R315" s="20"/>
      <c r="S315" s="20"/>
      <c r="T315" s="20"/>
      <c r="U315" s="124"/>
      <c r="V315" s="127"/>
      <c r="W315" s="20"/>
      <c r="X315" s="20"/>
      <c r="Y315" s="20"/>
      <c r="Z315" s="20"/>
      <c r="AA315" s="20"/>
      <c r="AB315" s="20"/>
      <c r="AC315" s="20"/>
      <c r="AD315" s="20"/>
      <c r="AE315" s="20"/>
      <c r="AF315" s="20"/>
    </row>
    <row r="316" spans="1:32" ht="19.5">
      <c r="A316" s="20"/>
      <c r="B316" s="20"/>
      <c r="C316" s="20"/>
      <c r="D316" s="20"/>
      <c r="E316" s="20"/>
      <c r="F316" s="20"/>
      <c r="G316" s="124"/>
      <c r="H316" s="20"/>
      <c r="I316" s="20"/>
      <c r="J316" s="20"/>
      <c r="K316" s="124"/>
      <c r="L316" s="127"/>
      <c r="M316" s="20"/>
      <c r="N316" s="20"/>
      <c r="O316" s="20"/>
      <c r="P316" s="124"/>
      <c r="Q316" s="127"/>
      <c r="R316" s="20"/>
      <c r="S316" s="20"/>
      <c r="T316" s="20"/>
      <c r="U316" s="124"/>
      <c r="V316" s="127"/>
      <c r="W316" s="20"/>
      <c r="X316" s="20"/>
      <c r="Y316" s="20"/>
      <c r="Z316" s="20"/>
      <c r="AA316" s="20"/>
      <c r="AB316" s="20"/>
      <c r="AC316" s="20"/>
      <c r="AD316" s="20"/>
      <c r="AE316" s="20"/>
      <c r="AF316" s="20"/>
    </row>
    <row r="317" spans="1:32" ht="19.5">
      <c r="A317" s="20"/>
      <c r="B317" s="20"/>
      <c r="C317" s="20"/>
      <c r="D317" s="20"/>
      <c r="E317" s="20"/>
      <c r="F317" s="20"/>
      <c r="G317" s="124"/>
      <c r="H317" s="20"/>
      <c r="I317" s="20"/>
      <c r="J317" s="20"/>
      <c r="K317" s="124"/>
      <c r="L317" s="127"/>
      <c r="M317" s="20"/>
      <c r="N317" s="20"/>
      <c r="O317" s="20"/>
      <c r="P317" s="124"/>
      <c r="Q317" s="127"/>
      <c r="R317" s="20"/>
      <c r="S317" s="20"/>
      <c r="T317" s="20"/>
      <c r="U317" s="124"/>
      <c r="V317" s="127"/>
      <c r="W317" s="20"/>
      <c r="X317" s="20"/>
      <c r="Y317" s="20"/>
      <c r="Z317" s="20"/>
      <c r="AA317" s="20"/>
      <c r="AB317" s="20"/>
      <c r="AC317" s="20"/>
      <c r="AD317" s="20"/>
      <c r="AE317" s="20"/>
      <c r="AF317" s="20"/>
    </row>
    <row r="318" spans="1:32" ht="19.5">
      <c r="A318" s="20"/>
      <c r="B318" s="20"/>
      <c r="C318" s="20"/>
      <c r="D318" s="20"/>
      <c r="E318" s="20"/>
      <c r="F318" s="20"/>
      <c r="G318" s="124"/>
      <c r="H318" s="20"/>
      <c r="I318" s="20"/>
      <c r="J318" s="20"/>
      <c r="K318" s="124"/>
      <c r="L318" s="127"/>
      <c r="M318" s="20"/>
      <c r="N318" s="20"/>
      <c r="O318" s="20"/>
      <c r="P318" s="124"/>
      <c r="Q318" s="127"/>
      <c r="R318" s="20"/>
      <c r="S318" s="20"/>
      <c r="T318" s="20"/>
      <c r="U318" s="124"/>
      <c r="V318" s="127"/>
      <c r="W318" s="20"/>
      <c r="X318" s="20"/>
      <c r="Y318" s="20"/>
      <c r="Z318" s="20"/>
      <c r="AA318" s="20"/>
      <c r="AB318" s="20"/>
      <c r="AC318" s="20"/>
      <c r="AD318" s="20"/>
      <c r="AE318" s="20"/>
      <c r="AF318" s="20"/>
    </row>
    <row r="319" spans="1:32" ht="19.5">
      <c r="A319" s="20"/>
      <c r="B319" s="20"/>
      <c r="C319" s="20"/>
      <c r="D319" s="20"/>
      <c r="E319" s="20"/>
      <c r="F319" s="20"/>
      <c r="G319" s="124"/>
      <c r="H319" s="20"/>
      <c r="I319" s="20"/>
      <c r="J319" s="20"/>
      <c r="K319" s="124"/>
      <c r="L319" s="127"/>
      <c r="M319" s="20"/>
      <c r="N319" s="20"/>
      <c r="O319" s="20"/>
      <c r="P319" s="124"/>
      <c r="Q319" s="127"/>
      <c r="R319" s="20"/>
      <c r="S319" s="20"/>
      <c r="T319" s="20"/>
      <c r="U319" s="124"/>
      <c r="V319" s="127"/>
      <c r="W319" s="20"/>
      <c r="X319" s="20"/>
      <c r="Y319" s="20"/>
      <c r="Z319" s="20"/>
      <c r="AA319" s="20"/>
      <c r="AB319" s="20"/>
      <c r="AC319" s="20"/>
      <c r="AD319" s="20"/>
      <c r="AE319" s="20"/>
      <c r="AF319" s="20"/>
    </row>
    <row r="320" spans="1:32" ht="19.5">
      <c r="A320" s="20"/>
      <c r="B320" s="20"/>
      <c r="C320" s="20"/>
      <c r="D320" s="20"/>
      <c r="E320" s="20"/>
      <c r="F320" s="20"/>
      <c r="G320" s="124"/>
      <c r="H320" s="20"/>
      <c r="I320" s="20"/>
      <c r="J320" s="20"/>
      <c r="K320" s="124"/>
      <c r="L320" s="127"/>
      <c r="M320" s="20"/>
      <c r="N320" s="20"/>
      <c r="O320" s="20"/>
      <c r="P320" s="124"/>
      <c r="Q320" s="127"/>
      <c r="R320" s="20"/>
      <c r="S320" s="20"/>
      <c r="T320" s="20"/>
      <c r="U320" s="124"/>
      <c r="V320" s="127"/>
      <c r="W320" s="20"/>
      <c r="X320" s="20"/>
      <c r="Y320" s="20"/>
      <c r="Z320" s="20"/>
      <c r="AA320" s="20"/>
      <c r="AB320" s="20"/>
      <c r="AC320" s="20"/>
      <c r="AD320" s="20"/>
      <c r="AE320" s="20"/>
      <c r="AF320" s="20"/>
    </row>
    <row r="321" spans="1:32" ht="19.5">
      <c r="A321" s="20"/>
      <c r="B321" s="20"/>
      <c r="C321" s="20"/>
      <c r="D321" s="20"/>
      <c r="E321" s="20"/>
      <c r="F321" s="20"/>
      <c r="G321" s="124"/>
      <c r="H321" s="20"/>
      <c r="I321" s="20"/>
      <c r="J321" s="20"/>
      <c r="K321" s="124"/>
      <c r="L321" s="127"/>
      <c r="M321" s="20"/>
      <c r="N321" s="20"/>
      <c r="O321" s="20"/>
      <c r="P321" s="124"/>
      <c r="Q321" s="127"/>
      <c r="R321" s="20"/>
      <c r="S321" s="20"/>
      <c r="T321" s="20"/>
      <c r="U321" s="124"/>
      <c r="V321" s="127"/>
      <c r="W321" s="20"/>
      <c r="X321" s="20"/>
      <c r="Y321" s="20"/>
      <c r="Z321" s="20"/>
      <c r="AA321" s="20"/>
      <c r="AB321" s="20"/>
      <c r="AC321" s="20"/>
      <c r="AD321" s="20"/>
      <c r="AE321" s="20"/>
      <c r="AF321" s="20"/>
    </row>
    <row r="322" spans="1:32" ht="19.5">
      <c r="A322" s="20"/>
      <c r="B322" s="20"/>
      <c r="C322" s="20"/>
      <c r="D322" s="20"/>
      <c r="E322" s="20"/>
      <c r="F322" s="20"/>
      <c r="G322" s="124"/>
      <c r="H322" s="20"/>
      <c r="I322" s="20"/>
      <c r="J322" s="20"/>
      <c r="K322" s="124"/>
      <c r="L322" s="127"/>
      <c r="M322" s="20"/>
      <c r="N322" s="20"/>
      <c r="O322" s="20"/>
      <c r="P322" s="124"/>
      <c r="Q322" s="127"/>
      <c r="R322" s="20"/>
      <c r="S322" s="20"/>
      <c r="T322" s="20"/>
      <c r="U322" s="124"/>
      <c r="V322" s="127"/>
      <c r="W322" s="20"/>
      <c r="X322" s="20"/>
      <c r="Y322" s="20"/>
      <c r="Z322" s="20"/>
      <c r="AA322" s="20"/>
      <c r="AB322" s="20"/>
      <c r="AC322" s="20"/>
      <c r="AD322" s="20"/>
      <c r="AE322" s="20"/>
      <c r="AF322" s="20"/>
    </row>
    <row r="323" spans="1:32" ht="19.5">
      <c r="A323" s="20"/>
      <c r="B323" s="20"/>
      <c r="C323" s="20"/>
      <c r="D323" s="20"/>
      <c r="E323" s="20"/>
      <c r="F323" s="20"/>
      <c r="G323" s="124"/>
      <c r="H323" s="20"/>
      <c r="I323" s="20"/>
      <c r="J323" s="20"/>
      <c r="K323" s="124"/>
      <c r="L323" s="127"/>
      <c r="M323" s="20"/>
      <c r="N323" s="20"/>
      <c r="O323" s="20"/>
      <c r="P323" s="124"/>
      <c r="Q323" s="127"/>
      <c r="R323" s="20"/>
      <c r="S323" s="20"/>
      <c r="T323" s="20"/>
      <c r="U323" s="124"/>
      <c r="V323" s="127"/>
      <c r="W323" s="20"/>
      <c r="X323" s="20"/>
      <c r="Y323" s="20"/>
      <c r="Z323" s="20"/>
      <c r="AA323" s="20"/>
      <c r="AB323" s="20"/>
      <c r="AC323" s="20"/>
      <c r="AD323" s="20"/>
      <c r="AE323" s="20"/>
      <c r="AF323" s="20"/>
    </row>
    <row r="324" spans="1:32" ht="19.5">
      <c r="A324" s="20"/>
      <c r="B324" s="20"/>
      <c r="C324" s="20"/>
      <c r="D324" s="20"/>
      <c r="E324" s="20"/>
      <c r="F324" s="20"/>
      <c r="G324" s="124"/>
      <c r="H324" s="20"/>
      <c r="I324" s="20"/>
      <c r="J324" s="20"/>
      <c r="K324" s="124"/>
      <c r="L324" s="127"/>
      <c r="M324" s="20"/>
      <c r="N324" s="20"/>
      <c r="O324" s="20"/>
      <c r="P324" s="124"/>
      <c r="Q324" s="127"/>
      <c r="R324" s="20"/>
      <c r="S324" s="20"/>
      <c r="T324" s="20"/>
      <c r="U324" s="124"/>
      <c r="V324" s="127"/>
      <c r="W324" s="20"/>
      <c r="X324" s="20"/>
      <c r="Y324" s="20"/>
      <c r="Z324" s="20"/>
      <c r="AA324" s="20"/>
      <c r="AB324" s="20"/>
      <c r="AC324" s="20"/>
      <c r="AD324" s="20"/>
      <c r="AE324" s="20"/>
      <c r="AF324" s="20"/>
    </row>
    <row r="325" spans="1:32" ht="19.5">
      <c r="A325" s="20"/>
      <c r="B325" s="20"/>
      <c r="C325" s="20"/>
      <c r="D325" s="20"/>
      <c r="E325" s="20"/>
      <c r="F325" s="20"/>
      <c r="G325" s="124"/>
      <c r="H325" s="20"/>
      <c r="I325" s="20"/>
      <c r="J325" s="20"/>
      <c r="K325" s="124"/>
      <c r="L325" s="127"/>
      <c r="M325" s="20"/>
      <c r="N325" s="20"/>
      <c r="O325" s="20"/>
      <c r="P325" s="124"/>
      <c r="Q325" s="127"/>
      <c r="R325" s="20"/>
      <c r="S325" s="20"/>
      <c r="T325" s="20"/>
      <c r="U325" s="124"/>
      <c r="V325" s="127"/>
      <c r="W325" s="20"/>
      <c r="X325" s="20"/>
      <c r="Y325" s="20"/>
      <c r="Z325" s="20"/>
      <c r="AA325" s="20"/>
      <c r="AB325" s="20"/>
      <c r="AC325" s="20"/>
      <c r="AD325" s="20"/>
      <c r="AE325" s="20"/>
      <c r="AF325" s="20"/>
    </row>
    <row r="326" spans="1:32" ht="19.5">
      <c r="A326" s="20"/>
      <c r="B326" s="20"/>
      <c r="C326" s="20"/>
      <c r="D326" s="20"/>
      <c r="E326" s="20"/>
      <c r="F326" s="20"/>
      <c r="G326" s="124"/>
      <c r="H326" s="20"/>
      <c r="I326" s="20"/>
      <c r="J326" s="20"/>
      <c r="K326" s="124"/>
      <c r="L326" s="127"/>
      <c r="M326" s="20"/>
      <c r="N326" s="20"/>
      <c r="O326" s="20"/>
      <c r="P326" s="124"/>
      <c r="Q326" s="127"/>
      <c r="R326" s="20"/>
      <c r="S326" s="20"/>
      <c r="T326" s="20"/>
      <c r="U326" s="124"/>
      <c r="V326" s="127"/>
      <c r="W326" s="20"/>
      <c r="X326" s="20"/>
      <c r="Y326" s="20"/>
      <c r="Z326" s="20"/>
      <c r="AA326" s="20"/>
      <c r="AB326" s="20"/>
      <c r="AC326" s="20"/>
      <c r="AD326" s="20"/>
      <c r="AE326" s="20"/>
      <c r="AF326" s="20"/>
    </row>
    <row r="327" spans="1:32" ht="19.5">
      <c r="A327" s="20"/>
      <c r="B327" s="20"/>
      <c r="C327" s="20"/>
      <c r="D327" s="20"/>
      <c r="E327" s="20"/>
      <c r="F327" s="20"/>
      <c r="G327" s="124"/>
      <c r="H327" s="20"/>
      <c r="I327" s="20"/>
      <c r="J327" s="20"/>
      <c r="K327" s="124"/>
      <c r="L327" s="127"/>
      <c r="M327" s="20"/>
      <c r="N327" s="20"/>
      <c r="O327" s="20"/>
      <c r="P327" s="124"/>
      <c r="Q327" s="127"/>
      <c r="R327" s="20"/>
      <c r="S327" s="20"/>
      <c r="T327" s="20"/>
      <c r="U327" s="124"/>
      <c r="V327" s="127"/>
      <c r="W327" s="20"/>
      <c r="X327" s="20"/>
      <c r="Y327" s="20"/>
      <c r="Z327" s="20"/>
      <c r="AA327" s="20"/>
      <c r="AB327" s="20"/>
      <c r="AC327" s="20"/>
      <c r="AD327" s="20"/>
      <c r="AE327" s="20"/>
      <c r="AF327" s="20"/>
    </row>
    <row r="328" spans="1:32" ht="19.5">
      <c r="A328" s="20"/>
      <c r="B328" s="20"/>
      <c r="C328" s="20"/>
      <c r="D328" s="20"/>
      <c r="E328" s="20"/>
      <c r="F328" s="20"/>
      <c r="G328" s="124"/>
      <c r="H328" s="20"/>
      <c r="I328" s="20"/>
      <c r="J328" s="20"/>
      <c r="K328" s="124"/>
      <c r="L328" s="127"/>
      <c r="M328" s="20"/>
      <c r="N328" s="20"/>
      <c r="O328" s="20"/>
      <c r="P328" s="124"/>
      <c r="Q328" s="127"/>
      <c r="R328" s="20"/>
      <c r="S328" s="20"/>
      <c r="T328" s="20"/>
      <c r="U328" s="124"/>
      <c r="V328" s="127"/>
      <c r="W328" s="20"/>
      <c r="X328" s="20"/>
      <c r="Y328" s="20"/>
      <c r="Z328" s="20"/>
      <c r="AA328" s="20"/>
      <c r="AB328" s="20"/>
      <c r="AC328" s="20"/>
      <c r="AD328" s="20"/>
      <c r="AE328" s="20"/>
      <c r="AF328" s="20"/>
    </row>
    <row r="329" spans="1:32" ht="19.5">
      <c r="A329" s="20"/>
      <c r="B329" s="20"/>
      <c r="C329" s="20"/>
      <c r="D329" s="20"/>
      <c r="E329" s="20"/>
      <c r="F329" s="20"/>
      <c r="G329" s="124"/>
      <c r="H329" s="20"/>
      <c r="I329" s="20"/>
      <c r="J329" s="20"/>
      <c r="K329" s="124"/>
      <c r="L329" s="127"/>
      <c r="M329" s="20"/>
      <c r="N329" s="20"/>
      <c r="O329" s="20"/>
      <c r="P329" s="124"/>
      <c r="Q329" s="127"/>
      <c r="R329" s="20"/>
      <c r="S329" s="20"/>
      <c r="T329" s="20"/>
      <c r="U329" s="124"/>
      <c r="V329" s="127"/>
      <c r="W329" s="20"/>
      <c r="X329" s="20"/>
      <c r="Y329" s="20"/>
      <c r="Z329" s="20"/>
      <c r="AA329" s="20"/>
      <c r="AB329" s="20"/>
      <c r="AC329" s="20"/>
      <c r="AD329" s="20"/>
      <c r="AE329" s="20"/>
      <c r="AF329" s="20"/>
    </row>
    <row r="330" spans="1:32" ht="19.5">
      <c r="A330" s="20"/>
      <c r="B330" s="20"/>
      <c r="C330" s="20"/>
      <c r="D330" s="20"/>
      <c r="E330" s="20"/>
      <c r="F330" s="20"/>
      <c r="G330" s="124"/>
      <c r="H330" s="20"/>
      <c r="I330" s="20"/>
      <c r="J330" s="20"/>
      <c r="K330" s="124"/>
      <c r="L330" s="127"/>
      <c r="M330" s="20"/>
      <c r="N330" s="20"/>
      <c r="O330" s="20"/>
      <c r="P330" s="124"/>
      <c r="Q330" s="127"/>
      <c r="R330" s="20"/>
      <c r="S330" s="20"/>
      <c r="T330" s="20"/>
      <c r="U330" s="124"/>
      <c r="V330" s="127"/>
      <c r="W330" s="20"/>
      <c r="X330" s="20"/>
      <c r="Y330" s="20"/>
      <c r="Z330" s="20"/>
      <c r="AA330" s="20"/>
      <c r="AB330" s="20"/>
      <c r="AC330" s="20"/>
      <c r="AD330" s="20"/>
      <c r="AE330" s="20"/>
      <c r="AF330" s="20"/>
    </row>
    <row r="331" spans="1:32" ht="19.5">
      <c r="A331" s="20"/>
      <c r="B331" s="20"/>
      <c r="C331" s="20"/>
      <c r="D331" s="20"/>
      <c r="E331" s="20"/>
      <c r="F331" s="20"/>
      <c r="G331" s="124"/>
      <c r="H331" s="20"/>
      <c r="I331" s="20"/>
      <c r="J331" s="20"/>
      <c r="K331" s="124"/>
      <c r="L331" s="127"/>
      <c r="M331" s="20"/>
      <c r="N331" s="20"/>
      <c r="O331" s="20"/>
      <c r="P331" s="124"/>
      <c r="Q331" s="127"/>
      <c r="R331" s="20"/>
      <c r="S331" s="20"/>
      <c r="T331" s="20"/>
      <c r="U331" s="124"/>
      <c r="V331" s="127"/>
      <c r="W331" s="20"/>
      <c r="X331" s="20"/>
      <c r="Y331" s="20"/>
      <c r="Z331" s="20"/>
      <c r="AA331" s="20"/>
      <c r="AB331" s="20"/>
      <c r="AC331" s="20"/>
      <c r="AD331" s="20"/>
      <c r="AE331" s="20"/>
      <c r="AF331" s="20"/>
    </row>
    <row r="332" spans="1:32" ht="19.5">
      <c r="A332" s="20"/>
      <c r="B332" s="20"/>
      <c r="C332" s="20"/>
      <c r="D332" s="20"/>
      <c r="E332" s="20"/>
      <c r="F332" s="20"/>
      <c r="G332" s="124"/>
      <c r="H332" s="20"/>
      <c r="I332" s="20"/>
      <c r="J332" s="20"/>
      <c r="K332" s="124"/>
      <c r="L332" s="127"/>
      <c r="M332" s="20"/>
      <c r="N332" s="20"/>
      <c r="O332" s="20"/>
      <c r="P332" s="124"/>
      <c r="Q332" s="127"/>
      <c r="R332" s="20"/>
      <c r="S332" s="20"/>
      <c r="T332" s="20"/>
      <c r="U332" s="124"/>
      <c r="V332" s="127"/>
      <c r="W332" s="20"/>
      <c r="X332" s="20"/>
      <c r="Y332" s="20"/>
      <c r="Z332" s="20"/>
      <c r="AA332" s="20"/>
      <c r="AB332" s="20"/>
      <c r="AC332" s="20"/>
      <c r="AD332" s="20"/>
      <c r="AE332" s="20"/>
      <c r="AF332" s="20"/>
    </row>
    <row r="333" spans="1:32" ht="19.5">
      <c r="A333" s="20"/>
      <c r="B333" s="20"/>
      <c r="C333" s="20"/>
      <c r="D333" s="20"/>
      <c r="E333" s="20"/>
      <c r="F333" s="20"/>
      <c r="G333" s="124"/>
      <c r="H333" s="20"/>
      <c r="I333" s="20"/>
      <c r="J333" s="20"/>
      <c r="K333" s="124"/>
      <c r="L333" s="127"/>
      <c r="M333" s="20"/>
      <c r="N333" s="20"/>
      <c r="O333" s="20"/>
      <c r="P333" s="124"/>
      <c r="Q333" s="127"/>
      <c r="R333" s="20"/>
      <c r="S333" s="20"/>
      <c r="T333" s="20"/>
      <c r="U333" s="124"/>
      <c r="V333" s="127"/>
      <c r="W333" s="20"/>
      <c r="X333" s="20"/>
      <c r="Y333" s="20"/>
      <c r="Z333" s="20"/>
      <c r="AA333" s="20"/>
      <c r="AB333" s="20"/>
      <c r="AC333" s="20"/>
      <c r="AD333" s="20"/>
      <c r="AE333" s="20"/>
      <c r="AF333" s="20"/>
    </row>
    <row r="334" spans="1:32" ht="19.5">
      <c r="A334" s="20"/>
      <c r="B334" s="20"/>
      <c r="C334" s="20"/>
      <c r="D334" s="20"/>
      <c r="E334" s="20"/>
      <c r="F334" s="20"/>
      <c r="G334" s="124"/>
      <c r="H334" s="20"/>
      <c r="I334" s="20"/>
      <c r="J334" s="20"/>
      <c r="K334" s="124"/>
      <c r="L334" s="127"/>
      <c r="M334" s="20"/>
      <c r="N334" s="20"/>
      <c r="O334" s="20"/>
      <c r="P334" s="124"/>
      <c r="Q334" s="127"/>
      <c r="R334" s="20"/>
      <c r="S334" s="20"/>
      <c r="T334" s="20"/>
      <c r="U334" s="124"/>
      <c r="V334" s="127"/>
      <c r="W334" s="20"/>
      <c r="X334" s="20"/>
      <c r="Y334" s="20"/>
      <c r="Z334" s="20"/>
      <c r="AA334" s="20"/>
      <c r="AB334" s="20"/>
      <c r="AC334" s="20"/>
      <c r="AD334" s="20"/>
      <c r="AE334" s="20"/>
      <c r="AF334" s="20"/>
    </row>
    <row r="335" spans="1:32" ht="19.5">
      <c r="A335" s="20"/>
      <c r="B335" s="20"/>
      <c r="C335" s="20"/>
      <c r="D335" s="20"/>
      <c r="E335" s="20"/>
      <c r="F335" s="20"/>
      <c r="G335" s="124"/>
      <c r="H335" s="20"/>
      <c r="I335" s="20"/>
      <c r="J335" s="20"/>
      <c r="K335" s="124"/>
      <c r="L335" s="127"/>
      <c r="M335" s="20"/>
      <c r="N335" s="20"/>
      <c r="O335" s="20"/>
      <c r="P335" s="124"/>
      <c r="Q335" s="127"/>
      <c r="R335" s="20"/>
      <c r="S335" s="20"/>
      <c r="T335" s="20"/>
      <c r="U335" s="124"/>
      <c r="V335" s="127"/>
      <c r="W335" s="20"/>
      <c r="X335" s="20"/>
      <c r="Y335" s="20"/>
      <c r="Z335" s="20"/>
      <c r="AA335" s="20"/>
      <c r="AB335" s="20"/>
      <c r="AC335" s="20"/>
      <c r="AD335" s="20"/>
      <c r="AE335" s="20"/>
      <c r="AF335" s="20"/>
    </row>
    <row r="336" spans="1:32" ht="19.5">
      <c r="A336" s="20"/>
      <c r="B336" s="20"/>
      <c r="C336" s="20"/>
      <c r="D336" s="20"/>
      <c r="E336" s="20"/>
      <c r="F336" s="20"/>
      <c r="G336" s="124"/>
      <c r="H336" s="20"/>
      <c r="I336" s="20"/>
      <c r="J336" s="20"/>
      <c r="K336" s="124"/>
      <c r="L336" s="127"/>
      <c r="M336" s="20"/>
      <c r="N336" s="20"/>
      <c r="O336" s="20"/>
      <c r="P336" s="124"/>
      <c r="Q336" s="127"/>
      <c r="R336" s="20"/>
      <c r="S336" s="20"/>
      <c r="T336" s="20"/>
      <c r="U336" s="124"/>
      <c r="V336" s="127"/>
      <c r="W336" s="20"/>
      <c r="X336" s="20"/>
      <c r="Y336" s="20"/>
      <c r="Z336" s="20"/>
      <c r="AA336" s="20"/>
      <c r="AB336" s="20"/>
      <c r="AC336" s="20"/>
      <c r="AD336" s="20"/>
      <c r="AE336" s="20"/>
      <c r="AF336" s="20"/>
    </row>
    <row r="337" spans="1:32" ht="19.5">
      <c r="A337" s="20"/>
      <c r="B337" s="20"/>
      <c r="C337" s="20"/>
      <c r="D337" s="20"/>
      <c r="E337" s="20"/>
      <c r="F337" s="20"/>
      <c r="G337" s="124"/>
      <c r="H337" s="20"/>
      <c r="I337" s="20"/>
      <c r="J337" s="20"/>
      <c r="K337" s="124"/>
      <c r="L337" s="127"/>
      <c r="M337" s="20"/>
      <c r="N337" s="20"/>
      <c r="O337" s="20"/>
      <c r="P337" s="124"/>
      <c r="Q337" s="127"/>
      <c r="R337" s="20"/>
      <c r="S337" s="20"/>
      <c r="T337" s="20"/>
      <c r="U337" s="124"/>
      <c r="V337" s="127"/>
      <c r="W337" s="20"/>
      <c r="X337" s="20"/>
      <c r="Y337" s="20"/>
      <c r="Z337" s="20"/>
      <c r="AA337" s="20"/>
      <c r="AB337" s="20"/>
      <c r="AC337" s="20"/>
      <c r="AD337" s="20"/>
      <c r="AE337" s="20"/>
      <c r="AF337" s="20"/>
    </row>
    <row r="338" spans="1:32" ht="19.5">
      <c r="A338" s="20"/>
      <c r="B338" s="20"/>
      <c r="C338" s="20"/>
      <c r="D338" s="20"/>
      <c r="E338" s="20"/>
      <c r="F338" s="20"/>
      <c r="G338" s="124"/>
      <c r="H338" s="20"/>
      <c r="I338" s="20"/>
      <c r="J338" s="20"/>
      <c r="K338" s="124"/>
      <c r="L338" s="127"/>
      <c r="M338" s="20"/>
      <c r="N338" s="20"/>
      <c r="O338" s="20"/>
      <c r="P338" s="124"/>
      <c r="Q338" s="127"/>
      <c r="R338" s="20"/>
      <c r="S338" s="20"/>
      <c r="T338" s="20"/>
      <c r="U338" s="124"/>
      <c r="V338" s="127"/>
      <c r="W338" s="20"/>
      <c r="X338" s="20"/>
      <c r="Y338" s="20"/>
      <c r="Z338" s="20"/>
      <c r="AA338" s="20"/>
      <c r="AB338" s="20"/>
      <c r="AC338" s="20"/>
      <c r="AD338" s="20"/>
      <c r="AE338" s="20"/>
      <c r="AF338" s="20"/>
    </row>
    <row r="339" spans="1:32" ht="19.5">
      <c r="A339" s="20"/>
      <c r="B339" s="20"/>
      <c r="C339" s="20"/>
      <c r="D339" s="20"/>
      <c r="E339" s="20"/>
      <c r="F339" s="20"/>
      <c r="G339" s="124"/>
      <c r="H339" s="20"/>
      <c r="I339" s="20"/>
      <c r="J339" s="20"/>
      <c r="K339" s="124"/>
      <c r="L339" s="127"/>
      <c r="M339" s="20"/>
      <c r="N339" s="20"/>
      <c r="O339" s="20"/>
      <c r="P339" s="124"/>
      <c r="Q339" s="127"/>
      <c r="R339" s="20"/>
      <c r="S339" s="20"/>
      <c r="T339" s="20"/>
      <c r="U339" s="124"/>
      <c r="V339" s="127"/>
      <c r="W339" s="20"/>
      <c r="X339" s="20"/>
      <c r="Y339" s="20"/>
      <c r="Z339" s="20"/>
      <c r="AA339" s="20"/>
      <c r="AB339" s="20"/>
      <c r="AC339" s="20"/>
      <c r="AD339" s="20"/>
      <c r="AE339" s="20"/>
      <c r="AF339" s="20"/>
    </row>
    <row r="340" spans="1:32" ht="19.5">
      <c r="A340" s="20"/>
      <c r="B340" s="20"/>
      <c r="C340" s="20"/>
      <c r="D340" s="20"/>
      <c r="E340" s="20"/>
      <c r="F340" s="20"/>
      <c r="G340" s="124"/>
      <c r="H340" s="20"/>
      <c r="I340" s="20"/>
      <c r="J340" s="20"/>
      <c r="K340" s="124"/>
      <c r="L340" s="127"/>
      <c r="M340" s="20"/>
      <c r="N340" s="20"/>
      <c r="O340" s="20"/>
      <c r="P340" s="124"/>
      <c r="Q340" s="127"/>
      <c r="R340" s="20"/>
      <c r="S340" s="20"/>
      <c r="T340" s="20"/>
      <c r="U340" s="124"/>
      <c r="V340" s="127"/>
      <c r="W340" s="20"/>
      <c r="X340" s="20"/>
      <c r="Y340" s="20"/>
      <c r="Z340" s="20"/>
      <c r="AA340" s="20"/>
      <c r="AB340" s="20"/>
      <c r="AC340" s="20"/>
      <c r="AD340" s="20"/>
      <c r="AE340" s="20"/>
      <c r="AF340" s="20"/>
    </row>
    <row r="341" spans="1:32" ht="19.5">
      <c r="A341" s="20"/>
      <c r="B341" s="20"/>
      <c r="C341" s="20"/>
      <c r="D341" s="20"/>
      <c r="E341" s="20"/>
      <c r="F341" s="20"/>
      <c r="G341" s="124"/>
      <c r="H341" s="20"/>
      <c r="I341" s="20"/>
      <c r="J341" s="20"/>
      <c r="K341" s="124"/>
      <c r="L341" s="127"/>
      <c r="M341" s="20"/>
      <c r="N341" s="20"/>
      <c r="O341" s="20"/>
      <c r="P341" s="124"/>
      <c r="Q341" s="127"/>
      <c r="R341" s="20"/>
      <c r="S341" s="20"/>
      <c r="T341" s="20"/>
      <c r="U341" s="124"/>
      <c r="V341" s="127"/>
      <c r="W341" s="20"/>
      <c r="X341" s="20"/>
      <c r="Y341" s="20"/>
      <c r="Z341" s="20"/>
      <c r="AA341" s="20"/>
      <c r="AB341" s="20"/>
      <c r="AC341" s="20"/>
      <c r="AD341" s="20"/>
      <c r="AE341" s="20"/>
      <c r="AF341" s="20"/>
    </row>
    <row r="342" spans="1:32" ht="19.5">
      <c r="A342" s="20"/>
      <c r="B342" s="20"/>
      <c r="C342" s="20"/>
      <c r="D342" s="20"/>
      <c r="E342" s="20"/>
      <c r="F342" s="20"/>
      <c r="G342" s="124"/>
      <c r="H342" s="20"/>
      <c r="I342" s="20"/>
      <c r="J342" s="20"/>
      <c r="K342" s="124"/>
      <c r="L342" s="127"/>
      <c r="M342" s="20"/>
      <c r="N342" s="20"/>
      <c r="O342" s="20"/>
      <c r="P342" s="124"/>
      <c r="Q342" s="127"/>
      <c r="R342" s="20"/>
      <c r="S342" s="20"/>
      <c r="T342" s="20"/>
      <c r="U342" s="124"/>
      <c r="V342" s="127"/>
      <c r="W342" s="20"/>
      <c r="X342" s="20"/>
      <c r="Y342" s="20"/>
      <c r="Z342" s="20"/>
      <c r="AA342" s="20"/>
      <c r="AB342" s="20"/>
      <c r="AC342" s="20"/>
      <c r="AD342" s="20"/>
      <c r="AE342" s="20"/>
      <c r="AF342" s="20"/>
    </row>
    <row r="343" spans="1:32" ht="19.5">
      <c r="A343" s="20"/>
      <c r="B343" s="20"/>
      <c r="C343" s="20"/>
      <c r="D343" s="20"/>
      <c r="E343" s="20"/>
      <c r="F343" s="20"/>
      <c r="G343" s="124"/>
      <c r="H343" s="20"/>
      <c r="I343" s="20"/>
      <c r="J343" s="20"/>
      <c r="K343" s="124"/>
      <c r="L343" s="127"/>
      <c r="M343" s="20"/>
      <c r="N343" s="20"/>
      <c r="O343" s="20"/>
      <c r="P343" s="124"/>
      <c r="Q343" s="127"/>
      <c r="R343" s="20"/>
      <c r="S343" s="20"/>
      <c r="T343" s="20"/>
      <c r="U343" s="124"/>
      <c r="V343" s="127"/>
      <c r="W343" s="20"/>
      <c r="X343" s="20"/>
      <c r="Y343" s="20"/>
      <c r="Z343" s="20"/>
      <c r="AA343" s="20"/>
      <c r="AB343" s="20"/>
      <c r="AC343" s="20"/>
      <c r="AD343" s="20"/>
      <c r="AE343" s="20"/>
      <c r="AF343" s="20"/>
    </row>
    <row r="344" spans="1:32" ht="19.5">
      <c r="A344" s="20"/>
      <c r="B344" s="20"/>
      <c r="C344" s="20"/>
      <c r="D344" s="20"/>
      <c r="E344" s="20"/>
      <c r="F344" s="20"/>
      <c r="G344" s="124"/>
      <c r="H344" s="20"/>
      <c r="I344" s="20"/>
      <c r="J344" s="20"/>
      <c r="K344" s="124"/>
      <c r="L344" s="127"/>
      <c r="M344" s="20"/>
      <c r="N344" s="20"/>
      <c r="O344" s="20"/>
      <c r="P344" s="124"/>
      <c r="Q344" s="127"/>
      <c r="R344" s="20"/>
      <c r="S344" s="20"/>
      <c r="T344" s="20"/>
      <c r="U344" s="124"/>
      <c r="V344" s="127"/>
      <c r="W344" s="20"/>
      <c r="X344" s="20"/>
      <c r="Y344" s="20"/>
      <c r="Z344" s="20"/>
      <c r="AA344" s="20"/>
      <c r="AB344" s="20"/>
      <c r="AC344" s="20"/>
      <c r="AD344" s="20"/>
      <c r="AE344" s="20"/>
      <c r="AF344" s="20"/>
    </row>
    <row r="345" spans="1:32" ht="19.5">
      <c r="A345" s="20"/>
      <c r="B345" s="20"/>
      <c r="C345" s="20"/>
      <c r="D345" s="20"/>
      <c r="E345" s="20"/>
      <c r="F345" s="20"/>
      <c r="G345" s="124"/>
      <c r="H345" s="20"/>
      <c r="I345" s="20"/>
      <c r="J345" s="20"/>
      <c r="K345" s="124"/>
      <c r="L345" s="127"/>
      <c r="M345" s="20"/>
      <c r="N345" s="20"/>
      <c r="O345" s="20"/>
      <c r="P345" s="124"/>
      <c r="Q345" s="127"/>
      <c r="R345" s="20"/>
      <c r="S345" s="20"/>
      <c r="T345" s="20"/>
      <c r="U345" s="124"/>
      <c r="V345" s="127"/>
      <c r="W345" s="20"/>
      <c r="X345" s="20"/>
      <c r="Y345" s="20"/>
      <c r="Z345" s="20"/>
      <c r="AA345" s="20"/>
      <c r="AB345" s="20"/>
      <c r="AC345" s="20"/>
      <c r="AD345" s="20"/>
      <c r="AE345" s="20"/>
      <c r="AF345" s="20"/>
    </row>
    <row r="346" spans="1:32" ht="19.5">
      <c r="A346" s="20"/>
      <c r="B346" s="20"/>
      <c r="C346" s="20"/>
      <c r="D346" s="20"/>
      <c r="E346" s="20"/>
      <c r="F346" s="20"/>
      <c r="G346" s="124"/>
      <c r="H346" s="20"/>
      <c r="I346" s="20"/>
      <c r="J346" s="20"/>
      <c r="K346" s="124"/>
      <c r="L346" s="127"/>
      <c r="M346" s="20"/>
      <c r="N346" s="20"/>
      <c r="O346" s="20"/>
      <c r="P346" s="124"/>
      <c r="Q346" s="127"/>
      <c r="R346" s="20"/>
      <c r="S346" s="20"/>
      <c r="T346" s="20"/>
      <c r="U346" s="124"/>
      <c r="V346" s="127"/>
      <c r="W346" s="20"/>
      <c r="X346" s="20"/>
      <c r="Y346" s="20"/>
      <c r="Z346" s="20"/>
      <c r="AA346" s="20"/>
      <c r="AB346" s="20"/>
      <c r="AC346" s="20"/>
      <c r="AD346" s="20"/>
      <c r="AE346" s="20"/>
      <c r="AF346" s="20"/>
    </row>
    <row r="347" spans="1:32" ht="19.5">
      <c r="A347" s="20"/>
      <c r="B347" s="20"/>
      <c r="C347" s="20"/>
      <c r="D347" s="20"/>
      <c r="E347" s="20"/>
      <c r="F347" s="20"/>
      <c r="G347" s="124"/>
      <c r="H347" s="20"/>
      <c r="I347" s="20"/>
      <c r="J347" s="20"/>
      <c r="K347" s="124"/>
      <c r="L347" s="127"/>
      <c r="M347" s="20"/>
      <c r="N347" s="20"/>
      <c r="O347" s="20"/>
      <c r="P347" s="124"/>
      <c r="Q347" s="127"/>
      <c r="R347" s="20"/>
      <c r="S347" s="20"/>
      <c r="T347" s="20"/>
      <c r="U347" s="124"/>
      <c r="V347" s="127"/>
      <c r="W347" s="20"/>
      <c r="X347" s="20"/>
      <c r="Y347" s="20"/>
      <c r="Z347" s="20"/>
      <c r="AA347" s="20"/>
      <c r="AB347" s="20"/>
      <c r="AC347" s="20"/>
      <c r="AD347" s="20"/>
      <c r="AE347" s="20"/>
      <c r="AF347" s="20"/>
    </row>
    <row r="348" spans="1:32" ht="19.5">
      <c r="A348" s="20"/>
      <c r="B348" s="20"/>
      <c r="C348" s="20"/>
      <c r="D348" s="20"/>
      <c r="E348" s="20"/>
      <c r="F348" s="20"/>
      <c r="G348" s="124"/>
      <c r="H348" s="20"/>
      <c r="I348" s="20"/>
      <c r="J348" s="20"/>
      <c r="K348" s="124"/>
      <c r="L348" s="127"/>
      <c r="M348" s="20"/>
      <c r="N348" s="20"/>
      <c r="O348" s="20"/>
      <c r="P348" s="124"/>
      <c r="Q348" s="127"/>
      <c r="R348" s="20"/>
      <c r="S348" s="20"/>
      <c r="T348" s="20"/>
      <c r="U348" s="124"/>
      <c r="V348" s="127"/>
      <c r="W348" s="20"/>
      <c r="X348" s="20"/>
      <c r="Y348" s="20"/>
      <c r="Z348" s="20"/>
      <c r="AA348" s="20"/>
      <c r="AB348" s="20"/>
      <c r="AC348" s="20"/>
      <c r="AD348" s="20"/>
      <c r="AE348" s="20"/>
      <c r="AF348" s="20"/>
    </row>
    <row r="349" spans="1:32" ht="19.5">
      <c r="A349" s="20"/>
      <c r="B349" s="20"/>
      <c r="C349" s="20"/>
      <c r="D349" s="20"/>
      <c r="E349" s="20"/>
      <c r="F349" s="20"/>
      <c r="G349" s="124"/>
      <c r="H349" s="20"/>
      <c r="I349" s="20"/>
      <c r="J349" s="20"/>
      <c r="K349" s="124"/>
      <c r="L349" s="127"/>
      <c r="M349" s="20"/>
      <c r="N349" s="20"/>
      <c r="O349" s="20"/>
      <c r="P349" s="124"/>
      <c r="Q349" s="127"/>
      <c r="R349" s="20"/>
      <c r="S349" s="20"/>
      <c r="T349" s="20"/>
      <c r="U349" s="124"/>
      <c r="V349" s="127"/>
      <c r="W349" s="20"/>
      <c r="X349" s="20"/>
      <c r="Y349" s="20"/>
      <c r="Z349" s="20"/>
      <c r="AA349" s="20"/>
      <c r="AB349" s="20"/>
      <c r="AC349" s="20"/>
      <c r="AD349" s="20"/>
      <c r="AE349" s="20"/>
      <c r="AF349" s="20"/>
    </row>
    <row r="350" spans="1:32" ht="19.5">
      <c r="A350" s="20"/>
      <c r="B350" s="20"/>
      <c r="C350" s="20"/>
      <c r="D350" s="20"/>
      <c r="E350" s="20"/>
      <c r="F350" s="20"/>
      <c r="G350" s="124"/>
      <c r="H350" s="20"/>
      <c r="I350" s="20"/>
      <c r="J350" s="20"/>
      <c r="K350" s="124"/>
      <c r="L350" s="127"/>
      <c r="M350" s="20"/>
      <c r="N350" s="20"/>
      <c r="O350" s="20"/>
      <c r="P350" s="124"/>
      <c r="Q350" s="127"/>
      <c r="R350" s="20"/>
      <c r="S350" s="20"/>
      <c r="T350" s="20"/>
      <c r="U350" s="124"/>
      <c r="V350" s="127"/>
      <c r="W350" s="20"/>
      <c r="X350" s="20"/>
      <c r="Y350" s="20"/>
      <c r="Z350" s="20"/>
      <c r="AA350" s="20"/>
      <c r="AB350" s="20"/>
      <c r="AC350" s="20"/>
      <c r="AD350" s="20"/>
      <c r="AE350" s="20"/>
      <c r="AF350" s="20"/>
    </row>
    <row r="351" spans="1:32" ht="19.5">
      <c r="A351" s="20"/>
      <c r="B351" s="20"/>
      <c r="C351" s="20"/>
      <c r="D351" s="20"/>
      <c r="E351" s="20"/>
      <c r="F351" s="20"/>
      <c r="G351" s="124"/>
      <c r="H351" s="20"/>
      <c r="I351" s="20"/>
      <c r="J351" s="20"/>
      <c r="K351" s="124"/>
      <c r="L351" s="127"/>
      <c r="M351" s="20"/>
      <c r="N351" s="20"/>
      <c r="O351" s="20"/>
      <c r="P351" s="124"/>
      <c r="Q351" s="127"/>
      <c r="R351" s="20"/>
      <c r="S351" s="20"/>
      <c r="T351" s="20"/>
      <c r="U351" s="124"/>
      <c r="V351" s="127"/>
      <c r="W351" s="20"/>
      <c r="X351" s="20"/>
      <c r="Y351" s="20"/>
      <c r="Z351" s="20"/>
      <c r="AA351" s="20"/>
      <c r="AB351" s="20"/>
      <c r="AC351" s="20"/>
      <c r="AD351" s="20"/>
      <c r="AE351" s="20"/>
      <c r="AF351" s="20"/>
    </row>
    <row r="352" spans="1:32" ht="19.5">
      <c r="A352" s="20"/>
      <c r="B352" s="20"/>
      <c r="C352" s="20"/>
      <c r="D352" s="20"/>
      <c r="E352" s="20"/>
      <c r="F352" s="20"/>
      <c r="G352" s="124"/>
      <c r="H352" s="20"/>
      <c r="I352" s="20"/>
      <c r="J352" s="20"/>
      <c r="K352" s="124"/>
      <c r="L352" s="127"/>
      <c r="M352" s="20"/>
      <c r="N352" s="20"/>
      <c r="O352" s="20"/>
      <c r="P352" s="124"/>
      <c r="Q352" s="127"/>
      <c r="R352" s="20"/>
      <c r="S352" s="20"/>
      <c r="T352" s="20"/>
      <c r="U352" s="124"/>
      <c r="V352" s="127"/>
      <c r="W352" s="20"/>
      <c r="X352" s="20"/>
      <c r="Y352" s="20"/>
      <c r="Z352" s="20"/>
      <c r="AA352" s="20"/>
      <c r="AB352" s="20"/>
      <c r="AC352" s="20"/>
      <c r="AD352" s="20"/>
      <c r="AE352" s="20"/>
      <c r="AF352" s="20"/>
    </row>
    <row r="353" spans="1:32" ht="19.5">
      <c r="A353" s="20"/>
      <c r="B353" s="20"/>
      <c r="C353" s="20"/>
      <c r="D353" s="20"/>
      <c r="E353" s="20"/>
      <c r="F353" s="20"/>
      <c r="G353" s="124"/>
      <c r="H353" s="20"/>
      <c r="I353" s="20"/>
      <c r="J353" s="20"/>
      <c r="K353" s="124"/>
      <c r="L353" s="127"/>
      <c r="M353" s="20"/>
      <c r="N353" s="20"/>
      <c r="O353" s="20"/>
      <c r="P353" s="124"/>
      <c r="Q353" s="127"/>
      <c r="R353" s="20"/>
      <c r="S353" s="20"/>
      <c r="T353" s="20"/>
      <c r="U353" s="124"/>
      <c r="V353" s="127"/>
      <c r="W353" s="20"/>
      <c r="X353" s="20"/>
      <c r="Y353" s="20"/>
      <c r="Z353" s="20"/>
      <c r="AA353" s="20"/>
      <c r="AB353" s="20"/>
      <c r="AC353" s="20"/>
      <c r="AD353" s="20"/>
      <c r="AE353" s="20"/>
      <c r="AF353" s="20"/>
    </row>
    <row r="354" spans="1:32" ht="19.5">
      <c r="A354" s="20"/>
      <c r="B354" s="20"/>
      <c r="C354" s="20"/>
      <c r="D354" s="20"/>
      <c r="E354" s="20"/>
      <c r="F354" s="20"/>
      <c r="G354" s="124"/>
      <c r="H354" s="20"/>
      <c r="I354" s="20"/>
      <c r="J354" s="20"/>
      <c r="K354" s="124"/>
      <c r="L354" s="127"/>
      <c r="M354" s="20"/>
      <c r="N354" s="20"/>
      <c r="O354" s="20"/>
      <c r="P354" s="124"/>
      <c r="Q354" s="127"/>
      <c r="R354" s="20"/>
      <c r="S354" s="20"/>
      <c r="T354" s="20"/>
      <c r="U354" s="124"/>
      <c r="V354" s="127"/>
      <c r="W354" s="20"/>
      <c r="X354" s="20"/>
      <c r="Y354" s="20"/>
      <c r="Z354" s="20"/>
      <c r="AA354" s="20"/>
      <c r="AB354" s="20"/>
      <c r="AC354" s="20"/>
      <c r="AD354" s="20"/>
      <c r="AE354" s="20"/>
      <c r="AF354" s="20"/>
    </row>
    <row r="355" spans="1:32" ht="19.5">
      <c r="A355" s="20"/>
      <c r="B355" s="20"/>
      <c r="C355" s="20"/>
      <c r="D355" s="20"/>
      <c r="E355" s="20"/>
      <c r="F355" s="20"/>
      <c r="G355" s="124"/>
      <c r="H355" s="20"/>
      <c r="I355" s="20"/>
      <c r="J355" s="20"/>
      <c r="K355" s="124"/>
      <c r="L355" s="127"/>
      <c r="M355" s="20"/>
      <c r="N355" s="20"/>
      <c r="O355" s="20"/>
      <c r="P355" s="124"/>
      <c r="Q355" s="127"/>
      <c r="R355" s="20"/>
      <c r="S355" s="20"/>
      <c r="T355" s="20"/>
      <c r="U355" s="124"/>
      <c r="V355" s="127"/>
      <c r="W355" s="20"/>
      <c r="X355" s="20"/>
      <c r="Y355" s="20"/>
      <c r="Z355" s="20"/>
      <c r="AA355" s="20"/>
      <c r="AB355" s="20"/>
      <c r="AC355" s="20"/>
      <c r="AD355" s="20"/>
      <c r="AE355" s="20"/>
      <c r="AF355" s="20"/>
    </row>
    <row r="356" spans="1:32" ht="19.5">
      <c r="A356" s="20"/>
      <c r="B356" s="20"/>
      <c r="C356" s="20"/>
      <c r="D356" s="20"/>
      <c r="E356" s="20"/>
      <c r="F356" s="20"/>
      <c r="G356" s="124"/>
      <c r="H356" s="20"/>
      <c r="I356" s="20"/>
      <c r="J356" s="20"/>
      <c r="K356" s="124"/>
      <c r="L356" s="127"/>
      <c r="M356" s="20"/>
      <c r="N356" s="20"/>
      <c r="O356" s="20"/>
      <c r="P356" s="124"/>
      <c r="Q356" s="127"/>
      <c r="R356" s="20"/>
      <c r="S356" s="20"/>
      <c r="T356" s="20"/>
      <c r="U356" s="124"/>
      <c r="V356" s="127"/>
      <c r="W356" s="20"/>
      <c r="X356" s="20"/>
      <c r="Y356" s="20"/>
      <c r="Z356" s="20"/>
      <c r="AA356" s="20"/>
      <c r="AB356" s="20"/>
      <c r="AC356" s="20"/>
      <c r="AD356" s="20"/>
      <c r="AE356" s="20"/>
      <c r="AF356" s="20"/>
    </row>
    <row r="357" spans="1:32" ht="19.5">
      <c r="A357" s="20"/>
      <c r="B357" s="20"/>
      <c r="C357" s="20"/>
      <c r="D357" s="20"/>
      <c r="E357" s="20"/>
      <c r="F357" s="20"/>
      <c r="G357" s="124"/>
      <c r="H357" s="20"/>
      <c r="I357" s="20"/>
      <c r="J357" s="20"/>
      <c r="K357" s="124"/>
      <c r="L357" s="127"/>
      <c r="M357" s="20"/>
      <c r="N357" s="20"/>
      <c r="O357" s="20"/>
      <c r="P357" s="124"/>
      <c r="Q357" s="127"/>
      <c r="R357" s="20"/>
      <c r="S357" s="20"/>
      <c r="T357" s="20"/>
      <c r="U357" s="124"/>
      <c r="V357" s="127"/>
      <c r="W357" s="20"/>
      <c r="X357" s="20"/>
      <c r="Y357" s="20"/>
      <c r="Z357" s="20"/>
      <c r="AA357" s="20"/>
      <c r="AB357" s="20"/>
      <c r="AC357" s="20"/>
      <c r="AD357" s="20"/>
      <c r="AE357" s="20"/>
      <c r="AF357" s="20"/>
    </row>
    <row r="358" spans="1:32" ht="19.5">
      <c r="A358" s="20"/>
      <c r="B358" s="20"/>
      <c r="C358" s="20"/>
      <c r="D358" s="20"/>
      <c r="E358" s="20"/>
      <c r="F358" s="20"/>
      <c r="G358" s="124"/>
      <c r="H358" s="20"/>
      <c r="I358" s="20"/>
      <c r="J358" s="20"/>
      <c r="K358" s="124"/>
      <c r="L358" s="127"/>
      <c r="M358" s="20"/>
      <c r="N358" s="20"/>
      <c r="O358" s="20"/>
      <c r="P358" s="124"/>
      <c r="Q358" s="127"/>
      <c r="R358" s="20"/>
      <c r="S358" s="20"/>
      <c r="T358" s="20"/>
      <c r="U358" s="124"/>
      <c r="V358" s="127"/>
      <c r="W358" s="20"/>
      <c r="X358" s="20"/>
      <c r="Y358" s="20"/>
      <c r="Z358" s="20"/>
      <c r="AA358" s="20"/>
      <c r="AB358" s="20"/>
      <c r="AC358" s="20"/>
      <c r="AD358" s="20"/>
      <c r="AE358" s="20"/>
      <c r="AF358" s="20"/>
    </row>
    <row r="359" spans="1:32" ht="19.5">
      <c r="A359" s="20"/>
      <c r="B359" s="20"/>
      <c r="C359" s="20"/>
      <c r="D359" s="20"/>
      <c r="E359" s="20"/>
      <c r="F359" s="20"/>
      <c r="G359" s="124"/>
      <c r="H359" s="20"/>
      <c r="I359" s="20"/>
      <c r="J359" s="20"/>
      <c r="K359" s="124"/>
      <c r="L359" s="127"/>
      <c r="M359" s="20"/>
      <c r="N359" s="20"/>
      <c r="O359" s="20"/>
      <c r="P359" s="124"/>
      <c r="Q359" s="127"/>
      <c r="R359" s="20"/>
      <c r="S359" s="20"/>
      <c r="T359" s="20"/>
      <c r="U359" s="124"/>
      <c r="V359" s="127"/>
      <c r="W359" s="20"/>
      <c r="X359" s="20"/>
      <c r="Y359" s="20"/>
      <c r="Z359" s="20"/>
      <c r="AA359" s="20"/>
      <c r="AB359" s="20"/>
      <c r="AC359" s="20"/>
      <c r="AD359" s="20"/>
      <c r="AE359" s="20"/>
      <c r="AF359" s="20"/>
    </row>
    <row r="360" spans="1:32" ht="19.5">
      <c r="A360" s="20"/>
      <c r="B360" s="20"/>
      <c r="C360" s="20"/>
      <c r="D360" s="20"/>
      <c r="E360" s="20"/>
      <c r="F360" s="20"/>
      <c r="G360" s="124"/>
      <c r="H360" s="20"/>
      <c r="I360" s="20"/>
      <c r="J360" s="20"/>
      <c r="K360" s="124"/>
      <c r="L360" s="127"/>
      <c r="M360" s="20"/>
      <c r="N360" s="20"/>
      <c r="O360" s="20"/>
      <c r="P360" s="124"/>
      <c r="Q360" s="127"/>
      <c r="R360" s="20"/>
      <c r="S360" s="20"/>
      <c r="T360" s="20"/>
      <c r="U360" s="124"/>
      <c r="V360" s="127"/>
      <c r="W360" s="20"/>
      <c r="X360" s="20"/>
      <c r="Y360" s="20"/>
      <c r="Z360" s="20"/>
      <c r="AA360" s="20"/>
      <c r="AB360" s="20"/>
      <c r="AC360" s="20"/>
      <c r="AD360" s="20"/>
      <c r="AE360" s="20"/>
      <c r="AF360" s="20"/>
    </row>
    <row r="361" spans="1:32" ht="19.5">
      <c r="A361" s="20"/>
      <c r="B361" s="20"/>
      <c r="C361" s="20"/>
      <c r="D361" s="20"/>
      <c r="E361" s="20"/>
      <c r="F361" s="20"/>
      <c r="G361" s="124"/>
      <c r="H361" s="20"/>
      <c r="I361" s="20"/>
      <c r="J361" s="20"/>
      <c r="K361" s="124"/>
      <c r="L361" s="127"/>
      <c r="M361" s="20"/>
      <c r="N361" s="20"/>
      <c r="O361" s="20"/>
      <c r="P361" s="124"/>
      <c r="Q361" s="127"/>
      <c r="R361" s="20"/>
      <c r="S361" s="20"/>
      <c r="T361" s="20"/>
      <c r="U361" s="124"/>
      <c r="V361" s="127"/>
      <c r="W361" s="20"/>
      <c r="X361" s="20"/>
      <c r="Y361" s="20"/>
      <c r="Z361" s="20"/>
      <c r="AA361" s="20"/>
      <c r="AB361" s="20"/>
      <c r="AC361" s="20"/>
      <c r="AD361" s="20"/>
      <c r="AE361" s="20"/>
      <c r="AF361" s="20"/>
    </row>
    <row r="362" spans="1:32" ht="19.5">
      <c r="A362" s="20"/>
      <c r="B362" s="20"/>
      <c r="C362" s="20"/>
      <c r="D362" s="20"/>
      <c r="E362" s="20"/>
      <c r="F362" s="20"/>
      <c r="G362" s="124"/>
      <c r="H362" s="20"/>
      <c r="I362" s="20"/>
      <c r="J362" s="20"/>
      <c r="K362" s="124"/>
      <c r="L362" s="127"/>
      <c r="M362" s="20"/>
      <c r="N362" s="20"/>
      <c r="O362" s="20"/>
      <c r="P362" s="124"/>
      <c r="Q362" s="127"/>
      <c r="R362" s="20"/>
      <c r="S362" s="20"/>
      <c r="T362" s="20"/>
      <c r="U362" s="124"/>
      <c r="V362" s="127"/>
      <c r="W362" s="20"/>
      <c r="X362" s="20"/>
      <c r="Y362" s="20"/>
      <c r="Z362" s="20"/>
      <c r="AA362" s="20"/>
      <c r="AB362" s="20"/>
      <c r="AC362" s="20"/>
      <c r="AD362" s="20"/>
      <c r="AE362" s="20"/>
      <c r="AF362" s="20"/>
    </row>
    <row r="363" spans="1:32" ht="19.5">
      <c r="A363" s="20"/>
      <c r="B363" s="20"/>
      <c r="C363" s="20"/>
      <c r="D363" s="20"/>
      <c r="E363" s="20"/>
      <c r="F363" s="20"/>
      <c r="G363" s="124"/>
      <c r="H363" s="20"/>
      <c r="I363" s="20"/>
      <c r="J363" s="20"/>
      <c r="K363" s="124"/>
      <c r="L363" s="127"/>
      <c r="M363" s="20"/>
      <c r="N363" s="20"/>
      <c r="O363" s="20"/>
      <c r="P363" s="124"/>
      <c r="Q363" s="127"/>
      <c r="R363" s="20"/>
      <c r="S363" s="20"/>
      <c r="T363" s="20"/>
      <c r="U363" s="124"/>
      <c r="V363" s="127"/>
      <c r="W363" s="20"/>
      <c r="X363" s="20"/>
      <c r="Y363" s="20"/>
      <c r="Z363" s="20"/>
      <c r="AA363" s="20"/>
      <c r="AB363" s="20"/>
      <c r="AC363" s="20"/>
      <c r="AD363" s="20"/>
      <c r="AE363" s="20"/>
      <c r="AF363" s="20"/>
    </row>
    <row r="364" spans="1:32" ht="19.5">
      <c r="A364" s="20"/>
      <c r="B364" s="20"/>
      <c r="C364" s="20"/>
      <c r="D364" s="20"/>
      <c r="E364" s="20"/>
      <c r="F364" s="20"/>
      <c r="G364" s="124"/>
      <c r="H364" s="20"/>
      <c r="I364" s="20"/>
      <c r="J364" s="20"/>
      <c r="K364" s="124"/>
      <c r="L364" s="127"/>
      <c r="M364" s="20"/>
      <c r="N364" s="20"/>
      <c r="O364" s="20"/>
      <c r="P364" s="124"/>
      <c r="Q364" s="127"/>
      <c r="R364" s="20"/>
      <c r="S364" s="20"/>
      <c r="T364" s="20"/>
      <c r="U364" s="124"/>
      <c r="V364" s="127"/>
      <c r="W364" s="20"/>
      <c r="X364" s="20"/>
      <c r="Y364" s="20"/>
      <c r="Z364" s="20"/>
      <c r="AA364" s="20"/>
      <c r="AB364" s="20"/>
      <c r="AC364" s="20"/>
      <c r="AD364" s="20"/>
      <c r="AE364" s="20"/>
      <c r="AF364" s="20"/>
    </row>
    <row r="365" spans="1:32" ht="19.5">
      <c r="A365" s="20"/>
      <c r="B365" s="20"/>
      <c r="C365" s="20"/>
      <c r="D365" s="20"/>
      <c r="E365" s="20"/>
      <c r="F365" s="20"/>
      <c r="G365" s="124"/>
      <c r="H365" s="20"/>
      <c r="I365" s="20"/>
      <c r="J365" s="20"/>
      <c r="K365" s="124"/>
      <c r="L365" s="127"/>
      <c r="M365" s="20"/>
      <c r="N365" s="20"/>
      <c r="O365" s="20"/>
      <c r="P365" s="124"/>
      <c r="Q365" s="127"/>
      <c r="R365" s="20"/>
      <c r="S365" s="20"/>
      <c r="T365" s="20"/>
      <c r="U365" s="124"/>
      <c r="V365" s="127"/>
      <c r="W365" s="20"/>
      <c r="X365" s="20"/>
      <c r="Y365" s="20"/>
      <c r="Z365" s="20"/>
      <c r="AA365" s="20"/>
      <c r="AB365" s="20"/>
      <c r="AC365" s="20"/>
      <c r="AD365" s="20"/>
      <c r="AE365" s="20"/>
      <c r="AF365" s="20"/>
    </row>
    <row r="366" spans="1:32" ht="19.5">
      <c r="A366" s="20"/>
      <c r="B366" s="20"/>
      <c r="C366" s="20"/>
      <c r="D366" s="20"/>
      <c r="E366" s="20"/>
      <c r="F366" s="20"/>
      <c r="G366" s="124"/>
      <c r="H366" s="20"/>
      <c r="I366" s="20"/>
      <c r="J366" s="20"/>
      <c r="K366" s="124"/>
      <c r="L366" s="127"/>
      <c r="M366" s="20"/>
      <c r="N366" s="20"/>
      <c r="O366" s="20"/>
      <c r="P366" s="124"/>
      <c r="Q366" s="127"/>
      <c r="R366" s="20"/>
      <c r="S366" s="20"/>
      <c r="T366" s="20"/>
      <c r="U366" s="124"/>
      <c r="V366" s="127"/>
      <c r="W366" s="20"/>
      <c r="X366" s="20"/>
      <c r="Y366" s="20"/>
      <c r="Z366" s="20"/>
      <c r="AA366" s="20"/>
      <c r="AB366" s="20"/>
      <c r="AC366" s="20"/>
      <c r="AD366" s="20"/>
      <c r="AE366" s="20"/>
      <c r="AF366" s="20"/>
    </row>
    <row r="367" spans="1:32" ht="19.5">
      <c r="A367" s="20"/>
      <c r="B367" s="20"/>
      <c r="C367" s="20"/>
      <c r="D367" s="20"/>
      <c r="E367" s="20"/>
      <c r="F367" s="20"/>
      <c r="G367" s="124"/>
      <c r="H367" s="20"/>
      <c r="I367" s="20"/>
      <c r="J367" s="20"/>
      <c r="K367" s="124"/>
      <c r="L367" s="127"/>
      <c r="M367" s="20"/>
      <c r="N367" s="20"/>
      <c r="O367" s="20"/>
      <c r="P367" s="124"/>
      <c r="Q367" s="127"/>
      <c r="R367" s="20"/>
      <c r="S367" s="20"/>
      <c r="T367" s="20"/>
      <c r="U367" s="124"/>
      <c r="V367" s="127"/>
      <c r="W367" s="20"/>
      <c r="X367" s="20"/>
      <c r="Y367" s="20"/>
      <c r="Z367" s="20"/>
      <c r="AA367" s="20"/>
      <c r="AB367" s="20"/>
      <c r="AC367" s="20"/>
      <c r="AD367" s="20"/>
      <c r="AE367" s="20"/>
      <c r="AF367" s="20"/>
    </row>
    <row r="368" spans="1:32" ht="19.5">
      <c r="A368" s="20"/>
      <c r="B368" s="20"/>
      <c r="C368" s="20"/>
      <c r="D368" s="20"/>
      <c r="E368" s="20"/>
      <c r="F368" s="20"/>
      <c r="G368" s="124"/>
      <c r="H368" s="20"/>
      <c r="I368" s="20"/>
      <c r="J368" s="20"/>
      <c r="K368" s="124"/>
      <c r="L368" s="127"/>
      <c r="M368" s="20"/>
      <c r="N368" s="20"/>
      <c r="O368" s="20"/>
      <c r="P368" s="124"/>
      <c r="Q368" s="127"/>
      <c r="R368" s="20"/>
      <c r="S368" s="20"/>
      <c r="T368" s="20"/>
      <c r="U368" s="124"/>
      <c r="V368" s="127"/>
      <c r="W368" s="20"/>
      <c r="X368" s="20"/>
      <c r="Y368" s="20"/>
      <c r="Z368" s="20"/>
      <c r="AA368" s="20"/>
      <c r="AB368" s="20"/>
      <c r="AC368" s="20"/>
      <c r="AD368" s="20"/>
      <c r="AE368" s="20"/>
      <c r="AF368" s="20"/>
    </row>
    <row r="369" spans="1:32" ht="19.5">
      <c r="A369" s="20"/>
      <c r="B369" s="20"/>
      <c r="C369" s="20"/>
      <c r="D369" s="20"/>
      <c r="E369" s="20"/>
      <c r="F369" s="20"/>
      <c r="G369" s="124"/>
      <c r="H369" s="20"/>
      <c r="I369" s="20"/>
      <c r="J369" s="20"/>
      <c r="K369" s="124"/>
      <c r="L369" s="127"/>
      <c r="M369" s="20"/>
      <c r="N369" s="20"/>
      <c r="O369" s="20"/>
      <c r="P369" s="124"/>
      <c r="Q369" s="127"/>
      <c r="R369" s="20"/>
      <c r="S369" s="20"/>
      <c r="T369" s="20"/>
      <c r="U369" s="124"/>
      <c r="V369" s="127"/>
      <c r="W369" s="20"/>
      <c r="X369" s="20"/>
      <c r="Y369" s="20"/>
      <c r="Z369" s="20"/>
      <c r="AA369" s="20"/>
      <c r="AB369" s="20"/>
      <c r="AC369" s="20"/>
      <c r="AD369" s="20"/>
      <c r="AE369" s="20"/>
      <c r="AF369" s="20"/>
    </row>
    <row r="370" spans="1:32" ht="19.5">
      <c r="A370" s="20"/>
      <c r="B370" s="20"/>
      <c r="C370" s="20"/>
      <c r="D370" s="20"/>
      <c r="E370" s="20"/>
      <c r="F370" s="20"/>
      <c r="G370" s="124"/>
      <c r="H370" s="20"/>
      <c r="I370" s="20"/>
      <c r="J370" s="20"/>
      <c r="K370" s="124"/>
      <c r="L370" s="127"/>
      <c r="M370" s="20"/>
      <c r="N370" s="20"/>
      <c r="O370" s="20"/>
      <c r="P370" s="124"/>
      <c r="Q370" s="127"/>
      <c r="R370" s="20"/>
      <c r="S370" s="20"/>
      <c r="T370" s="20"/>
      <c r="U370" s="124"/>
      <c r="V370" s="127"/>
      <c r="W370" s="20"/>
      <c r="X370" s="20"/>
      <c r="Y370" s="20"/>
      <c r="Z370" s="20"/>
      <c r="AA370" s="20"/>
      <c r="AB370" s="20"/>
      <c r="AC370" s="20"/>
      <c r="AD370" s="20"/>
      <c r="AE370" s="20"/>
      <c r="AF370" s="20"/>
    </row>
    <row r="371" spans="1:32" ht="19.5">
      <c r="A371" s="20"/>
      <c r="B371" s="20"/>
      <c r="C371" s="20"/>
      <c r="D371" s="20"/>
      <c r="E371" s="20"/>
      <c r="F371" s="20"/>
      <c r="G371" s="124"/>
      <c r="H371" s="20"/>
      <c r="I371" s="20"/>
      <c r="J371" s="20"/>
      <c r="K371" s="124"/>
      <c r="L371" s="127"/>
      <c r="M371" s="20"/>
      <c r="N371" s="20"/>
      <c r="O371" s="20"/>
      <c r="P371" s="124"/>
      <c r="Q371" s="127"/>
      <c r="R371" s="20"/>
      <c r="S371" s="20"/>
      <c r="T371" s="20"/>
      <c r="U371" s="124"/>
      <c r="V371" s="127"/>
      <c r="W371" s="20"/>
      <c r="X371" s="20"/>
      <c r="Y371" s="20"/>
      <c r="Z371" s="20"/>
      <c r="AA371" s="20"/>
      <c r="AB371" s="20"/>
      <c r="AC371" s="20"/>
      <c r="AD371" s="20"/>
      <c r="AE371" s="20"/>
      <c r="AF371" s="20"/>
    </row>
    <row r="372" spans="1:32" ht="19.5">
      <c r="A372" s="20"/>
      <c r="B372" s="20"/>
      <c r="C372" s="20"/>
      <c r="D372" s="20"/>
      <c r="E372" s="20"/>
      <c r="F372" s="20"/>
      <c r="G372" s="124"/>
      <c r="H372" s="20"/>
      <c r="I372" s="20"/>
      <c r="J372" s="20"/>
      <c r="K372" s="124"/>
      <c r="L372" s="127"/>
      <c r="M372" s="20"/>
      <c r="N372" s="20"/>
      <c r="O372" s="20"/>
      <c r="P372" s="124"/>
      <c r="Q372" s="127"/>
      <c r="R372" s="20"/>
      <c r="S372" s="20"/>
      <c r="T372" s="20"/>
      <c r="U372" s="124"/>
      <c r="V372" s="127"/>
      <c r="W372" s="20"/>
      <c r="X372" s="20"/>
      <c r="Y372" s="20"/>
      <c r="Z372" s="20"/>
      <c r="AA372" s="20"/>
      <c r="AB372" s="20"/>
      <c r="AC372" s="20"/>
      <c r="AD372" s="20"/>
      <c r="AE372" s="20"/>
      <c r="AF372" s="20"/>
    </row>
    <row r="373" spans="1:32" ht="19.5">
      <c r="A373" s="20"/>
      <c r="B373" s="20"/>
      <c r="C373" s="20"/>
      <c r="D373" s="20"/>
      <c r="E373" s="20"/>
      <c r="F373" s="20"/>
      <c r="G373" s="124"/>
      <c r="H373" s="20"/>
      <c r="I373" s="20"/>
      <c r="J373" s="20"/>
      <c r="K373" s="124"/>
      <c r="L373" s="127"/>
      <c r="M373" s="20"/>
      <c r="N373" s="20"/>
      <c r="O373" s="20"/>
      <c r="P373" s="124"/>
      <c r="Q373" s="127"/>
      <c r="R373" s="20"/>
      <c r="S373" s="20"/>
      <c r="T373" s="20"/>
      <c r="U373" s="124"/>
      <c r="V373" s="127"/>
      <c r="W373" s="20"/>
      <c r="X373" s="20"/>
      <c r="Y373" s="20"/>
      <c r="Z373" s="20"/>
      <c r="AA373" s="20"/>
      <c r="AB373" s="20"/>
      <c r="AC373" s="20"/>
      <c r="AD373" s="20"/>
      <c r="AE373" s="20"/>
      <c r="AF373" s="20"/>
    </row>
    <row r="374" spans="1:32" ht="19.5">
      <c r="A374" s="20"/>
      <c r="B374" s="20"/>
      <c r="C374" s="20"/>
      <c r="D374" s="20"/>
      <c r="E374" s="20"/>
      <c r="F374" s="20"/>
      <c r="G374" s="124"/>
      <c r="H374" s="20"/>
      <c r="I374" s="20"/>
      <c r="J374" s="20"/>
      <c r="K374" s="124"/>
      <c r="L374" s="127"/>
      <c r="M374" s="20"/>
      <c r="N374" s="20"/>
      <c r="O374" s="20"/>
      <c r="P374" s="124"/>
      <c r="Q374" s="127"/>
      <c r="R374" s="20"/>
      <c r="S374" s="20"/>
      <c r="T374" s="20"/>
      <c r="U374" s="124"/>
      <c r="V374" s="127"/>
      <c r="W374" s="20"/>
      <c r="X374" s="20"/>
      <c r="Y374" s="20"/>
      <c r="Z374" s="20"/>
      <c r="AA374" s="20"/>
      <c r="AB374" s="20"/>
      <c r="AC374" s="20"/>
      <c r="AD374" s="20"/>
      <c r="AE374" s="20"/>
      <c r="AF374" s="20"/>
    </row>
    <row r="375" spans="1:32" ht="19.5">
      <c r="A375" s="20"/>
      <c r="B375" s="20"/>
      <c r="C375" s="20"/>
      <c r="D375" s="20"/>
      <c r="E375" s="20"/>
      <c r="F375" s="20"/>
      <c r="G375" s="124"/>
      <c r="H375" s="20"/>
      <c r="I375" s="20"/>
      <c r="J375" s="20"/>
      <c r="K375" s="124"/>
      <c r="L375" s="127"/>
      <c r="M375" s="20"/>
      <c r="N375" s="20"/>
      <c r="O375" s="20"/>
      <c r="P375" s="124"/>
      <c r="Q375" s="127"/>
      <c r="R375" s="20"/>
      <c r="S375" s="20"/>
      <c r="T375" s="20"/>
      <c r="U375" s="124"/>
      <c r="V375" s="127"/>
      <c r="W375" s="20"/>
      <c r="X375" s="20"/>
      <c r="Y375" s="20"/>
      <c r="Z375" s="20"/>
      <c r="AA375" s="20"/>
      <c r="AB375" s="20"/>
      <c r="AC375" s="20"/>
      <c r="AD375" s="20"/>
      <c r="AE375" s="20"/>
      <c r="AF375" s="20"/>
    </row>
    <row r="376" spans="1:32" ht="19.5">
      <c r="A376" s="20"/>
      <c r="B376" s="20"/>
      <c r="C376" s="20"/>
      <c r="D376" s="20"/>
      <c r="E376" s="20"/>
      <c r="F376" s="20"/>
      <c r="G376" s="124"/>
      <c r="H376" s="20"/>
      <c r="I376" s="20"/>
      <c r="J376" s="20"/>
      <c r="K376" s="124"/>
      <c r="L376" s="127"/>
      <c r="M376" s="20"/>
      <c r="N376" s="20"/>
      <c r="O376" s="20"/>
      <c r="P376" s="124"/>
      <c r="Q376" s="127"/>
      <c r="R376" s="20"/>
      <c r="S376" s="20"/>
      <c r="T376" s="20"/>
      <c r="U376" s="124"/>
      <c r="V376" s="127"/>
      <c r="W376" s="20"/>
      <c r="X376" s="20"/>
      <c r="Y376" s="20"/>
      <c r="Z376" s="20"/>
      <c r="AA376" s="20"/>
      <c r="AB376" s="20"/>
      <c r="AC376" s="20"/>
      <c r="AD376" s="20"/>
      <c r="AE376" s="20"/>
      <c r="AF376" s="20"/>
    </row>
    <row r="377" spans="1:32" ht="19.5">
      <c r="A377" s="20"/>
      <c r="B377" s="20"/>
      <c r="C377" s="20"/>
      <c r="D377" s="20"/>
      <c r="E377" s="20"/>
      <c r="F377" s="20"/>
      <c r="G377" s="124"/>
      <c r="H377" s="20"/>
      <c r="I377" s="20"/>
      <c r="J377" s="20"/>
      <c r="K377" s="124"/>
      <c r="L377" s="127"/>
      <c r="M377" s="20"/>
      <c r="N377" s="20"/>
      <c r="O377" s="20"/>
      <c r="P377" s="124"/>
      <c r="Q377" s="127"/>
      <c r="R377" s="20"/>
      <c r="S377" s="20"/>
      <c r="T377" s="20"/>
      <c r="U377" s="124"/>
      <c r="V377" s="127"/>
      <c r="W377" s="20"/>
      <c r="X377" s="20"/>
      <c r="Y377" s="20"/>
      <c r="Z377" s="20"/>
      <c r="AA377" s="20"/>
      <c r="AB377" s="20"/>
      <c r="AC377" s="20"/>
      <c r="AD377" s="20"/>
      <c r="AE377" s="20"/>
      <c r="AF377" s="20"/>
    </row>
    <row r="378" spans="1:32" ht="19.5">
      <c r="A378" s="20"/>
      <c r="B378" s="20"/>
      <c r="C378" s="20"/>
      <c r="D378" s="20"/>
      <c r="E378" s="20"/>
      <c r="F378" s="20"/>
      <c r="G378" s="124"/>
      <c r="H378" s="20"/>
      <c r="I378" s="20"/>
      <c r="J378" s="20"/>
      <c r="K378" s="124"/>
      <c r="L378" s="127"/>
      <c r="M378" s="20"/>
      <c r="N378" s="20"/>
      <c r="O378" s="20"/>
      <c r="P378" s="124"/>
      <c r="Q378" s="127"/>
      <c r="R378" s="20"/>
      <c r="S378" s="20"/>
      <c r="T378" s="20"/>
      <c r="U378" s="124"/>
      <c r="V378" s="127"/>
      <c r="W378" s="20"/>
      <c r="X378" s="20"/>
      <c r="Y378" s="20"/>
      <c r="Z378" s="20"/>
      <c r="AA378" s="20"/>
      <c r="AB378" s="20"/>
      <c r="AC378" s="20"/>
      <c r="AD378" s="20"/>
      <c r="AE378" s="20"/>
      <c r="AF378" s="20"/>
    </row>
    <row r="379" spans="1:32" ht="19.5">
      <c r="A379" s="20"/>
      <c r="B379" s="20"/>
      <c r="C379" s="20"/>
      <c r="D379" s="20"/>
      <c r="E379" s="20"/>
      <c r="F379" s="20"/>
      <c r="G379" s="124"/>
      <c r="H379" s="20"/>
      <c r="I379" s="20"/>
      <c r="J379" s="20"/>
      <c r="K379" s="124"/>
      <c r="L379" s="127"/>
      <c r="M379" s="20"/>
      <c r="N379" s="20"/>
      <c r="O379" s="20"/>
      <c r="P379" s="124"/>
      <c r="Q379" s="127"/>
      <c r="R379" s="20"/>
      <c r="S379" s="20"/>
      <c r="T379" s="20"/>
      <c r="U379" s="124"/>
      <c r="V379" s="127"/>
      <c r="W379" s="20"/>
      <c r="X379" s="20"/>
      <c r="Y379" s="20"/>
      <c r="Z379" s="20"/>
      <c r="AA379" s="20"/>
      <c r="AB379" s="20"/>
      <c r="AC379" s="20"/>
      <c r="AD379" s="20"/>
      <c r="AE379" s="20"/>
      <c r="AF379" s="20"/>
    </row>
    <row r="380" spans="1:32" ht="19.5">
      <c r="A380" s="20"/>
      <c r="B380" s="20"/>
      <c r="C380" s="20"/>
      <c r="D380" s="20"/>
      <c r="E380" s="20"/>
      <c r="F380" s="20"/>
      <c r="G380" s="124"/>
      <c r="H380" s="20"/>
      <c r="I380" s="20"/>
      <c r="J380" s="20"/>
      <c r="K380" s="124"/>
      <c r="L380" s="127"/>
      <c r="M380" s="20"/>
      <c r="N380" s="20"/>
      <c r="O380" s="20"/>
      <c r="P380" s="124"/>
      <c r="Q380" s="127"/>
      <c r="R380" s="20"/>
      <c r="S380" s="20"/>
      <c r="T380" s="20"/>
      <c r="U380" s="124"/>
      <c r="V380" s="127"/>
      <c r="W380" s="20"/>
      <c r="X380" s="20"/>
      <c r="Y380" s="20"/>
      <c r="Z380" s="20"/>
      <c r="AA380" s="20"/>
      <c r="AB380" s="20"/>
      <c r="AC380" s="20"/>
      <c r="AD380" s="20"/>
      <c r="AE380" s="20"/>
      <c r="AF380" s="20"/>
    </row>
    <row r="381" spans="1:32" ht="19.5">
      <c r="A381" s="20"/>
      <c r="B381" s="20"/>
      <c r="C381" s="20"/>
      <c r="D381" s="20"/>
      <c r="E381" s="20"/>
      <c r="F381" s="20"/>
      <c r="G381" s="124"/>
      <c r="H381" s="20"/>
      <c r="I381" s="20"/>
      <c r="J381" s="20"/>
      <c r="K381" s="124"/>
      <c r="L381" s="127"/>
      <c r="M381" s="20"/>
      <c r="N381" s="20"/>
      <c r="O381" s="20"/>
      <c r="P381" s="124"/>
      <c r="Q381" s="127"/>
      <c r="R381" s="20"/>
      <c r="S381" s="20"/>
      <c r="T381" s="20"/>
      <c r="U381" s="124"/>
      <c r="V381" s="127"/>
      <c r="W381" s="20"/>
      <c r="X381" s="20"/>
      <c r="Y381" s="20"/>
      <c r="Z381" s="20"/>
      <c r="AA381" s="20"/>
      <c r="AB381" s="20"/>
      <c r="AC381" s="20"/>
      <c r="AD381" s="20"/>
      <c r="AE381" s="20"/>
      <c r="AF381" s="20"/>
    </row>
    <row r="382" spans="1:32" ht="19.5">
      <c r="A382" s="20"/>
      <c r="B382" s="20"/>
      <c r="C382" s="20"/>
      <c r="D382" s="20"/>
      <c r="E382" s="20"/>
      <c r="F382" s="20"/>
      <c r="G382" s="124"/>
      <c r="H382" s="20"/>
      <c r="I382" s="20"/>
      <c r="J382" s="20"/>
      <c r="K382" s="124"/>
      <c r="L382" s="127"/>
      <c r="M382" s="20"/>
      <c r="N382" s="20"/>
      <c r="O382" s="20"/>
      <c r="P382" s="124"/>
      <c r="Q382" s="127"/>
      <c r="R382" s="20"/>
      <c r="S382" s="20"/>
      <c r="T382" s="20"/>
      <c r="U382" s="124"/>
      <c r="V382" s="127"/>
      <c r="W382" s="20"/>
      <c r="X382" s="20"/>
      <c r="Y382" s="20"/>
      <c r="Z382" s="20"/>
      <c r="AA382" s="20"/>
      <c r="AB382" s="20"/>
      <c r="AC382" s="20"/>
      <c r="AD382" s="20"/>
      <c r="AE382" s="20"/>
      <c r="AF382" s="20"/>
    </row>
    <row r="383" spans="1:32" ht="19.5">
      <c r="A383" s="20"/>
      <c r="B383" s="20"/>
      <c r="C383" s="20"/>
      <c r="D383" s="20"/>
      <c r="E383" s="20"/>
      <c r="F383" s="20"/>
      <c r="G383" s="124"/>
      <c r="H383" s="20"/>
      <c r="I383" s="20"/>
      <c r="J383" s="20"/>
      <c r="K383" s="124"/>
      <c r="L383" s="127"/>
      <c r="M383" s="20"/>
      <c r="N383" s="20"/>
      <c r="O383" s="20"/>
      <c r="P383" s="124"/>
      <c r="Q383" s="127"/>
      <c r="R383" s="20"/>
      <c r="S383" s="20"/>
      <c r="T383" s="20"/>
      <c r="U383" s="124"/>
      <c r="V383" s="127"/>
      <c r="W383" s="20"/>
      <c r="X383" s="20"/>
      <c r="Y383" s="20"/>
      <c r="Z383" s="20"/>
      <c r="AA383" s="20"/>
      <c r="AB383" s="20"/>
      <c r="AC383" s="20"/>
      <c r="AD383" s="20"/>
      <c r="AE383" s="20"/>
      <c r="AF383" s="20"/>
    </row>
    <row r="384" spans="1:32" ht="19.5">
      <c r="A384" s="20"/>
      <c r="B384" s="20"/>
      <c r="C384" s="20"/>
      <c r="D384" s="20"/>
      <c r="E384" s="20"/>
      <c r="F384" s="20"/>
      <c r="G384" s="124"/>
      <c r="H384" s="20"/>
      <c r="I384" s="20"/>
      <c r="J384" s="20"/>
      <c r="K384" s="124"/>
      <c r="L384" s="127"/>
      <c r="M384" s="20"/>
      <c r="N384" s="20"/>
      <c r="O384" s="20"/>
      <c r="P384" s="124"/>
      <c r="Q384" s="127"/>
      <c r="R384" s="20"/>
      <c r="S384" s="20"/>
      <c r="T384" s="20"/>
      <c r="U384" s="124"/>
      <c r="V384" s="127"/>
      <c r="W384" s="20"/>
      <c r="X384" s="20"/>
      <c r="Y384" s="20"/>
      <c r="Z384" s="20"/>
      <c r="AA384" s="20"/>
      <c r="AB384" s="20"/>
      <c r="AC384" s="20"/>
      <c r="AD384" s="20"/>
      <c r="AE384" s="20"/>
      <c r="AF384" s="20"/>
    </row>
    <row r="385" spans="1:32" ht="19.5">
      <c r="A385" s="20"/>
      <c r="B385" s="20"/>
      <c r="C385" s="20"/>
      <c r="D385" s="20"/>
      <c r="E385" s="20"/>
      <c r="F385" s="20"/>
      <c r="G385" s="124"/>
      <c r="H385" s="20"/>
      <c r="I385" s="20"/>
      <c r="J385" s="20"/>
      <c r="K385" s="124"/>
      <c r="L385" s="127"/>
      <c r="M385" s="20"/>
      <c r="N385" s="20"/>
      <c r="O385" s="20"/>
      <c r="P385" s="124"/>
      <c r="Q385" s="127"/>
      <c r="R385" s="20"/>
      <c r="S385" s="20"/>
      <c r="T385" s="20"/>
      <c r="U385" s="124"/>
      <c r="V385" s="127"/>
      <c r="W385" s="20"/>
      <c r="X385" s="20"/>
      <c r="Y385" s="20"/>
      <c r="Z385" s="20"/>
      <c r="AA385" s="20"/>
      <c r="AB385" s="20"/>
      <c r="AC385" s="20"/>
      <c r="AD385" s="20"/>
      <c r="AE385" s="20"/>
      <c r="AF385" s="20"/>
    </row>
    <row r="386" spans="1:32" ht="19.5">
      <c r="A386" s="20"/>
      <c r="B386" s="20"/>
      <c r="C386" s="20"/>
      <c r="D386" s="20"/>
      <c r="E386" s="20"/>
      <c r="F386" s="20"/>
      <c r="G386" s="124"/>
      <c r="H386" s="20"/>
      <c r="I386" s="20"/>
      <c r="J386" s="20"/>
      <c r="K386" s="124"/>
      <c r="L386" s="127"/>
      <c r="M386" s="20"/>
      <c r="N386" s="20"/>
      <c r="O386" s="20"/>
      <c r="P386" s="124"/>
      <c r="Q386" s="127"/>
      <c r="R386" s="20"/>
      <c r="S386" s="20"/>
      <c r="T386" s="20"/>
      <c r="U386" s="124"/>
      <c r="V386" s="127"/>
      <c r="W386" s="20"/>
      <c r="X386" s="20"/>
      <c r="Y386" s="20"/>
      <c r="Z386" s="20"/>
      <c r="AA386" s="20"/>
      <c r="AB386" s="20"/>
      <c r="AC386" s="20"/>
      <c r="AD386" s="20"/>
      <c r="AE386" s="20"/>
      <c r="AF386" s="20"/>
    </row>
    <row r="387" spans="1:32" ht="19.5">
      <c r="A387" s="20"/>
      <c r="B387" s="20"/>
      <c r="C387" s="20"/>
      <c r="D387" s="20"/>
      <c r="E387" s="20"/>
      <c r="F387" s="20"/>
      <c r="G387" s="124"/>
      <c r="H387" s="20"/>
      <c r="I387" s="20"/>
      <c r="J387" s="20"/>
      <c r="K387" s="124"/>
      <c r="L387" s="127"/>
      <c r="M387" s="20"/>
      <c r="N387" s="20"/>
      <c r="O387" s="20"/>
      <c r="P387" s="124"/>
      <c r="Q387" s="127"/>
      <c r="R387" s="20"/>
      <c r="S387" s="20"/>
      <c r="T387" s="20"/>
      <c r="U387" s="124"/>
      <c r="V387" s="127"/>
      <c r="W387" s="20"/>
      <c r="X387" s="20"/>
      <c r="Y387" s="20"/>
      <c r="Z387" s="20"/>
      <c r="AA387" s="20"/>
      <c r="AB387" s="20"/>
      <c r="AC387" s="20"/>
      <c r="AD387" s="20"/>
      <c r="AE387" s="20"/>
      <c r="AF387" s="20"/>
    </row>
    <row r="388" spans="1:32" ht="19.5">
      <c r="A388" s="20"/>
      <c r="B388" s="20"/>
      <c r="C388" s="20"/>
      <c r="D388" s="20"/>
      <c r="E388" s="20"/>
      <c r="F388" s="20"/>
      <c r="G388" s="124"/>
      <c r="H388" s="20"/>
      <c r="I388" s="20"/>
      <c r="J388" s="20"/>
      <c r="K388" s="124"/>
      <c r="L388" s="127"/>
      <c r="M388" s="20"/>
      <c r="N388" s="20"/>
      <c r="O388" s="20"/>
      <c r="P388" s="124"/>
      <c r="Q388" s="127"/>
      <c r="R388" s="20"/>
      <c r="S388" s="20"/>
      <c r="T388" s="20"/>
      <c r="U388" s="124"/>
      <c r="V388" s="127"/>
      <c r="W388" s="20"/>
      <c r="X388" s="20"/>
      <c r="Y388" s="20"/>
      <c r="Z388" s="20"/>
      <c r="AA388" s="20"/>
      <c r="AB388" s="20"/>
      <c r="AC388" s="20"/>
      <c r="AD388" s="20"/>
      <c r="AE388" s="20"/>
      <c r="AF388" s="20"/>
    </row>
    <row r="389" spans="1:32" ht="19.5">
      <c r="A389" s="20"/>
      <c r="B389" s="20"/>
      <c r="C389" s="20"/>
      <c r="D389" s="20"/>
      <c r="E389" s="20"/>
      <c r="F389" s="20"/>
      <c r="G389" s="124"/>
      <c r="H389" s="20"/>
      <c r="I389" s="20"/>
      <c r="J389" s="20"/>
      <c r="K389" s="124"/>
      <c r="L389" s="127"/>
      <c r="M389" s="20"/>
      <c r="N389" s="20"/>
      <c r="O389" s="20"/>
      <c r="P389" s="124"/>
      <c r="Q389" s="127"/>
      <c r="R389" s="20"/>
      <c r="S389" s="20"/>
      <c r="T389" s="20"/>
      <c r="U389" s="124"/>
      <c r="V389" s="127"/>
      <c r="W389" s="20"/>
      <c r="X389" s="20"/>
      <c r="Y389" s="20"/>
      <c r="Z389" s="20"/>
      <c r="AA389" s="20"/>
      <c r="AB389" s="20"/>
      <c r="AC389" s="20"/>
      <c r="AD389" s="20"/>
      <c r="AE389" s="20"/>
      <c r="AF389" s="20"/>
    </row>
    <row r="390" spans="1:32" ht="19.5">
      <c r="A390" s="20"/>
      <c r="B390" s="20"/>
      <c r="C390" s="20"/>
      <c r="D390" s="20"/>
      <c r="E390" s="20"/>
      <c r="F390" s="20"/>
      <c r="G390" s="124"/>
      <c r="H390" s="20"/>
      <c r="I390" s="20"/>
      <c r="J390" s="20"/>
      <c r="K390" s="124"/>
      <c r="L390" s="127"/>
      <c r="M390" s="20"/>
      <c r="N390" s="20"/>
      <c r="O390" s="20"/>
      <c r="P390" s="124"/>
      <c r="Q390" s="127"/>
      <c r="R390" s="20"/>
      <c r="S390" s="20"/>
      <c r="T390" s="20"/>
      <c r="U390" s="124"/>
      <c r="V390" s="127"/>
      <c r="W390" s="20"/>
      <c r="X390" s="20"/>
      <c r="Y390" s="20"/>
      <c r="Z390" s="20"/>
      <c r="AA390" s="20"/>
      <c r="AB390" s="20"/>
      <c r="AC390" s="20"/>
      <c r="AD390" s="20"/>
      <c r="AE390" s="20"/>
      <c r="AF390" s="20"/>
    </row>
    <row r="391" spans="1:32" ht="19.5">
      <c r="A391" s="20"/>
      <c r="B391" s="20"/>
      <c r="C391" s="20"/>
      <c r="D391" s="20"/>
      <c r="E391" s="20"/>
      <c r="F391" s="20"/>
      <c r="G391" s="124"/>
      <c r="H391" s="20"/>
      <c r="I391" s="20"/>
      <c r="J391" s="20"/>
      <c r="K391" s="124"/>
      <c r="L391" s="127"/>
      <c r="M391" s="20"/>
      <c r="N391" s="20"/>
      <c r="O391" s="20"/>
      <c r="P391" s="124"/>
      <c r="Q391" s="127"/>
      <c r="R391" s="20"/>
      <c r="S391" s="20"/>
      <c r="T391" s="20"/>
      <c r="U391" s="124"/>
      <c r="V391" s="127"/>
      <c r="W391" s="20"/>
      <c r="X391" s="20"/>
      <c r="Y391" s="20"/>
      <c r="Z391" s="20"/>
      <c r="AA391" s="20"/>
      <c r="AB391" s="20"/>
      <c r="AC391" s="20"/>
      <c r="AD391" s="20"/>
      <c r="AE391" s="20"/>
      <c r="AF391" s="20"/>
    </row>
    <row r="392" spans="1:32" ht="19.5">
      <c r="A392" s="20"/>
      <c r="B392" s="20"/>
      <c r="C392" s="20"/>
      <c r="D392" s="20"/>
      <c r="E392" s="20"/>
      <c r="F392" s="20"/>
      <c r="G392" s="124"/>
      <c r="H392" s="20"/>
      <c r="I392" s="20"/>
      <c r="J392" s="20"/>
      <c r="K392" s="124"/>
      <c r="L392" s="127"/>
      <c r="M392" s="20"/>
      <c r="N392" s="20"/>
      <c r="O392" s="20"/>
      <c r="P392" s="124"/>
      <c r="Q392" s="127"/>
      <c r="R392" s="20"/>
      <c r="S392" s="20"/>
      <c r="T392" s="20"/>
      <c r="U392" s="124"/>
      <c r="V392" s="127"/>
      <c r="W392" s="20"/>
      <c r="X392" s="20"/>
      <c r="Y392" s="20"/>
      <c r="Z392" s="20"/>
      <c r="AA392" s="20"/>
      <c r="AB392" s="20"/>
      <c r="AC392" s="20"/>
      <c r="AD392" s="20"/>
      <c r="AE392" s="20"/>
      <c r="AF392" s="20"/>
    </row>
    <row r="393" spans="1:32" ht="19.5">
      <c r="A393" s="20"/>
      <c r="B393" s="20"/>
      <c r="C393" s="20"/>
      <c r="D393" s="20"/>
      <c r="E393" s="20"/>
      <c r="F393" s="20"/>
      <c r="G393" s="124"/>
      <c r="H393" s="20"/>
      <c r="I393" s="20"/>
      <c r="J393" s="20"/>
      <c r="K393" s="124"/>
      <c r="L393" s="127"/>
      <c r="M393" s="20"/>
      <c r="N393" s="20"/>
      <c r="O393" s="20"/>
      <c r="P393" s="124"/>
      <c r="Q393" s="127"/>
      <c r="R393" s="20"/>
      <c r="S393" s="20"/>
      <c r="T393" s="20"/>
      <c r="U393" s="124"/>
      <c r="V393" s="127"/>
      <c r="W393" s="20"/>
      <c r="X393" s="20"/>
      <c r="Y393" s="20"/>
      <c r="Z393" s="20"/>
      <c r="AA393" s="20"/>
      <c r="AB393" s="20"/>
      <c r="AC393" s="20"/>
      <c r="AD393" s="20"/>
      <c r="AE393" s="20"/>
      <c r="AF393" s="20"/>
    </row>
    <row r="394" spans="1:32" ht="19.5">
      <c r="A394" s="20"/>
      <c r="B394" s="20"/>
      <c r="C394" s="20"/>
      <c r="D394" s="20"/>
      <c r="E394" s="20"/>
      <c r="F394" s="20"/>
      <c r="G394" s="124"/>
      <c r="H394" s="20"/>
      <c r="I394" s="20"/>
      <c r="J394" s="20"/>
      <c r="K394" s="124"/>
      <c r="L394" s="127"/>
      <c r="M394" s="20"/>
      <c r="N394" s="20"/>
      <c r="O394" s="20"/>
      <c r="P394" s="124"/>
      <c r="Q394" s="127"/>
      <c r="R394" s="20"/>
      <c r="S394" s="20"/>
      <c r="T394" s="20"/>
      <c r="U394" s="124"/>
      <c r="V394" s="127"/>
      <c r="W394" s="20"/>
      <c r="X394" s="20"/>
      <c r="Y394" s="20"/>
      <c r="Z394" s="20"/>
      <c r="AA394" s="20"/>
      <c r="AB394" s="20"/>
      <c r="AC394" s="20"/>
      <c r="AD394" s="20"/>
      <c r="AE394" s="20"/>
      <c r="AF394" s="20"/>
    </row>
    <row r="395" spans="1:32" ht="19.5">
      <c r="A395" s="20"/>
      <c r="B395" s="20"/>
      <c r="C395" s="20"/>
      <c r="D395" s="20"/>
      <c r="E395" s="20"/>
      <c r="F395" s="20"/>
      <c r="G395" s="124"/>
      <c r="H395" s="20"/>
      <c r="I395" s="20"/>
      <c r="J395" s="20"/>
      <c r="K395" s="124"/>
      <c r="L395" s="127"/>
      <c r="M395" s="20"/>
      <c r="N395" s="20"/>
      <c r="O395" s="20"/>
      <c r="P395" s="124"/>
      <c r="Q395" s="127"/>
      <c r="R395" s="20"/>
      <c r="S395" s="20"/>
      <c r="T395" s="20"/>
      <c r="U395" s="124"/>
      <c r="V395" s="127"/>
      <c r="W395" s="20"/>
      <c r="X395" s="20"/>
      <c r="Y395" s="20"/>
      <c r="Z395" s="20"/>
      <c r="AA395" s="20"/>
      <c r="AB395" s="20"/>
      <c r="AC395" s="20"/>
      <c r="AD395" s="20"/>
      <c r="AE395" s="20"/>
      <c r="AF395" s="20"/>
    </row>
    <row r="396" spans="1:32" ht="19.5">
      <c r="A396" s="20"/>
      <c r="B396" s="20"/>
      <c r="C396" s="20"/>
      <c r="D396" s="20"/>
      <c r="E396" s="20"/>
      <c r="F396" s="20"/>
      <c r="G396" s="124"/>
      <c r="H396" s="20"/>
      <c r="I396" s="20"/>
      <c r="J396" s="20"/>
      <c r="K396" s="124"/>
      <c r="L396" s="127"/>
      <c r="M396" s="20"/>
      <c r="N396" s="20"/>
      <c r="O396" s="20"/>
      <c r="P396" s="124"/>
      <c r="Q396" s="127"/>
      <c r="R396" s="20"/>
      <c r="S396" s="20"/>
      <c r="T396" s="20"/>
      <c r="U396" s="124"/>
      <c r="V396" s="127"/>
      <c r="W396" s="20"/>
      <c r="X396" s="20"/>
      <c r="Y396" s="20"/>
      <c r="Z396" s="20"/>
      <c r="AA396" s="20"/>
      <c r="AB396" s="20"/>
      <c r="AC396" s="20"/>
      <c r="AD396" s="20"/>
      <c r="AE396" s="20"/>
      <c r="AF396" s="20"/>
    </row>
    <row r="397" spans="1:32" ht="19.5">
      <c r="A397" s="20"/>
      <c r="B397" s="20"/>
      <c r="C397" s="20"/>
      <c r="D397" s="20"/>
      <c r="E397" s="20"/>
      <c r="F397" s="20"/>
      <c r="G397" s="124"/>
      <c r="H397" s="20"/>
      <c r="I397" s="20"/>
      <c r="J397" s="20"/>
      <c r="K397" s="124"/>
      <c r="L397" s="127"/>
      <c r="M397" s="20"/>
      <c r="N397" s="20"/>
      <c r="O397" s="20"/>
      <c r="P397" s="124"/>
      <c r="Q397" s="127"/>
      <c r="R397" s="20"/>
      <c r="S397" s="20"/>
      <c r="T397" s="20"/>
      <c r="U397" s="124"/>
      <c r="V397" s="127"/>
      <c r="W397" s="20"/>
      <c r="X397" s="20"/>
      <c r="Y397" s="20"/>
      <c r="Z397" s="20"/>
      <c r="AA397" s="20"/>
      <c r="AB397" s="20"/>
      <c r="AC397" s="20"/>
      <c r="AD397" s="20"/>
      <c r="AE397" s="20"/>
      <c r="AF397" s="20"/>
    </row>
    <row r="398" spans="1:32" ht="19.5">
      <c r="A398" s="20"/>
      <c r="B398" s="20"/>
      <c r="C398" s="20"/>
      <c r="D398" s="20"/>
      <c r="E398" s="20"/>
      <c r="F398" s="20"/>
      <c r="G398" s="124"/>
      <c r="H398" s="20"/>
      <c r="I398" s="20"/>
      <c r="J398" s="20"/>
      <c r="K398" s="124"/>
      <c r="L398" s="127"/>
      <c r="M398" s="20"/>
      <c r="N398" s="20"/>
      <c r="O398" s="20"/>
      <c r="P398" s="124"/>
      <c r="Q398" s="127"/>
      <c r="R398" s="20"/>
      <c r="S398" s="20"/>
      <c r="T398" s="20"/>
      <c r="U398" s="124"/>
      <c r="V398" s="127"/>
      <c r="W398" s="20"/>
      <c r="X398" s="20"/>
      <c r="Y398" s="20"/>
      <c r="Z398" s="20"/>
      <c r="AA398" s="20"/>
      <c r="AB398" s="20"/>
      <c r="AC398" s="20"/>
      <c r="AD398" s="20"/>
      <c r="AE398" s="20"/>
      <c r="AF398" s="20"/>
    </row>
    <row r="399" spans="1:32" ht="19.5">
      <c r="A399" s="20"/>
      <c r="B399" s="20"/>
      <c r="C399" s="20"/>
      <c r="D399" s="20"/>
      <c r="E399" s="20"/>
      <c r="F399" s="20"/>
      <c r="G399" s="124"/>
      <c r="H399" s="20"/>
      <c r="I399" s="20"/>
      <c r="J399" s="20"/>
      <c r="K399" s="124"/>
      <c r="L399" s="127"/>
      <c r="M399" s="20"/>
      <c r="N399" s="20"/>
      <c r="O399" s="20"/>
      <c r="P399" s="124"/>
      <c r="Q399" s="127"/>
      <c r="R399" s="20"/>
      <c r="S399" s="20"/>
      <c r="T399" s="20"/>
      <c r="U399" s="124"/>
      <c r="V399" s="127"/>
      <c r="W399" s="20"/>
      <c r="X399" s="20"/>
      <c r="Y399" s="20"/>
      <c r="Z399" s="20"/>
      <c r="AA399" s="20"/>
      <c r="AB399" s="20"/>
      <c r="AC399" s="20"/>
      <c r="AD399" s="20"/>
      <c r="AE399" s="20"/>
      <c r="AF399" s="20"/>
    </row>
    <row r="400" spans="1:32" ht="19.5">
      <c r="A400" s="20"/>
      <c r="B400" s="20"/>
      <c r="C400" s="20"/>
      <c r="D400" s="20"/>
      <c r="E400" s="20"/>
      <c r="F400" s="20"/>
      <c r="G400" s="124"/>
      <c r="H400" s="20"/>
      <c r="I400" s="20"/>
      <c r="J400" s="20"/>
      <c r="K400" s="124"/>
      <c r="L400" s="127"/>
      <c r="M400" s="20"/>
      <c r="N400" s="20"/>
      <c r="O400" s="20"/>
      <c r="P400" s="124"/>
      <c r="Q400" s="127"/>
      <c r="R400" s="20"/>
      <c r="S400" s="20"/>
      <c r="T400" s="20"/>
      <c r="U400" s="124"/>
      <c r="V400" s="127"/>
      <c r="W400" s="20"/>
      <c r="X400" s="20"/>
      <c r="Y400" s="20"/>
      <c r="Z400" s="20"/>
      <c r="AA400" s="20"/>
      <c r="AB400" s="20"/>
      <c r="AC400" s="20"/>
      <c r="AD400" s="20"/>
      <c r="AE400" s="20"/>
      <c r="AF400" s="20"/>
    </row>
    <row r="401" spans="1:32" ht="19.5">
      <c r="A401" s="20"/>
      <c r="B401" s="20"/>
      <c r="C401" s="20"/>
      <c r="D401" s="20"/>
      <c r="E401" s="20"/>
      <c r="F401" s="20"/>
      <c r="G401" s="124"/>
      <c r="H401" s="20"/>
      <c r="I401" s="20"/>
      <c r="J401" s="20"/>
      <c r="K401" s="124"/>
      <c r="L401" s="127"/>
      <c r="M401" s="20"/>
      <c r="N401" s="20"/>
      <c r="O401" s="20"/>
      <c r="P401" s="124"/>
      <c r="Q401" s="127"/>
      <c r="R401" s="20"/>
      <c r="S401" s="20"/>
      <c r="T401" s="20"/>
      <c r="U401" s="124"/>
      <c r="V401" s="127"/>
      <c r="W401" s="20"/>
      <c r="X401" s="20"/>
      <c r="Y401" s="20"/>
      <c r="Z401" s="20"/>
      <c r="AA401" s="20"/>
      <c r="AB401" s="20"/>
      <c r="AC401" s="20"/>
      <c r="AD401" s="20"/>
      <c r="AE401" s="20"/>
      <c r="AF401" s="20"/>
    </row>
    <row r="402" spans="1:32" ht="19.5">
      <c r="A402" s="20"/>
      <c r="B402" s="20"/>
      <c r="C402" s="20"/>
      <c r="D402" s="20"/>
      <c r="E402" s="20"/>
      <c r="F402" s="20"/>
      <c r="G402" s="124"/>
      <c r="H402" s="20"/>
      <c r="I402" s="20"/>
      <c r="J402" s="20"/>
      <c r="K402" s="124"/>
      <c r="L402" s="127"/>
      <c r="M402" s="20"/>
      <c r="N402" s="20"/>
      <c r="O402" s="20"/>
      <c r="P402" s="124"/>
      <c r="Q402" s="127"/>
      <c r="R402" s="20"/>
      <c r="S402" s="20"/>
      <c r="T402" s="20"/>
      <c r="U402" s="124"/>
      <c r="V402" s="127"/>
      <c r="W402" s="20"/>
      <c r="X402" s="20"/>
      <c r="Y402" s="20"/>
      <c r="Z402" s="20"/>
      <c r="AA402" s="20"/>
      <c r="AB402" s="20"/>
      <c r="AC402" s="20"/>
      <c r="AD402" s="20"/>
      <c r="AE402" s="20"/>
      <c r="AF402" s="20"/>
    </row>
    <row r="403" spans="1:32" ht="19.5">
      <c r="A403" s="20"/>
      <c r="B403" s="20"/>
      <c r="C403" s="20"/>
      <c r="D403" s="20"/>
      <c r="E403" s="20"/>
      <c r="F403" s="20"/>
      <c r="G403" s="124"/>
      <c r="H403" s="20"/>
      <c r="I403" s="20"/>
      <c r="J403" s="20"/>
      <c r="K403" s="124"/>
      <c r="L403" s="127"/>
      <c r="M403" s="20"/>
      <c r="N403" s="20"/>
      <c r="O403" s="20"/>
      <c r="P403" s="124"/>
      <c r="Q403" s="127"/>
      <c r="R403" s="20"/>
      <c r="S403" s="20"/>
      <c r="T403" s="20"/>
      <c r="U403" s="124"/>
      <c r="V403" s="127"/>
      <c r="W403" s="20"/>
      <c r="X403" s="20"/>
      <c r="Y403" s="20"/>
      <c r="Z403" s="20"/>
      <c r="AA403" s="20"/>
      <c r="AB403" s="20"/>
      <c r="AC403" s="20"/>
      <c r="AD403" s="20"/>
      <c r="AE403" s="20"/>
      <c r="AF403" s="20"/>
    </row>
    <row r="404" spans="1:32" ht="19.5">
      <c r="A404" s="20"/>
      <c r="B404" s="20"/>
      <c r="C404" s="20"/>
      <c r="D404" s="20"/>
      <c r="E404" s="20"/>
      <c r="F404" s="20"/>
      <c r="G404" s="124"/>
      <c r="H404" s="20"/>
      <c r="I404" s="20"/>
      <c r="J404" s="20"/>
      <c r="K404" s="124"/>
      <c r="L404" s="127"/>
      <c r="M404" s="20"/>
      <c r="N404" s="20"/>
      <c r="O404" s="20"/>
      <c r="P404" s="124"/>
      <c r="Q404" s="127"/>
      <c r="R404" s="20"/>
      <c r="S404" s="20"/>
      <c r="T404" s="20"/>
      <c r="U404" s="124"/>
      <c r="V404" s="127"/>
      <c r="W404" s="20"/>
      <c r="X404" s="20"/>
      <c r="Y404" s="20"/>
      <c r="Z404" s="20"/>
      <c r="AA404" s="20"/>
      <c r="AB404" s="20"/>
      <c r="AC404" s="20"/>
      <c r="AD404" s="20"/>
      <c r="AE404" s="20"/>
      <c r="AF404" s="20"/>
    </row>
    <row r="405" spans="1:32" ht="19.5">
      <c r="A405" s="20"/>
      <c r="B405" s="20"/>
      <c r="C405" s="20"/>
      <c r="D405" s="20"/>
      <c r="E405" s="20"/>
      <c r="F405" s="20"/>
      <c r="G405" s="124"/>
      <c r="H405" s="20"/>
      <c r="I405" s="20"/>
      <c r="J405" s="20"/>
      <c r="K405" s="124"/>
      <c r="L405" s="127"/>
      <c r="M405" s="20"/>
      <c r="N405" s="20"/>
      <c r="O405" s="20"/>
      <c r="P405" s="124"/>
      <c r="Q405" s="127"/>
      <c r="R405" s="20"/>
      <c r="S405" s="20"/>
      <c r="T405" s="20"/>
      <c r="U405" s="124"/>
      <c r="V405" s="127"/>
      <c r="W405" s="20"/>
      <c r="X405" s="20"/>
      <c r="Y405" s="20"/>
      <c r="Z405" s="20"/>
      <c r="AA405" s="20"/>
      <c r="AB405" s="20"/>
      <c r="AC405" s="20"/>
      <c r="AD405" s="20"/>
      <c r="AE405" s="20"/>
      <c r="AF405" s="20"/>
    </row>
    <row r="406" spans="1:32" ht="19.5">
      <c r="A406" s="20"/>
      <c r="B406" s="20"/>
      <c r="C406" s="20"/>
      <c r="D406" s="20"/>
      <c r="E406" s="20"/>
      <c r="F406" s="20"/>
      <c r="G406" s="124"/>
      <c r="H406" s="20"/>
      <c r="I406" s="20"/>
      <c r="J406" s="20"/>
      <c r="K406" s="124"/>
      <c r="L406" s="127"/>
      <c r="M406" s="20"/>
      <c r="N406" s="20"/>
      <c r="O406" s="20"/>
      <c r="P406" s="124"/>
      <c r="Q406" s="127"/>
      <c r="R406" s="20"/>
      <c r="S406" s="20"/>
      <c r="T406" s="20"/>
      <c r="U406" s="124"/>
      <c r="V406" s="127"/>
      <c r="W406" s="20"/>
      <c r="X406" s="20"/>
      <c r="Y406" s="20"/>
      <c r="Z406" s="20"/>
      <c r="AA406" s="20"/>
      <c r="AB406" s="20"/>
      <c r="AC406" s="20"/>
      <c r="AD406" s="20"/>
      <c r="AE406" s="20"/>
      <c r="AF406" s="20"/>
    </row>
    <row r="407" spans="1:32" ht="19.5">
      <c r="A407" s="20"/>
      <c r="B407" s="20"/>
      <c r="C407" s="20"/>
      <c r="D407" s="20"/>
      <c r="E407" s="20"/>
      <c r="F407" s="20"/>
      <c r="G407" s="124"/>
      <c r="H407" s="20"/>
      <c r="I407" s="20"/>
      <c r="J407" s="20"/>
      <c r="K407" s="124"/>
      <c r="L407" s="127"/>
      <c r="M407" s="20"/>
      <c r="N407" s="20"/>
      <c r="O407" s="20"/>
      <c r="P407" s="124"/>
      <c r="Q407" s="127"/>
      <c r="R407" s="20"/>
      <c r="S407" s="20"/>
      <c r="T407" s="20"/>
      <c r="U407" s="124"/>
      <c r="V407" s="127"/>
      <c r="W407" s="20"/>
      <c r="X407" s="20"/>
      <c r="Y407" s="20"/>
      <c r="Z407" s="20"/>
      <c r="AA407" s="20"/>
      <c r="AB407" s="20"/>
      <c r="AC407" s="20"/>
      <c r="AD407" s="20"/>
      <c r="AE407" s="20"/>
      <c r="AF407" s="20"/>
    </row>
    <row r="408" spans="1:32" ht="19.5">
      <c r="A408" s="20"/>
      <c r="B408" s="20"/>
      <c r="C408" s="20"/>
      <c r="D408" s="20"/>
      <c r="E408" s="20"/>
      <c r="F408" s="20"/>
      <c r="G408" s="124"/>
      <c r="H408" s="20"/>
      <c r="I408" s="20"/>
      <c r="J408" s="20"/>
      <c r="K408" s="124"/>
      <c r="L408" s="127"/>
      <c r="M408" s="20"/>
      <c r="N408" s="20"/>
      <c r="O408" s="20"/>
      <c r="P408" s="124"/>
      <c r="Q408" s="127"/>
      <c r="R408" s="20"/>
      <c r="S408" s="20"/>
      <c r="T408" s="20"/>
      <c r="U408" s="124"/>
      <c r="V408" s="127"/>
      <c r="W408" s="20"/>
      <c r="X408" s="20"/>
      <c r="Y408" s="20"/>
      <c r="Z408" s="20"/>
      <c r="AA408" s="20"/>
      <c r="AB408" s="20"/>
      <c r="AC408" s="20"/>
      <c r="AD408" s="20"/>
      <c r="AE408" s="20"/>
      <c r="AF408" s="20"/>
    </row>
    <row r="409" spans="1:32" ht="19.5">
      <c r="A409" s="20"/>
      <c r="B409" s="20"/>
      <c r="C409" s="20"/>
      <c r="D409" s="20"/>
      <c r="E409" s="20"/>
      <c r="F409" s="20"/>
      <c r="G409" s="124"/>
      <c r="H409" s="20"/>
      <c r="I409" s="20"/>
      <c r="J409" s="20"/>
      <c r="K409" s="124"/>
      <c r="L409" s="127"/>
      <c r="M409" s="20"/>
      <c r="N409" s="20"/>
      <c r="O409" s="20"/>
      <c r="P409" s="124"/>
      <c r="Q409" s="127"/>
      <c r="R409" s="20"/>
      <c r="S409" s="20"/>
      <c r="T409" s="20"/>
      <c r="U409" s="124"/>
      <c r="V409" s="127"/>
      <c r="W409" s="20"/>
      <c r="X409" s="20"/>
      <c r="Y409" s="20"/>
      <c r="Z409" s="20"/>
      <c r="AA409" s="20"/>
      <c r="AB409" s="20"/>
      <c r="AC409" s="20"/>
      <c r="AD409" s="20"/>
      <c r="AE409" s="20"/>
      <c r="AF409" s="20"/>
    </row>
    <row r="410" spans="1:32" ht="19.5">
      <c r="A410" s="20"/>
      <c r="B410" s="20"/>
      <c r="C410" s="20"/>
      <c r="D410" s="20"/>
      <c r="E410" s="20"/>
      <c r="F410" s="20"/>
      <c r="G410" s="124"/>
      <c r="H410" s="20"/>
      <c r="I410" s="20"/>
      <c r="J410" s="20"/>
      <c r="K410" s="124"/>
      <c r="L410" s="127"/>
      <c r="M410" s="20"/>
      <c r="N410" s="20"/>
      <c r="O410" s="20"/>
      <c r="P410" s="124"/>
      <c r="Q410" s="127"/>
      <c r="R410" s="20"/>
      <c r="S410" s="20"/>
      <c r="T410" s="20"/>
      <c r="U410" s="124"/>
      <c r="V410" s="127"/>
      <c r="W410" s="20"/>
      <c r="X410" s="20"/>
      <c r="Y410" s="20"/>
      <c r="Z410" s="20"/>
      <c r="AA410" s="20"/>
      <c r="AB410" s="20"/>
      <c r="AC410" s="20"/>
      <c r="AD410" s="20"/>
      <c r="AE410" s="20"/>
      <c r="AF410" s="20"/>
    </row>
    <row r="411" spans="1:32" ht="19.5">
      <c r="A411" s="20"/>
      <c r="B411" s="20"/>
      <c r="C411" s="20"/>
      <c r="D411" s="20"/>
      <c r="E411" s="20"/>
      <c r="F411" s="20"/>
      <c r="G411" s="124"/>
      <c r="H411" s="20"/>
      <c r="I411" s="20"/>
      <c r="J411" s="20"/>
      <c r="K411" s="124"/>
      <c r="L411" s="127"/>
      <c r="M411" s="20"/>
      <c r="N411" s="20"/>
      <c r="O411" s="20"/>
      <c r="P411" s="124"/>
      <c r="Q411" s="127"/>
      <c r="R411" s="20"/>
      <c r="S411" s="20"/>
      <c r="T411" s="20"/>
      <c r="U411" s="124"/>
      <c r="V411" s="127"/>
      <c r="W411" s="20"/>
      <c r="X411" s="20"/>
      <c r="Y411" s="20"/>
      <c r="Z411" s="20"/>
      <c r="AA411" s="20"/>
      <c r="AB411" s="20"/>
      <c r="AC411" s="20"/>
      <c r="AD411" s="20"/>
      <c r="AE411" s="20"/>
      <c r="AF411" s="20"/>
    </row>
    <row r="412" spans="1:32" ht="19.5">
      <c r="A412" s="20"/>
      <c r="B412" s="20"/>
      <c r="C412" s="20"/>
      <c r="D412" s="20"/>
      <c r="E412" s="20"/>
      <c r="F412" s="20"/>
      <c r="G412" s="124"/>
      <c r="H412" s="20"/>
      <c r="I412" s="20"/>
      <c r="J412" s="20"/>
      <c r="K412" s="124"/>
      <c r="L412" s="127"/>
      <c r="M412" s="20"/>
      <c r="N412" s="20"/>
      <c r="O412" s="20"/>
      <c r="P412" s="124"/>
      <c r="Q412" s="127"/>
      <c r="R412" s="20"/>
      <c r="S412" s="20"/>
      <c r="T412" s="20"/>
      <c r="U412" s="124"/>
      <c r="V412" s="127"/>
      <c r="W412" s="20"/>
      <c r="X412" s="20"/>
      <c r="Y412" s="20"/>
      <c r="Z412" s="20"/>
      <c r="AA412" s="20"/>
      <c r="AB412" s="20"/>
      <c r="AC412" s="20"/>
      <c r="AD412" s="20"/>
      <c r="AE412" s="20"/>
      <c r="AF412" s="20"/>
    </row>
    <row r="413" spans="1:32" ht="19.5">
      <c r="A413" s="20"/>
      <c r="B413" s="20"/>
      <c r="C413" s="20"/>
      <c r="D413" s="20"/>
      <c r="E413" s="20"/>
      <c r="F413" s="20"/>
      <c r="G413" s="124"/>
      <c r="H413" s="20"/>
      <c r="I413" s="20"/>
      <c r="J413" s="20"/>
      <c r="K413" s="124"/>
      <c r="L413" s="127"/>
      <c r="M413" s="20"/>
      <c r="N413" s="20"/>
      <c r="O413" s="20"/>
      <c r="P413" s="124"/>
      <c r="Q413" s="127"/>
      <c r="R413" s="20"/>
      <c r="S413" s="20"/>
      <c r="T413" s="20"/>
      <c r="U413" s="124"/>
      <c r="V413" s="127"/>
      <c r="W413" s="20"/>
      <c r="X413" s="20"/>
      <c r="Y413" s="20"/>
      <c r="Z413" s="20"/>
      <c r="AA413" s="20"/>
      <c r="AB413" s="20"/>
      <c r="AC413" s="20"/>
      <c r="AD413" s="20"/>
      <c r="AE413" s="20"/>
      <c r="AF413" s="20"/>
    </row>
    <row r="414" spans="1:32" ht="19.5">
      <c r="A414" s="20"/>
      <c r="B414" s="20"/>
      <c r="C414" s="20"/>
      <c r="D414" s="20"/>
      <c r="E414" s="20"/>
      <c r="F414" s="20"/>
      <c r="G414" s="124"/>
      <c r="H414" s="20"/>
      <c r="I414" s="20"/>
      <c r="J414" s="20"/>
      <c r="K414" s="124"/>
      <c r="L414" s="127"/>
      <c r="M414" s="20"/>
      <c r="N414" s="20"/>
      <c r="O414" s="20"/>
      <c r="P414" s="124"/>
      <c r="Q414" s="127"/>
      <c r="R414" s="20"/>
      <c r="S414" s="20"/>
      <c r="T414" s="20"/>
      <c r="U414" s="124"/>
      <c r="V414" s="127"/>
      <c r="W414" s="20"/>
      <c r="X414" s="20"/>
      <c r="Y414" s="20"/>
      <c r="Z414" s="20"/>
      <c r="AA414" s="20"/>
      <c r="AB414" s="20"/>
      <c r="AC414" s="20"/>
      <c r="AD414" s="20"/>
      <c r="AE414" s="20"/>
      <c r="AF414" s="20"/>
    </row>
    <row r="415" spans="1:32" ht="19.5">
      <c r="A415" s="20"/>
      <c r="B415" s="20"/>
      <c r="C415" s="20"/>
      <c r="D415" s="20"/>
      <c r="E415" s="20"/>
      <c r="F415" s="20"/>
      <c r="G415" s="124"/>
      <c r="H415" s="20"/>
      <c r="I415" s="20"/>
      <c r="J415" s="20"/>
      <c r="K415" s="124"/>
      <c r="L415" s="127"/>
      <c r="M415" s="20"/>
      <c r="N415" s="20"/>
      <c r="O415" s="20"/>
      <c r="P415" s="124"/>
      <c r="Q415" s="127"/>
      <c r="R415" s="20"/>
      <c r="S415" s="20"/>
      <c r="T415" s="20"/>
      <c r="U415" s="124"/>
      <c r="V415" s="127"/>
      <c r="W415" s="20"/>
      <c r="X415" s="20"/>
      <c r="Y415" s="20"/>
      <c r="Z415" s="20"/>
      <c r="AA415" s="20"/>
      <c r="AB415" s="20"/>
      <c r="AC415" s="20"/>
      <c r="AD415" s="20"/>
      <c r="AE415" s="20"/>
      <c r="AF415" s="20"/>
    </row>
    <row r="416" spans="1:32" ht="19.5">
      <c r="A416" s="20"/>
      <c r="B416" s="20"/>
      <c r="C416" s="20"/>
      <c r="D416" s="20"/>
      <c r="E416" s="20"/>
      <c r="F416" s="20"/>
      <c r="G416" s="124"/>
      <c r="H416" s="20"/>
      <c r="I416" s="20"/>
      <c r="J416" s="20"/>
      <c r="K416" s="124"/>
      <c r="L416" s="127"/>
      <c r="M416" s="20"/>
      <c r="N416" s="20"/>
      <c r="O416" s="20"/>
      <c r="P416" s="124"/>
      <c r="Q416" s="127"/>
      <c r="R416" s="20"/>
      <c r="S416" s="20"/>
      <c r="T416" s="20"/>
      <c r="U416" s="124"/>
      <c r="V416" s="127"/>
      <c r="W416" s="20"/>
      <c r="X416" s="20"/>
      <c r="Y416" s="20"/>
      <c r="Z416" s="20"/>
      <c r="AA416" s="20"/>
      <c r="AB416" s="20"/>
      <c r="AC416" s="20"/>
      <c r="AD416" s="20"/>
      <c r="AE416" s="20"/>
      <c r="AF416" s="20"/>
    </row>
    <row r="417" spans="1:32" ht="19.5">
      <c r="A417" s="20"/>
      <c r="B417" s="20"/>
      <c r="C417" s="20"/>
      <c r="D417" s="20"/>
      <c r="E417" s="20"/>
      <c r="F417" s="20"/>
      <c r="G417" s="124"/>
      <c r="H417" s="20"/>
      <c r="I417" s="20"/>
      <c r="J417" s="20"/>
      <c r="K417" s="124"/>
      <c r="L417" s="127"/>
      <c r="M417" s="20"/>
      <c r="N417" s="20"/>
      <c r="O417" s="20"/>
      <c r="P417" s="124"/>
      <c r="Q417" s="127"/>
      <c r="R417" s="20"/>
      <c r="S417" s="20"/>
      <c r="T417" s="20"/>
      <c r="U417" s="124"/>
      <c r="V417" s="127"/>
      <c r="W417" s="20"/>
      <c r="X417" s="20"/>
      <c r="Y417" s="20"/>
      <c r="Z417" s="20"/>
      <c r="AA417" s="20"/>
      <c r="AB417" s="20"/>
      <c r="AC417" s="20"/>
      <c r="AD417" s="20"/>
      <c r="AE417" s="20"/>
      <c r="AF417" s="20"/>
    </row>
    <row r="418" spans="1:32" ht="19.5">
      <c r="A418" s="20"/>
      <c r="B418" s="20"/>
      <c r="C418" s="20"/>
      <c r="D418" s="20"/>
      <c r="E418" s="20"/>
      <c r="F418" s="20"/>
      <c r="G418" s="124"/>
      <c r="H418" s="20"/>
      <c r="I418" s="20"/>
      <c r="J418" s="20"/>
      <c r="K418" s="124"/>
      <c r="L418" s="127"/>
      <c r="M418" s="20"/>
      <c r="N418" s="20"/>
      <c r="O418" s="20"/>
      <c r="P418" s="124"/>
      <c r="Q418" s="127"/>
      <c r="R418" s="20"/>
      <c r="S418" s="20"/>
      <c r="T418" s="20"/>
      <c r="U418" s="124"/>
      <c r="V418" s="127"/>
      <c r="W418" s="20"/>
      <c r="X418" s="20"/>
      <c r="Y418" s="20"/>
      <c r="Z418" s="20"/>
      <c r="AA418" s="20"/>
      <c r="AB418" s="20"/>
      <c r="AC418" s="20"/>
      <c r="AD418" s="20"/>
      <c r="AE418" s="20"/>
      <c r="AF418" s="20"/>
    </row>
    <row r="419" spans="1:32" ht="19.5">
      <c r="A419" s="20"/>
      <c r="B419" s="20"/>
      <c r="C419" s="20"/>
      <c r="D419" s="20"/>
      <c r="E419" s="20"/>
      <c r="F419" s="20"/>
      <c r="G419" s="124"/>
      <c r="H419" s="20"/>
      <c r="I419" s="20"/>
      <c r="J419" s="20"/>
      <c r="K419" s="124"/>
      <c r="L419" s="127"/>
      <c r="M419" s="20"/>
      <c r="N419" s="20"/>
      <c r="O419" s="20"/>
      <c r="P419" s="124"/>
      <c r="Q419" s="127"/>
      <c r="R419" s="20"/>
      <c r="S419" s="20"/>
      <c r="T419" s="20"/>
      <c r="U419" s="124"/>
      <c r="V419" s="127"/>
      <c r="W419" s="20"/>
      <c r="X419" s="20"/>
      <c r="Y419" s="20"/>
      <c r="Z419" s="20"/>
      <c r="AA419" s="20"/>
      <c r="AB419" s="20"/>
      <c r="AC419" s="20"/>
      <c r="AD419" s="20"/>
      <c r="AE419" s="20"/>
      <c r="AF419" s="20"/>
    </row>
    <row r="420" spans="1:32" ht="19.5">
      <c r="A420" s="20"/>
      <c r="B420" s="20"/>
      <c r="C420" s="20"/>
      <c r="D420" s="20"/>
      <c r="E420" s="20"/>
      <c r="F420" s="20"/>
      <c r="G420" s="124"/>
      <c r="H420" s="20"/>
      <c r="I420" s="20"/>
      <c r="J420" s="20"/>
      <c r="K420" s="124"/>
      <c r="L420" s="127"/>
      <c r="M420" s="20"/>
      <c r="N420" s="20"/>
      <c r="O420" s="20"/>
      <c r="P420" s="124"/>
      <c r="Q420" s="127"/>
      <c r="R420" s="20"/>
      <c r="S420" s="20"/>
      <c r="T420" s="20"/>
      <c r="U420" s="124"/>
      <c r="V420" s="127"/>
      <c r="W420" s="20"/>
      <c r="X420" s="20"/>
      <c r="Y420" s="20"/>
      <c r="Z420" s="20"/>
      <c r="AA420" s="20"/>
      <c r="AB420" s="20"/>
      <c r="AC420" s="20"/>
      <c r="AD420" s="20"/>
      <c r="AE420" s="20"/>
      <c r="AF420" s="20"/>
    </row>
    <row r="421" spans="1:32" ht="19.5">
      <c r="A421" s="20"/>
      <c r="B421" s="20"/>
      <c r="C421" s="20"/>
      <c r="D421" s="20"/>
      <c r="E421" s="20"/>
      <c r="F421" s="20"/>
      <c r="G421" s="124"/>
      <c r="H421" s="20"/>
      <c r="I421" s="20"/>
      <c r="J421" s="20"/>
      <c r="K421" s="124"/>
      <c r="L421" s="127"/>
      <c r="M421" s="20"/>
      <c r="N421" s="20"/>
      <c r="O421" s="20"/>
      <c r="P421" s="124"/>
      <c r="Q421" s="127"/>
      <c r="R421" s="20"/>
      <c r="S421" s="20"/>
      <c r="T421" s="20"/>
      <c r="U421" s="124"/>
      <c r="V421" s="127"/>
      <c r="W421" s="20"/>
      <c r="X421" s="20"/>
      <c r="Y421" s="20"/>
      <c r="Z421" s="20"/>
      <c r="AA421" s="20"/>
      <c r="AB421" s="20"/>
      <c r="AC421" s="20"/>
      <c r="AD421" s="20"/>
      <c r="AE421" s="20"/>
      <c r="AF421" s="20"/>
    </row>
    <row r="422" spans="1:32" ht="19.5">
      <c r="A422" s="20"/>
      <c r="B422" s="20"/>
      <c r="C422" s="20"/>
      <c r="D422" s="20"/>
      <c r="E422" s="20"/>
      <c r="F422" s="20"/>
      <c r="G422" s="124"/>
      <c r="H422" s="20"/>
      <c r="I422" s="20"/>
      <c r="J422" s="20"/>
      <c r="K422" s="124"/>
      <c r="L422" s="127"/>
      <c r="M422" s="20"/>
      <c r="N422" s="20"/>
      <c r="O422" s="20"/>
      <c r="P422" s="124"/>
      <c r="Q422" s="127"/>
      <c r="R422" s="20"/>
      <c r="S422" s="20"/>
      <c r="T422" s="20"/>
      <c r="U422" s="124"/>
      <c r="V422" s="127"/>
      <c r="W422" s="20"/>
      <c r="X422" s="20"/>
      <c r="Y422" s="20"/>
      <c r="Z422" s="20"/>
      <c r="AA422" s="20"/>
      <c r="AB422" s="20"/>
      <c r="AC422" s="20"/>
      <c r="AD422" s="20"/>
      <c r="AE422" s="20"/>
      <c r="AF422" s="20"/>
    </row>
    <row r="423" spans="1:32" ht="19.5">
      <c r="A423" s="20"/>
      <c r="B423" s="20"/>
      <c r="C423" s="20"/>
      <c r="D423" s="20"/>
      <c r="E423" s="20"/>
      <c r="F423" s="20"/>
      <c r="G423" s="124"/>
      <c r="H423" s="20"/>
      <c r="I423" s="20"/>
      <c r="J423" s="20"/>
      <c r="K423" s="124"/>
      <c r="L423" s="127"/>
      <c r="M423" s="20"/>
      <c r="N423" s="20"/>
      <c r="O423" s="20"/>
      <c r="P423" s="124"/>
      <c r="Q423" s="127"/>
      <c r="R423" s="20"/>
      <c r="S423" s="20"/>
      <c r="T423" s="20"/>
      <c r="U423" s="124"/>
      <c r="V423" s="127"/>
      <c r="W423" s="20"/>
      <c r="X423" s="20"/>
      <c r="Y423" s="20"/>
      <c r="Z423" s="20"/>
      <c r="AA423" s="20"/>
      <c r="AB423" s="20"/>
      <c r="AC423" s="20"/>
      <c r="AD423" s="20"/>
      <c r="AE423" s="20"/>
      <c r="AF423" s="20"/>
    </row>
    <row r="424" spans="1:32" ht="19.5">
      <c r="A424" s="20"/>
      <c r="B424" s="20"/>
      <c r="C424" s="20"/>
      <c r="D424" s="20"/>
      <c r="E424" s="20"/>
      <c r="F424" s="20"/>
      <c r="G424" s="124"/>
      <c r="H424" s="20"/>
      <c r="I424" s="20"/>
      <c r="J424" s="20"/>
      <c r="K424" s="124"/>
      <c r="L424" s="127"/>
      <c r="M424" s="20"/>
      <c r="N424" s="20"/>
      <c r="O424" s="20"/>
      <c r="P424" s="124"/>
      <c r="Q424" s="127"/>
      <c r="R424" s="20"/>
      <c r="S424" s="20"/>
      <c r="T424" s="20"/>
      <c r="U424" s="124"/>
      <c r="V424" s="127"/>
      <c r="W424" s="20"/>
      <c r="X424" s="20"/>
      <c r="Y424" s="20"/>
      <c r="Z424" s="20"/>
      <c r="AA424" s="20"/>
      <c r="AB424" s="20"/>
      <c r="AC424" s="20"/>
      <c r="AD424" s="20"/>
      <c r="AE424" s="20"/>
      <c r="AF424" s="20"/>
    </row>
    <row r="425" spans="1:32" ht="19.5">
      <c r="A425" s="20"/>
      <c r="B425" s="20"/>
      <c r="C425" s="20"/>
      <c r="D425" s="20"/>
      <c r="E425" s="20"/>
      <c r="F425" s="20"/>
      <c r="G425" s="124"/>
      <c r="H425" s="20"/>
      <c r="I425" s="20"/>
      <c r="J425" s="20"/>
      <c r="K425" s="124"/>
      <c r="L425" s="127"/>
      <c r="M425" s="20"/>
      <c r="N425" s="20"/>
      <c r="O425" s="20"/>
      <c r="P425" s="124"/>
      <c r="Q425" s="127"/>
      <c r="R425" s="20"/>
      <c r="S425" s="20"/>
      <c r="T425" s="20"/>
      <c r="U425" s="124"/>
      <c r="V425" s="127"/>
      <c r="W425" s="20"/>
      <c r="X425" s="20"/>
      <c r="Y425" s="20"/>
      <c r="Z425" s="20"/>
      <c r="AA425" s="20"/>
      <c r="AB425" s="20"/>
      <c r="AC425" s="20"/>
      <c r="AD425" s="20"/>
      <c r="AE425" s="20"/>
      <c r="AF425" s="20"/>
    </row>
    <row r="426" spans="1:32" ht="19.5">
      <c r="A426" s="20"/>
      <c r="B426" s="20"/>
      <c r="C426" s="20"/>
      <c r="D426" s="20"/>
      <c r="E426" s="20"/>
      <c r="F426" s="20"/>
      <c r="G426" s="124"/>
      <c r="H426" s="20"/>
      <c r="I426" s="20"/>
      <c r="J426" s="20"/>
      <c r="K426" s="124"/>
      <c r="L426" s="127"/>
      <c r="M426" s="20"/>
      <c r="N426" s="20"/>
      <c r="O426" s="20"/>
      <c r="P426" s="124"/>
      <c r="Q426" s="127"/>
      <c r="R426" s="20"/>
      <c r="S426" s="20"/>
      <c r="T426" s="20"/>
      <c r="U426" s="124"/>
      <c r="V426" s="127"/>
      <c r="W426" s="20"/>
      <c r="X426" s="20"/>
      <c r="Y426" s="20"/>
      <c r="Z426" s="20"/>
      <c r="AA426" s="20"/>
      <c r="AB426" s="20"/>
      <c r="AC426" s="20"/>
      <c r="AD426" s="20"/>
      <c r="AE426" s="20"/>
      <c r="AF426" s="20"/>
    </row>
    <row r="427" spans="1:32" ht="19.5">
      <c r="A427" s="20"/>
      <c r="B427" s="20"/>
      <c r="C427" s="20"/>
      <c r="D427" s="20"/>
      <c r="E427" s="20"/>
      <c r="F427" s="20"/>
      <c r="G427" s="124"/>
      <c r="H427" s="20"/>
      <c r="I427" s="20"/>
      <c r="J427" s="20"/>
      <c r="K427" s="124"/>
      <c r="L427" s="127"/>
      <c r="M427" s="20"/>
      <c r="N427" s="20"/>
      <c r="O427" s="20"/>
      <c r="P427" s="124"/>
      <c r="Q427" s="127"/>
      <c r="R427" s="20"/>
      <c r="S427" s="20"/>
      <c r="T427" s="20"/>
      <c r="U427" s="124"/>
      <c r="V427" s="127"/>
      <c r="W427" s="20"/>
      <c r="X427" s="20"/>
      <c r="Y427" s="20"/>
      <c r="Z427" s="20"/>
      <c r="AA427" s="20"/>
      <c r="AB427" s="20"/>
      <c r="AC427" s="20"/>
      <c r="AD427" s="20"/>
      <c r="AE427" s="20"/>
      <c r="AF427" s="20"/>
    </row>
    <row r="428" spans="1:32" ht="19.5">
      <c r="A428" s="20"/>
      <c r="B428" s="20"/>
      <c r="C428" s="20"/>
      <c r="D428" s="20"/>
      <c r="E428" s="20"/>
      <c r="F428" s="20"/>
      <c r="G428" s="124"/>
      <c r="H428" s="20"/>
      <c r="I428" s="20"/>
      <c r="J428" s="20"/>
      <c r="K428" s="124"/>
      <c r="L428" s="127"/>
      <c r="M428" s="20"/>
      <c r="N428" s="20"/>
      <c r="O428" s="20"/>
      <c r="P428" s="124"/>
      <c r="Q428" s="127"/>
      <c r="R428" s="20"/>
      <c r="S428" s="20"/>
      <c r="T428" s="20"/>
      <c r="U428" s="124"/>
      <c r="V428" s="127"/>
      <c r="W428" s="20"/>
      <c r="X428" s="20"/>
      <c r="Y428" s="20"/>
      <c r="Z428" s="20"/>
      <c r="AA428" s="20"/>
      <c r="AB428" s="20"/>
      <c r="AC428" s="20"/>
      <c r="AD428" s="20"/>
      <c r="AE428" s="20"/>
      <c r="AF428" s="20"/>
    </row>
    <row r="429" spans="1:32" ht="19.5">
      <c r="A429" s="20"/>
      <c r="B429" s="20"/>
      <c r="C429" s="20"/>
      <c r="D429" s="20"/>
      <c r="E429" s="20"/>
      <c r="F429" s="20"/>
      <c r="G429" s="124"/>
      <c r="H429" s="20"/>
      <c r="I429" s="20"/>
      <c r="J429" s="20"/>
      <c r="K429" s="124"/>
      <c r="L429" s="127"/>
      <c r="M429" s="20"/>
      <c r="N429" s="20"/>
      <c r="O429" s="20"/>
      <c r="P429" s="124"/>
      <c r="Q429" s="127"/>
      <c r="R429" s="20"/>
      <c r="S429" s="20"/>
      <c r="T429" s="20"/>
      <c r="U429" s="124"/>
      <c r="V429" s="127"/>
      <c r="W429" s="20"/>
      <c r="X429" s="20"/>
      <c r="Y429" s="20"/>
      <c r="Z429" s="20"/>
      <c r="AA429" s="20"/>
      <c r="AB429" s="20"/>
      <c r="AC429" s="20"/>
      <c r="AD429" s="20"/>
      <c r="AE429" s="20"/>
      <c r="AF429" s="20"/>
    </row>
    <row r="430" spans="1:32" ht="19.5">
      <c r="A430" s="20"/>
      <c r="B430" s="20"/>
      <c r="C430" s="20"/>
      <c r="D430" s="20"/>
      <c r="E430" s="20"/>
      <c r="F430" s="20"/>
      <c r="G430" s="124"/>
      <c r="H430" s="20"/>
      <c r="I430" s="20"/>
      <c r="J430" s="20"/>
      <c r="K430" s="124"/>
      <c r="L430" s="127"/>
      <c r="M430" s="20"/>
      <c r="N430" s="20"/>
      <c r="O430" s="20"/>
      <c r="P430" s="124"/>
      <c r="Q430" s="127"/>
      <c r="R430" s="20"/>
      <c r="S430" s="20"/>
      <c r="T430" s="20"/>
      <c r="U430" s="124"/>
      <c r="V430" s="127"/>
      <c r="W430" s="20"/>
      <c r="X430" s="20"/>
      <c r="Y430" s="20"/>
      <c r="Z430" s="20"/>
      <c r="AA430" s="20"/>
      <c r="AB430" s="20"/>
      <c r="AC430" s="20"/>
      <c r="AD430" s="20"/>
      <c r="AE430" s="20"/>
      <c r="AF430" s="20"/>
    </row>
    <row r="431" spans="1:32" ht="19.5">
      <c r="A431" s="20"/>
      <c r="B431" s="20"/>
      <c r="C431" s="20"/>
      <c r="D431" s="20"/>
      <c r="E431" s="20"/>
      <c r="F431" s="20"/>
      <c r="G431" s="124"/>
      <c r="H431" s="20"/>
      <c r="I431" s="20"/>
      <c r="J431" s="20"/>
      <c r="K431" s="124"/>
      <c r="L431" s="127"/>
      <c r="M431" s="20"/>
      <c r="N431" s="20"/>
      <c r="O431" s="20"/>
      <c r="P431" s="124"/>
      <c r="Q431" s="127"/>
      <c r="R431" s="20"/>
      <c r="S431" s="20"/>
      <c r="T431" s="20"/>
      <c r="U431" s="124"/>
      <c r="V431" s="127"/>
      <c r="W431" s="20"/>
      <c r="X431" s="20"/>
      <c r="Y431" s="20"/>
      <c r="Z431" s="20"/>
      <c r="AA431" s="20"/>
      <c r="AB431" s="20"/>
      <c r="AC431" s="20"/>
      <c r="AD431" s="20"/>
      <c r="AE431" s="20"/>
      <c r="AF431" s="20"/>
    </row>
    <row r="432" spans="1:32" ht="19.5">
      <c r="A432" s="20"/>
      <c r="B432" s="20"/>
      <c r="C432" s="20"/>
      <c r="D432" s="20"/>
      <c r="E432" s="20"/>
      <c r="F432" s="20"/>
      <c r="G432" s="124"/>
      <c r="H432" s="20"/>
      <c r="I432" s="20"/>
      <c r="J432" s="20"/>
      <c r="K432" s="124"/>
      <c r="L432" s="127"/>
      <c r="M432" s="20"/>
      <c r="N432" s="20"/>
      <c r="O432" s="20"/>
      <c r="P432" s="124"/>
      <c r="Q432" s="127"/>
      <c r="R432" s="20"/>
      <c r="S432" s="20"/>
      <c r="T432" s="20"/>
      <c r="U432" s="124"/>
      <c r="V432" s="127"/>
      <c r="W432" s="20"/>
      <c r="X432" s="20"/>
      <c r="Y432" s="20"/>
      <c r="Z432" s="20"/>
      <c r="AA432" s="20"/>
      <c r="AB432" s="20"/>
      <c r="AC432" s="20"/>
      <c r="AD432" s="20"/>
      <c r="AE432" s="20"/>
      <c r="AF432" s="20"/>
    </row>
    <row r="433" spans="1:32" ht="19.5">
      <c r="A433" s="20"/>
      <c r="B433" s="20"/>
      <c r="C433" s="20"/>
      <c r="D433" s="20"/>
      <c r="E433" s="20"/>
      <c r="F433" s="20"/>
      <c r="G433" s="124"/>
      <c r="H433" s="20"/>
      <c r="I433" s="20"/>
      <c r="J433" s="20"/>
      <c r="K433" s="124"/>
      <c r="L433" s="127"/>
      <c r="M433" s="20"/>
      <c r="N433" s="20"/>
      <c r="O433" s="20"/>
      <c r="P433" s="124"/>
      <c r="Q433" s="127"/>
      <c r="R433" s="20"/>
      <c r="S433" s="20"/>
      <c r="T433" s="20"/>
      <c r="U433" s="124"/>
      <c r="V433" s="127"/>
      <c r="W433" s="20"/>
      <c r="X433" s="20"/>
      <c r="Y433" s="20"/>
      <c r="Z433" s="20"/>
      <c r="AA433" s="20"/>
      <c r="AB433" s="20"/>
      <c r="AC433" s="20"/>
      <c r="AD433" s="20"/>
      <c r="AE433" s="20"/>
      <c r="AF433" s="20"/>
    </row>
    <row r="434" spans="1:32" ht="19.5">
      <c r="A434" s="20"/>
      <c r="B434" s="20"/>
      <c r="C434" s="20"/>
      <c r="D434" s="20"/>
      <c r="E434" s="20"/>
      <c r="F434" s="20"/>
      <c r="G434" s="124"/>
      <c r="H434" s="20"/>
      <c r="I434" s="20"/>
      <c r="J434" s="20"/>
      <c r="K434" s="124"/>
      <c r="L434" s="127"/>
      <c r="M434" s="20"/>
      <c r="N434" s="20"/>
      <c r="O434" s="20"/>
      <c r="P434" s="124"/>
      <c r="Q434" s="127"/>
      <c r="R434" s="20"/>
      <c r="S434" s="20"/>
      <c r="T434" s="20"/>
      <c r="U434" s="124"/>
      <c r="V434" s="127"/>
      <c r="W434" s="20"/>
      <c r="X434" s="20"/>
      <c r="Y434" s="20"/>
      <c r="Z434" s="20"/>
      <c r="AA434" s="20"/>
      <c r="AB434" s="20"/>
      <c r="AC434" s="20"/>
      <c r="AD434" s="20"/>
      <c r="AE434" s="20"/>
      <c r="AF434" s="20"/>
    </row>
    <row r="435" spans="1:32" ht="19.5">
      <c r="A435" s="20"/>
      <c r="B435" s="20"/>
      <c r="C435" s="20"/>
      <c r="D435" s="20"/>
      <c r="E435" s="20"/>
      <c r="F435" s="20"/>
      <c r="G435" s="124"/>
      <c r="H435" s="20"/>
      <c r="I435" s="20"/>
      <c r="J435" s="20"/>
      <c r="K435" s="124"/>
      <c r="L435" s="127"/>
      <c r="M435" s="20"/>
      <c r="N435" s="20"/>
      <c r="O435" s="20"/>
      <c r="P435" s="124"/>
      <c r="Q435" s="127"/>
      <c r="R435" s="20"/>
      <c r="S435" s="20"/>
      <c r="T435" s="20"/>
      <c r="U435" s="124"/>
      <c r="V435" s="127"/>
      <c r="W435" s="20"/>
      <c r="X435" s="20"/>
      <c r="Y435" s="20"/>
      <c r="Z435" s="20"/>
      <c r="AA435" s="20"/>
      <c r="AB435" s="20"/>
      <c r="AC435" s="20"/>
      <c r="AD435" s="20"/>
      <c r="AE435" s="20"/>
      <c r="AF435" s="20"/>
    </row>
    <row r="436" spans="1:32" ht="19.5">
      <c r="A436" s="20"/>
      <c r="B436" s="20"/>
      <c r="C436" s="20"/>
      <c r="D436" s="20"/>
      <c r="E436" s="20"/>
      <c r="F436" s="20"/>
      <c r="G436" s="124"/>
      <c r="H436" s="20"/>
      <c r="I436" s="20"/>
      <c r="J436" s="20"/>
      <c r="K436" s="124"/>
      <c r="L436" s="127"/>
      <c r="M436" s="20"/>
      <c r="N436" s="20"/>
      <c r="O436" s="20"/>
      <c r="P436" s="124"/>
      <c r="Q436" s="127"/>
      <c r="R436" s="20"/>
      <c r="S436" s="20"/>
      <c r="T436" s="20"/>
      <c r="U436" s="124"/>
      <c r="V436" s="127"/>
      <c r="W436" s="20"/>
      <c r="X436" s="20"/>
      <c r="Y436" s="20"/>
      <c r="Z436" s="20"/>
      <c r="AA436" s="20"/>
      <c r="AB436" s="20"/>
      <c r="AC436" s="20"/>
      <c r="AD436" s="20"/>
      <c r="AE436" s="20"/>
      <c r="AF436" s="20"/>
    </row>
    <row r="437" spans="1:32" ht="19.5">
      <c r="A437" s="20"/>
      <c r="B437" s="20"/>
      <c r="C437" s="20"/>
      <c r="D437" s="20"/>
      <c r="E437" s="20"/>
      <c r="F437" s="20"/>
      <c r="G437" s="124"/>
      <c r="H437" s="20"/>
      <c r="I437" s="20"/>
      <c r="J437" s="20"/>
      <c r="K437" s="124"/>
      <c r="L437" s="127"/>
      <c r="M437" s="20"/>
      <c r="N437" s="20"/>
      <c r="O437" s="20"/>
      <c r="P437" s="124"/>
      <c r="Q437" s="127"/>
      <c r="R437" s="20"/>
      <c r="S437" s="20"/>
      <c r="T437" s="20"/>
      <c r="U437" s="124"/>
      <c r="V437" s="127"/>
      <c r="W437" s="20"/>
      <c r="X437" s="20"/>
      <c r="Y437" s="20"/>
      <c r="Z437" s="20"/>
      <c r="AA437" s="20"/>
      <c r="AB437" s="20"/>
      <c r="AC437" s="20"/>
      <c r="AD437" s="20"/>
      <c r="AE437" s="20"/>
      <c r="AF437" s="20"/>
    </row>
    <row r="438" spans="1:32" ht="19.5">
      <c r="A438" s="20"/>
      <c r="B438" s="20"/>
      <c r="C438" s="20"/>
      <c r="D438" s="20"/>
      <c r="E438" s="20"/>
      <c r="F438" s="20"/>
      <c r="G438" s="124"/>
      <c r="H438" s="20"/>
      <c r="I438" s="20"/>
      <c r="J438" s="20"/>
      <c r="K438" s="124"/>
      <c r="L438" s="127"/>
      <c r="M438" s="20"/>
      <c r="N438" s="20"/>
      <c r="O438" s="20"/>
      <c r="P438" s="124"/>
      <c r="Q438" s="127"/>
      <c r="R438" s="20"/>
      <c r="S438" s="20"/>
      <c r="T438" s="20"/>
      <c r="U438" s="124"/>
      <c r="V438" s="127"/>
      <c r="W438" s="20"/>
      <c r="X438" s="20"/>
      <c r="Y438" s="20"/>
      <c r="Z438" s="20"/>
      <c r="AA438" s="20"/>
      <c r="AB438" s="20"/>
      <c r="AC438" s="20"/>
      <c r="AD438" s="20"/>
      <c r="AE438" s="20"/>
      <c r="AF438" s="20"/>
    </row>
    <row r="439" spans="1:32" ht="19.5">
      <c r="A439" s="20"/>
      <c r="B439" s="20"/>
      <c r="C439" s="20"/>
      <c r="D439" s="20"/>
      <c r="E439" s="20"/>
      <c r="F439" s="20"/>
      <c r="G439" s="124"/>
      <c r="H439" s="20"/>
      <c r="I439" s="20"/>
      <c r="J439" s="20"/>
      <c r="K439" s="124"/>
      <c r="L439" s="127"/>
      <c r="M439" s="20"/>
      <c r="N439" s="20"/>
      <c r="O439" s="20"/>
      <c r="P439" s="124"/>
      <c r="Q439" s="127"/>
      <c r="R439" s="20"/>
      <c r="S439" s="20"/>
      <c r="T439" s="20"/>
      <c r="U439" s="124"/>
      <c r="V439" s="127"/>
      <c r="W439" s="20"/>
      <c r="X439" s="20"/>
      <c r="Y439" s="20"/>
      <c r="Z439" s="20"/>
      <c r="AA439" s="20"/>
      <c r="AB439" s="20"/>
      <c r="AC439" s="20"/>
      <c r="AD439" s="20"/>
      <c r="AE439" s="20"/>
      <c r="AF439" s="20"/>
    </row>
    <row r="440" spans="1:32" ht="19.5">
      <c r="A440" s="20"/>
      <c r="B440" s="20"/>
      <c r="C440" s="20"/>
      <c r="D440" s="20"/>
      <c r="E440" s="20"/>
      <c r="F440" s="20"/>
      <c r="G440" s="124"/>
      <c r="H440" s="20"/>
      <c r="I440" s="20"/>
      <c r="J440" s="20"/>
      <c r="K440" s="124"/>
      <c r="L440" s="127"/>
      <c r="M440" s="20"/>
      <c r="N440" s="20"/>
      <c r="O440" s="20"/>
      <c r="P440" s="124"/>
      <c r="Q440" s="127"/>
      <c r="R440" s="20"/>
      <c r="S440" s="20"/>
      <c r="T440" s="20"/>
      <c r="U440" s="124"/>
      <c r="V440" s="127"/>
      <c r="W440" s="20"/>
      <c r="X440" s="20"/>
      <c r="Y440" s="20"/>
      <c r="Z440" s="20"/>
      <c r="AA440" s="20"/>
      <c r="AB440" s="20"/>
      <c r="AC440" s="20"/>
      <c r="AD440" s="20"/>
      <c r="AE440" s="20"/>
      <c r="AF440" s="20"/>
    </row>
    <row r="441" spans="1:32" ht="19.5">
      <c r="A441" s="20"/>
      <c r="B441" s="20"/>
      <c r="C441" s="20"/>
      <c r="D441" s="20"/>
      <c r="E441" s="20"/>
      <c r="F441" s="20"/>
      <c r="G441" s="124"/>
      <c r="H441" s="20"/>
      <c r="I441" s="20"/>
      <c r="J441" s="20"/>
      <c r="K441" s="124"/>
      <c r="L441" s="127"/>
      <c r="M441" s="20"/>
      <c r="N441" s="20"/>
      <c r="O441" s="20"/>
      <c r="P441" s="124"/>
      <c r="Q441" s="127"/>
      <c r="R441" s="20"/>
      <c r="S441" s="20"/>
      <c r="T441" s="20"/>
      <c r="U441" s="124"/>
      <c r="V441" s="127"/>
      <c r="W441" s="20"/>
      <c r="X441" s="20"/>
      <c r="Y441" s="20"/>
      <c r="Z441" s="20"/>
      <c r="AA441" s="20"/>
      <c r="AB441" s="20"/>
      <c r="AC441" s="20"/>
      <c r="AD441" s="20"/>
      <c r="AE441" s="20"/>
      <c r="AF441" s="20"/>
    </row>
    <row r="442" spans="1:32" ht="19.5">
      <c r="A442" s="20"/>
      <c r="B442" s="20"/>
      <c r="C442" s="20"/>
      <c r="D442" s="20"/>
      <c r="E442" s="20"/>
      <c r="F442" s="20"/>
      <c r="G442" s="124"/>
      <c r="H442" s="20"/>
      <c r="I442" s="20"/>
      <c r="J442" s="20"/>
      <c r="K442" s="124"/>
      <c r="L442" s="127"/>
      <c r="M442" s="20"/>
      <c r="N442" s="20"/>
      <c r="O442" s="20"/>
      <c r="P442" s="124"/>
      <c r="Q442" s="127"/>
      <c r="R442" s="20"/>
      <c r="S442" s="20"/>
      <c r="T442" s="20"/>
      <c r="U442" s="124"/>
      <c r="V442" s="127"/>
      <c r="W442" s="20"/>
      <c r="X442" s="20"/>
      <c r="Y442" s="20"/>
      <c r="Z442" s="20"/>
      <c r="AA442" s="20"/>
      <c r="AB442" s="20"/>
      <c r="AC442" s="20"/>
      <c r="AD442" s="20"/>
      <c r="AE442" s="20"/>
      <c r="AF442" s="20"/>
    </row>
    <row r="443" spans="1:32" ht="19.5">
      <c r="A443" s="20"/>
      <c r="B443" s="20"/>
      <c r="C443" s="20"/>
      <c r="D443" s="20"/>
      <c r="E443" s="20"/>
      <c r="F443" s="20"/>
      <c r="G443" s="124"/>
      <c r="H443" s="20"/>
      <c r="I443" s="20"/>
      <c r="J443" s="20"/>
      <c r="K443" s="124"/>
      <c r="L443" s="127"/>
      <c r="M443" s="20"/>
      <c r="N443" s="20"/>
      <c r="O443" s="20"/>
      <c r="P443" s="124"/>
      <c r="Q443" s="127"/>
      <c r="R443" s="20"/>
      <c r="S443" s="20"/>
      <c r="T443" s="20"/>
      <c r="U443" s="124"/>
      <c r="V443" s="127"/>
      <c r="W443" s="20"/>
      <c r="X443" s="20"/>
      <c r="Y443" s="20"/>
      <c r="Z443" s="20"/>
      <c r="AA443" s="20"/>
      <c r="AB443" s="20"/>
      <c r="AC443" s="20"/>
      <c r="AD443" s="20"/>
      <c r="AE443" s="20"/>
      <c r="AF443" s="20"/>
    </row>
    <row r="444" spans="1:32" ht="19.5">
      <c r="A444" s="20"/>
      <c r="B444" s="20"/>
      <c r="C444" s="20"/>
      <c r="D444" s="20"/>
      <c r="E444" s="20"/>
      <c r="F444" s="20"/>
      <c r="G444" s="124"/>
      <c r="H444" s="20"/>
      <c r="I444" s="20"/>
      <c r="J444" s="20"/>
      <c r="K444" s="124"/>
      <c r="L444" s="127"/>
      <c r="M444" s="20"/>
      <c r="N444" s="20"/>
      <c r="O444" s="20"/>
      <c r="P444" s="124"/>
      <c r="Q444" s="127"/>
      <c r="R444" s="20"/>
      <c r="S444" s="20"/>
      <c r="T444" s="20"/>
      <c r="U444" s="124"/>
      <c r="V444" s="127"/>
      <c r="W444" s="20"/>
      <c r="X444" s="20"/>
      <c r="Y444" s="20"/>
      <c r="Z444" s="20"/>
      <c r="AA444" s="20"/>
      <c r="AB444" s="20"/>
      <c r="AC444" s="20"/>
      <c r="AD444" s="20"/>
      <c r="AE444" s="20"/>
      <c r="AF444" s="20"/>
    </row>
    <row r="445" spans="1:32" ht="19.5">
      <c r="A445" s="20"/>
      <c r="B445" s="20"/>
      <c r="C445" s="20"/>
      <c r="D445" s="20"/>
      <c r="E445" s="20"/>
      <c r="F445" s="20"/>
      <c r="G445" s="124"/>
      <c r="H445" s="20"/>
      <c r="I445" s="20"/>
      <c r="J445" s="20"/>
      <c r="K445" s="124"/>
      <c r="L445" s="127"/>
      <c r="M445" s="20"/>
      <c r="N445" s="20"/>
      <c r="O445" s="20"/>
      <c r="P445" s="124"/>
      <c r="Q445" s="127"/>
      <c r="R445" s="20"/>
      <c r="S445" s="20"/>
      <c r="T445" s="20"/>
      <c r="U445" s="124"/>
      <c r="V445" s="127"/>
      <c r="W445" s="20"/>
      <c r="X445" s="20"/>
      <c r="Y445" s="20"/>
      <c r="Z445" s="20"/>
      <c r="AA445" s="20"/>
      <c r="AB445" s="20"/>
      <c r="AC445" s="20"/>
      <c r="AD445" s="20"/>
      <c r="AE445" s="20"/>
      <c r="AF445" s="20"/>
    </row>
    <row r="446" spans="1:32" ht="19.5">
      <c r="A446" s="20"/>
      <c r="B446" s="20"/>
      <c r="C446" s="20"/>
      <c r="D446" s="20"/>
      <c r="E446" s="20"/>
      <c r="F446" s="20"/>
      <c r="G446" s="124"/>
      <c r="H446" s="20"/>
      <c r="I446" s="20"/>
      <c r="J446" s="20"/>
      <c r="K446" s="124"/>
      <c r="L446" s="127"/>
      <c r="M446" s="20"/>
      <c r="N446" s="20"/>
      <c r="O446" s="20"/>
      <c r="P446" s="124"/>
      <c r="Q446" s="127"/>
      <c r="R446" s="20"/>
      <c r="S446" s="20"/>
      <c r="T446" s="20"/>
      <c r="U446" s="124"/>
      <c r="V446" s="127"/>
      <c r="W446" s="20"/>
      <c r="X446" s="20"/>
      <c r="Y446" s="20"/>
      <c r="Z446" s="20"/>
      <c r="AA446" s="20"/>
      <c r="AB446" s="20"/>
      <c r="AC446" s="20"/>
      <c r="AD446" s="20"/>
      <c r="AE446" s="20"/>
      <c r="AF446" s="20"/>
    </row>
    <row r="447" spans="1:32" ht="19.5">
      <c r="A447" s="20"/>
      <c r="B447" s="20"/>
      <c r="C447" s="20"/>
      <c r="D447" s="20"/>
      <c r="E447" s="20"/>
      <c r="F447" s="20"/>
      <c r="G447" s="124"/>
      <c r="H447" s="20"/>
      <c r="I447" s="20"/>
      <c r="J447" s="20"/>
      <c r="K447" s="124"/>
      <c r="L447" s="127"/>
      <c r="M447" s="20"/>
      <c r="N447" s="20"/>
      <c r="O447" s="20"/>
      <c r="P447" s="124"/>
      <c r="Q447" s="127"/>
      <c r="R447" s="20"/>
      <c r="S447" s="20"/>
      <c r="T447" s="20"/>
      <c r="U447" s="124"/>
      <c r="V447" s="127"/>
      <c r="W447" s="20"/>
      <c r="X447" s="20"/>
      <c r="Y447" s="20"/>
      <c r="Z447" s="20"/>
      <c r="AA447" s="20"/>
      <c r="AB447" s="20"/>
      <c r="AC447" s="20"/>
      <c r="AD447" s="20"/>
      <c r="AE447" s="20"/>
      <c r="AF447" s="20"/>
    </row>
    <row r="448" spans="1:32" ht="19.5">
      <c r="A448" s="20"/>
      <c r="B448" s="20"/>
      <c r="C448" s="20"/>
      <c r="D448" s="20"/>
      <c r="E448" s="20"/>
      <c r="F448" s="20"/>
      <c r="G448" s="124"/>
      <c r="H448" s="20"/>
      <c r="I448" s="20"/>
      <c r="J448" s="20"/>
      <c r="K448" s="124"/>
      <c r="L448" s="127"/>
      <c r="M448" s="20"/>
      <c r="N448" s="20"/>
      <c r="O448" s="20"/>
      <c r="P448" s="124"/>
      <c r="Q448" s="127"/>
      <c r="R448" s="20"/>
      <c r="S448" s="20"/>
      <c r="T448" s="20"/>
      <c r="U448" s="124"/>
      <c r="V448" s="127"/>
      <c r="W448" s="20"/>
      <c r="X448" s="20"/>
      <c r="Y448" s="20"/>
      <c r="Z448" s="20"/>
      <c r="AA448" s="20"/>
      <c r="AB448" s="20"/>
      <c r="AC448" s="20"/>
      <c r="AD448" s="20"/>
      <c r="AE448" s="20"/>
      <c r="AF448" s="20"/>
    </row>
    <row r="449" spans="1:32" ht="19.5">
      <c r="A449" s="20"/>
      <c r="B449" s="20"/>
      <c r="C449" s="20"/>
      <c r="D449" s="20"/>
      <c r="E449" s="20"/>
      <c r="F449" s="20"/>
      <c r="G449" s="124"/>
      <c r="H449" s="20"/>
      <c r="I449" s="20"/>
      <c r="J449" s="20"/>
      <c r="K449" s="124"/>
      <c r="L449" s="127"/>
      <c r="M449" s="20"/>
      <c r="N449" s="20"/>
      <c r="O449" s="20"/>
      <c r="P449" s="124"/>
      <c r="Q449" s="127"/>
      <c r="R449" s="20"/>
      <c r="S449" s="20"/>
      <c r="T449" s="20"/>
      <c r="U449" s="124"/>
      <c r="V449" s="127"/>
      <c r="W449" s="20"/>
      <c r="X449" s="20"/>
      <c r="Y449" s="20"/>
      <c r="Z449" s="20"/>
      <c r="AA449" s="20"/>
      <c r="AB449" s="20"/>
      <c r="AC449" s="20"/>
      <c r="AD449" s="20"/>
      <c r="AE449" s="20"/>
      <c r="AF449" s="20"/>
    </row>
    <row r="450" spans="1:32" ht="19.5">
      <c r="A450" s="20"/>
      <c r="B450" s="20"/>
      <c r="C450" s="20"/>
      <c r="D450" s="20"/>
      <c r="E450" s="20"/>
      <c r="F450" s="20"/>
      <c r="G450" s="124"/>
      <c r="H450" s="20"/>
      <c r="I450" s="20"/>
      <c r="J450" s="20"/>
      <c r="K450" s="124"/>
      <c r="L450" s="127"/>
      <c r="M450" s="20"/>
      <c r="N450" s="20"/>
      <c r="O450" s="20"/>
      <c r="P450" s="124"/>
      <c r="Q450" s="127"/>
      <c r="R450" s="20"/>
      <c r="S450" s="20"/>
      <c r="T450" s="20"/>
      <c r="U450" s="124"/>
      <c r="V450" s="127"/>
      <c r="W450" s="20"/>
      <c r="X450" s="20"/>
      <c r="Y450" s="20"/>
      <c r="Z450" s="20"/>
      <c r="AA450" s="20"/>
      <c r="AB450" s="20"/>
      <c r="AC450" s="20"/>
      <c r="AD450" s="20"/>
      <c r="AE450" s="20"/>
      <c r="AF450" s="20"/>
    </row>
    <row r="451" spans="1:32" ht="19.5">
      <c r="A451" s="20"/>
      <c r="B451" s="20"/>
      <c r="C451" s="20"/>
      <c r="D451" s="20"/>
      <c r="E451" s="20"/>
      <c r="F451" s="20"/>
      <c r="G451" s="124"/>
      <c r="H451" s="20"/>
      <c r="I451" s="20"/>
      <c r="J451" s="20"/>
      <c r="K451" s="124"/>
      <c r="L451" s="127"/>
      <c r="M451" s="20"/>
      <c r="N451" s="20"/>
      <c r="O451" s="20"/>
      <c r="P451" s="124"/>
      <c r="Q451" s="127"/>
      <c r="R451" s="20"/>
      <c r="S451" s="20"/>
      <c r="T451" s="20"/>
      <c r="U451" s="124"/>
      <c r="V451" s="127"/>
      <c r="W451" s="20"/>
      <c r="X451" s="20"/>
      <c r="Y451" s="20"/>
      <c r="Z451" s="20"/>
      <c r="AA451" s="20"/>
      <c r="AB451" s="20"/>
      <c r="AC451" s="20"/>
      <c r="AD451" s="20"/>
      <c r="AE451" s="20"/>
      <c r="AF451" s="20"/>
    </row>
    <row r="452" spans="1:32" ht="19.5">
      <c r="A452" s="20"/>
      <c r="B452" s="20"/>
      <c r="C452" s="20"/>
      <c r="D452" s="20"/>
      <c r="E452" s="20"/>
      <c r="F452" s="20"/>
      <c r="G452" s="124"/>
      <c r="H452" s="20"/>
      <c r="I452" s="20"/>
      <c r="J452" s="20"/>
      <c r="K452" s="124"/>
      <c r="L452" s="127"/>
      <c r="M452" s="20"/>
      <c r="N452" s="20"/>
      <c r="O452" s="20"/>
      <c r="P452" s="124"/>
      <c r="Q452" s="127"/>
      <c r="R452" s="20"/>
      <c r="S452" s="20"/>
      <c r="T452" s="20"/>
      <c r="U452" s="124"/>
      <c r="V452" s="127"/>
      <c r="W452" s="20"/>
      <c r="X452" s="20"/>
      <c r="Y452" s="20"/>
      <c r="Z452" s="20"/>
      <c r="AA452" s="20"/>
      <c r="AB452" s="20"/>
      <c r="AC452" s="20"/>
      <c r="AD452" s="20"/>
      <c r="AE452" s="20"/>
      <c r="AF452" s="20"/>
    </row>
    <row r="453" spans="1:32" ht="19.5">
      <c r="A453" s="20"/>
      <c r="B453" s="20"/>
      <c r="C453" s="20"/>
      <c r="D453" s="20"/>
      <c r="E453" s="20"/>
      <c r="F453" s="20"/>
      <c r="G453" s="124"/>
      <c r="H453" s="20"/>
      <c r="I453" s="20"/>
      <c r="J453" s="20"/>
      <c r="K453" s="124"/>
      <c r="L453" s="127"/>
      <c r="M453" s="20"/>
      <c r="N453" s="20"/>
      <c r="O453" s="20"/>
      <c r="P453" s="124"/>
      <c r="Q453" s="127"/>
      <c r="R453" s="20"/>
      <c r="S453" s="20"/>
      <c r="T453" s="20"/>
      <c r="U453" s="124"/>
      <c r="V453" s="127"/>
      <c r="W453" s="20"/>
      <c r="X453" s="20"/>
      <c r="Y453" s="20"/>
      <c r="Z453" s="20"/>
      <c r="AA453" s="20"/>
      <c r="AB453" s="20"/>
      <c r="AC453" s="20"/>
      <c r="AD453" s="20"/>
      <c r="AE453" s="20"/>
      <c r="AF453" s="20"/>
    </row>
    <row r="454" spans="1:32" ht="19.5">
      <c r="A454" s="20"/>
      <c r="B454" s="20"/>
      <c r="C454" s="20"/>
      <c r="D454" s="20"/>
      <c r="E454" s="20"/>
      <c r="F454" s="20"/>
      <c r="G454" s="124"/>
      <c r="H454" s="20"/>
      <c r="I454" s="20"/>
      <c r="J454" s="20"/>
      <c r="K454" s="124"/>
      <c r="L454" s="127"/>
      <c r="M454" s="20"/>
      <c r="N454" s="20"/>
      <c r="O454" s="20"/>
      <c r="P454" s="124"/>
      <c r="Q454" s="127"/>
      <c r="R454" s="20"/>
      <c r="S454" s="20"/>
      <c r="T454" s="20"/>
      <c r="U454" s="124"/>
      <c r="V454" s="127"/>
      <c r="W454" s="20"/>
      <c r="X454" s="20"/>
      <c r="Y454" s="20"/>
      <c r="Z454" s="20"/>
      <c r="AA454" s="20"/>
      <c r="AB454" s="20"/>
      <c r="AC454" s="20"/>
      <c r="AD454" s="20"/>
      <c r="AE454" s="20"/>
      <c r="AF454" s="20"/>
    </row>
    <row r="455" spans="1:32" ht="19.5">
      <c r="A455" s="20"/>
      <c r="B455" s="20"/>
      <c r="C455" s="20"/>
      <c r="D455" s="20"/>
      <c r="E455" s="20"/>
      <c r="F455" s="20"/>
      <c r="G455" s="124"/>
      <c r="H455" s="20"/>
      <c r="I455" s="20"/>
      <c r="J455" s="20"/>
      <c r="K455" s="124"/>
      <c r="L455" s="127"/>
      <c r="M455" s="20"/>
      <c r="N455" s="20"/>
      <c r="O455" s="20"/>
      <c r="P455" s="124"/>
      <c r="Q455" s="127"/>
      <c r="R455" s="20"/>
      <c r="S455" s="20"/>
      <c r="T455" s="20"/>
      <c r="U455" s="124"/>
      <c r="V455" s="127"/>
      <c r="W455" s="20"/>
      <c r="X455" s="20"/>
      <c r="Y455" s="20"/>
      <c r="Z455" s="20"/>
      <c r="AA455" s="20"/>
      <c r="AB455" s="20"/>
      <c r="AC455" s="20"/>
      <c r="AD455" s="20"/>
      <c r="AE455" s="20"/>
      <c r="AF455" s="20"/>
    </row>
    <row r="456" spans="1:32" ht="19.5">
      <c r="A456" s="20"/>
      <c r="B456" s="20"/>
      <c r="C456" s="20"/>
      <c r="D456" s="20"/>
      <c r="E456" s="20"/>
      <c r="F456" s="20"/>
      <c r="G456" s="124"/>
      <c r="H456" s="20"/>
      <c r="I456" s="20"/>
      <c r="J456" s="20"/>
      <c r="K456" s="124"/>
      <c r="L456" s="127"/>
      <c r="M456" s="20"/>
      <c r="N456" s="20"/>
      <c r="O456" s="20"/>
      <c r="P456" s="124"/>
      <c r="Q456" s="127"/>
      <c r="R456" s="20"/>
      <c r="S456" s="20"/>
      <c r="T456" s="20"/>
      <c r="U456" s="124"/>
      <c r="V456" s="127"/>
      <c r="W456" s="20"/>
      <c r="X456" s="20"/>
      <c r="Y456" s="20"/>
      <c r="Z456" s="20"/>
      <c r="AA456" s="20"/>
      <c r="AB456" s="20"/>
      <c r="AC456" s="20"/>
      <c r="AD456" s="20"/>
      <c r="AE456" s="20"/>
      <c r="AF456" s="20"/>
    </row>
    <row r="457" spans="1:32" ht="19.5">
      <c r="A457" s="20"/>
      <c r="B457" s="20"/>
      <c r="C457" s="20"/>
      <c r="D457" s="20"/>
      <c r="E457" s="20"/>
      <c r="F457" s="20"/>
      <c r="G457" s="124"/>
      <c r="H457" s="20"/>
      <c r="I457" s="20"/>
      <c r="J457" s="20"/>
      <c r="K457" s="124"/>
      <c r="L457" s="127"/>
      <c r="M457" s="20"/>
      <c r="N457" s="20"/>
      <c r="O457" s="20"/>
      <c r="P457" s="124"/>
      <c r="Q457" s="127"/>
      <c r="R457" s="20"/>
      <c r="S457" s="20"/>
      <c r="T457" s="20"/>
      <c r="U457" s="124"/>
      <c r="V457" s="127"/>
      <c r="W457" s="20"/>
      <c r="X457" s="20"/>
      <c r="Y457" s="20"/>
      <c r="Z457" s="20"/>
      <c r="AA457" s="20"/>
      <c r="AB457" s="20"/>
      <c r="AC457" s="20"/>
      <c r="AD457" s="20"/>
      <c r="AE457" s="20"/>
      <c r="AF457" s="20"/>
    </row>
    <row r="458" spans="1:32" ht="19.5">
      <c r="A458" s="20"/>
      <c r="B458" s="20"/>
      <c r="C458" s="20"/>
      <c r="D458" s="20"/>
      <c r="E458" s="20"/>
      <c r="F458" s="20"/>
      <c r="G458" s="124"/>
      <c r="H458" s="20"/>
      <c r="I458" s="20"/>
      <c r="J458" s="20"/>
      <c r="K458" s="124"/>
      <c r="L458" s="127"/>
      <c r="M458" s="20"/>
      <c r="N458" s="20"/>
      <c r="O458" s="20"/>
      <c r="P458" s="124"/>
      <c r="Q458" s="127"/>
      <c r="R458" s="20"/>
      <c r="S458" s="20"/>
      <c r="T458" s="20"/>
      <c r="U458" s="124"/>
      <c r="V458" s="127"/>
      <c r="W458" s="20"/>
      <c r="X458" s="20"/>
      <c r="Y458" s="20"/>
      <c r="Z458" s="20"/>
      <c r="AA458" s="20"/>
      <c r="AB458" s="20"/>
      <c r="AC458" s="20"/>
      <c r="AD458" s="20"/>
      <c r="AE458" s="20"/>
      <c r="AF458" s="20"/>
    </row>
    <row r="459" spans="1:32" ht="19.5">
      <c r="A459" s="20"/>
      <c r="B459" s="20"/>
      <c r="C459" s="20"/>
      <c r="D459" s="20"/>
      <c r="E459" s="20"/>
      <c r="F459" s="20"/>
      <c r="G459" s="124"/>
      <c r="H459" s="20"/>
      <c r="I459" s="20"/>
      <c r="J459" s="20"/>
      <c r="K459" s="124"/>
      <c r="L459" s="127"/>
      <c r="M459" s="20"/>
      <c r="N459" s="20"/>
      <c r="O459" s="20"/>
      <c r="P459" s="124"/>
      <c r="Q459" s="127"/>
      <c r="R459" s="20"/>
      <c r="S459" s="20"/>
      <c r="T459" s="20"/>
      <c r="U459" s="124"/>
      <c r="V459" s="127"/>
      <c r="W459" s="20"/>
      <c r="X459" s="20"/>
      <c r="Y459" s="20"/>
      <c r="Z459" s="20"/>
      <c r="AA459" s="20"/>
      <c r="AB459" s="20"/>
      <c r="AC459" s="20"/>
      <c r="AD459" s="20"/>
      <c r="AE459" s="20"/>
      <c r="AF459" s="20"/>
    </row>
    <row r="460" spans="1:32" ht="19.5">
      <c r="A460" s="20"/>
      <c r="B460" s="20"/>
      <c r="C460" s="20"/>
      <c r="D460" s="20"/>
      <c r="E460" s="20"/>
      <c r="F460" s="20"/>
      <c r="G460" s="124"/>
      <c r="H460" s="20"/>
      <c r="I460" s="20"/>
      <c r="J460" s="20"/>
      <c r="K460" s="124"/>
      <c r="L460" s="127"/>
      <c r="M460" s="20"/>
      <c r="N460" s="20"/>
      <c r="O460" s="20"/>
      <c r="P460" s="124"/>
      <c r="Q460" s="127"/>
      <c r="R460" s="20"/>
      <c r="S460" s="20"/>
      <c r="T460" s="20"/>
      <c r="U460" s="124"/>
      <c r="V460" s="127"/>
      <c r="W460" s="20"/>
      <c r="X460" s="20"/>
      <c r="Y460" s="20"/>
      <c r="Z460" s="20"/>
      <c r="AA460" s="20"/>
      <c r="AB460" s="20"/>
      <c r="AC460" s="20"/>
      <c r="AD460" s="20"/>
      <c r="AE460" s="20"/>
      <c r="AF460" s="20"/>
    </row>
    <row r="461" spans="1:32" ht="19.5">
      <c r="A461" s="20"/>
      <c r="B461" s="20"/>
      <c r="C461" s="20"/>
      <c r="D461" s="20"/>
      <c r="E461" s="20"/>
      <c r="F461" s="20"/>
      <c r="G461" s="124"/>
      <c r="H461" s="20"/>
      <c r="I461" s="20"/>
      <c r="J461" s="20"/>
      <c r="K461" s="124"/>
      <c r="L461" s="127"/>
      <c r="M461" s="20"/>
      <c r="N461" s="20"/>
      <c r="O461" s="20"/>
      <c r="P461" s="124"/>
      <c r="Q461" s="127"/>
      <c r="R461" s="20"/>
      <c r="S461" s="20"/>
      <c r="T461" s="20"/>
      <c r="U461" s="124"/>
      <c r="V461" s="127"/>
      <c r="W461" s="20"/>
      <c r="X461" s="20"/>
      <c r="Y461" s="20"/>
      <c r="Z461" s="20"/>
      <c r="AA461" s="20"/>
      <c r="AB461" s="20"/>
      <c r="AC461" s="20"/>
      <c r="AD461" s="20"/>
      <c r="AE461" s="20"/>
      <c r="AF461" s="20"/>
    </row>
    <row r="462" spans="1:32" ht="19.5">
      <c r="A462" s="20"/>
      <c r="B462" s="20"/>
      <c r="C462" s="20"/>
      <c r="D462" s="20"/>
      <c r="E462" s="20"/>
      <c r="F462" s="20"/>
      <c r="G462" s="124"/>
      <c r="H462" s="20"/>
      <c r="I462" s="20"/>
      <c r="J462" s="20"/>
      <c r="K462" s="124"/>
      <c r="L462" s="127"/>
      <c r="M462" s="20"/>
      <c r="N462" s="20"/>
      <c r="O462" s="20"/>
      <c r="P462" s="124"/>
      <c r="Q462" s="127"/>
      <c r="R462" s="20"/>
      <c r="S462" s="20"/>
      <c r="T462" s="20"/>
      <c r="U462" s="124"/>
      <c r="V462" s="127"/>
      <c r="W462" s="20"/>
      <c r="X462" s="20"/>
      <c r="Y462" s="20"/>
      <c r="Z462" s="20"/>
      <c r="AA462" s="20"/>
      <c r="AB462" s="20"/>
      <c r="AC462" s="20"/>
      <c r="AD462" s="20"/>
      <c r="AE462" s="20"/>
      <c r="AF462" s="20"/>
    </row>
    <row r="463" spans="1:32" ht="19.5">
      <c r="A463" s="20"/>
      <c r="B463" s="20"/>
      <c r="C463" s="20"/>
      <c r="D463" s="20"/>
      <c r="E463" s="20"/>
      <c r="F463" s="20"/>
      <c r="G463" s="124"/>
      <c r="H463" s="20"/>
      <c r="I463" s="20"/>
      <c r="J463" s="20"/>
      <c r="K463" s="124"/>
      <c r="L463" s="127"/>
      <c r="M463" s="20"/>
      <c r="N463" s="20"/>
      <c r="O463" s="20"/>
      <c r="P463" s="124"/>
      <c r="Q463" s="127"/>
      <c r="R463" s="20"/>
      <c r="S463" s="20"/>
      <c r="T463" s="20"/>
      <c r="U463" s="124"/>
      <c r="V463" s="127"/>
      <c r="W463" s="20"/>
      <c r="X463" s="20"/>
      <c r="Y463" s="20"/>
      <c r="Z463" s="20"/>
      <c r="AA463" s="20"/>
      <c r="AB463" s="20"/>
      <c r="AC463" s="20"/>
      <c r="AD463" s="20"/>
      <c r="AE463" s="20"/>
      <c r="AF463" s="20"/>
    </row>
    <row r="464" spans="1:32" ht="19.5">
      <c r="A464" s="20"/>
      <c r="B464" s="20"/>
      <c r="C464" s="20"/>
      <c r="D464" s="20"/>
      <c r="E464" s="20"/>
      <c r="F464" s="20"/>
      <c r="G464" s="124"/>
      <c r="H464" s="20"/>
      <c r="I464" s="20"/>
      <c r="J464" s="20"/>
      <c r="K464" s="124"/>
      <c r="L464" s="127"/>
      <c r="M464" s="20"/>
      <c r="N464" s="20"/>
      <c r="O464" s="20"/>
      <c r="P464" s="124"/>
      <c r="Q464" s="127"/>
      <c r="R464" s="20"/>
      <c r="S464" s="20"/>
      <c r="T464" s="20"/>
      <c r="U464" s="124"/>
      <c r="V464" s="127"/>
      <c r="W464" s="20"/>
      <c r="X464" s="20"/>
      <c r="Y464" s="20"/>
      <c r="Z464" s="20"/>
      <c r="AA464" s="20"/>
      <c r="AB464" s="20"/>
      <c r="AC464" s="20"/>
      <c r="AD464" s="20"/>
      <c r="AE464" s="20"/>
      <c r="AF464" s="20"/>
    </row>
    <row r="465" spans="1:32" ht="19.5">
      <c r="A465" s="20"/>
      <c r="B465" s="20"/>
      <c r="C465" s="20"/>
      <c r="D465" s="20"/>
      <c r="E465" s="20"/>
      <c r="F465" s="20"/>
      <c r="G465" s="124"/>
      <c r="H465" s="20"/>
      <c r="I465" s="20"/>
      <c r="J465" s="20"/>
      <c r="K465" s="124"/>
      <c r="L465" s="127"/>
      <c r="M465" s="20"/>
      <c r="N465" s="20"/>
      <c r="O465" s="20"/>
      <c r="P465" s="124"/>
      <c r="Q465" s="127"/>
      <c r="R465" s="20"/>
      <c r="S465" s="20"/>
      <c r="T465" s="20"/>
      <c r="U465" s="124"/>
      <c r="V465" s="127"/>
      <c r="W465" s="20"/>
      <c r="X465" s="20"/>
      <c r="Y465" s="20"/>
      <c r="Z465" s="20"/>
      <c r="AA465" s="20"/>
      <c r="AB465" s="20"/>
      <c r="AC465" s="20"/>
      <c r="AD465" s="20"/>
      <c r="AE465" s="20"/>
      <c r="AF465" s="20"/>
    </row>
    <row r="466" spans="1:32" ht="19.5">
      <c r="A466" s="20"/>
      <c r="B466" s="20"/>
      <c r="C466" s="20"/>
      <c r="D466" s="20"/>
      <c r="E466" s="20"/>
      <c r="F466" s="20"/>
      <c r="G466" s="124"/>
      <c r="H466" s="20"/>
      <c r="I466" s="20"/>
      <c r="J466" s="20"/>
      <c r="K466" s="124"/>
      <c r="L466" s="127"/>
      <c r="M466" s="20"/>
      <c r="N466" s="20"/>
      <c r="O466" s="20"/>
      <c r="P466" s="124"/>
      <c r="Q466" s="127"/>
      <c r="R466" s="20"/>
      <c r="S466" s="20"/>
      <c r="T466" s="20"/>
      <c r="U466" s="124"/>
      <c r="V466" s="127"/>
      <c r="W466" s="20"/>
      <c r="X466" s="20"/>
      <c r="Y466" s="20"/>
      <c r="Z466" s="20"/>
      <c r="AA466" s="20"/>
      <c r="AB466" s="20"/>
      <c r="AC466" s="20"/>
      <c r="AD466" s="20"/>
      <c r="AE466" s="20"/>
      <c r="AF466" s="20"/>
    </row>
    <row r="467" spans="1:32" ht="19.5">
      <c r="A467" s="20"/>
      <c r="B467" s="20"/>
      <c r="C467" s="20"/>
      <c r="D467" s="20"/>
      <c r="E467" s="20"/>
      <c r="F467" s="20"/>
      <c r="G467" s="124"/>
      <c r="H467" s="20"/>
      <c r="I467" s="20"/>
      <c r="J467" s="20"/>
      <c r="K467" s="124"/>
      <c r="L467" s="127"/>
      <c r="M467" s="20"/>
      <c r="N467" s="20"/>
      <c r="O467" s="20"/>
      <c r="P467" s="124"/>
      <c r="Q467" s="127"/>
      <c r="R467" s="20"/>
      <c r="S467" s="20"/>
      <c r="T467" s="20"/>
      <c r="U467" s="124"/>
      <c r="V467" s="127"/>
      <c r="W467" s="20"/>
      <c r="X467" s="20"/>
      <c r="Y467" s="20"/>
      <c r="Z467" s="20"/>
      <c r="AA467" s="20"/>
      <c r="AB467" s="20"/>
      <c r="AC467" s="20"/>
      <c r="AD467" s="20"/>
      <c r="AE467" s="20"/>
      <c r="AF467" s="20"/>
    </row>
    <row r="468" spans="1:32" ht="19.5">
      <c r="A468" s="20"/>
      <c r="B468" s="20"/>
      <c r="C468" s="20"/>
      <c r="D468" s="20"/>
      <c r="E468" s="20"/>
      <c r="F468" s="20"/>
      <c r="G468" s="124"/>
      <c r="H468" s="20"/>
      <c r="I468" s="20"/>
      <c r="J468" s="20"/>
      <c r="K468" s="124"/>
      <c r="L468" s="127"/>
      <c r="M468" s="20"/>
      <c r="N468" s="20"/>
      <c r="O468" s="20"/>
      <c r="P468" s="124"/>
      <c r="Q468" s="127"/>
      <c r="R468" s="20"/>
      <c r="S468" s="20"/>
      <c r="T468" s="20"/>
      <c r="U468" s="124"/>
      <c r="V468" s="127"/>
      <c r="W468" s="20"/>
      <c r="X468" s="20"/>
      <c r="Y468" s="20"/>
      <c r="Z468" s="20"/>
      <c r="AA468" s="20"/>
      <c r="AB468" s="20"/>
      <c r="AC468" s="20"/>
      <c r="AD468" s="20"/>
      <c r="AE468" s="20"/>
      <c r="AF468" s="20"/>
    </row>
    <row r="469" spans="1:32" ht="19.5">
      <c r="A469" s="20"/>
      <c r="B469" s="20"/>
      <c r="C469" s="20"/>
      <c r="D469" s="20"/>
      <c r="E469" s="20"/>
      <c r="F469" s="20"/>
      <c r="G469" s="124"/>
      <c r="H469" s="20"/>
      <c r="I469" s="20"/>
      <c r="J469" s="20"/>
      <c r="K469" s="124"/>
      <c r="L469" s="127"/>
      <c r="M469" s="20"/>
      <c r="N469" s="20"/>
      <c r="O469" s="20"/>
      <c r="P469" s="124"/>
      <c r="Q469" s="127"/>
      <c r="R469" s="20"/>
      <c r="S469" s="20"/>
      <c r="T469" s="20"/>
      <c r="U469" s="124"/>
      <c r="V469" s="127"/>
      <c r="W469" s="20"/>
      <c r="X469" s="20"/>
      <c r="Y469" s="20"/>
      <c r="Z469" s="20"/>
      <c r="AA469" s="20"/>
      <c r="AB469" s="20"/>
      <c r="AC469" s="20"/>
      <c r="AD469" s="20"/>
      <c r="AE469" s="20"/>
      <c r="AF469" s="20"/>
    </row>
    <row r="470" spans="1:32" ht="19.5">
      <c r="A470" s="20"/>
      <c r="B470" s="20"/>
      <c r="C470" s="20"/>
      <c r="D470" s="20"/>
      <c r="E470" s="20"/>
      <c r="F470" s="20"/>
      <c r="G470" s="124"/>
      <c r="H470" s="20"/>
      <c r="I470" s="20"/>
      <c r="J470" s="20"/>
      <c r="K470" s="124"/>
      <c r="L470" s="127"/>
      <c r="M470" s="20"/>
      <c r="N470" s="20"/>
      <c r="O470" s="20"/>
      <c r="P470" s="124"/>
      <c r="Q470" s="127"/>
      <c r="R470" s="20"/>
      <c r="S470" s="20"/>
      <c r="T470" s="20"/>
      <c r="U470" s="124"/>
      <c r="V470" s="127"/>
      <c r="W470" s="20"/>
      <c r="X470" s="20"/>
      <c r="Y470" s="20"/>
      <c r="Z470" s="20"/>
      <c r="AA470" s="20"/>
      <c r="AB470" s="20"/>
      <c r="AC470" s="20"/>
      <c r="AD470" s="20"/>
      <c r="AE470" s="20"/>
      <c r="AF470" s="20"/>
    </row>
    <row r="471" spans="1:32" ht="19.5">
      <c r="A471" s="20"/>
      <c r="B471" s="20"/>
      <c r="C471" s="20"/>
      <c r="D471" s="20"/>
      <c r="E471" s="20"/>
      <c r="F471" s="20"/>
      <c r="G471" s="124"/>
      <c r="H471" s="20"/>
      <c r="I471" s="20"/>
      <c r="J471" s="20"/>
      <c r="K471" s="124"/>
      <c r="L471" s="127"/>
      <c r="M471" s="20"/>
      <c r="N471" s="20"/>
      <c r="O471" s="20"/>
      <c r="P471" s="124"/>
      <c r="Q471" s="127"/>
      <c r="R471" s="20"/>
      <c r="S471" s="20"/>
      <c r="T471" s="20"/>
      <c r="U471" s="124"/>
      <c r="V471" s="127"/>
      <c r="W471" s="20"/>
      <c r="X471" s="20"/>
      <c r="Y471" s="20"/>
      <c r="Z471" s="20"/>
      <c r="AA471" s="20"/>
      <c r="AB471" s="20"/>
      <c r="AC471" s="20"/>
      <c r="AD471" s="20"/>
      <c r="AE471" s="20"/>
      <c r="AF471" s="20"/>
    </row>
    <row r="472" spans="1:32" ht="19.5">
      <c r="A472" s="20"/>
      <c r="B472" s="20"/>
      <c r="C472" s="20"/>
      <c r="D472" s="20"/>
      <c r="E472" s="20"/>
      <c r="F472" s="20"/>
      <c r="G472" s="124"/>
      <c r="H472" s="20"/>
      <c r="I472" s="20"/>
      <c r="J472" s="20"/>
      <c r="K472" s="124"/>
      <c r="L472" s="127"/>
      <c r="M472" s="20"/>
      <c r="N472" s="20"/>
      <c r="O472" s="20"/>
      <c r="P472" s="124"/>
      <c r="Q472" s="127"/>
      <c r="R472" s="20"/>
      <c r="S472" s="20"/>
      <c r="T472" s="20"/>
      <c r="U472" s="124"/>
      <c r="V472" s="127"/>
      <c r="W472" s="20"/>
      <c r="X472" s="20"/>
      <c r="Y472" s="20"/>
      <c r="Z472" s="20"/>
      <c r="AA472" s="20"/>
      <c r="AB472" s="20"/>
      <c r="AC472" s="20"/>
      <c r="AD472" s="20"/>
      <c r="AE472" s="20"/>
      <c r="AF472" s="20"/>
    </row>
    <row r="473" spans="1:32" ht="19.5">
      <c r="A473" s="20"/>
      <c r="B473" s="20"/>
      <c r="C473" s="20"/>
      <c r="D473" s="20"/>
      <c r="E473" s="20"/>
      <c r="F473" s="20"/>
      <c r="G473" s="124"/>
      <c r="H473" s="20"/>
      <c r="I473" s="20"/>
      <c r="J473" s="20"/>
      <c r="K473" s="124"/>
      <c r="L473" s="127"/>
      <c r="M473" s="20"/>
      <c r="N473" s="20"/>
      <c r="O473" s="20"/>
      <c r="P473" s="124"/>
      <c r="Q473" s="127"/>
      <c r="R473" s="20"/>
      <c r="S473" s="20"/>
      <c r="T473" s="20"/>
      <c r="U473" s="124"/>
      <c r="V473" s="127"/>
      <c r="W473" s="20"/>
      <c r="X473" s="20"/>
      <c r="Y473" s="20"/>
      <c r="Z473" s="20"/>
      <c r="AA473" s="20"/>
      <c r="AB473" s="20"/>
      <c r="AC473" s="20"/>
      <c r="AD473" s="20"/>
      <c r="AE473" s="20"/>
      <c r="AF473" s="20"/>
    </row>
    <row r="474" spans="1:32" ht="19.5">
      <c r="A474" s="20"/>
      <c r="B474" s="20"/>
      <c r="C474" s="20"/>
      <c r="D474" s="20"/>
      <c r="E474" s="20"/>
      <c r="F474" s="20"/>
      <c r="G474" s="124"/>
      <c r="H474" s="20"/>
      <c r="I474" s="20"/>
      <c r="J474" s="20"/>
      <c r="K474" s="124"/>
      <c r="L474" s="127"/>
      <c r="M474" s="20"/>
      <c r="N474" s="20"/>
      <c r="O474" s="20"/>
      <c r="P474" s="124"/>
      <c r="Q474" s="127"/>
      <c r="R474" s="20"/>
      <c r="S474" s="20"/>
      <c r="T474" s="20"/>
      <c r="U474" s="124"/>
      <c r="V474" s="127"/>
      <c r="W474" s="20"/>
      <c r="X474" s="20"/>
      <c r="Y474" s="20"/>
      <c r="Z474" s="20"/>
      <c r="AA474" s="20"/>
      <c r="AB474" s="20"/>
      <c r="AC474" s="20"/>
      <c r="AD474" s="20"/>
      <c r="AE474" s="20"/>
      <c r="AF474" s="20"/>
    </row>
    <row r="475" spans="1:32" ht="19.5">
      <c r="A475" s="20"/>
      <c r="B475" s="20"/>
      <c r="C475" s="20"/>
      <c r="D475" s="20"/>
      <c r="E475" s="20"/>
      <c r="F475" s="20"/>
      <c r="G475" s="124"/>
      <c r="H475" s="20"/>
      <c r="I475" s="20"/>
      <c r="J475" s="20"/>
      <c r="K475" s="124"/>
      <c r="L475" s="127"/>
      <c r="M475" s="20"/>
      <c r="N475" s="20"/>
      <c r="O475" s="20"/>
      <c r="P475" s="124"/>
      <c r="Q475" s="127"/>
      <c r="R475" s="20"/>
      <c r="S475" s="20"/>
      <c r="T475" s="20"/>
      <c r="U475" s="124"/>
      <c r="V475" s="127"/>
      <c r="W475" s="20"/>
      <c r="X475" s="20"/>
      <c r="Y475" s="20"/>
      <c r="Z475" s="20"/>
      <c r="AA475" s="20"/>
      <c r="AB475" s="20"/>
      <c r="AC475" s="20"/>
      <c r="AD475" s="20"/>
      <c r="AE475" s="20"/>
      <c r="AF475" s="20"/>
    </row>
    <row r="476" spans="1:32" ht="19.5">
      <c r="A476" s="20"/>
      <c r="B476" s="20"/>
      <c r="C476" s="20"/>
      <c r="D476" s="20"/>
      <c r="E476" s="20"/>
      <c r="F476" s="20"/>
      <c r="G476" s="124"/>
      <c r="H476" s="20"/>
      <c r="I476" s="20"/>
      <c r="J476" s="20"/>
      <c r="K476" s="124"/>
      <c r="L476" s="127"/>
      <c r="M476" s="20"/>
      <c r="N476" s="20"/>
      <c r="O476" s="20"/>
      <c r="P476" s="124"/>
      <c r="Q476" s="127"/>
      <c r="R476" s="20"/>
      <c r="S476" s="20"/>
      <c r="T476" s="20"/>
      <c r="U476" s="124"/>
      <c r="V476" s="127"/>
      <c r="W476" s="20"/>
      <c r="X476" s="20"/>
      <c r="Y476" s="20"/>
      <c r="Z476" s="20"/>
      <c r="AA476" s="20"/>
      <c r="AB476" s="20"/>
      <c r="AC476" s="20"/>
      <c r="AD476" s="20"/>
      <c r="AE476" s="20"/>
      <c r="AF476" s="20"/>
    </row>
    <row r="477" spans="1:32" ht="19.5">
      <c r="A477" s="20"/>
      <c r="B477" s="20"/>
      <c r="C477" s="20"/>
      <c r="D477" s="20"/>
      <c r="E477" s="20"/>
      <c r="F477" s="20"/>
      <c r="G477" s="124"/>
      <c r="H477" s="20"/>
      <c r="I477" s="20"/>
      <c r="J477" s="20"/>
      <c r="K477" s="124"/>
      <c r="L477" s="127"/>
      <c r="M477" s="20"/>
      <c r="N477" s="20"/>
      <c r="O477" s="20"/>
      <c r="P477" s="124"/>
      <c r="Q477" s="127"/>
      <c r="R477" s="20"/>
      <c r="S477" s="20"/>
      <c r="T477" s="20"/>
      <c r="U477" s="124"/>
      <c r="V477" s="127"/>
      <c r="W477" s="20"/>
      <c r="X477" s="20"/>
      <c r="Y477" s="20"/>
      <c r="Z477" s="20"/>
      <c r="AA477" s="20"/>
      <c r="AB477" s="20"/>
      <c r="AC477" s="20"/>
      <c r="AD477" s="20"/>
      <c r="AE477" s="20"/>
      <c r="AF477" s="20"/>
    </row>
    <row r="478" spans="1:32" ht="19.5">
      <c r="A478" s="20"/>
      <c r="B478" s="20"/>
      <c r="C478" s="20"/>
      <c r="D478" s="20"/>
      <c r="E478" s="20"/>
      <c r="F478" s="20"/>
      <c r="G478" s="124"/>
      <c r="H478" s="20"/>
      <c r="I478" s="20"/>
      <c r="J478" s="20"/>
      <c r="K478" s="124"/>
      <c r="L478" s="127"/>
      <c r="M478" s="20"/>
      <c r="N478" s="20"/>
      <c r="O478" s="20"/>
      <c r="P478" s="124"/>
      <c r="Q478" s="127"/>
      <c r="R478" s="20"/>
      <c r="S478" s="20"/>
      <c r="T478" s="20"/>
      <c r="U478" s="124"/>
      <c r="V478" s="127"/>
      <c r="W478" s="20"/>
      <c r="X478" s="20"/>
      <c r="Y478" s="20"/>
      <c r="Z478" s="20"/>
      <c r="AA478" s="20"/>
      <c r="AB478" s="20"/>
      <c r="AC478" s="20"/>
      <c r="AD478" s="20"/>
      <c r="AE478" s="20"/>
      <c r="AF478" s="20"/>
    </row>
    <row r="479" spans="1:32" ht="19.5">
      <c r="A479" s="20"/>
      <c r="B479" s="20"/>
      <c r="C479" s="20"/>
      <c r="D479" s="20"/>
      <c r="E479" s="20"/>
      <c r="F479" s="20"/>
      <c r="G479" s="124"/>
      <c r="H479" s="20"/>
      <c r="I479" s="20"/>
      <c r="J479" s="20"/>
      <c r="K479" s="124"/>
      <c r="L479" s="127"/>
      <c r="M479" s="20"/>
      <c r="N479" s="20"/>
      <c r="O479" s="20"/>
      <c r="P479" s="124"/>
      <c r="Q479" s="127"/>
      <c r="R479" s="20"/>
      <c r="S479" s="20"/>
      <c r="T479" s="20"/>
      <c r="U479" s="124"/>
      <c r="V479" s="127"/>
      <c r="W479" s="20"/>
      <c r="X479" s="20"/>
      <c r="Y479" s="20"/>
      <c r="Z479" s="20"/>
      <c r="AA479" s="20"/>
      <c r="AB479" s="20"/>
      <c r="AC479" s="20"/>
      <c r="AD479" s="20"/>
      <c r="AE479" s="20"/>
      <c r="AF479" s="20"/>
    </row>
    <row r="480" spans="1:32" ht="19.5">
      <c r="A480" s="20"/>
      <c r="B480" s="20"/>
      <c r="C480" s="20"/>
      <c r="D480" s="20"/>
      <c r="E480" s="20"/>
      <c r="F480" s="20"/>
      <c r="G480" s="124"/>
      <c r="H480" s="20"/>
      <c r="I480" s="20"/>
      <c r="J480" s="20"/>
      <c r="K480" s="124"/>
      <c r="L480" s="127"/>
      <c r="M480" s="20"/>
      <c r="N480" s="20"/>
      <c r="O480" s="20"/>
      <c r="P480" s="124"/>
      <c r="Q480" s="127"/>
      <c r="R480" s="20"/>
      <c r="S480" s="20"/>
      <c r="T480" s="20"/>
      <c r="U480" s="124"/>
      <c r="V480" s="127"/>
      <c r="W480" s="20"/>
      <c r="X480" s="20"/>
      <c r="Y480" s="20"/>
      <c r="Z480" s="20"/>
      <c r="AA480" s="20"/>
      <c r="AB480" s="20"/>
      <c r="AC480" s="20"/>
      <c r="AD480" s="20"/>
      <c r="AE480" s="20"/>
      <c r="AF480" s="20"/>
    </row>
    <row r="481" spans="1:32" ht="19.5">
      <c r="A481" s="20"/>
      <c r="B481" s="20"/>
      <c r="C481" s="20"/>
      <c r="D481" s="20"/>
      <c r="E481" s="20"/>
      <c r="F481" s="20"/>
      <c r="G481" s="124"/>
      <c r="H481" s="20"/>
      <c r="I481" s="20"/>
      <c r="J481" s="20"/>
      <c r="K481" s="124"/>
      <c r="L481" s="127"/>
      <c r="M481" s="20"/>
      <c r="N481" s="20"/>
      <c r="O481" s="20"/>
      <c r="P481" s="124"/>
      <c r="Q481" s="127"/>
      <c r="R481" s="20"/>
      <c r="S481" s="20"/>
      <c r="T481" s="20"/>
      <c r="U481" s="124"/>
      <c r="V481" s="127"/>
      <c r="W481" s="20"/>
      <c r="X481" s="20"/>
      <c r="Y481" s="20"/>
      <c r="Z481" s="20"/>
      <c r="AA481" s="20"/>
      <c r="AB481" s="20"/>
      <c r="AC481" s="20"/>
      <c r="AD481" s="20"/>
      <c r="AE481" s="20"/>
      <c r="AF481" s="20"/>
    </row>
    <row r="482" spans="1:32" ht="19.5">
      <c r="A482" s="20"/>
      <c r="B482" s="20"/>
      <c r="C482" s="20"/>
      <c r="D482" s="20"/>
      <c r="E482" s="20"/>
      <c r="F482" s="20"/>
      <c r="G482" s="124"/>
      <c r="H482" s="20"/>
      <c r="I482" s="20"/>
      <c r="J482" s="20"/>
      <c r="K482" s="124"/>
      <c r="L482" s="127"/>
      <c r="M482" s="20"/>
      <c r="N482" s="20"/>
      <c r="O482" s="20"/>
      <c r="P482" s="124"/>
      <c r="Q482" s="127"/>
      <c r="R482" s="20"/>
      <c r="S482" s="20"/>
      <c r="T482" s="20"/>
      <c r="U482" s="124"/>
      <c r="V482" s="127"/>
      <c r="W482" s="20"/>
      <c r="X482" s="20"/>
      <c r="Y482" s="20"/>
      <c r="Z482" s="20"/>
      <c r="AA482" s="20"/>
      <c r="AB482" s="20"/>
      <c r="AC482" s="20"/>
      <c r="AD482" s="20"/>
      <c r="AE482" s="20"/>
      <c r="AF482" s="20"/>
    </row>
    <row r="483" spans="1:32" ht="19.5">
      <c r="A483" s="20"/>
      <c r="B483" s="20"/>
      <c r="C483" s="20"/>
      <c r="D483" s="20"/>
      <c r="E483" s="20"/>
      <c r="F483" s="20"/>
      <c r="G483" s="124"/>
      <c r="H483" s="20"/>
      <c r="I483" s="20"/>
      <c r="J483" s="20"/>
      <c r="K483" s="124"/>
      <c r="L483" s="127"/>
      <c r="M483" s="20"/>
      <c r="N483" s="20"/>
      <c r="O483" s="20"/>
      <c r="P483" s="124"/>
      <c r="Q483" s="127"/>
      <c r="R483" s="20"/>
      <c r="S483" s="20"/>
      <c r="T483" s="20"/>
      <c r="U483" s="124"/>
      <c r="V483" s="127"/>
      <c r="W483" s="20"/>
      <c r="X483" s="20"/>
      <c r="Y483" s="20"/>
      <c r="Z483" s="20"/>
      <c r="AA483" s="20"/>
      <c r="AB483" s="20"/>
      <c r="AC483" s="20"/>
      <c r="AD483" s="20"/>
      <c r="AE483" s="20"/>
      <c r="AF483" s="20"/>
    </row>
    <row r="484" spans="1:32" ht="19.5">
      <c r="A484" s="20"/>
      <c r="B484" s="20"/>
      <c r="C484" s="20"/>
      <c r="D484" s="20"/>
      <c r="E484" s="20"/>
      <c r="F484" s="20"/>
      <c r="G484" s="124"/>
      <c r="H484" s="20"/>
      <c r="I484" s="20"/>
      <c r="J484" s="20"/>
      <c r="K484" s="124"/>
      <c r="L484" s="127"/>
      <c r="M484" s="20"/>
      <c r="N484" s="20"/>
      <c r="O484" s="20"/>
      <c r="P484" s="124"/>
      <c r="Q484" s="127"/>
      <c r="R484" s="20"/>
      <c r="S484" s="20"/>
      <c r="T484" s="20"/>
      <c r="U484" s="124"/>
      <c r="V484" s="127"/>
      <c r="W484" s="20"/>
      <c r="X484" s="20"/>
      <c r="Y484" s="20"/>
      <c r="Z484" s="20"/>
      <c r="AA484" s="20"/>
      <c r="AB484" s="20"/>
      <c r="AC484" s="20"/>
      <c r="AD484" s="20"/>
      <c r="AE484" s="20"/>
      <c r="AF484" s="20"/>
    </row>
    <row r="485" spans="1:32" ht="19.5">
      <c r="A485" s="20"/>
      <c r="B485" s="20"/>
      <c r="C485" s="20"/>
      <c r="D485" s="20"/>
      <c r="E485" s="20"/>
      <c r="F485" s="20"/>
      <c r="G485" s="124"/>
      <c r="H485" s="20"/>
      <c r="I485" s="20"/>
      <c r="J485" s="20"/>
      <c r="K485" s="124"/>
      <c r="L485" s="127"/>
      <c r="M485" s="20"/>
      <c r="N485" s="20"/>
      <c r="O485" s="20"/>
      <c r="P485" s="124"/>
      <c r="Q485" s="127"/>
      <c r="R485" s="20"/>
      <c r="S485" s="20"/>
      <c r="T485" s="20"/>
      <c r="U485" s="124"/>
      <c r="V485" s="127"/>
      <c r="W485" s="20"/>
      <c r="X485" s="20"/>
      <c r="Y485" s="20"/>
      <c r="Z485" s="20"/>
      <c r="AA485" s="20"/>
      <c r="AB485" s="20"/>
      <c r="AC485" s="20"/>
      <c r="AD485" s="20"/>
      <c r="AE485" s="20"/>
      <c r="AF485" s="20"/>
    </row>
    <row r="486" spans="1:32" ht="19.5">
      <c r="A486" s="20"/>
      <c r="B486" s="20"/>
      <c r="C486" s="20"/>
      <c r="D486" s="20"/>
      <c r="E486" s="20"/>
      <c r="F486" s="20"/>
      <c r="G486" s="124"/>
      <c r="H486" s="20"/>
      <c r="I486" s="20"/>
      <c r="J486" s="20"/>
      <c r="K486" s="124"/>
      <c r="L486" s="127"/>
      <c r="M486" s="20"/>
      <c r="N486" s="20"/>
      <c r="O486" s="20"/>
      <c r="P486" s="124"/>
      <c r="Q486" s="127"/>
      <c r="R486" s="20"/>
      <c r="S486" s="20"/>
      <c r="T486" s="20"/>
      <c r="U486" s="124"/>
      <c r="V486" s="127"/>
      <c r="W486" s="20"/>
      <c r="X486" s="20"/>
      <c r="Y486" s="20"/>
      <c r="Z486" s="20"/>
      <c r="AA486" s="20"/>
      <c r="AB486" s="20"/>
      <c r="AC486" s="20"/>
      <c r="AD486" s="20"/>
      <c r="AE486" s="20"/>
      <c r="AF486" s="20"/>
    </row>
    <row r="487" spans="1:32" ht="19.5">
      <c r="A487" s="20"/>
      <c r="B487" s="20"/>
      <c r="C487" s="20"/>
      <c r="D487" s="20"/>
      <c r="E487" s="20"/>
      <c r="F487" s="20"/>
      <c r="G487" s="124"/>
      <c r="H487" s="20"/>
      <c r="I487" s="20"/>
      <c r="J487" s="20"/>
      <c r="K487" s="124"/>
      <c r="L487" s="127"/>
      <c r="M487" s="20"/>
      <c r="N487" s="20"/>
      <c r="O487" s="20"/>
      <c r="P487" s="124"/>
      <c r="Q487" s="127"/>
      <c r="R487" s="20"/>
      <c r="S487" s="20"/>
      <c r="T487" s="20"/>
      <c r="U487" s="124"/>
      <c r="V487" s="127"/>
      <c r="W487" s="20"/>
      <c r="X487" s="20"/>
      <c r="Y487" s="20"/>
      <c r="Z487" s="20"/>
      <c r="AA487" s="20"/>
      <c r="AB487" s="20"/>
      <c r="AC487" s="20"/>
      <c r="AD487" s="20"/>
      <c r="AE487" s="20"/>
      <c r="AF487" s="20"/>
    </row>
    <row r="488" spans="1:32" ht="19.5">
      <c r="A488" s="20"/>
      <c r="B488" s="20"/>
      <c r="C488" s="20"/>
      <c r="D488" s="20"/>
      <c r="E488" s="20"/>
      <c r="F488" s="20"/>
      <c r="G488" s="124"/>
      <c r="H488" s="20"/>
      <c r="I488" s="20"/>
      <c r="J488" s="20"/>
      <c r="K488" s="124"/>
      <c r="L488" s="127"/>
      <c r="M488" s="20"/>
      <c r="N488" s="20"/>
      <c r="O488" s="20"/>
      <c r="P488" s="124"/>
      <c r="Q488" s="127"/>
      <c r="R488" s="20"/>
      <c r="S488" s="20"/>
      <c r="T488" s="20"/>
      <c r="U488" s="124"/>
      <c r="V488" s="127"/>
      <c r="W488" s="20"/>
      <c r="X488" s="20"/>
      <c r="Y488" s="20"/>
      <c r="Z488" s="20"/>
      <c r="AA488" s="20"/>
      <c r="AB488" s="20"/>
      <c r="AC488" s="20"/>
      <c r="AD488" s="20"/>
      <c r="AE488" s="20"/>
      <c r="AF488" s="20"/>
    </row>
    <row r="489" spans="1:32" ht="19.5">
      <c r="A489" s="20"/>
      <c r="B489" s="20"/>
      <c r="C489" s="20"/>
      <c r="D489" s="20"/>
      <c r="E489" s="20"/>
      <c r="F489" s="20"/>
      <c r="G489" s="124"/>
      <c r="H489" s="20"/>
      <c r="I489" s="20"/>
      <c r="J489" s="20"/>
      <c r="K489" s="124"/>
      <c r="L489" s="127"/>
      <c r="M489" s="20"/>
      <c r="N489" s="20"/>
      <c r="O489" s="20"/>
      <c r="P489" s="124"/>
      <c r="Q489" s="127"/>
      <c r="R489" s="20"/>
      <c r="S489" s="20"/>
      <c r="T489" s="20"/>
      <c r="U489" s="124"/>
      <c r="V489" s="127"/>
      <c r="W489" s="20"/>
      <c r="X489" s="20"/>
      <c r="Y489" s="20"/>
      <c r="Z489" s="20"/>
      <c r="AA489" s="20"/>
      <c r="AB489" s="20"/>
      <c r="AC489" s="20"/>
      <c r="AD489" s="20"/>
      <c r="AE489" s="20"/>
      <c r="AF489" s="20"/>
    </row>
    <row r="490" spans="1:32" ht="19.5">
      <c r="A490" s="20"/>
      <c r="B490" s="20"/>
      <c r="C490" s="20"/>
      <c r="D490" s="20"/>
      <c r="E490" s="20"/>
      <c r="F490" s="20"/>
      <c r="G490" s="124"/>
      <c r="H490" s="20"/>
      <c r="I490" s="20"/>
      <c r="J490" s="20"/>
      <c r="K490" s="124"/>
      <c r="L490" s="127"/>
      <c r="M490" s="20"/>
      <c r="N490" s="20"/>
      <c r="O490" s="20"/>
      <c r="P490" s="124"/>
      <c r="Q490" s="127"/>
      <c r="R490" s="20"/>
      <c r="S490" s="20"/>
      <c r="T490" s="20"/>
      <c r="U490" s="124"/>
      <c r="V490" s="127"/>
      <c r="W490" s="20"/>
      <c r="X490" s="20"/>
      <c r="Y490" s="20"/>
      <c r="Z490" s="20"/>
      <c r="AA490" s="20"/>
      <c r="AB490" s="20"/>
      <c r="AC490" s="20"/>
      <c r="AD490" s="20"/>
      <c r="AE490" s="20"/>
      <c r="AF490" s="20"/>
    </row>
    <row r="491" spans="1:32" ht="19.5">
      <c r="A491" s="20"/>
      <c r="B491" s="20"/>
      <c r="C491" s="20"/>
      <c r="D491" s="20"/>
      <c r="E491" s="20"/>
      <c r="F491" s="20"/>
      <c r="G491" s="124"/>
      <c r="H491" s="20"/>
      <c r="I491" s="20"/>
      <c r="J491" s="20"/>
      <c r="K491" s="124"/>
      <c r="L491" s="127"/>
      <c r="M491" s="20"/>
      <c r="N491" s="20"/>
      <c r="O491" s="20"/>
      <c r="P491" s="124"/>
      <c r="Q491" s="127"/>
      <c r="R491" s="20"/>
      <c r="S491" s="20"/>
      <c r="T491" s="20"/>
      <c r="U491" s="124"/>
      <c r="V491" s="127"/>
      <c r="W491" s="20"/>
      <c r="X491" s="20"/>
      <c r="Y491" s="20"/>
      <c r="Z491" s="20"/>
      <c r="AA491" s="20"/>
      <c r="AB491" s="20"/>
      <c r="AC491" s="20"/>
      <c r="AD491" s="20"/>
      <c r="AE491" s="20"/>
      <c r="AF491" s="20"/>
    </row>
    <row r="492" spans="1:32" ht="19.5">
      <c r="A492" s="20"/>
      <c r="B492" s="20"/>
      <c r="C492" s="20"/>
      <c r="D492" s="20"/>
      <c r="E492" s="20"/>
      <c r="F492" s="20"/>
      <c r="G492" s="124"/>
      <c r="H492" s="20"/>
      <c r="I492" s="20"/>
      <c r="J492" s="20"/>
      <c r="K492" s="124"/>
      <c r="L492" s="127"/>
      <c r="M492" s="20"/>
      <c r="N492" s="20"/>
      <c r="O492" s="20"/>
      <c r="P492" s="124"/>
      <c r="Q492" s="127"/>
      <c r="R492" s="20"/>
      <c r="S492" s="20"/>
      <c r="T492" s="20"/>
      <c r="U492" s="124"/>
      <c r="V492" s="127"/>
      <c r="W492" s="20"/>
      <c r="X492" s="20"/>
      <c r="Y492" s="20"/>
      <c r="Z492" s="20"/>
      <c r="AA492" s="20"/>
      <c r="AB492" s="20"/>
      <c r="AC492" s="20"/>
      <c r="AD492" s="20"/>
      <c r="AE492" s="20"/>
      <c r="AF492" s="20"/>
    </row>
    <row r="493" spans="1:32" ht="19.5">
      <c r="A493" s="20"/>
      <c r="B493" s="20"/>
      <c r="C493" s="20"/>
      <c r="D493" s="20"/>
      <c r="E493" s="20"/>
      <c r="F493" s="20"/>
      <c r="G493" s="124"/>
      <c r="H493" s="20"/>
      <c r="I493" s="20"/>
      <c r="J493" s="20"/>
      <c r="K493" s="124"/>
      <c r="L493" s="127"/>
      <c r="M493" s="20"/>
      <c r="N493" s="20"/>
      <c r="O493" s="20"/>
      <c r="P493" s="124"/>
      <c r="Q493" s="127"/>
      <c r="R493" s="20"/>
      <c r="S493" s="20"/>
      <c r="T493" s="20"/>
      <c r="U493" s="124"/>
      <c r="V493" s="127"/>
      <c r="W493" s="20"/>
      <c r="X493" s="20"/>
      <c r="Y493" s="20"/>
      <c r="Z493" s="20"/>
      <c r="AA493" s="20"/>
      <c r="AB493" s="20"/>
      <c r="AC493" s="20"/>
      <c r="AD493" s="20"/>
      <c r="AE493" s="20"/>
      <c r="AF493" s="20"/>
    </row>
    <row r="494" spans="1:32" ht="19.5">
      <c r="A494" s="20"/>
      <c r="B494" s="20"/>
      <c r="C494" s="20"/>
      <c r="D494" s="20"/>
      <c r="E494" s="20"/>
      <c r="F494" s="20"/>
      <c r="G494" s="124"/>
      <c r="H494" s="20"/>
      <c r="I494" s="20"/>
      <c r="J494" s="20"/>
      <c r="K494" s="124"/>
      <c r="L494" s="127"/>
      <c r="M494" s="20"/>
      <c r="N494" s="20"/>
      <c r="O494" s="20"/>
      <c r="P494" s="124"/>
      <c r="Q494" s="127"/>
      <c r="R494" s="20"/>
      <c r="S494" s="20"/>
      <c r="T494" s="20"/>
      <c r="U494" s="124"/>
      <c r="V494" s="127"/>
      <c r="W494" s="20"/>
      <c r="X494" s="20"/>
      <c r="Y494" s="20"/>
      <c r="Z494" s="20"/>
      <c r="AA494" s="20"/>
      <c r="AB494" s="20"/>
      <c r="AC494" s="20"/>
      <c r="AD494" s="20"/>
      <c r="AE494" s="20"/>
      <c r="AF494" s="20"/>
    </row>
    <row r="495" spans="1:32" ht="19.5">
      <c r="A495" s="20"/>
      <c r="B495" s="20"/>
      <c r="C495" s="20"/>
      <c r="D495" s="20"/>
      <c r="E495" s="20"/>
      <c r="F495" s="20"/>
      <c r="G495" s="124"/>
      <c r="H495" s="20"/>
      <c r="I495" s="20"/>
      <c r="J495" s="20"/>
      <c r="K495" s="124"/>
      <c r="L495" s="127"/>
      <c r="M495" s="20"/>
      <c r="N495" s="20"/>
      <c r="O495" s="20"/>
      <c r="P495" s="124"/>
      <c r="Q495" s="127"/>
      <c r="R495" s="20"/>
      <c r="S495" s="20"/>
      <c r="T495" s="20"/>
      <c r="U495" s="124"/>
      <c r="V495" s="127"/>
      <c r="W495" s="20"/>
      <c r="X495" s="20"/>
      <c r="Y495" s="20"/>
      <c r="Z495" s="20"/>
      <c r="AA495" s="20"/>
      <c r="AB495" s="20"/>
      <c r="AC495" s="20"/>
      <c r="AD495" s="20"/>
      <c r="AE495" s="20"/>
      <c r="AF495" s="20"/>
    </row>
    <row r="496" spans="1:32" ht="19.5">
      <c r="A496" s="20"/>
      <c r="B496" s="20"/>
      <c r="C496" s="20"/>
      <c r="D496" s="20"/>
      <c r="E496" s="20"/>
      <c r="F496" s="20"/>
      <c r="G496" s="124"/>
      <c r="H496" s="20"/>
      <c r="I496" s="20"/>
      <c r="J496" s="20"/>
      <c r="K496" s="124"/>
      <c r="L496" s="127"/>
      <c r="M496" s="20"/>
      <c r="N496" s="20"/>
      <c r="O496" s="20"/>
      <c r="P496" s="124"/>
      <c r="Q496" s="127"/>
      <c r="R496" s="20"/>
      <c r="S496" s="20"/>
      <c r="T496" s="20"/>
      <c r="U496" s="124"/>
      <c r="V496" s="127"/>
      <c r="W496" s="20"/>
      <c r="X496" s="20"/>
      <c r="Y496" s="20"/>
      <c r="Z496" s="20"/>
      <c r="AA496" s="20"/>
      <c r="AB496" s="20"/>
      <c r="AC496" s="20"/>
      <c r="AD496" s="20"/>
      <c r="AE496" s="20"/>
      <c r="AF496" s="20"/>
    </row>
    <row r="497" spans="1:32" ht="19.5">
      <c r="A497" s="20"/>
      <c r="B497" s="20"/>
      <c r="C497" s="20"/>
      <c r="D497" s="20"/>
      <c r="E497" s="20"/>
      <c r="F497" s="20"/>
      <c r="G497" s="124"/>
      <c r="H497" s="20"/>
      <c r="I497" s="20"/>
      <c r="J497" s="20"/>
      <c r="K497" s="124"/>
      <c r="L497" s="127"/>
      <c r="M497" s="20"/>
      <c r="N497" s="20"/>
      <c r="O497" s="20"/>
      <c r="P497" s="124"/>
      <c r="Q497" s="127"/>
      <c r="R497" s="20"/>
      <c r="S497" s="20"/>
      <c r="T497" s="20"/>
      <c r="U497" s="124"/>
      <c r="V497" s="127"/>
      <c r="W497" s="20"/>
      <c r="X497" s="20"/>
      <c r="Y497" s="20"/>
      <c r="Z497" s="20"/>
      <c r="AA497" s="20"/>
      <c r="AB497" s="20"/>
      <c r="AC497" s="20"/>
      <c r="AD497" s="20"/>
      <c r="AE497" s="20"/>
      <c r="AF497" s="20"/>
    </row>
    <row r="498" spans="1:32" ht="19.5">
      <c r="A498" s="20"/>
      <c r="B498" s="20"/>
      <c r="C498" s="20"/>
      <c r="D498" s="20"/>
      <c r="E498" s="20"/>
      <c r="F498" s="20"/>
      <c r="G498" s="124"/>
      <c r="H498" s="20"/>
      <c r="I498" s="20"/>
      <c r="J498" s="20"/>
      <c r="K498" s="124"/>
      <c r="L498" s="127"/>
      <c r="M498" s="20"/>
      <c r="N498" s="20"/>
      <c r="O498" s="20"/>
      <c r="P498" s="124"/>
      <c r="Q498" s="127"/>
      <c r="R498" s="20"/>
      <c r="S498" s="20"/>
      <c r="T498" s="20"/>
      <c r="U498" s="124"/>
      <c r="V498" s="127"/>
      <c r="W498" s="20"/>
      <c r="X498" s="20"/>
      <c r="Y498" s="20"/>
      <c r="Z498" s="20"/>
      <c r="AA498" s="20"/>
      <c r="AB498" s="20"/>
      <c r="AC498" s="20"/>
      <c r="AD498" s="20"/>
      <c r="AE498" s="20"/>
      <c r="AF498" s="20"/>
    </row>
    <row r="499" spans="1:32" ht="19.5">
      <c r="A499" s="20"/>
      <c r="B499" s="20"/>
      <c r="C499" s="20"/>
      <c r="D499" s="20"/>
      <c r="E499" s="20"/>
      <c r="F499" s="20"/>
      <c r="G499" s="124"/>
      <c r="H499" s="20"/>
      <c r="I499" s="20"/>
      <c r="J499" s="20"/>
      <c r="K499" s="124"/>
      <c r="L499" s="127"/>
      <c r="M499" s="20"/>
      <c r="N499" s="20"/>
      <c r="O499" s="20"/>
      <c r="P499" s="124"/>
      <c r="Q499" s="127"/>
      <c r="R499" s="20"/>
      <c r="S499" s="20"/>
      <c r="T499" s="20"/>
      <c r="U499" s="124"/>
      <c r="V499" s="127"/>
      <c r="W499" s="20"/>
      <c r="X499" s="20"/>
      <c r="Y499" s="20"/>
      <c r="Z499" s="20"/>
      <c r="AA499" s="20"/>
      <c r="AB499" s="20"/>
      <c r="AC499" s="20"/>
      <c r="AD499" s="20"/>
      <c r="AE499" s="20"/>
      <c r="AF499" s="20"/>
    </row>
    <row r="500" spans="1:32" ht="19.5">
      <c r="A500" s="20"/>
      <c r="B500" s="20"/>
      <c r="C500" s="20"/>
      <c r="D500" s="20"/>
      <c r="E500" s="20"/>
      <c r="F500" s="20"/>
      <c r="G500" s="124"/>
      <c r="H500" s="20"/>
      <c r="I500" s="20"/>
      <c r="J500" s="20"/>
      <c r="K500" s="124"/>
      <c r="L500" s="127"/>
      <c r="M500" s="20"/>
      <c r="N500" s="20"/>
      <c r="O500" s="20"/>
      <c r="P500" s="124"/>
      <c r="Q500" s="127"/>
      <c r="R500" s="20"/>
      <c r="S500" s="20"/>
      <c r="T500" s="20"/>
      <c r="U500" s="124"/>
      <c r="V500" s="127"/>
      <c r="W500" s="20"/>
      <c r="X500" s="20"/>
      <c r="Y500" s="20"/>
      <c r="Z500" s="20"/>
      <c r="AA500" s="20"/>
      <c r="AB500" s="20"/>
      <c r="AC500" s="20"/>
      <c r="AD500" s="20"/>
      <c r="AE500" s="20"/>
      <c r="AF500" s="20"/>
    </row>
    <row r="501" spans="1:32" ht="19.5">
      <c r="A501" s="20"/>
      <c r="B501" s="20"/>
      <c r="C501" s="20"/>
      <c r="D501" s="20"/>
      <c r="E501" s="20"/>
      <c r="F501" s="20"/>
      <c r="G501" s="124"/>
      <c r="H501" s="20"/>
      <c r="I501" s="20"/>
      <c r="J501" s="20"/>
      <c r="K501" s="124"/>
      <c r="L501" s="127"/>
      <c r="M501" s="20"/>
      <c r="N501" s="20"/>
      <c r="O501" s="20"/>
      <c r="P501" s="124"/>
      <c r="Q501" s="127"/>
      <c r="R501" s="20"/>
      <c r="S501" s="20"/>
      <c r="T501" s="20"/>
      <c r="U501" s="124"/>
      <c r="V501" s="127"/>
      <c r="W501" s="20"/>
      <c r="X501" s="20"/>
      <c r="Y501" s="20"/>
      <c r="Z501" s="20"/>
      <c r="AA501" s="20"/>
      <c r="AB501" s="20"/>
      <c r="AC501" s="20"/>
      <c r="AD501" s="20"/>
      <c r="AE501" s="20"/>
      <c r="AF501" s="20"/>
    </row>
    <row r="502" spans="1:32" ht="19.5">
      <c r="A502" s="20"/>
      <c r="B502" s="20"/>
      <c r="C502" s="20"/>
      <c r="D502" s="20"/>
      <c r="E502" s="20"/>
      <c r="F502" s="20"/>
      <c r="G502" s="124"/>
      <c r="H502" s="20"/>
      <c r="I502" s="20"/>
      <c r="J502" s="20"/>
      <c r="K502" s="124"/>
      <c r="L502" s="127"/>
      <c r="M502" s="20"/>
      <c r="N502" s="20"/>
      <c r="O502" s="20"/>
      <c r="P502" s="124"/>
      <c r="Q502" s="127"/>
      <c r="R502" s="20"/>
      <c r="S502" s="20"/>
      <c r="T502" s="20"/>
      <c r="U502" s="124"/>
      <c r="V502" s="127"/>
      <c r="W502" s="20"/>
      <c r="X502" s="20"/>
      <c r="Y502" s="20"/>
      <c r="Z502" s="20"/>
      <c r="AA502" s="20"/>
      <c r="AB502" s="20"/>
      <c r="AC502" s="20"/>
      <c r="AD502" s="20"/>
      <c r="AE502" s="20"/>
      <c r="AF502" s="20"/>
    </row>
    <row r="503" spans="1:32" ht="19.5">
      <c r="A503" s="20"/>
      <c r="B503" s="20"/>
      <c r="C503" s="20"/>
      <c r="D503" s="20"/>
      <c r="E503" s="20"/>
      <c r="F503" s="20"/>
      <c r="G503" s="124"/>
      <c r="H503" s="20"/>
      <c r="I503" s="20"/>
      <c r="J503" s="20"/>
      <c r="K503" s="124"/>
      <c r="L503" s="127"/>
      <c r="M503" s="20"/>
      <c r="N503" s="20"/>
      <c r="O503" s="20"/>
      <c r="P503" s="124"/>
      <c r="Q503" s="127"/>
      <c r="R503" s="20"/>
      <c r="S503" s="20"/>
      <c r="T503" s="20"/>
      <c r="U503" s="124"/>
      <c r="V503" s="127"/>
      <c r="W503" s="20"/>
      <c r="X503" s="20"/>
      <c r="Y503" s="20"/>
      <c r="Z503" s="20"/>
      <c r="AA503" s="20"/>
      <c r="AB503" s="20"/>
      <c r="AC503" s="20"/>
      <c r="AD503" s="20"/>
      <c r="AE503" s="20"/>
      <c r="AF503" s="20"/>
    </row>
    <row r="504" spans="1:32" ht="19.5">
      <c r="A504" s="20"/>
      <c r="B504" s="20"/>
      <c r="C504" s="20"/>
      <c r="D504" s="20"/>
      <c r="E504" s="20"/>
      <c r="F504" s="20"/>
      <c r="G504" s="124"/>
      <c r="H504" s="20"/>
      <c r="I504" s="20"/>
      <c r="J504" s="20"/>
      <c r="K504" s="124"/>
      <c r="L504" s="127"/>
      <c r="M504" s="20"/>
      <c r="N504" s="20"/>
      <c r="O504" s="20"/>
      <c r="P504" s="124"/>
      <c r="Q504" s="127"/>
      <c r="R504" s="20"/>
      <c r="S504" s="20"/>
      <c r="T504" s="20"/>
      <c r="U504" s="124"/>
      <c r="V504" s="127"/>
      <c r="W504" s="20"/>
      <c r="X504" s="20"/>
      <c r="Y504" s="20"/>
      <c r="Z504" s="20"/>
      <c r="AA504" s="20"/>
      <c r="AB504" s="20"/>
      <c r="AC504" s="20"/>
      <c r="AD504" s="20"/>
      <c r="AE504" s="20"/>
      <c r="AF504" s="20"/>
    </row>
    <row r="505" spans="1:32" ht="19.5">
      <c r="A505" s="20"/>
      <c r="B505" s="20"/>
      <c r="C505" s="20"/>
      <c r="D505" s="20"/>
      <c r="E505" s="20"/>
      <c r="F505" s="20"/>
      <c r="G505" s="124"/>
      <c r="H505" s="20"/>
      <c r="I505" s="20"/>
      <c r="J505" s="20"/>
      <c r="K505" s="124"/>
      <c r="L505" s="127"/>
      <c r="M505" s="20"/>
      <c r="N505" s="20"/>
      <c r="O505" s="20"/>
      <c r="P505" s="124"/>
      <c r="Q505" s="127"/>
      <c r="R505" s="20"/>
      <c r="S505" s="20"/>
      <c r="T505" s="20"/>
      <c r="U505" s="124"/>
      <c r="V505" s="127"/>
      <c r="W505" s="20"/>
      <c r="X505" s="20"/>
      <c r="Y505" s="20"/>
      <c r="Z505" s="20"/>
      <c r="AA505" s="20"/>
      <c r="AB505" s="20"/>
      <c r="AC505" s="20"/>
      <c r="AD505" s="20"/>
      <c r="AE505" s="20"/>
      <c r="AF505" s="20"/>
    </row>
    <row r="506" spans="1:32" ht="19.5">
      <c r="A506" s="20"/>
      <c r="B506" s="20"/>
      <c r="C506" s="20"/>
      <c r="D506" s="20"/>
      <c r="E506" s="20"/>
      <c r="F506" s="20"/>
      <c r="G506" s="124"/>
      <c r="H506" s="20"/>
      <c r="I506" s="20"/>
      <c r="J506" s="20"/>
      <c r="K506" s="124"/>
      <c r="L506" s="127"/>
      <c r="M506" s="20"/>
      <c r="N506" s="20"/>
      <c r="O506" s="20"/>
      <c r="P506" s="124"/>
      <c r="Q506" s="127"/>
      <c r="R506" s="20"/>
      <c r="S506" s="20"/>
      <c r="T506" s="20"/>
      <c r="U506" s="124"/>
      <c r="V506" s="127"/>
      <c r="W506" s="20"/>
      <c r="X506" s="20"/>
      <c r="Y506" s="20"/>
      <c r="Z506" s="20"/>
      <c r="AA506" s="20"/>
      <c r="AB506" s="20"/>
      <c r="AC506" s="20"/>
      <c r="AD506" s="20"/>
      <c r="AE506" s="20"/>
      <c r="AF506" s="20"/>
    </row>
    <row r="507" spans="1:32" ht="19.5">
      <c r="A507" s="20"/>
      <c r="B507" s="20"/>
      <c r="C507" s="20"/>
      <c r="D507" s="20"/>
      <c r="E507" s="20"/>
      <c r="F507" s="20"/>
      <c r="G507" s="124"/>
      <c r="H507" s="20"/>
      <c r="I507" s="20"/>
      <c r="J507" s="20"/>
      <c r="K507" s="124"/>
      <c r="L507" s="127"/>
      <c r="M507" s="20"/>
      <c r="N507" s="20"/>
      <c r="O507" s="20"/>
      <c r="P507" s="124"/>
      <c r="Q507" s="127"/>
      <c r="R507" s="20"/>
      <c r="S507" s="20"/>
      <c r="T507" s="20"/>
      <c r="U507" s="124"/>
      <c r="V507" s="127"/>
      <c r="W507" s="20"/>
      <c r="X507" s="20"/>
      <c r="Y507" s="20"/>
      <c r="Z507" s="20"/>
      <c r="AA507" s="20"/>
      <c r="AB507" s="20"/>
      <c r="AC507" s="20"/>
      <c r="AD507" s="20"/>
      <c r="AE507" s="20"/>
      <c r="AF507" s="20"/>
    </row>
    <row r="508" spans="1:32" ht="19.5">
      <c r="A508" s="20"/>
      <c r="B508" s="20"/>
      <c r="C508" s="20"/>
      <c r="D508" s="20"/>
      <c r="E508" s="20"/>
      <c r="F508" s="20"/>
      <c r="G508" s="124"/>
      <c r="H508" s="20"/>
      <c r="I508" s="20"/>
      <c r="J508" s="20"/>
      <c r="K508" s="124"/>
      <c r="L508" s="127"/>
      <c r="M508" s="20"/>
      <c r="N508" s="20"/>
      <c r="O508" s="20"/>
      <c r="P508" s="124"/>
      <c r="Q508" s="127"/>
      <c r="R508" s="20"/>
      <c r="S508" s="20"/>
      <c r="T508" s="20"/>
      <c r="U508" s="124"/>
      <c r="V508" s="127"/>
      <c r="W508" s="20"/>
      <c r="X508" s="20"/>
      <c r="Y508" s="20"/>
      <c r="Z508" s="20"/>
      <c r="AA508" s="20"/>
      <c r="AB508" s="20"/>
      <c r="AC508" s="20"/>
      <c r="AD508" s="20"/>
      <c r="AE508" s="20"/>
      <c r="AF508" s="20"/>
    </row>
    <row r="509" spans="1:32" ht="19.5">
      <c r="A509" s="20"/>
      <c r="B509" s="20"/>
      <c r="C509" s="20"/>
      <c r="D509" s="20"/>
      <c r="E509" s="20"/>
      <c r="F509" s="20"/>
      <c r="G509" s="124"/>
      <c r="H509" s="20"/>
      <c r="I509" s="20"/>
      <c r="J509" s="20"/>
      <c r="K509" s="124"/>
      <c r="L509" s="127"/>
      <c r="M509" s="20"/>
      <c r="N509" s="20"/>
      <c r="O509" s="20"/>
      <c r="P509" s="124"/>
      <c r="Q509" s="127"/>
      <c r="R509" s="20"/>
      <c r="S509" s="20"/>
      <c r="T509" s="20"/>
      <c r="U509" s="124"/>
      <c r="V509" s="127"/>
      <c r="W509" s="20"/>
      <c r="X509" s="20"/>
      <c r="Y509" s="20"/>
      <c r="Z509" s="20"/>
      <c r="AA509" s="20"/>
      <c r="AB509" s="20"/>
      <c r="AC509" s="20"/>
      <c r="AD509" s="20"/>
      <c r="AE509" s="20"/>
      <c r="AF509" s="20"/>
    </row>
    <row r="510" spans="1:32" ht="19.5">
      <c r="A510" s="20"/>
      <c r="B510" s="20"/>
      <c r="C510" s="20"/>
      <c r="D510" s="20"/>
      <c r="E510" s="20"/>
      <c r="F510" s="20"/>
      <c r="G510" s="124"/>
      <c r="H510" s="20"/>
      <c r="I510" s="20"/>
      <c r="J510" s="20"/>
      <c r="K510" s="124"/>
      <c r="L510" s="127"/>
      <c r="M510" s="20"/>
      <c r="N510" s="20"/>
      <c r="O510" s="20"/>
      <c r="P510" s="124"/>
      <c r="Q510" s="127"/>
      <c r="R510" s="20"/>
      <c r="S510" s="20"/>
      <c r="T510" s="20"/>
      <c r="U510" s="124"/>
      <c r="V510" s="127"/>
      <c r="W510" s="20"/>
      <c r="X510" s="20"/>
      <c r="Y510" s="20"/>
      <c r="Z510" s="20"/>
      <c r="AA510" s="20"/>
      <c r="AB510" s="20"/>
      <c r="AC510" s="20"/>
      <c r="AD510" s="20"/>
      <c r="AE510" s="20"/>
      <c r="AF510" s="20"/>
    </row>
    <row r="511" spans="1:32" ht="19.5">
      <c r="A511" s="20"/>
      <c r="B511" s="20"/>
      <c r="C511" s="20"/>
      <c r="D511" s="20"/>
      <c r="E511" s="20"/>
      <c r="F511" s="20"/>
      <c r="G511" s="124"/>
      <c r="H511" s="20"/>
      <c r="I511" s="20"/>
      <c r="J511" s="20"/>
      <c r="K511" s="124"/>
      <c r="L511" s="127"/>
      <c r="M511" s="20"/>
      <c r="N511" s="20"/>
      <c r="O511" s="20"/>
      <c r="P511" s="124"/>
      <c r="Q511" s="127"/>
      <c r="R511" s="20"/>
      <c r="S511" s="20"/>
      <c r="T511" s="20"/>
      <c r="U511" s="124"/>
      <c r="V511" s="127"/>
      <c r="W511" s="20"/>
      <c r="X511" s="20"/>
      <c r="Y511" s="20"/>
      <c r="Z511" s="20"/>
      <c r="AA511" s="20"/>
      <c r="AB511" s="20"/>
      <c r="AC511" s="20"/>
      <c r="AD511" s="20"/>
      <c r="AE511" s="20"/>
      <c r="AF511" s="20"/>
    </row>
    <row r="512" spans="1:32" ht="19.5">
      <c r="A512" s="20"/>
      <c r="B512" s="20"/>
      <c r="C512" s="20"/>
      <c r="D512" s="20"/>
      <c r="E512" s="20"/>
      <c r="F512" s="20"/>
      <c r="G512" s="124"/>
      <c r="H512" s="20"/>
      <c r="I512" s="20"/>
      <c r="J512" s="20"/>
      <c r="K512" s="124"/>
      <c r="L512" s="127"/>
      <c r="M512" s="20"/>
      <c r="N512" s="20"/>
      <c r="O512" s="20"/>
      <c r="P512" s="124"/>
      <c r="Q512" s="127"/>
      <c r="R512" s="20"/>
      <c r="S512" s="20"/>
      <c r="T512" s="20"/>
      <c r="U512" s="124"/>
      <c r="V512" s="127"/>
      <c r="W512" s="20"/>
      <c r="X512" s="20"/>
      <c r="Y512" s="20"/>
      <c r="Z512" s="20"/>
      <c r="AA512" s="20"/>
      <c r="AB512" s="20"/>
      <c r="AC512" s="20"/>
      <c r="AD512" s="20"/>
      <c r="AE512" s="20"/>
      <c r="AF512" s="20"/>
    </row>
    <row r="513" spans="1:32" ht="19.5">
      <c r="A513" s="20"/>
      <c r="B513" s="20"/>
      <c r="C513" s="20"/>
      <c r="D513" s="20"/>
      <c r="E513" s="20"/>
      <c r="F513" s="20"/>
      <c r="G513" s="124"/>
      <c r="H513" s="20"/>
      <c r="I513" s="20"/>
      <c r="J513" s="20"/>
      <c r="K513" s="124"/>
      <c r="L513" s="127"/>
      <c r="M513" s="20"/>
      <c r="N513" s="20"/>
      <c r="O513" s="20"/>
      <c r="P513" s="124"/>
      <c r="Q513" s="127"/>
      <c r="R513" s="20"/>
      <c r="S513" s="20"/>
      <c r="T513" s="20"/>
      <c r="U513" s="124"/>
      <c r="V513" s="127"/>
      <c r="W513" s="20"/>
      <c r="X513" s="20"/>
      <c r="Y513" s="20"/>
      <c r="Z513" s="20"/>
      <c r="AA513" s="20"/>
      <c r="AB513" s="20"/>
      <c r="AC513" s="20"/>
      <c r="AD513" s="20"/>
      <c r="AE513" s="20"/>
      <c r="AF513" s="20"/>
    </row>
    <row r="514" spans="1:32" ht="19.5">
      <c r="A514" s="20"/>
      <c r="B514" s="20"/>
      <c r="C514" s="20"/>
      <c r="D514" s="20"/>
      <c r="E514" s="20"/>
      <c r="F514" s="20"/>
      <c r="G514" s="124"/>
      <c r="H514" s="20"/>
      <c r="I514" s="20"/>
      <c r="J514" s="20"/>
      <c r="K514" s="124"/>
      <c r="L514" s="127"/>
      <c r="M514" s="20"/>
      <c r="N514" s="20"/>
      <c r="O514" s="20"/>
      <c r="P514" s="124"/>
      <c r="Q514" s="127"/>
      <c r="R514" s="20"/>
      <c r="S514" s="20"/>
      <c r="T514" s="20"/>
      <c r="U514" s="124"/>
      <c r="V514" s="127"/>
      <c r="W514" s="20"/>
      <c r="X514" s="20"/>
      <c r="Y514" s="20"/>
      <c r="Z514" s="20"/>
      <c r="AA514" s="20"/>
      <c r="AB514" s="20"/>
      <c r="AC514" s="20"/>
      <c r="AD514" s="20"/>
      <c r="AE514" s="20"/>
      <c r="AF514" s="20"/>
    </row>
    <row r="515" spans="1:32" ht="19.5">
      <c r="A515" s="20"/>
      <c r="B515" s="20"/>
      <c r="C515" s="20"/>
      <c r="D515" s="20"/>
      <c r="E515" s="20"/>
      <c r="F515" s="20"/>
      <c r="G515" s="124"/>
      <c r="H515" s="20"/>
      <c r="I515" s="20"/>
      <c r="J515" s="20"/>
      <c r="K515" s="124"/>
      <c r="L515" s="127"/>
      <c r="M515" s="20"/>
      <c r="N515" s="20"/>
      <c r="O515" s="20"/>
      <c r="P515" s="124"/>
      <c r="Q515" s="127"/>
      <c r="R515" s="20"/>
      <c r="S515" s="20"/>
      <c r="T515" s="20"/>
      <c r="U515" s="124"/>
      <c r="V515" s="127"/>
      <c r="W515" s="20"/>
      <c r="X515" s="20"/>
      <c r="Y515" s="20"/>
      <c r="Z515" s="20"/>
      <c r="AA515" s="20"/>
      <c r="AB515" s="20"/>
      <c r="AC515" s="20"/>
      <c r="AD515" s="20"/>
      <c r="AE515" s="20"/>
      <c r="AF515" s="20"/>
    </row>
    <row r="516" spans="1:32" ht="19.5">
      <c r="A516" s="20"/>
      <c r="B516" s="20"/>
      <c r="C516" s="20"/>
      <c r="D516" s="20"/>
      <c r="E516" s="20"/>
      <c r="F516" s="20"/>
      <c r="G516" s="124"/>
      <c r="H516" s="20"/>
      <c r="I516" s="20"/>
      <c r="J516" s="20"/>
      <c r="K516" s="124"/>
      <c r="L516" s="127"/>
      <c r="M516" s="20"/>
      <c r="N516" s="20"/>
      <c r="O516" s="20"/>
      <c r="P516" s="124"/>
      <c r="Q516" s="127"/>
      <c r="R516" s="20"/>
      <c r="S516" s="20"/>
      <c r="T516" s="20"/>
      <c r="U516" s="124"/>
      <c r="V516" s="127"/>
      <c r="W516" s="20"/>
      <c r="X516" s="20"/>
      <c r="Y516" s="20"/>
      <c r="Z516" s="20"/>
      <c r="AA516" s="20"/>
      <c r="AB516" s="20"/>
      <c r="AC516" s="20"/>
      <c r="AD516" s="20"/>
      <c r="AE516" s="20"/>
      <c r="AF516" s="20"/>
    </row>
    <row r="517" spans="1:32" ht="19.5">
      <c r="A517" s="20"/>
      <c r="B517" s="20"/>
      <c r="C517" s="20"/>
      <c r="D517" s="20"/>
      <c r="E517" s="20"/>
      <c r="F517" s="20"/>
      <c r="G517" s="124"/>
      <c r="H517" s="20"/>
      <c r="I517" s="20"/>
      <c r="J517" s="20"/>
      <c r="K517" s="124"/>
      <c r="L517" s="127"/>
      <c r="M517" s="20"/>
      <c r="N517" s="20"/>
      <c r="O517" s="20"/>
      <c r="P517" s="124"/>
      <c r="Q517" s="127"/>
      <c r="R517" s="20"/>
      <c r="S517" s="20"/>
      <c r="T517" s="20"/>
      <c r="U517" s="124"/>
      <c r="V517" s="127"/>
      <c r="W517" s="20"/>
      <c r="X517" s="20"/>
      <c r="Y517" s="20"/>
      <c r="Z517" s="20"/>
      <c r="AA517" s="20"/>
      <c r="AB517" s="20"/>
      <c r="AC517" s="20"/>
      <c r="AD517" s="20"/>
      <c r="AE517" s="20"/>
      <c r="AF517" s="20"/>
    </row>
    <row r="518" spans="1:32" ht="19.5">
      <c r="A518" s="20"/>
      <c r="B518" s="20"/>
      <c r="C518" s="20"/>
      <c r="D518" s="20"/>
      <c r="E518" s="20"/>
      <c r="F518" s="20"/>
      <c r="G518" s="124"/>
      <c r="H518" s="20"/>
      <c r="I518" s="20"/>
      <c r="J518" s="20"/>
      <c r="K518" s="124"/>
      <c r="L518" s="127"/>
      <c r="M518" s="20"/>
      <c r="N518" s="20"/>
      <c r="O518" s="20"/>
      <c r="P518" s="124"/>
      <c r="Q518" s="127"/>
      <c r="R518" s="20"/>
      <c r="S518" s="20"/>
      <c r="T518" s="20"/>
      <c r="U518" s="124"/>
      <c r="V518" s="127"/>
      <c r="W518" s="20"/>
      <c r="X518" s="20"/>
      <c r="Y518" s="20"/>
      <c r="Z518" s="20"/>
      <c r="AA518" s="20"/>
      <c r="AB518" s="20"/>
      <c r="AC518" s="20"/>
      <c r="AD518" s="20"/>
      <c r="AE518" s="20"/>
      <c r="AF518" s="20"/>
    </row>
    <row r="519" spans="1:32" ht="19.5">
      <c r="A519" s="20"/>
      <c r="B519" s="20"/>
      <c r="C519" s="20"/>
      <c r="D519" s="20"/>
      <c r="E519" s="20"/>
      <c r="F519" s="20"/>
      <c r="G519" s="124"/>
      <c r="H519" s="20"/>
      <c r="I519" s="20"/>
      <c r="J519" s="20"/>
      <c r="K519" s="124"/>
      <c r="L519" s="127"/>
      <c r="M519" s="20"/>
      <c r="N519" s="20"/>
      <c r="O519" s="20"/>
      <c r="P519" s="124"/>
      <c r="Q519" s="127"/>
      <c r="R519" s="20"/>
      <c r="S519" s="20"/>
      <c r="T519" s="20"/>
      <c r="U519" s="124"/>
      <c r="V519" s="127"/>
      <c r="W519" s="20"/>
      <c r="X519" s="20"/>
      <c r="Y519" s="20"/>
      <c r="Z519" s="20"/>
      <c r="AA519" s="20"/>
      <c r="AB519" s="20"/>
      <c r="AC519" s="20"/>
      <c r="AD519" s="20"/>
      <c r="AE519" s="20"/>
      <c r="AF519" s="20"/>
    </row>
    <row r="520" spans="1:32" ht="19.5">
      <c r="A520" s="20"/>
      <c r="B520" s="20"/>
      <c r="C520" s="20"/>
      <c r="D520" s="20"/>
      <c r="E520" s="20"/>
      <c r="F520" s="20"/>
      <c r="G520" s="124"/>
      <c r="H520" s="20"/>
      <c r="I520" s="20"/>
      <c r="J520" s="20"/>
      <c r="K520" s="124"/>
      <c r="L520" s="127"/>
      <c r="M520" s="20"/>
      <c r="N520" s="20"/>
      <c r="O520" s="20"/>
      <c r="P520" s="124"/>
      <c r="Q520" s="127"/>
      <c r="R520" s="20"/>
      <c r="S520" s="20"/>
      <c r="T520" s="20"/>
      <c r="U520" s="124"/>
      <c r="V520" s="127"/>
      <c r="W520" s="20"/>
      <c r="X520" s="20"/>
      <c r="Y520" s="20"/>
      <c r="Z520" s="20"/>
      <c r="AA520" s="20"/>
      <c r="AB520" s="20"/>
      <c r="AC520" s="20"/>
      <c r="AD520" s="20"/>
      <c r="AE520" s="20"/>
      <c r="AF520" s="20"/>
    </row>
    <row r="521" spans="1:32" ht="19.5">
      <c r="A521" s="20"/>
      <c r="B521" s="20"/>
      <c r="C521" s="20"/>
      <c r="D521" s="20"/>
      <c r="E521" s="20"/>
      <c r="F521" s="20"/>
      <c r="G521" s="124"/>
      <c r="H521" s="20"/>
      <c r="I521" s="20"/>
      <c r="J521" s="20"/>
      <c r="K521" s="124"/>
      <c r="L521" s="127"/>
      <c r="M521" s="20"/>
      <c r="N521" s="20"/>
      <c r="O521" s="20"/>
      <c r="P521" s="124"/>
      <c r="Q521" s="127"/>
      <c r="R521" s="20"/>
      <c r="S521" s="20"/>
      <c r="T521" s="20"/>
      <c r="U521" s="124"/>
      <c r="V521" s="127"/>
      <c r="W521" s="20"/>
      <c r="X521" s="20"/>
      <c r="Y521" s="20"/>
      <c r="Z521" s="20"/>
      <c r="AA521" s="20"/>
      <c r="AB521" s="20"/>
      <c r="AC521" s="20"/>
      <c r="AD521" s="20"/>
      <c r="AE521" s="20"/>
      <c r="AF521" s="20"/>
    </row>
    <row r="522" spans="1:32" ht="19.5">
      <c r="A522" s="20"/>
      <c r="B522" s="20"/>
      <c r="C522" s="20"/>
      <c r="D522" s="20"/>
      <c r="E522" s="20"/>
      <c r="F522" s="20"/>
      <c r="G522" s="124"/>
      <c r="H522" s="20"/>
      <c r="I522" s="20"/>
      <c r="J522" s="20"/>
      <c r="K522" s="124"/>
      <c r="L522" s="127"/>
      <c r="M522" s="20"/>
      <c r="N522" s="20"/>
      <c r="O522" s="20"/>
      <c r="P522" s="124"/>
      <c r="Q522" s="127"/>
      <c r="R522" s="20"/>
      <c r="S522" s="20"/>
      <c r="T522" s="20"/>
      <c r="U522" s="124"/>
      <c r="V522" s="127"/>
      <c r="W522" s="20"/>
      <c r="X522" s="20"/>
      <c r="Y522" s="20"/>
      <c r="Z522" s="20"/>
      <c r="AA522" s="20"/>
      <c r="AB522" s="20"/>
      <c r="AC522" s="20"/>
      <c r="AD522" s="20"/>
      <c r="AE522" s="20"/>
      <c r="AF522" s="20"/>
    </row>
    <row r="523" spans="1:32" ht="19.5">
      <c r="A523" s="20"/>
      <c r="B523" s="20"/>
      <c r="C523" s="20"/>
      <c r="D523" s="20"/>
      <c r="E523" s="20"/>
      <c r="F523" s="20"/>
      <c r="G523" s="124"/>
      <c r="H523" s="20"/>
      <c r="I523" s="20"/>
      <c r="J523" s="20"/>
      <c r="K523" s="124"/>
      <c r="L523" s="127"/>
      <c r="M523" s="20"/>
      <c r="N523" s="20"/>
      <c r="O523" s="20"/>
      <c r="P523" s="124"/>
      <c r="Q523" s="127"/>
      <c r="R523" s="20"/>
      <c r="S523" s="20"/>
      <c r="T523" s="20"/>
      <c r="U523" s="124"/>
      <c r="V523" s="127"/>
      <c r="W523" s="20"/>
      <c r="X523" s="20"/>
      <c r="Y523" s="20"/>
      <c r="Z523" s="20"/>
      <c r="AA523" s="20"/>
      <c r="AB523" s="20"/>
      <c r="AC523" s="20"/>
      <c r="AD523" s="20"/>
      <c r="AE523" s="20"/>
      <c r="AF523" s="20"/>
    </row>
    <row r="524" spans="1:32" ht="19.5">
      <c r="A524" s="20"/>
      <c r="B524" s="20"/>
      <c r="C524" s="20"/>
      <c r="D524" s="20"/>
      <c r="E524" s="20"/>
      <c r="F524" s="20"/>
      <c r="G524" s="124"/>
      <c r="H524" s="20"/>
      <c r="I524" s="20"/>
      <c r="J524" s="20"/>
      <c r="K524" s="124"/>
      <c r="L524" s="127"/>
      <c r="M524" s="20"/>
      <c r="N524" s="20"/>
      <c r="O524" s="20"/>
      <c r="P524" s="124"/>
      <c r="Q524" s="127"/>
      <c r="R524" s="20"/>
      <c r="S524" s="20"/>
      <c r="T524" s="20"/>
      <c r="U524" s="124"/>
      <c r="V524" s="127"/>
      <c r="W524" s="20"/>
      <c r="X524" s="20"/>
      <c r="Y524" s="20"/>
      <c r="Z524" s="20"/>
      <c r="AA524" s="20"/>
      <c r="AB524" s="20"/>
      <c r="AC524" s="20"/>
      <c r="AD524" s="20"/>
      <c r="AE524" s="20"/>
      <c r="AF524" s="20"/>
    </row>
    <row r="525" spans="1:32" ht="19.5">
      <c r="A525" s="20"/>
      <c r="B525" s="20"/>
      <c r="C525" s="20"/>
      <c r="D525" s="20"/>
      <c r="E525" s="20"/>
      <c r="F525" s="20"/>
      <c r="G525" s="124"/>
      <c r="H525" s="20"/>
      <c r="I525" s="20"/>
      <c r="J525" s="20"/>
      <c r="K525" s="124"/>
      <c r="L525" s="127"/>
      <c r="M525" s="20"/>
      <c r="N525" s="20"/>
      <c r="O525" s="20"/>
      <c r="P525" s="124"/>
      <c r="Q525" s="127"/>
      <c r="R525" s="20"/>
      <c r="S525" s="20"/>
      <c r="T525" s="20"/>
      <c r="U525" s="124"/>
      <c r="V525" s="127"/>
      <c r="W525" s="20"/>
      <c r="X525" s="20"/>
      <c r="Y525" s="20"/>
      <c r="Z525" s="20"/>
      <c r="AA525" s="20"/>
      <c r="AB525" s="20"/>
      <c r="AC525" s="20"/>
      <c r="AD525" s="20"/>
      <c r="AE525" s="20"/>
      <c r="AF525" s="20"/>
    </row>
    <row r="526" spans="1:32" ht="19.5">
      <c r="A526" s="20"/>
      <c r="B526" s="20"/>
      <c r="C526" s="20"/>
      <c r="D526" s="20"/>
      <c r="E526" s="20"/>
      <c r="F526" s="20"/>
      <c r="G526" s="124"/>
      <c r="H526" s="20"/>
      <c r="I526" s="20"/>
      <c r="J526" s="20"/>
      <c r="K526" s="124"/>
      <c r="L526" s="127"/>
      <c r="M526" s="20"/>
      <c r="N526" s="20"/>
      <c r="O526" s="20"/>
      <c r="P526" s="124"/>
      <c r="Q526" s="127"/>
      <c r="R526" s="20"/>
      <c r="S526" s="20"/>
      <c r="T526" s="20"/>
      <c r="U526" s="124"/>
      <c r="V526" s="127"/>
      <c r="W526" s="20"/>
      <c r="X526" s="20"/>
      <c r="Y526" s="20"/>
      <c r="Z526" s="20"/>
      <c r="AA526" s="20"/>
      <c r="AB526" s="20"/>
      <c r="AC526" s="20"/>
      <c r="AD526" s="20"/>
      <c r="AE526" s="20"/>
      <c r="AF526" s="20"/>
    </row>
    <row r="527" spans="1:32" ht="19.5">
      <c r="A527" s="20"/>
      <c r="B527" s="20"/>
      <c r="C527" s="20"/>
      <c r="D527" s="20"/>
      <c r="E527" s="20"/>
      <c r="F527" s="20"/>
      <c r="G527" s="124"/>
      <c r="H527" s="20"/>
      <c r="I527" s="20"/>
      <c r="J527" s="20"/>
      <c r="K527" s="124"/>
      <c r="L527" s="127"/>
      <c r="M527" s="20"/>
      <c r="N527" s="20"/>
      <c r="O527" s="20"/>
      <c r="P527" s="124"/>
      <c r="Q527" s="127"/>
      <c r="R527" s="20"/>
      <c r="S527" s="20"/>
      <c r="T527" s="20"/>
      <c r="U527" s="124"/>
      <c r="V527" s="127"/>
      <c r="W527" s="20"/>
      <c r="X527" s="20"/>
      <c r="Y527" s="20"/>
      <c r="Z527" s="20"/>
      <c r="AA527" s="20"/>
      <c r="AB527" s="20"/>
      <c r="AC527" s="20"/>
      <c r="AD527" s="20"/>
      <c r="AE527" s="20"/>
      <c r="AF527" s="20"/>
    </row>
    <row r="528" spans="1:32" ht="19.5">
      <c r="A528" s="20"/>
      <c r="B528" s="20"/>
      <c r="C528" s="20"/>
      <c r="D528" s="20"/>
      <c r="E528" s="20"/>
      <c r="F528" s="20"/>
      <c r="G528" s="124"/>
      <c r="H528" s="20"/>
      <c r="I528" s="20"/>
      <c r="J528" s="20"/>
      <c r="K528" s="124"/>
      <c r="L528" s="127"/>
      <c r="M528" s="20"/>
      <c r="N528" s="20"/>
      <c r="O528" s="20"/>
      <c r="P528" s="124"/>
      <c r="Q528" s="127"/>
      <c r="R528" s="20"/>
      <c r="S528" s="20"/>
      <c r="T528" s="20"/>
      <c r="U528" s="124"/>
      <c r="V528" s="127"/>
      <c r="W528" s="20"/>
      <c r="X528" s="20"/>
      <c r="Y528" s="20"/>
      <c r="Z528" s="20"/>
      <c r="AA528" s="20"/>
      <c r="AB528" s="20"/>
      <c r="AC528" s="20"/>
      <c r="AD528" s="20"/>
      <c r="AE528" s="20"/>
      <c r="AF528" s="20"/>
    </row>
    <row r="529" spans="1:32" ht="19.5">
      <c r="A529" s="20"/>
      <c r="B529" s="20"/>
      <c r="C529" s="20"/>
      <c r="D529" s="20"/>
      <c r="E529" s="20"/>
      <c r="F529" s="20"/>
      <c r="G529" s="124"/>
      <c r="H529" s="20"/>
      <c r="I529" s="20"/>
      <c r="J529" s="20"/>
      <c r="K529" s="124"/>
      <c r="L529" s="127"/>
      <c r="M529" s="20"/>
      <c r="N529" s="20"/>
      <c r="O529" s="20"/>
      <c r="P529" s="124"/>
      <c r="Q529" s="127"/>
      <c r="R529" s="20"/>
      <c r="S529" s="20"/>
      <c r="T529" s="20"/>
      <c r="U529" s="124"/>
      <c r="V529" s="127"/>
      <c r="W529" s="20"/>
      <c r="X529" s="20"/>
      <c r="Y529" s="20"/>
      <c r="Z529" s="20"/>
      <c r="AA529" s="20"/>
      <c r="AB529" s="20"/>
      <c r="AC529" s="20"/>
      <c r="AD529" s="20"/>
      <c r="AE529" s="20"/>
      <c r="AF529" s="20"/>
    </row>
    <row r="530" spans="1:32" ht="19.5">
      <c r="A530" s="20"/>
      <c r="B530" s="20"/>
      <c r="C530" s="20"/>
      <c r="D530" s="20"/>
      <c r="E530" s="20"/>
      <c r="F530" s="20"/>
      <c r="G530" s="124"/>
      <c r="H530" s="20"/>
      <c r="I530" s="20"/>
      <c r="J530" s="20"/>
      <c r="K530" s="124"/>
      <c r="L530" s="127"/>
      <c r="M530" s="20"/>
      <c r="N530" s="20"/>
      <c r="O530" s="20"/>
      <c r="P530" s="124"/>
      <c r="Q530" s="127"/>
      <c r="R530" s="20"/>
      <c r="S530" s="20"/>
      <c r="T530" s="20"/>
      <c r="U530" s="124"/>
      <c r="V530" s="127"/>
      <c r="W530" s="20"/>
      <c r="X530" s="20"/>
      <c r="Y530" s="20"/>
      <c r="Z530" s="20"/>
      <c r="AA530" s="20"/>
      <c r="AB530" s="20"/>
      <c r="AC530" s="20"/>
      <c r="AD530" s="20"/>
      <c r="AE530" s="20"/>
      <c r="AF530" s="20"/>
    </row>
    <row r="531" spans="1:32" ht="19.5">
      <c r="A531" s="20"/>
      <c r="B531" s="20"/>
      <c r="C531" s="20"/>
      <c r="D531" s="20"/>
      <c r="E531" s="20"/>
      <c r="F531" s="20"/>
      <c r="G531" s="124"/>
      <c r="H531" s="20"/>
      <c r="I531" s="20"/>
      <c r="J531" s="20"/>
      <c r="K531" s="124"/>
      <c r="L531" s="127"/>
      <c r="M531" s="20"/>
      <c r="N531" s="20"/>
      <c r="O531" s="20"/>
      <c r="P531" s="124"/>
      <c r="Q531" s="127"/>
      <c r="R531" s="20"/>
      <c r="S531" s="20"/>
      <c r="T531" s="20"/>
      <c r="U531" s="124"/>
      <c r="V531" s="127"/>
      <c r="W531" s="20"/>
      <c r="X531" s="20"/>
      <c r="Y531" s="20"/>
      <c r="Z531" s="20"/>
      <c r="AA531" s="20"/>
      <c r="AB531" s="20"/>
      <c r="AC531" s="20"/>
      <c r="AD531" s="20"/>
      <c r="AE531" s="20"/>
      <c r="AF531" s="20"/>
    </row>
    <row r="532" spans="1:32" ht="19.5">
      <c r="A532" s="20"/>
      <c r="B532" s="20"/>
      <c r="C532" s="20"/>
      <c r="D532" s="20"/>
      <c r="E532" s="20"/>
      <c r="F532" s="20"/>
      <c r="G532" s="124"/>
      <c r="H532" s="20"/>
      <c r="I532" s="20"/>
      <c r="J532" s="20"/>
      <c r="K532" s="124"/>
      <c r="L532" s="127"/>
      <c r="M532" s="20"/>
      <c r="N532" s="20"/>
      <c r="O532" s="20"/>
      <c r="P532" s="124"/>
      <c r="Q532" s="127"/>
      <c r="R532" s="20"/>
      <c r="S532" s="20"/>
      <c r="T532" s="20"/>
      <c r="U532" s="124"/>
      <c r="V532" s="127"/>
      <c r="W532" s="20"/>
      <c r="X532" s="20"/>
      <c r="Y532" s="20"/>
      <c r="Z532" s="20"/>
      <c r="AA532" s="20"/>
      <c r="AB532" s="20"/>
      <c r="AC532" s="20"/>
      <c r="AD532" s="20"/>
      <c r="AE532" s="20"/>
      <c r="AF532" s="20"/>
    </row>
    <row r="533" spans="1:32" ht="19.5">
      <c r="A533" s="20"/>
      <c r="B533" s="20"/>
      <c r="C533" s="20"/>
      <c r="D533" s="20"/>
      <c r="E533" s="20"/>
      <c r="F533" s="20"/>
      <c r="G533" s="124"/>
      <c r="H533" s="20"/>
      <c r="I533" s="20"/>
      <c r="J533" s="20"/>
      <c r="K533" s="124"/>
      <c r="L533" s="127"/>
      <c r="M533" s="20"/>
      <c r="N533" s="20"/>
      <c r="O533" s="20"/>
      <c r="P533" s="124"/>
      <c r="Q533" s="127"/>
      <c r="R533" s="20"/>
      <c r="S533" s="20"/>
      <c r="T533" s="20"/>
      <c r="U533" s="124"/>
      <c r="V533" s="127"/>
      <c r="W533" s="20"/>
      <c r="X533" s="20"/>
      <c r="Y533" s="20"/>
      <c r="Z533" s="20"/>
      <c r="AA533" s="20"/>
      <c r="AB533" s="20"/>
      <c r="AC533" s="20"/>
      <c r="AD533" s="20"/>
      <c r="AE533" s="20"/>
      <c r="AF533" s="20"/>
    </row>
    <row r="534" spans="1:32" ht="19.5">
      <c r="A534" s="20"/>
      <c r="B534" s="20"/>
      <c r="C534" s="20"/>
      <c r="D534" s="20"/>
      <c r="E534" s="20"/>
      <c r="F534" s="20"/>
      <c r="G534" s="124"/>
      <c r="H534" s="20"/>
      <c r="I534" s="20"/>
      <c r="J534" s="20"/>
      <c r="K534" s="124"/>
      <c r="L534" s="127"/>
      <c r="M534" s="20"/>
      <c r="N534" s="20"/>
      <c r="O534" s="20"/>
      <c r="P534" s="124"/>
      <c r="Q534" s="127"/>
      <c r="R534" s="20"/>
      <c r="S534" s="20"/>
      <c r="T534" s="20"/>
      <c r="U534" s="124"/>
      <c r="V534" s="127"/>
      <c r="W534" s="20"/>
      <c r="X534" s="20"/>
      <c r="Y534" s="20"/>
      <c r="Z534" s="20"/>
      <c r="AA534" s="20"/>
      <c r="AB534" s="20"/>
      <c r="AC534" s="20"/>
      <c r="AD534" s="20"/>
      <c r="AE534" s="20"/>
      <c r="AF534" s="20"/>
    </row>
    <row r="535" spans="1:32" ht="19.5">
      <c r="A535" s="20"/>
      <c r="B535" s="20"/>
      <c r="C535" s="20"/>
      <c r="D535" s="20"/>
      <c r="E535" s="20"/>
      <c r="F535" s="20"/>
      <c r="G535" s="124"/>
      <c r="H535" s="20"/>
      <c r="I535" s="20"/>
      <c r="J535" s="20"/>
      <c r="K535" s="124"/>
      <c r="L535" s="127"/>
      <c r="M535" s="20"/>
      <c r="N535" s="20"/>
      <c r="O535" s="20"/>
      <c r="P535" s="124"/>
      <c r="Q535" s="127"/>
      <c r="R535" s="20"/>
      <c r="S535" s="20"/>
      <c r="T535" s="20"/>
      <c r="U535" s="124"/>
      <c r="V535" s="127"/>
      <c r="W535" s="20"/>
      <c r="X535" s="20"/>
      <c r="Y535" s="20"/>
      <c r="Z535" s="20"/>
      <c r="AA535" s="20"/>
      <c r="AB535" s="20"/>
      <c r="AC535" s="20"/>
      <c r="AD535" s="20"/>
      <c r="AE535" s="20"/>
      <c r="AF535" s="20"/>
    </row>
    <row r="536" spans="1:32" ht="19.5">
      <c r="A536" s="20"/>
      <c r="B536" s="20"/>
      <c r="C536" s="20"/>
      <c r="D536" s="20"/>
      <c r="E536" s="20"/>
      <c r="F536" s="20"/>
      <c r="G536" s="124"/>
      <c r="H536" s="20"/>
      <c r="I536" s="20"/>
      <c r="J536" s="20"/>
      <c r="K536" s="124"/>
      <c r="L536" s="127"/>
      <c r="M536" s="20"/>
      <c r="N536" s="20"/>
      <c r="O536" s="20"/>
      <c r="P536" s="124"/>
      <c r="Q536" s="127"/>
      <c r="R536" s="20"/>
      <c r="S536" s="20"/>
      <c r="T536" s="20"/>
      <c r="U536" s="124"/>
      <c r="V536" s="127"/>
      <c r="W536" s="20"/>
      <c r="X536" s="20"/>
      <c r="Y536" s="20"/>
      <c r="Z536" s="20"/>
      <c r="AA536" s="20"/>
      <c r="AB536" s="20"/>
      <c r="AC536" s="20"/>
      <c r="AD536" s="20"/>
      <c r="AE536" s="20"/>
      <c r="AF536" s="20"/>
    </row>
    <row r="537" spans="1:32" ht="19.5">
      <c r="A537" s="20"/>
      <c r="B537" s="20"/>
      <c r="C537" s="20"/>
      <c r="D537" s="20"/>
      <c r="E537" s="20"/>
      <c r="F537" s="20"/>
      <c r="G537" s="124"/>
      <c r="H537" s="20"/>
      <c r="I537" s="20"/>
      <c r="J537" s="20"/>
      <c r="K537" s="124"/>
      <c r="L537" s="127"/>
      <c r="M537" s="20"/>
      <c r="N537" s="20"/>
      <c r="O537" s="20"/>
      <c r="P537" s="124"/>
      <c r="Q537" s="127"/>
      <c r="R537" s="20"/>
      <c r="S537" s="20"/>
      <c r="T537" s="20"/>
      <c r="U537" s="124"/>
      <c r="V537" s="127"/>
      <c r="W537" s="20"/>
      <c r="X537" s="20"/>
      <c r="Y537" s="20"/>
      <c r="Z537" s="20"/>
      <c r="AA537" s="20"/>
      <c r="AB537" s="20"/>
      <c r="AC537" s="20"/>
      <c r="AD537" s="20"/>
      <c r="AE537" s="20"/>
      <c r="AF537" s="20"/>
    </row>
    <row r="538" spans="1:32" ht="19.5">
      <c r="A538" s="20"/>
      <c r="B538" s="20"/>
      <c r="C538" s="20"/>
      <c r="D538" s="20"/>
      <c r="E538" s="20"/>
      <c r="F538" s="20"/>
      <c r="G538" s="124"/>
      <c r="H538" s="20"/>
      <c r="I538" s="20"/>
      <c r="J538" s="20"/>
      <c r="K538" s="124"/>
      <c r="L538" s="127"/>
      <c r="M538" s="20"/>
      <c r="N538" s="20"/>
      <c r="O538" s="20"/>
      <c r="P538" s="124"/>
      <c r="Q538" s="127"/>
      <c r="R538" s="20"/>
      <c r="S538" s="20"/>
      <c r="T538" s="20"/>
      <c r="U538" s="124"/>
      <c r="V538" s="127"/>
      <c r="W538" s="20"/>
      <c r="X538" s="20"/>
      <c r="Y538" s="20"/>
      <c r="Z538" s="20"/>
      <c r="AA538" s="20"/>
      <c r="AB538" s="20"/>
      <c r="AC538" s="20"/>
      <c r="AD538" s="20"/>
      <c r="AE538" s="20"/>
      <c r="AF538" s="20"/>
    </row>
    <row r="539" spans="1:32" ht="19.5">
      <c r="A539" s="20"/>
      <c r="B539" s="20"/>
      <c r="C539" s="20"/>
      <c r="D539" s="20"/>
      <c r="E539" s="20"/>
      <c r="F539" s="20"/>
      <c r="G539" s="124"/>
      <c r="H539" s="20"/>
      <c r="I539" s="20"/>
      <c r="J539" s="20"/>
      <c r="K539" s="124"/>
      <c r="L539" s="127"/>
      <c r="M539" s="20"/>
      <c r="N539" s="20"/>
      <c r="O539" s="20"/>
      <c r="P539" s="124"/>
      <c r="Q539" s="127"/>
      <c r="R539" s="20"/>
      <c r="S539" s="20"/>
      <c r="T539" s="20"/>
      <c r="U539" s="124"/>
      <c r="V539" s="127"/>
      <c r="W539" s="20"/>
      <c r="X539" s="20"/>
      <c r="Y539" s="20"/>
      <c r="Z539" s="20"/>
      <c r="AA539" s="20"/>
      <c r="AB539" s="20"/>
      <c r="AC539" s="20"/>
      <c r="AD539" s="20"/>
      <c r="AE539" s="20"/>
      <c r="AF539" s="20"/>
    </row>
    <row r="540" spans="1:32" ht="19.5">
      <c r="A540" s="20"/>
      <c r="B540" s="20"/>
      <c r="C540" s="20"/>
      <c r="D540" s="20"/>
      <c r="E540" s="20"/>
      <c r="F540" s="20"/>
      <c r="G540" s="124"/>
      <c r="H540" s="20"/>
      <c r="I540" s="20"/>
      <c r="J540" s="20"/>
      <c r="K540" s="124"/>
      <c r="L540" s="127"/>
      <c r="M540" s="20"/>
      <c r="N540" s="20"/>
      <c r="O540" s="20"/>
      <c r="P540" s="124"/>
      <c r="Q540" s="127"/>
      <c r="R540" s="20"/>
      <c r="S540" s="20"/>
      <c r="T540" s="20"/>
      <c r="U540" s="124"/>
      <c r="V540" s="127"/>
      <c r="W540" s="20"/>
      <c r="X540" s="20"/>
      <c r="Y540" s="20"/>
      <c r="Z540" s="20"/>
      <c r="AA540" s="20"/>
      <c r="AB540" s="20"/>
      <c r="AC540" s="20"/>
      <c r="AD540" s="20"/>
      <c r="AE540" s="20"/>
      <c r="AF540" s="20"/>
    </row>
    <row r="541" spans="1:32" ht="19.5">
      <c r="A541" s="20"/>
      <c r="B541" s="20"/>
      <c r="C541" s="20"/>
      <c r="D541" s="20"/>
      <c r="E541" s="20"/>
      <c r="F541" s="20"/>
      <c r="G541" s="124"/>
      <c r="H541" s="20"/>
      <c r="I541" s="20"/>
      <c r="J541" s="20"/>
      <c r="K541" s="124"/>
      <c r="L541" s="127"/>
      <c r="M541" s="20"/>
      <c r="N541" s="20"/>
      <c r="O541" s="20"/>
      <c r="P541" s="124"/>
      <c r="Q541" s="127"/>
      <c r="R541" s="20"/>
      <c r="S541" s="20"/>
      <c r="T541" s="20"/>
      <c r="U541" s="124"/>
      <c r="V541" s="127"/>
      <c r="W541" s="20"/>
      <c r="X541" s="20"/>
      <c r="Y541" s="20"/>
      <c r="Z541" s="20"/>
      <c r="AA541" s="20"/>
      <c r="AB541" s="20"/>
      <c r="AC541" s="20"/>
      <c r="AD541" s="20"/>
      <c r="AE541" s="20"/>
      <c r="AF541" s="20"/>
    </row>
    <row r="542" spans="1:32" ht="19.5">
      <c r="A542" s="20"/>
      <c r="B542" s="20"/>
      <c r="C542" s="20"/>
      <c r="D542" s="20"/>
      <c r="E542" s="20"/>
      <c r="F542" s="20"/>
      <c r="G542" s="124"/>
      <c r="H542" s="20"/>
      <c r="I542" s="20"/>
      <c r="J542" s="20"/>
      <c r="K542" s="124"/>
      <c r="L542" s="127"/>
      <c r="M542" s="20"/>
      <c r="N542" s="20"/>
      <c r="O542" s="20"/>
      <c r="P542" s="124"/>
      <c r="Q542" s="127"/>
      <c r="R542" s="20"/>
      <c r="S542" s="20"/>
      <c r="T542" s="20"/>
      <c r="U542" s="124"/>
      <c r="V542" s="127"/>
      <c r="W542" s="20"/>
      <c r="X542" s="20"/>
      <c r="Y542" s="20"/>
      <c r="Z542" s="20"/>
      <c r="AA542" s="20"/>
      <c r="AB542" s="20"/>
      <c r="AC542" s="20"/>
      <c r="AD542" s="20"/>
      <c r="AE542" s="20"/>
      <c r="AF542" s="20"/>
    </row>
    <row r="543" spans="1:32" ht="19.5">
      <c r="A543" s="20"/>
      <c r="B543" s="20"/>
      <c r="C543" s="20"/>
      <c r="D543" s="20"/>
      <c r="E543" s="20"/>
      <c r="F543" s="20"/>
      <c r="G543" s="124"/>
      <c r="H543" s="20"/>
      <c r="I543" s="20"/>
      <c r="J543" s="20"/>
      <c r="K543" s="124"/>
      <c r="L543" s="127"/>
      <c r="M543" s="20"/>
      <c r="N543" s="20"/>
      <c r="O543" s="20"/>
      <c r="P543" s="124"/>
      <c r="Q543" s="127"/>
      <c r="R543" s="20"/>
      <c r="S543" s="20"/>
      <c r="T543" s="20"/>
      <c r="U543" s="124"/>
      <c r="V543" s="127"/>
      <c r="W543" s="20"/>
      <c r="X543" s="20"/>
      <c r="Y543" s="20"/>
      <c r="Z543" s="20"/>
      <c r="AA543" s="20"/>
      <c r="AB543" s="20"/>
      <c r="AC543" s="20"/>
      <c r="AD543" s="20"/>
      <c r="AE543" s="20"/>
      <c r="AF543" s="20"/>
    </row>
    <row r="544" spans="1:32" ht="19.5">
      <c r="A544" s="20"/>
      <c r="B544" s="20"/>
      <c r="C544" s="20"/>
      <c r="D544" s="20"/>
      <c r="E544" s="20"/>
      <c r="F544" s="20"/>
      <c r="G544" s="124"/>
      <c r="H544" s="20"/>
      <c r="I544" s="20"/>
      <c r="J544" s="20"/>
      <c r="K544" s="124"/>
      <c r="L544" s="127"/>
      <c r="M544" s="20"/>
      <c r="N544" s="20"/>
      <c r="O544" s="20"/>
      <c r="P544" s="124"/>
      <c r="Q544" s="127"/>
      <c r="R544" s="20"/>
      <c r="S544" s="20"/>
      <c r="T544" s="20"/>
      <c r="U544" s="124"/>
      <c r="V544" s="127"/>
      <c r="W544" s="20"/>
      <c r="X544" s="20"/>
      <c r="Y544" s="20"/>
      <c r="Z544" s="20"/>
      <c r="AA544" s="20"/>
      <c r="AB544" s="20"/>
      <c r="AC544" s="20"/>
      <c r="AD544" s="20"/>
      <c r="AE544" s="20"/>
      <c r="AF544" s="20"/>
    </row>
    <row r="545" spans="1:32" ht="19.5">
      <c r="A545" s="20"/>
      <c r="B545" s="20"/>
      <c r="C545" s="20"/>
      <c r="D545" s="20"/>
      <c r="E545" s="20"/>
      <c r="F545" s="20"/>
      <c r="G545" s="124"/>
      <c r="H545" s="20"/>
      <c r="I545" s="20"/>
      <c r="J545" s="20"/>
      <c r="K545" s="124"/>
      <c r="L545" s="127"/>
      <c r="M545" s="20"/>
      <c r="N545" s="20"/>
      <c r="O545" s="20"/>
      <c r="P545" s="124"/>
      <c r="Q545" s="127"/>
      <c r="R545" s="20"/>
      <c r="S545" s="20"/>
      <c r="T545" s="20"/>
      <c r="U545" s="124"/>
      <c r="V545" s="127"/>
      <c r="W545" s="20"/>
      <c r="X545" s="20"/>
      <c r="Y545" s="20"/>
      <c r="Z545" s="20"/>
      <c r="AA545" s="20"/>
      <c r="AB545" s="20"/>
      <c r="AC545" s="20"/>
      <c r="AD545" s="20"/>
      <c r="AE545" s="20"/>
      <c r="AF545" s="20"/>
    </row>
    <row r="546" spans="1:32" ht="19.5">
      <c r="A546" s="20"/>
      <c r="B546" s="20"/>
      <c r="C546" s="20"/>
      <c r="D546" s="20"/>
      <c r="E546" s="20"/>
      <c r="F546" s="20"/>
      <c r="G546" s="124"/>
      <c r="H546" s="20"/>
      <c r="I546" s="20"/>
      <c r="J546" s="20"/>
      <c r="K546" s="124"/>
      <c r="L546" s="127"/>
      <c r="M546" s="20"/>
      <c r="N546" s="20"/>
      <c r="O546" s="20"/>
      <c r="P546" s="124"/>
      <c r="Q546" s="127"/>
      <c r="R546" s="20"/>
      <c r="S546" s="20"/>
      <c r="T546" s="20"/>
      <c r="U546" s="124"/>
      <c r="V546" s="127"/>
      <c r="W546" s="20"/>
      <c r="X546" s="20"/>
      <c r="Y546" s="20"/>
      <c r="Z546" s="20"/>
      <c r="AA546" s="20"/>
      <c r="AB546" s="20"/>
      <c r="AC546" s="20"/>
      <c r="AD546" s="20"/>
      <c r="AE546" s="20"/>
      <c r="AF546" s="20"/>
    </row>
    <row r="547" spans="1:32" ht="19.5">
      <c r="A547" s="20"/>
      <c r="B547" s="20"/>
      <c r="C547" s="20"/>
      <c r="D547" s="20"/>
      <c r="E547" s="20"/>
      <c r="F547" s="20"/>
      <c r="G547" s="124"/>
      <c r="H547" s="20"/>
      <c r="I547" s="20"/>
      <c r="J547" s="20"/>
      <c r="K547" s="124"/>
      <c r="L547" s="127"/>
      <c r="M547" s="20"/>
      <c r="N547" s="20"/>
      <c r="O547" s="20"/>
      <c r="P547" s="124"/>
      <c r="Q547" s="127"/>
      <c r="R547" s="20"/>
      <c r="S547" s="20"/>
      <c r="T547" s="20"/>
      <c r="U547" s="124"/>
      <c r="V547" s="127"/>
      <c r="W547" s="20"/>
      <c r="X547" s="20"/>
      <c r="Y547" s="20"/>
      <c r="Z547" s="20"/>
      <c r="AA547" s="20"/>
      <c r="AB547" s="20"/>
      <c r="AC547" s="20"/>
      <c r="AD547" s="20"/>
      <c r="AE547" s="20"/>
      <c r="AF547" s="20"/>
    </row>
    <row r="548" spans="1:32" ht="19.5">
      <c r="A548" s="20"/>
      <c r="B548" s="20"/>
      <c r="C548" s="20"/>
      <c r="D548" s="20"/>
      <c r="E548" s="20"/>
      <c r="F548" s="20"/>
      <c r="G548" s="124"/>
      <c r="H548" s="20"/>
      <c r="I548" s="20"/>
      <c r="J548" s="20"/>
      <c r="K548" s="124"/>
      <c r="L548" s="127"/>
      <c r="M548" s="20"/>
      <c r="N548" s="20"/>
      <c r="O548" s="20"/>
      <c r="P548" s="124"/>
      <c r="Q548" s="127"/>
      <c r="R548" s="20"/>
      <c r="S548" s="20"/>
      <c r="T548" s="20"/>
      <c r="U548" s="124"/>
      <c r="V548" s="127"/>
      <c r="W548" s="20"/>
      <c r="X548" s="20"/>
      <c r="Y548" s="20"/>
      <c r="Z548" s="20"/>
      <c r="AA548" s="20"/>
      <c r="AB548" s="20"/>
      <c r="AC548" s="20"/>
      <c r="AD548" s="20"/>
      <c r="AE548" s="20"/>
      <c r="AF548" s="20"/>
    </row>
    <row r="549" spans="1:32" ht="19.5">
      <c r="A549" s="20"/>
      <c r="B549" s="20"/>
      <c r="C549" s="20"/>
      <c r="D549" s="20"/>
      <c r="E549" s="20"/>
      <c r="F549" s="20"/>
      <c r="G549" s="124"/>
      <c r="H549" s="20"/>
      <c r="I549" s="20"/>
      <c r="J549" s="20"/>
      <c r="K549" s="124"/>
      <c r="L549" s="127"/>
      <c r="M549" s="20"/>
      <c r="N549" s="20"/>
      <c r="O549" s="20"/>
      <c r="P549" s="124"/>
      <c r="Q549" s="127"/>
      <c r="R549" s="20"/>
      <c r="S549" s="20"/>
      <c r="T549" s="20"/>
      <c r="U549" s="124"/>
      <c r="V549" s="127"/>
      <c r="W549" s="20"/>
      <c r="X549" s="20"/>
      <c r="Y549" s="20"/>
      <c r="Z549" s="20"/>
      <c r="AA549" s="20"/>
      <c r="AB549" s="20"/>
      <c r="AC549" s="20"/>
      <c r="AD549" s="20"/>
      <c r="AE549" s="20"/>
      <c r="AF549" s="20"/>
    </row>
    <row r="550" spans="1:32" ht="19.5">
      <c r="A550" s="20"/>
      <c r="B550" s="20"/>
      <c r="C550" s="20"/>
      <c r="D550" s="20"/>
      <c r="E550" s="20"/>
      <c r="F550" s="20"/>
      <c r="G550" s="124"/>
      <c r="H550" s="20"/>
      <c r="I550" s="20"/>
      <c r="J550" s="20"/>
      <c r="K550" s="124"/>
      <c r="L550" s="127"/>
      <c r="M550" s="20"/>
      <c r="N550" s="20"/>
      <c r="O550" s="20"/>
      <c r="P550" s="124"/>
      <c r="Q550" s="127"/>
      <c r="R550" s="20"/>
      <c r="S550" s="20"/>
      <c r="T550" s="20"/>
      <c r="U550" s="124"/>
      <c r="V550" s="127"/>
      <c r="W550" s="20"/>
      <c r="X550" s="20"/>
      <c r="Y550" s="20"/>
      <c r="Z550" s="20"/>
      <c r="AA550" s="20"/>
      <c r="AB550" s="20"/>
      <c r="AC550" s="20"/>
      <c r="AD550" s="20"/>
      <c r="AE550" s="20"/>
      <c r="AF550" s="20"/>
    </row>
    <row r="551" spans="1:32" ht="19.5">
      <c r="A551" s="20"/>
      <c r="B551" s="20"/>
      <c r="C551" s="20"/>
      <c r="D551" s="20"/>
      <c r="E551" s="20"/>
      <c r="F551" s="20"/>
      <c r="G551" s="124"/>
      <c r="H551" s="20"/>
      <c r="I551" s="20"/>
      <c r="J551" s="20"/>
      <c r="K551" s="124"/>
      <c r="L551" s="127"/>
      <c r="M551" s="20"/>
      <c r="N551" s="20"/>
      <c r="O551" s="20"/>
      <c r="P551" s="124"/>
      <c r="Q551" s="127"/>
      <c r="R551" s="20"/>
      <c r="S551" s="20"/>
      <c r="T551" s="20"/>
      <c r="U551" s="124"/>
      <c r="V551" s="127"/>
      <c r="W551" s="20"/>
      <c r="X551" s="20"/>
      <c r="Y551" s="20"/>
      <c r="Z551" s="20"/>
      <c r="AA551" s="20"/>
      <c r="AB551" s="20"/>
      <c r="AC551" s="20"/>
      <c r="AD551" s="20"/>
      <c r="AE551" s="20"/>
      <c r="AF551" s="20"/>
    </row>
    <row r="552" spans="1:32" ht="19.5">
      <c r="A552" s="20"/>
      <c r="B552" s="20"/>
      <c r="C552" s="20"/>
      <c r="D552" s="20"/>
      <c r="E552" s="20"/>
      <c r="F552" s="20"/>
      <c r="G552" s="124"/>
      <c r="H552" s="20"/>
      <c r="I552" s="20"/>
      <c r="J552" s="20"/>
      <c r="K552" s="124"/>
      <c r="L552" s="127"/>
      <c r="M552" s="20"/>
      <c r="N552" s="20"/>
      <c r="O552" s="20"/>
      <c r="P552" s="124"/>
      <c r="Q552" s="127"/>
      <c r="R552" s="20"/>
      <c r="S552" s="20"/>
      <c r="T552" s="20"/>
      <c r="U552" s="124"/>
      <c r="V552" s="127"/>
      <c r="W552" s="20"/>
      <c r="X552" s="20"/>
      <c r="Y552" s="20"/>
      <c r="Z552" s="20"/>
      <c r="AA552" s="20"/>
      <c r="AB552" s="20"/>
      <c r="AC552" s="20"/>
      <c r="AD552" s="20"/>
      <c r="AE552" s="20"/>
      <c r="AF552" s="20"/>
    </row>
    <row r="553" spans="1:32" ht="19.5">
      <c r="A553" s="20"/>
      <c r="B553" s="20"/>
      <c r="C553" s="20"/>
      <c r="D553" s="20"/>
      <c r="E553" s="20"/>
      <c r="F553" s="20"/>
      <c r="G553" s="124"/>
      <c r="H553" s="20"/>
      <c r="I553" s="20"/>
      <c r="J553" s="20"/>
      <c r="K553" s="124"/>
      <c r="L553" s="127"/>
      <c r="M553" s="20"/>
      <c r="N553" s="20"/>
      <c r="O553" s="20"/>
      <c r="P553" s="124"/>
      <c r="Q553" s="127"/>
      <c r="R553" s="20"/>
      <c r="S553" s="20"/>
      <c r="T553" s="20"/>
      <c r="U553" s="124"/>
      <c r="V553" s="127"/>
      <c r="W553" s="20"/>
      <c r="X553" s="20"/>
      <c r="Y553" s="20"/>
      <c r="Z553" s="20"/>
      <c r="AA553" s="20"/>
      <c r="AB553" s="20"/>
      <c r="AC553" s="20"/>
      <c r="AD553" s="20"/>
      <c r="AE553" s="20"/>
      <c r="AF553" s="20"/>
    </row>
    <row r="554" spans="1:32" ht="19.5">
      <c r="A554" s="20"/>
      <c r="B554" s="20"/>
      <c r="C554" s="20"/>
      <c r="D554" s="20"/>
      <c r="E554" s="20"/>
      <c r="F554" s="20"/>
      <c r="G554" s="124"/>
      <c r="H554" s="20"/>
      <c r="I554" s="20"/>
      <c r="J554" s="20"/>
      <c r="K554" s="124"/>
      <c r="L554" s="127"/>
      <c r="M554" s="20"/>
      <c r="N554" s="20"/>
      <c r="O554" s="20"/>
      <c r="P554" s="124"/>
      <c r="Q554" s="127"/>
      <c r="R554" s="20"/>
      <c r="S554" s="20"/>
      <c r="T554" s="20"/>
      <c r="U554" s="124"/>
      <c r="V554" s="127"/>
      <c r="W554" s="20"/>
      <c r="X554" s="20"/>
      <c r="Y554" s="20"/>
      <c r="Z554" s="20"/>
      <c r="AA554" s="20"/>
      <c r="AB554" s="20"/>
      <c r="AC554" s="20"/>
      <c r="AD554" s="20"/>
      <c r="AE554" s="20"/>
      <c r="AF554" s="20"/>
    </row>
    <row r="555" spans="1:32" ht="19.5">
      <c r="A555" s="20"/>
      <c r="B555" s="20"/>
      <c r="C555" s="20"/>
      <c r="D555" s="20"/>
      <c r="E555" s="20"/>
      <c r="F555" s="20"/>
      <c r="G555" s="124"/>
      <c r="H555" s="20"/>
      <c r="I555" s="20"/>
      <c r="J555" s="20"/>
      <c r="K555" s="124"/>
      <c r="L555" s="127"/>
      <c r="M555" s="20"/>
      <c r="N555" s="20"/>
      <c r="O555" s="20"/>
      <c r="P555" s="124"/>
      <c r="Q555" s="127"/>
      <c r="R555" s="20"/>
      <c r="S555" s="20"/>
      <c r="T555" s="20"/>
      <c r="U555" s="124"/>
      <c r="V555" s="127"/>
      <c r="W555" s="20"/>
      <c r="X555" s="20"/>
      <c r="Y555" s="20"/>
      <c r="Z555" s="20"/>
      <c r="AA555" s="20"/>
      <c r="AB555" s="20"/>
      <c r="AC555" s="20"/>
      <c r="AD555" s="20"/>
      <c r="AE555" s="20"/>
      <c r="AF555" s="20"/>
    </row>
    <row r="556" spans="1:32" ht="19.5">
      <c r="A556" s="20"/>
      <c r="B556" s="20"/>
      <c r="C556" s="20"/>
      <c r="D556" s="20"/>
      <c r="E556" s="20"/>
      <c r="F556" s="20"/>
      <c r="G556" s="124"/>
      <c r="H556" s="20"/>
      <c r="I556" s="20"/>
      <c r="J556" s="20"/>
      <c r="K556" s="124"/>
      <c r="L556" s="127"/>
      <c r="M556" s="20"/>
      <c r="N556" s="20"/>
      <c r="O556" s="20"/>
      <c r="P556" s="124"/>
      <c r="Q556" s="127"/>
      <c r="R556" s="20"/>
      <c r="S556" s="20"/>
      <c r="T556" s="20"/>
      <c r="U556" s="124"/>
      <c r="V556" s="127"/>
      <c r="W556" s="20"/>
      <c r="X556" s="20"/>
      <c r="Y556" s="20"/>
      <c r="Z556" s="20"/>
      <c r="AA556" s="20"/>
      <c r="AB556" s="20"/>
      <c r="AC556" s="20"/>
      <c r="AD556" s="20"/>
      <c r="AE556" s="20"/>
      <c r="AF556" s="20"/>
    </row>
    <row r="557" spans="1:32" ht="19.5">
      <c r="A557" s="20"/>
      <c r="B557" s="20"/>
      <c r="C557" s="20"/>
      <c r="D557" s="20"/>
      <c r="E557" s="20"/>
      <c r="F557" s="20"/>
      <c r="G557" s="124"/>
      <c r="H557" s="20"/>
      <c r="I557" s="20"/>
      <c r="J557" s="20"/>
      <c r="K557" s="124"/>
      <c r="L557" s="127"/>
      <c r="M557" s="20"/>
      <c r="N557" s="20"/>
      <c r="O557" s="20"/>
      <c r="P557" s="124"/>
      <c r="Q557" s="127"/>
      <c r="R557" s="20"/>
      <c r="S557" s="20"/>
      <c r="T557" s="20"/>
      <c r="U557" s="124"/>
      <c r="V557" s="127"/>
      <c r="W557" s="20"/>
      <c r="X557" s="20"/>
      <c r="Y557" s="20"/>
      <c r="Z557" s="20"/>
      <c r="AA557" s="20"/>
      <c r="AB557" s="20"/>
      <c r="AC557" s="20"/>
      <c r="AD557" s="20"/>
      <c r="AE557" s="20"/>
      <c r="AF557" s="20"/>
    </row>
    <row r="558" spans="1:32" ht="19.5">
      <c r="A558" s="20"/>
      <c r="B558" s="20"/>
      <c r="C558" s="20"/>
      <c r="D558" s="20"/>
      <c r="E558" s="20"/>
      <c r="F558" s="20"/>
      <c r="G558" s="124"/>
      <c r="H558" s="20"/>
      <c r="I558" s="20"/>
      <c r="J558" s="20"/>
      <c r="K558" s="124"/>
      <c r="L558" s="127"/>
      <c r="M558" s="20"/>
      <c r="N558" s="20"/>
      <c r="O558" s="20"/>
      <c r="P558" s="124"/>
      <c r="Q558" s="127"/>
      <c r="R558" s="20"/>
      <c r="S558" s="20"/>
      <c r="T558" s="20"/>
      <c r="U558" s="124"/>
      <c r="V558" s="127"/>
      <c r="W558" s="20"/>
      <c r="X558" s="20"/>
      <c r="Y558" s="20"/>
      <c r="Z558" s="20"/>
      <c r="AA558" s="20"/>
      <c r="AB558" s="20"/>
      <c r="AC558" s="20"/>
      <c r="AD558" s="20"/>
      <c r="AE558" s="20"/>
      <c r="AF558" s="20"/>
    </row>
    <row r="559" spans="1:32" ht="19.5">
      <c r="A559" s="20"/>
      <c r="B559" s="20"/>
      <c r="C559" s="20"/>
      <c r="D559" s="20"/>
      <c r="E559" s="20"/>
      <c r="F559" s="20"/>
      <c r="G559" s="124"/>
      <c r="H559" s="20"/>
      <c r="I559" s="20"/>
      <c r="J559" s="20"/>
      <c r="K559" s="124"/>
      <c r="L559" s="127"/>
      <c r="M559" s="20"/>
      <c r="N559" s="20"/>
      <c r="O559" s="20"/>
      <c r="P559" s="124"/>
      <c r="Q559" s="127"/>
      <c r="R559" s="20"/>
      <c r="S559" s="20"/>
      <c r="T559" s="20"/>
      <c r="U559" s="124"/>
      <c r="V559" s="127"/>
      <c r="W559" s="20"/>
      <c r="X559" s="20"/>
      <c r="Y559" s="20"/>
      <c r="Z559" s="20"/>
      <c r="AA559" s="20"/>
      <c r="AB559" s="20"/>
      <c r="AC559" s="20"/>
      <c r="AD559" s="20"/>
      <c r="AE559" s="20"/>
      <c r="AF559" s="20"/>
    </row>
    <row r="560" spans="1:32" ht="19.5">
      <c r="A560" s="20"/>
      <c r="B560" s="20"/>
      <c r="C560" s="20"/>
      <c r="D560" s="20"/>
      <c r="E560" s="20"/>
      <c r="F560" s="20"/>
      <c r="G560" s="124"/>
      <c r="H560" s="20"/>
      <c r="I560" s="20"/>
      <c r="J560" s="20"/>
      <c r="K560" s="124"/>
      <c r="L560" s="127"/>
      <c r="M560" s="20"/>
      <c r="N560" s="20"/>
      <c r="O560" s="20"/>
      <c r="P560" s="124"/>
      <c r="Q560" s="127"/>
      <c r="R560" s="20"/>
      <c r="S560" s="20"/>
      <c r="T560" s="20"/>
      <c r="U560" s="124"/>
      <c r="V560" s="127"/>
      <c r="W560" s="20"/>
      <c r="X560" s="20"/>
      <c r="Y560" s="20"/>
      <c r="Z560" s="20"/>
      <c r="AA560" s="20"/>
      <c r="AB560" s="20"/>
      <c r="AC560" s="20"/>
      <c r="AD560" s="20"/>
      <c r="AE560" s="20"/>
      <c r="AF560" s="20"/>
    </row>
    <row r="561" spans="1:32" ht="19.5">
      <c r="A561" s="20"/>
      <c r="B561" s="20"/>
      <c r="C561" s="20"/>
      <c r="D561" s="20"/>
      <c r="E561" s="20"/>
      <c r="F561" s="20"/>
      <c r="G561" s="124"/>
      <c r="H561" s="20"/>
      <c r="I561" s="20"/>
      <c r="J561" s="20"/>
      <c r="K561" s="124"/>
      <c r="L561" s="127"/>
      <c r="M561" s="20"/>
      <c r="N561" s="20"/>
      <c r="O561" s="20"/>
      <c r="P561" s="124"/>
      <c r="Q561" s="127"/>
      <c r="R561" s="20"/>
      <c r="S561" s="20"/>
      <c r="T561" s="20"/>
      <c r="U561" s="124"/>
      <c r="V561" s="127"/>
      <c r="W561" s="20"/>
      <c r="X561" s="20"/>
      <c r="Y561" s="20"/>
      <c r="Z561" s="20"/>
      <c r="AA561" s="20"/>
      <c r="AB561" s="20"/>
      <c r="AC561" s="20"/>
      <c r="AD561" s="20"/>
      <c r="AE561" s="20"/>
      <c r="AF561" s="20"/>
    </row>
    <row r="562" spans="1:32" ht="19.5">
      <c r="A562" s="20"/>
      <c r="B562" s="20"/>
      <c r="C562" s="20"/>
      <c r="D562" s="20"/>
      <c r="E562" s="20"/>
      <c r="F562" s="20"/>
      <c r="G562" s="124"/>
      <c r="H562" s="20"/>
      <c r="I562" s="20"/>
      <c r="J562" s="20"/>
      <c r="K562" s="124"/>
      <c r="L562" s="127"/>
      <c r="M562" s="20"/>
      <c r="N562" s="20"/>
      <c r="O562" s="20"/>
      <c r="P562" s="124"/>
      <c r="Q562" s="127"/>
      <c r="R562" s="20"/>
      <c r="S562" s="20"/>
      <c r="T562" s="20"/>
      <c r="U562" s="124"/>
      <c r="V562" s="127"/>
      <c r="W562" s="20"/>
      <c r="X562" s="20"/>
      <c r="Y562" s="20"/>
      <c r="Z562" s="20"/>
      <c r="AA562" s="20"/>
      <c r="AB562" s="20"/>
      <c r="AC562" s="20"/>
      <c r="AD562" s="20"/>
      <c r="AE562" s="20"/>
      <c r="AF562" s="20"/>
    </row>
    <row r="563" spans="1:32" ht="19.5">
      <c r="A563" s="20"/>
      <c r="B563" s="20"/>
      <c r="C563" s="20"/>
      <c r="D563" s="20"/>
      <c r="E563" s="20"/>
      <c r="F563" s="20"/>
      <c r="G563" s="124"/>
      <c r="H563" s="20"/>
      <c r="I563" s="20"/>
      <c r="J563" s="20"/>
      <c r="K563" s="124"/>
      <c r="L563" s="127"/>
      <c r="M563" s="20"/>
      <c r="N563" s="20"/>
      <c r="O563" s="20"/>
      <c r="P563" s="124"/>
      <c r="Q563" s="127"/>
      <c r="R563" s="20"/>
      <c r="S563" s="20"/>
      <c r="T563" s="20"/>
      <c r="U563" s="124"/>
      <c r="V563" s="127"/>
      <c r="W563" s="20"/>
      <c r="X563" s="20"/>
      <c r="Y563" s="20"/>
      <c r="Z563" s="20"/>
      <c r="AA563" s="20"/>
      <c r="AB563" s="20"/>
      <c r="AC563" s="20"/>
      <c r="AD563" s="20"/>
      <c r="AE563" s="20"/>
      <c r="AF563" s="20"/>
    </row>
    <row r="564" spans="1:32" ht="19.5">
      <c r="A564" s="20"/>
      <c r="B564" s="20"/>
      <c r="C564" s="20"/>
      <c r="D564" s="20"/>
      <c r="E564" s="20"/>
      <c r="F564" s="20"/>
      <c r="G564" s="124"/>
      <c r="H564" s="20"/>
      <c r="I564" s="20"/>
      <c r="J564" s="20"/>
      <c r="K564" s="124"/>
      <c r="L564" s="127"/>
      <c r="M564" s="20"/>
      <c r="N564" s="20"/>
      <c r="O564" s="20"/>
      <c r="P564" s="124"/>
      <c r="Q564" s="127"/>
      <c r="R564" s="20"/>
      <c r="S564" s="20"/>
      <c r="T564" s="20"/>
      <c r="U564" s="124"/>
      <c r="V564" s="127"/>
      <c r="W564" s="20"/>
      <c r="X564" s="20"/>
      <c r="Y564" s="20"/>
      <c r="Z564" s="20"/>
      <c r="AA564" s="20"/>
      <c r="AB564" s="20"/>
      <c r="AC564" s="20"/>
      <c r="AD564" s="20"/>
      <c r="AE564" s="20"/>
      <c r="AF564" s="20"/>
    </row>
    <row r="565" spans="1:32" ht="19.5">
      <c r="A565" s="20"/>
      <c r="B565" s="20"/>
      <c r="C565" s="20"/>
      <c r="D565" s="20"/>
      <c r="E565" s="20"/>
      <c r="F565" s="20"/>
      <c r="G565" s="124"/>
      <c r="H565" s="20"/>
      <c r="I565" s="20"/>
      <c r="J565" s="20"/>
      <c r="K565" s="124"/>
      <c r="L565" s="127"/>
      <c r="M565" s="20"/>
      <c r="N565" s="20"/>
      <c r="O565" s="20"/>
      <c r="P565" s="124"/>
      <c r="Q565" s="127"/>
      <c r="R565" s="20"/>
      <c r="S565" s="20"/>
      <c r="T565" s="20"/>
      <c r="U565" s="124"/>
      <c r="V565" s="127"/>
      <c r="W565" s="20"/>
      <c r="X565" s="20"/>
      <c r="Y565" s="20"/>
      <c r="Z565" s="20"/>
      <c r="AA565" s="20"/>
      <c r="AB565" s="20"/>
      <c r="AC565" s="20"/>
      <c r="AD565" s="20"/>
      <c r="AE565" s="20"/>
      <c r="AF565" s="20"/>
    </row>
    <row r="566" spans="1:32" ht="19.5">
      <c r="A566" s="20"/>
      <c r="B566" s="20"/>
      <c r="C566" s="20"/>
      <c r="D566" s="20"/>
      <c r="E566" s="20"/>
      <c r="F566" s="20"/>
      <c r="G566" s="124"/>
      <c r="H566" s="20"/>
      <c r="I566" s="20"/>
      <c r="J566" s="20"/>
      <c r="K566" s="124"/>
      <c r="L566" s="127"/>
      <c r="M566" s="20"/>
      <c r="N566" s="20"/>
      <c r="O566" s="20"/>
      <c r="P566" s="124"/>
      <c r="Q566" s="127"/>
      <c r="R566" s="20"/>
      <c r="S566" s="20"/>
      <c r="T566" s="20"/>
      <c r="U566" s="124"/>
      <c r="V566" s="127"/>
      <c r="W566" s="20"/>
      <c r="X566" s="20"/>
      <c r="Y566" s="20"/>
      <c r="Z566" s="20"/>
      <c r="AA566" s="20"/>
      <c r="AB566" s="20"/>
      <c r="AC566" s="20"/>
      <c r="AD566" s="20"/>
      <c r="AE566" s="20"/>
      <c r="AF566" s="20"/>
    </row>
    <row r="567" spans="1:32" ht="19.5">
      <c r="A567" s="20"/>
      <c r="B567" s="20"/>
      <c r="C567" s="20"/>
      <c r="D567" s="20"/>
      <c r="E567" s="20"/>
      <c r="F567" s="20"/>
      <c r="G567" s="124"/>
      <c r="H567" s="20"/>
      <c r="I567" s="20"/>
      <c r="J567" s="20"/>
      <c r="K567" s="124"/>
      <c r="L567" s="127"/>
      <c r="M567" s="20"/>
      <c r="N567" s="20"/>
      <c r="O567" s="20"/>
      <c r="P567" s="124"/>
      <c r="Q567" s="127"/>
      <c r="R567" s="20"/>
      <c r="S567" s="20"/>
      <c r="T567" s="20"/>
      <c r="U567" s="124"/>
      <c r="V567" s="127"/>
      <c r="W567" s="20"/>
      <c r="X567" s="20"/>
      <c r="Y567" s="20"/>
      <c r="Z567" s="20"/>
      <c r="AA567" s="20"/>
      <c r="AB567" s="20"/>
      <c r="AC567" s="20"/>
      <c r="AD567" s="20"/>
      <c r="AE567" s="20"/>
      <c r="AF567" s="20"/>
    </row>
    <row r="568" spans="1:32" ht="19.5">
      <c r="A568" s="20"/>
      <c r="B568" s="20"/>
      <c r="C568" s="20"/>
      <c r="D568" s="20"/>
      <c r="E568" s="20"/>
      <c r="F568" s="20"/>
      <c r="G568" s="124"/>
      <c r="H568" s="20"/>
      <c r="I568" s="20"/>
      <c r="J568" s="20"/>
      <c r="K568" s="124"/>
      <c r="L568" s="127"/>
      <c r="M568" s="20"/>
      <c r="N568" s="20"/>
      <c r="O568" s="20"/>
      <c r="P568" s="124"/>
      <c r="Q568" s="127"/>
      <c r="R568" s="20"/>
      <c r="S568" s="20"/>
      <c r="T568" s="20"/>
      <c r="U568" s="124"/>
      <c r="V568" s="127"/>
      <c r="W568" s="20"/>
      <c r="X568" s="20"/>
      <c r="Y568" s="20"/>
      <c r="Z568" s="20"/>
      <c r="AA568" s="20"/>
      <c r="AB568" s="20"/>
      <c r="AC568" s="20"/>
      <c r="AD568" s="20"/>
      <c r="AE568" s="20"/>
      <c r="AF568" s="20"/>
    </row>
    <row r="569" spans="1:32" ht="19.5">
      <c r="A569" s="20"/>
      <c r="B569" s="20"/>
      <c r="C569" s="20"/>
      <c r="D569" s="20"/>
      <c r="E569" s="20"/>
      <c r="F569" s="20"/>
      <c r="G569" s="124"/>
      <c r="H569" s="20"/>
      <c r="I569" s="20"/>
      <c r="J569" s="20"/>
      <c r="K569" s="124"/>
      <c r="L569" s="127"/>
      <c r="M569" s="20"/>
      <c r="N569" s="20"/>
      <c r="O569" s="20"/>
      <c r="P569" s="124"/>
      <c r="Q569" s="127"/>
      <c r="R569" s="20"/>
      <c r="S569" s="20"/>
      <c r="T569" s="20"/>
      <c r="U569" s="124"/>
      <c r="V569" s="127"/>
      <c r="W569" s="20"/>
      <c r="X569" s="20"/>
      <c r="Y569" s="20"/>
      <c r="Z569" s="20"/>
      <c r="AA569" s="20"/>
      <c r="AB569" s="20"/>
      <c r="AC569" s="20"/>
      <c r="AD569" s="20"/>
      <c r="AE569" s="20"/>
      <c r="AF569" s="20"/>
    </row>
    <row r="570" spans="1:32" ht="19.5">
      <c r="A570" s="20"/>
      <c r="B570" s="20"/>
      <c r="C570" s="20"/>
      <c r="D570" s="20"/>
      <c r="E570" s="20"/>
      <c r="F570" s="20"/>
      <c r="G570" s="124"/>
      <c r="H570" s="20"/>
      <c r="I570" s="20"/>
      <c r="J570" s="20"/>
      <c r="K570" s="124"/>
      <c r="L570" s="127"/>
      <c r="M570" s="20"/>
      <c r="N570" s="20"/>
      <c r="O570" s="20"/>
      <c r="P570" s="124"/>
      <c r="Q570" s="127"/>
      <c r="R570" s="20"/>
      <c r="S570" s="20"/>
      <c r="T570" s="20"/>
      <c r="U570" s="124"/>
      <c r="V570" s="127"/>
      <c r="W570" s="20"/>
      <c r="X570" s="20"/>
      <c r="Y570" s="20"/>
      <c r="Z570" s="20"/>
      <c r="AA570" s="20"/>
      <c r="AB570" s="20"/>
      <c r="AC570" s="20"/>
      <c r="AD570" s="20"/>
      <c r="AE570" s="20"/>
      <c r="AF570" s="20"/>
    </row>
    <row r="571" spans="1:32" ht="19.5">
      <c r="A571" s="20"/>
      <c r="B571" s="20"/>
      <c r="C571" s="20"/>
      <c r="D571" s="20"/>
      <c r="E571" s="20"/>
      <c r="F571" s="20"/>
      <c r="G571" s="124"/>
      <c r="H571" s="20"/>
      <c r="I571" s="20"/>
      <c r="J571" s="20"/>
      <c r="K571" s="124"/>
      <c r="L571" s="127"/>
      <c r="M571" s="20"/>
      <c r="N571" s="20"/>
      <c r="O571" s="20"/>
      <c r="P571" s="124"/>
      <c r="Q571" s="127"/>
      <c r="R571" s="20"/>
      <c r="S571" s="20"/>
      <c r="T571" s="20"/>
      <c r="U571" s="124"/>
      <c r="V571" s="127"/>
      <c r="W571" s="20"/>
      <c r="X571" s="20"/>
      <c r="Y571" s="20"/>
      <c r="Z571" s="20"/>
      <c r="AA571" s="20"/>
      <c r="AB571" s="20"/>
      <c r="AC571" s="20"/>
      <c r="AD571" s="20"/>
      <c r="AE571" s="20"/>
      <c r="AF571" s="20"/>
    </row>
    <row r="572" spans="1:32" ht="19.5">
      <c r="A572" s="20"/>
      <c r="B572" s="20"/>
      <c r="C572" s="20"/>
      <c r="D572" s="20"/>
      <c r="E572" s="20"/>
      <c r="F572" s="20"/>
      <c r="G572" s="124"/>
      <c r="H572" s="20"/>
      <c r="I572" s="20"/>
      <c r="J572" s="20"/>
      <c r="K572" s="124"/>
      <c r="L572" s="127"/>
      <c r="M572" s="20"/>
      <c r="N572" s="20"/>
      <c r="O572" s="20"/>
      <c r="P572" s="124"/>
      <c r="Q572" s="127"/>
      <c r="R572" s="20"/>
      <c r="S572" s="20"/>
      <c r="T572" s="20"/>
      <c r="U572" s="124"/>
      <c r="V572" s="127"/>
      <c r="W572" s="20"/>
      <c r="X572" s="20"/>
      <c r="Y572" s="20"/>
      <c r="Z572" s="20"/>
      <c r="AA572" s="20"/>
      <c r="AB572" s="20"/>
      <c r="AC572" s="20"/>
      <c r="AD572" s="20"/>
      <c r="AE572" s="20"/>
      <c r="AF572" s="20"/>
    </row>
    <row r="573" spans="1:32" ht="19.5">
      <c r="A573" s="20"/>
      <c r="B573" s="20"/>
      <c r="C573" s="20"/>
      <c r="D573" s="20"/>
      <c r="E573" s="20"/>
      <c r="F573" s="20"/>
      <c r="G573" s="124"/>
      <c r="H573" s="20"/>
      <c r="I573" s="20"/>
      <c r="J573" s="20"/>
      <c r="K573" s="124"/>
      <c r="L573" s="127"/>
      <c r="M573" s="20"/>
      <c r="N573" s="20"/>
      <c r="O573" s="20"/>
      <c r="P573" s="124"/>
      <c r="Q573" s="127"/>
      <c r="R573" s="20"/>
      <c r="S573" s="20"/>
      <c r="T573" s="20"/>
      <c r="U573" s="124"/>
      <c r="V573" s="127"/>
      <c r="W573" s="20"/>
      <c r="X573" s="20"/>
      <c r="Y573" s="20"/>
      <c r="Z573" s="20"/>
      <c r="AA573" s="20"/>
      <c r="AB573" s="20"/>
      <c r="AC573" s="20"/>
      <c r="AD573" s="20"/>
      <c r="AE573" s="20"/>
      <c r="AF573" s="20"/>
    </row>
    <row r="574" spans="1:32" ht="19.5">
      <c r="A574" s="20"/>
      <c r="B574" s="20"/>
      <c r="C574" s="20"/>
      <c r="D574" s="20"/>
      <c r="E574" s="20"/>
      <c r="F574" s="20"/>
      <c r="G574" s="124"/>
      <c r="H574" s="20"/>
      <c r="I574" s="20"/>
      <c r="J574" s="20"/>
      <c r="K574" s="124"/>
      <c r="L574" s="127"/>
      <c r="M574" s="20"/>
      <c r="N574" s="20"/>
      <c r="O574" s="20"/>
      <c r="P574" s="124"/>
      <c r="Q574" s="127"/>
      <c r="R574" s="20"/>
      <c r="S574" s="20"/>
      <c r="T574" s="20"/>
      <c r="U574" s="124"/>
      <c r="V574" s="127"/>
      <c r="W574" s="20"/>
      <c r="X574" s="20"/>
      <c r="Y574" s="20"/>
      <c r="Z574" s="20"/>
      <c r="AA574" s="20"/>
      <c r="AB574" s="20"/>
      <c r="AC574" s="20"/>
      <c r="AD574" s="20"/>
      <c r="AE574" s="20"/>
      <c r="AF574" s="20"/>
    </row>
    <row r="575" spans="1:32" ht="19.5">
      <c r="A575" s="20"/>
      <c r="B575" s="20"/>
      <c r="C575" s="20"/>
      <c r="D575" s="20"/>
      <c r="E575" s="20"/>
      <c r="F575" s="20"/>
      <c r="G575" s="124"/>
      <c r="H575" s="20"/>
      <c r="I575" s="20"/>
      <c r="J575" s="20"/>
      <c r="K575" s="124"/>
      <c r="L575" s="127"/>
      <c r="M575" s="20"/>
      <c r="N575" s="20"/>
      <c r="O575" s="20"/>
      <c r="P575" s="124"/>
      <c r="Q575" s="127"/>
      <c r="R575" s="20"/>
      <c r="S575" s="20"/>
      <c r="T575" s="20"/>
      <c r="U575" s="124"/>
      <c r="V575" s="127"/>
      <c r="W575" s="20"/>
      <c r="X575" s="20"/>
      <c r="Y575" s="20"/>
      <c r="Z575" s="20"/>
      <c r="AA575" s="20"/>
      <c r="AB575" s="20"/>
      <c r="AC575" s="20"/>
      <c r="AD575" s="20"/>
      <c r="AE575" s="20"/>
      <c r="AF575" s="20"/>
    </row>
    <row r="576" spans="1:32" ht="19.5">
      <c r="A576" s="20"/>
      <c r="B576" s="20"/>
      <c r="C576" s="20"/>
      <c r="D576" s="20"/>
      <c r="E576" s="20"/>
      <c r="F576" s="20"/>
      <c r="G576" s="124"/>
      <c r="H576" s="20"/>
      <c r="I576" s="20"/>
      <c r="J576" s="20"/>
      <c r="K576" s="124"/>
      <c r="L576" s="127"/>
      <c r="M576" s="20"/>
      <c r="N576" s="20"/>
      <c r="O576" s="20"/>
      <c r="P576" s="124"/>
      <c r="Q576" s="127"/>
      <c r="R576" s="20"/>
      <c r="S576" s="20"/>
      <c r="T576" s="20"/>
      <c r="U576" s="124"/>
      <c r="V576" s="127"/>
      <c r="W576" s="20"/>
      <c r="X576" s="20"/>
      <c r="Y576" s="20"/>
      <c r="Z576" s="20"/>
      <c r="AA576" s="20"/>
      <c r="AB576" s="20"/>
      <c r="AC576" s="20"/>
      <c r="AD576" s="20"/>
      <c r="AE576" s="20"/>
      <c r="AF576" s="20"/>
    </row>
    <row r="577" spans="1:32" ht="19.5">
      <c r="A577" s="20"/>
      <c r="B577" s="20"/>
      <c r="C577" s="20"/>
      <c r="D577" s="20"/>
      <c r="E577" s="20"/>
      <c r="F577" s="20"/>
      <c r="G577" s="124"/>
      <c r="H577" s="20"/>
      <c r="I577" s="20"/>
      <c r="J577" s="20"/>
      <c r="K577" s="124"/>
      <c r="L577" s="127"/>
      <c r="M577" s="20"/>
      <c r="N577" s="20"/>
      <c r="O577" s="20"/>
      <c r="P577" s="124"/>
      <c r="Q577" s="127"/>
      <c r="R577" s="20"/>
      <c r="S577" s="20"/>
      <c r="T577" s="20"/>
      <c r="U577" s="124"/>
      <c r="V577" s="127"/>
      <c r="W577" s="20"/>
      <c r="X577" s="20"/>
      <c r="Y577" s="20"/>
      <c r="Z577" s="20"/>
      <c r="AA577" s="20"/>
      <c r="AB577" s="20"/>
      <c r="AC577" s="20"/>
      <c r="AD577" s="20"/>
      <c r="AE577" s="20"/>
      <c r="AF577" s="20"/>
    </row>
    <row r="578" spans="1:32" ht="19.5">
      <c r="A578" s="20"/>
      <c r="B578" s="20"/>
      <c r="C578" s="20"/>
      <c r="D578" s="20"/>
      <c r="E578" s="20"/>
      <c r="F578" s="20"/>
      <c r="G578" s="124"/>
      <c r="H578" s="20"/>
      <c r="I578" s="20"/>
      <c r="J578" s="20"/>
      <c r="K578" s="124"/>
      <c r="L578" s="127"/>
      <c r="M578" s="20"/>
      <c r="N578" s="20"/>
      <c r="O578" s="20"/>
      <c r="P578" s="124"/>
      <c r="Q578" s="127"/>
      <c r="R578" s="20"/>
      <c r="S578" s="20"/>
      <c r="T578" s="20"/>
      <c r="U578" s="124"/>
      <c r="V578" s="127"/>
      <c r="W578" s="20"/>
      <c r="X578" s="20"/>
      <c r="Y578" s="20"/>
      <c r="Z578" s="20"/>
      <c r="AA578" s="20"/>
      <c r="AB578" s="20"/>
      <c r="AC578" s="20"/>
      <c r="AD578" s="20"/>
      <c r="AE578" s="20"/>
      <c r="AF578" s="20"/>
    </row>
    <row r="579" spans="1:32" ht="19.5">
      <c r="A579" s="20"/>
      <c r="B579" s="20"/>
      <c r="C579" s="20"/>
      <c r="D579" s="20"/>
      <c r="E579" s="20"/>
      <c r="F579" s="20"/>
      <c r="G579" s="124"/>
      <c r="H579" s="20"/>
      <c r="I579" s="20"/>
      <c r="J579" s="20"/>
      <c r="K579" s="124"/>
      <c r="L579" s="127"/>
      <c r="M579" s="20"/>
      <c r="N579" s="20"/>
      <c r="O579" s="20"/>
      <c r="P579" s="124"/>
      <c r="Q579" s="127"/>
      <c r="R579" s="20"/>
      <c r="S579" s="20"/>
      <c r="T579" s="20"/>
      <c r="U579" s="124"/>
      <c r="V579" s="127"/>
      <c r="W579" s="20"/>
      <c r="X579" s="20"/>
      <c r="Y579" s="20"/>
      <c r="Z579" s="20"/>
      <c r="AA579" s="20"/>
      <c r="AB579" s="20"/>
      <c r="AC579" s="20"/>
      <c r="AD579" s="20"/>
      <c r="AE579" s="20"/>
      <c r="AF579" s="20"/>
    </row>
    <row r="580" spans="1:32" ht="19.5">
      <c r="A580" s="20"/>
      <c r="B580" s="20"/>
      <c r="C580" s="20"/>
      <c r="D580" s="20"/>
      <c r="E580" s="20"/>
      <c r="F580" s="20"/>
      <c r="G580" s="124"/>
      <c r="H580" s="20"/>
      <c r="I580" s="20"/>
      <c r="J580" s="20"/>
      <c r="K580" s="124"/>
      <c r="L580" s="127"/>
      <c r="M580" s="20"/>
      <c r="N580" s="20"/>
      <c r="O580" s="20"/>
      <c r="P580" s="124"/>
      <c r="Q580" s="127"/>
      <c r="R580" s="20"/>
      <c r="S580" s="20"/>
      <c r="T580" s="20"/>
      <c r="U580" s="124"/>
      <c r="V580" s="127"/>
      <c r="W580" s="20"/>
      <c r="X580" s="20"/>
      <c r="Y580" s="20"/>
      <c r="Z580" s="20"/>
      <c r="AA580" s="20"/>
      <c r="AB580" s="20"/>
      <c r="AC580" s="20"/>
      <c r="AD580" s="20"/>
      <c r="AE580" s="20"/>
      <c r="AF580" s="20"/>
    </row>
    <row r="581" spans="1:32" ht="19.5">
      <c r="A581" s="20"/>
      <c r="B581" s="20"/>
      <c r="C581" s="20"/>
      <c r="D581" s="20"/>
      <c r="E581" s="20"/>
      <c r="F581" s="20"/>
      <c r="G581" s="124"/>
      <c r="H581" s="20"/>
      <c r="I581" s="20"/>
      <c r="J581" s="20"/>
      <c r="K581" s="124"/>
      <c r="L581" s="127"/>
      <c r="M581" s="20"/>
      <c r="N581" s="20"/>
      <c r="O581" s="20"/>
      <c r="P581" s="124"/>
      <c r="Q581" s="127"/>
      <c r="R581" s="20"/>
      <c r="S581" s="20"/>
      <c r="T581" s="20"/>
      <c r="U581" s="124"/>
      <c r="V581" s="127"/>
      <c r="W581" s="20"/>
      <c r="X581" s="20"/>
      <c r="Y581" s="20"/>
      <c r="Z581" s="20"/>
      <c r="AA581" s="20"/>
      <c r="AB581" s="20"/>
      <c r="AC581" s="20"/>
      <c r="AD581" s="20"/>
      <c r="AE581" s="20"/>
      <c r="AF581" s="20"/>
    </row>
    <row r="582" spans="1:32" ht="19.5">
      <c r="A582" s="20"/>
      <c r="B582" s="20"/>
      <c r="C582" s="20"/>
      <c r="D582" s="20"/>
      <c r="E582" s="20"/>
      <c r="F582" s="20"/>
      <c r="G582" s="124"/>
      <c r="H582" s="20"/>
      <c r="I582" s="20"/>
      <c r="J582" s="20"/>
      <c r="K582" s="124"/>
      <c r="L582" s="127"/>
      <c r="M582" s="20"/>
      <c r="N582" s="20"/>
      <c r="O582" s="20"/>
      <c r="P582" s="124"/>
      <c r="Q582" s="127"/>
      <c r="R582" s="20"/>
      <c r="S582" s="20"/>
      <c r="T582" s="20"/>
      <c r="U582" s="124"/>
      <c r="V582" s="127"/>
      <c r="W582" s="20"/>
      <c r="X582" s="20"/>
      <c r="Y582" s="20"/>
      <c r="Z582" s="20"/>
      <c r="AA582" s="20"/>
      <c r="AB582" s="20"/>
      <c r="AC582" s="20"/>
      <c r="AD582" s="20"/>
      <c r="AE582" s="20"/>
      <c r="AF582" s="20"/>
    </row>
    <row r="583" spans="1:32" ht="19.5">
      <c r="A583" s="20"/>
      <c r="B583" s="20"/>
      <c r="C583" s="20"/>
      <c r="D583" s="20"/>
      <c r="E583" s="20"/>
      <c r="F583" s="20"/>
      <c r="G583" s="124"/>
      <c r="H583" s="20"/>
      <c r="I583" s="20"/>
      <c r="J583" s="20"/>
      <c r="K583" s="124"/>
      <c r="L583" s="127"/>
      <c r="M583" s="20"/>
      <c r="N583" s="20"/>
      <c r="O583" s="20"/>
      <c r="P583" s="124"/>
      <c r="Q583" s="127"/>
      <c r="R583" s="20"/>
      <c r="S583" s="20"/>
      <c r="T583" s="20"/>
      <c r="U583" s="124"/>
      <c r="V583" s="127"/>
      <c r="W583" s="20"/>
      <c r="X583" s="20"/>
      <c r="Y583" s="20"/>
      <c r="Z583" s="20"/>
      <c r="AA583" s="20"/>
      <c r="AB583" s="20"/>
      <c r="AC583" s="20"/>
      <c r="AD583" s="20"/>
      <c r="AE583" s="20"/>
      <c r="AF583" s="20"/>
    </row>
    <row r="584" spans="1:32" ht="19.5">
      <c r="A584" s="20"/>
      <c r="B584" s="20"/>
      <c r="C584" s="20"/>
      <c r="D584" s="20"/>
      <c r="E584" s="20"/>
      <c r="F584" s="20"/>
      <c r="G584" s="124"/>
      <c r="H584" s="20"/>
      <c r="I584" s="20"/>
      <c r="J584" s="20"/>
      <c r="K584" s="124"/>
      <c r="L584" s="127"/>
      <c r="M584" s="20"/>
      <c r="N584" s="20"/>
      <c r="O584" s="20"/>
      <c r="P584" s="124"/>
      <c r="Q584" s="127"/>
      <c r="R584" s="20"/>
      <c r="S584" s="20"/>
      <c r="T584" s="20"/>
      <c r="U584" s="124"/>
      <c r="V584" s="127"/>
      <c r="W584" s="20"/>
      <c r="X584" s="20"/>
      <c r="Y584" s="20"/>
      <c r="Z584" s="20"/>
      <c r="AA584" s="20"/>
      <c r="AB584" s="20"/>
      <c r="AC584" s="20"/>
      <c r="AD584" s="20"/>
      <c r="AE584" s="20"/>
      <c r="AF584" s="20"/>
    </row>
    <row r="585" spans="1:32" ht="19.5">
      <c r="A585" s="20"/>
      <c r="B585" s="20"/>
      <c r="C585" s="20"/>
      <c r="D585" s="20"/>
      <c r="E585" s="20"/>
      <c r="F585" s="20"/>
      <c r="G585" s="124"/>
      <c r="H585" s="20"/>
      <c r="I585" s="20"/>
      <c r="J585" s="20"/>
      <c r="K585" s="124"/>
      <c r="L585" s="127"/>
      <c r="M585" s="20"/>
      <c r="N585" s="20"/>
      <c r="O585" s="20"/>
      <c r="P585" s="124"/>
      <c r="Q585" s="127"/>
      <c r="R585" s="20"/>
      <c r="S585" s="20"/>
      <c r="T585" s="20"/>
      <c r="U585" s="124"/>
      <c r="V585" s="127"/>
      <c r="W585" s="20"/>
      <c r="X585" s="20"/>
      <c r="Y585" s="20"/>
      <c r="Z585" s="20"/>
      <c r="AA585" s="20"/>
      <c r="AB585" s="20"/>
      <c r="AC585" s="20"/>
      <c r="AD585" s="20"/>
      <c r="AE585" s="20"/>
      <c r="AF585" s="20"/>
    </row>
    <row r="586" spans="1:32" ht="19.5">
      <c r="A586" s="20"/>
      <c r="B586" s="20"/>
      <c r="C586" s="20"/>
      <c r="D586" s="20"/>
      <c r="E586" s="20"/>
      <c r="F586" s="20"/>
      <c r="G586" s="124"/>
      <c r="H586" s="20"/>
      <c r="I586" s="20"/>
      <c r="J586" s="20"/>
      <c r="K586" s="124"/>
      <c r="L586" s="127"/>
      <c r="M586" s="20"/>
      <c r="N586" s="20"/>
      <c r="O586" s="20"/>
      <c r="P586" s="124"/>
      <c r="Q586" s="127"/>
      <c r="R586" s="20"/>
      <c r="S586" s="20"/>
      <c r="T586" s="20"/>
      <c r="U586" s="124"/>
      <c r="V586" s="127"/>
      <c r="W586" s="20"/>
      <c r="X586" s="20"/>
      <c r="Y586" s="20"/>
      <c r="Z586" s="20"/>
      <c r="AA586" s="20"/>
      <c r="AB586" s="20"/>
      <c r="AC586" s="20"/>
      <c r="AD586" s="20"/>
      <c r="AE586" s="20"/>
      <c r="AF586" s="20"/>
    </row>
    <row r="587" spans="1:32" ht="19.5">
      <c r="A587" s="20"/>
      <c r="B587" s="20"/>
      <c r="C587" s="20"/>
      <c r="D587" s="20"/>
      <c r="E587" s="20"/>
      <c r="F587" s="20"/>
      <c r="G587" s="124"/>
      <c r="H587" s="20"/>
      <c r="I587" s="20"/>
      <c r="J587" s="20"/>
      <c r="K587" s="124"/>
      <c r="L587" s="127"/>
      <c r="M587" s="20"/>
      <c r="N587" s="20"/>
      <c r="O587" s="20"/>
      <c r="P587" s="124"/>
      <c r="Q587" s="127"/>
      <c r="R587" s="20"/>
      <c r="S587" s="20"/>
      <c r="T587" s="20"/>
      <c r="U587" s="124"/>
      <c r="V587" s="127"/>
      <c r="W587" s="20"/>
      <c r="X587" s="20"/>
      <c r="Y587" s="20"/>
      <c r="Z587" s="20"/>
      <c r="AA587" s="20"/>
      <c r="AB587" s="20"/>
      <c r="AC587" s="20"/>
      <c r="AD587" s="20"/>
      <c r="AE587" s="20"/>
      <c r="AF587" s="20"/>
    </row>
    <row r="588" spans="1:32" ht="19.5">
      <c r="A588" s="20"/>
      <c r="B588" s="20"/>
      <c r="C588" s="20"/>
      <c r="D588" s="20"/>
      <c r="E588" s="20"/>
      <c r="F588" s="20"/>
      <c r="G588" s="124"/>
      <c r="H588" s="20"/>
      <c r="I588" s="20"/>
      <c r="J588" s="20"/>
      <c r="K588" s="124"/>
      <c r="L588" s="127"/>
      <c r="M588" s="20"/>
      <c r="N588" s="20"/>
      <c r="O588" s="20"/>
      <c r="P588" s="124"/>
      <c r="Q588" s="127"/>
      <c r="R588" s="20"/>
      <c r="S588" s="20"/>
      <c r="T588" s="20"/>
      <c r="U588" s="124"/>
      <c r="V588" s="127"/>
      <c r="W588" s="20"/>
      <c r="X588" s="20"/>
      <c r="Y588" s="20"/>
      <c r="Z588" s="20"/>
      <c r="AA588" s="20"/>
      <c r="AB588" s="20"/>
      <c r="AC588" s="20"/>
      <c r="AD588" s="20"/>
      <c r="AE588" s="20"/>
      <c r="AF588" s="20"/>
    </row>
    <row r="589" spans="1:32" ht="19.5">
      <c r="A589" s="20"/>
      <c r="B589" s="20"/>
      <c r="C589" s="20"/>
      <c r="D589" s="20"/>
      <c r="E589" s="20"/>
      <c r="F589" s="20"/>
      <c r="G589" s="124"/>
      <c r="H589" s="20"/>
      <c r="I589" s="20"/>
      <c r="J589" s="20"/>
      <c r="K589" s="124"/>
      <c r="L589" s="127"/>
      <c r="M589" s="20"/>
      <c r="N589" s="20"/>
      <c r="O589" s="20"/>
      <c r="P589" s="124"/>
      <c r="Q589" s="127"/>
      <c r="R589" s="20"/>
      <c r="S589" s="20"/>
      <c r="T589" s="20"/>
      <c r="U589" s="124"/>
      <c r="V589" s="127"/>
      <c r="W589" s="20"/>
      <c r="X589" s="20"/>
      <c r="Y589" s="20"/>
      <c r="Z589" s="20"/>
      <c r="AA589" s="20"/>
      <c r="AB589" s="20"/>
      <c r="AC589" s="20"/>
      <c r="AD589" s="20"/>
      <c r="AE589" s="20"/>
      <c r="AF589" s="20"/>
    </row>
    <row r="590" spans="1:32" ht="19.5">
      <c r="A590" s="20"/>
      <c r="B590" s="20"/>
      <c r="C590" s="20"/>
      <c r="D590" s="20"/>
      <c r="E590" s="20"/>
      <c r="F590" s="20"/>
      <c r="G590" s="124"/>
      <c r="H590" s="20"/>
      <c r="I590" s="20"/>
      <c r="J590" s="20"/>
      <c r="K590" s="124"/>
      <c r="L590" s="127"/>
      <c r="M590" s="20"/>
      <c r="N590" s="20"/>
      <c r="O590" s="20"/>
      <c r="P590" s="124"/>
      <c r="Q590" s="127"/>
      <c r="R590" s="20"/>
      <c r="S590" s="20"/>
      <c r="T590" s="20"/>
      <c r="U590" s="124"/>
      <c r="V590" s="127"/>
      <c r="W590" s="20"/>
      <c r="X590" s="20"/>
      <c r="Y590" s="20"/>
      <c r="Z590" s="20"/>
      <c r="AA590" s="20"/>
      <c r="AB590" s="20"/>
      <c r="AC590" s="20"/>
      <c r="AD590" s="20"/>
      <c r="AE590" s="20"/>
      <c r="AF590" s="20"/>
    </row>
    <row r="591" spans="1:32" ht="19.5">
      <c r="A591" s="20"/>
      <c r="B591" s="20"/>
      <c r="C591" s="20"/>
      <c r="D591" s="20"/>
      <c r="E591" s="20"/>
      <c r="F591" s="20"/>
      <c r="G591" s="124"/>
      <c r="H591" s="20"/>
      <c r="I591" s="20"/>
      <c r="J591" s="20"/>
      <c r="K591" s="124"/>
      <c r="L591" s="127"/>
      <c r="M591" s="20"/>
      <c r="N591" s="20"/>
      <c r="O591" s="20"/>
      <c r="P591" s="124"/>
      <c r="Q591" s="127"/>
      <c r="R591" s="20"/>
      <c r="S591" s="20"/>
      <c r="T591" s="20"/>
      <c r="U591" s="124"/>
      <c r="V591" s="127"/>
      <c r="W591" s="20"/>
      <c r="X591" s="20"/>
      <c r="Y591" s="20"/>
      <c r="Z591" s="20"/>
      <c r="AA591" s="20"/>
      <c r="AB591" s="20"/>
      <c r="AC591" s="20"/>
      <c r="AD591" s="20"/>
      <c r="AE591" s="20"/>
      <c r="AF591" s="20"/>
    </row>
    <row r="592" spans="1:32" ht="19.5">
      <c r="A592" s="20"/>
      <c r="B592" s="20"/>
      <c r="C592" s="20"/>
      <c r="D592" s="20"/>
      <c r="E592" s="20"/>
      <c r="F592" s="20"/>
      <c r="G592" s="124"/>
      <c r="H592" s="20"/>
      <c r="I592" s="20"/>
      <c r="J592" s="20"/>
      <c r="K592" s="124"/>
      <c r="L592" s="127"/>
      <c r="M592" s="20"/>
      <c r="N592" s="20"/>
      <c r="O592" s="20"/>
      <c r="P592" s="124"/>
      <c r="Q592" s="127"/>
      <c r="R592" s="20"/>
      <c r="S592" s="20"/>
      <c r="T592" s="20"/>
      <c r="U592" s="124"/>
      <c r="V592" s="127"/>
      <c r="W592" s="20"/>
      <c r="X592" s="20"/>
      <c r="Y592" s="20"/>
      <c r="Z592" s="20"/>
      <c r="AA592" s="20"/>
      <c r="AB592" s="20"/>
      <c r="AC592" s="20"/>
      <c r="AD592" s="20"/>
      <c r="AE592" s="20"/>
      <c r="AF592" s="20"/>
    </row>
    <row r="593" spans="1:32" ht="19.5">
      <c r="A593" s="20"/>
      <c r="B593" s="20"/>
      <c r="C593" s="20"/>
      <c r="D593" s="20"/>
      <c r="E593" s="20"/>
      <c r="F593" s="20"/>
      <c r="G593" s="124"/>
      <c r="H593" s="20"/>
      <c r="I593" s="20"/>
      <c r="J593" s="20"/>
      <c r="K593" s="124"/>
      <c r="L593" s="127"/>
      <c r="M593" s="20"/>
      <c r="N593" s="20"/>
      <c r="O593" s="20"/>
      <c r="P593" s="124"/>
      <c r="Q593" s="127"/>
      <c r="R593" s="20"/>
      <c r="S593" s="20"/>
      <c r="T593" s="20"/>
      <c r="U593" s="124"/>
      <c r="V593" s="127"/>
      <c r="W593" s="20"/>
      <c r="X593" s="20"/>
      <c r="Y593" s="20"/>
      <c r="Z593" s="20"/>
      <c r="AA593" s="20"/>
      <c r="AB593" s="20"/>
      <c r="AC593" s="20"/>
      <c r="AD593" s="20"/>
      <c r="AE593" s="20"/>
      <c r="AF593" s="20"/>
    </row>
    <row r="594" spans="1:32" ht="19.5">
      <c r="A594" s="20"/>
      <c r="B594" s="20"/>
      <c r="C594" s="20"/>
      <c r="D594" s="20"/>
      <c r="E594" s="20"/>
      <c r="F594" s="20"/>
      <c r="G594" s="124"/>
      <c r="H594" s="20"/>
      <c r="I594" s="20"/>
      <c r="J594" s="20"/>
      <c r="K594" s="124"/>
      <c r="L594" s="127"/>
      <c r="M594" s="20"/>
      <c r="N594" s="20"/>
      <c r="O594" s="20"/>
      <c r="P594" s="124"/>
      <c r="Q594" s="127"/>
      <c r="R594" s="20"/>
      <c r="S594" s="20"/>
      <c r="T594" s="20"/>
      <c r="U594" s="124"/>
      <c r="V594" s="127"/>
      <c r="W594" s="20"/>
      <c r="X594" s="20"/>
      <c r="Y594" s="20"/>
      <c r="Z594" s="20"/>
      <c r="AA594" s="20"/>
      <c r="AB594" s="20"/>
      <c r="AC594" s="20"/>
      <c r="AD594" s="20"/>
      <c r="AE594" s="20"/>
      <c r="AF594" s="20"/>
    </row>
    <row r="595" spans="1:32" ht="19.5">
      <c r="A595" s="20"/>
      <c r="B595" s="20"/>
      <c r="C595" s="20"/>
      <c r="D595" s="20"/>
      <c r="E595" s="20"/>
      <c r="F595" s="20"/>
      <c r="G595" s="124"/>
      <c r="H595" s="20"/>
      <c r="I595" s="20"/>
      <c r="J595" s="20"/>
      <c r="K595" s="124"/>
      <c r="L595" s="127"/>
      <c r="M595" s="20"/>
      <c r="N595" s="20"/>
      <c r="O595" s="20"/>
      <c r="P595" s="124"/>
      <c r="Q595" s="127"/>
      <c r="R595" s="20"/>
      <c r="S595" s="20"/>
      <c r="T595" s="20"/>
      <c r="U595" s="124"/>
      <c r="V595" s="127"/>
      <c r="W595" s="20"/>
      <c r="X595" s="20"/>
      <c r="Y595" s="20"/>
      <c r="Z595" s="20"/>
      <c r="AA595" s="20"/>
      <c r="AB595" s="20"/>
      <c r="AC595" s="20"/>
      <c r="AD595" s="20"/>
      <c r="AE595" s="20"/>
      <c r="AF595" s="20"/>
    </row>
    <row r="596" spans="1:32" ht="19.5">
      <c r="A596" s="20"/>
      <c r="B596" s="20"/>
      <c r="C596" s="20"/>
      <c r="D596" s="20"/>
      <c r="E596" s="20"/>
      <c r="F596" s="20"/>
      <c r="G596" s="124"/>
      <c r="H596" s="20"/>
      <c r="I596" s="20"/>
      <c r="J596" s="20"/>
      <c r="K596" s="124"/>
      <c r="L596" s="127"/>
      <c r="M596" s="20"/>
      <c r="N596" s="20"/>
      <c r="O596" s="20"/>
      <c r="P596" s="124"/>
      <c r="Q596" s="127"/>
      <c r="R596" s="20"/>
      <c r="S596" s="20"/>
      <c r="T596" s="20"/>
      <c r="U596" s="124"/>
      <c r="V596" s="127"/>
      <c r="W596" s="20"/>
      <c r="X596" s="20"/>
      <c r="Y596" s="20"/>
      <c r="Z596" s="20"/>
      <c r="AA596" s="20"/>
      <c r="AB596" s="20"/>
      <c r="AC596" s="20"/>
      <c r="AD596" s="20"/>
      <c r="AE596" s="20"/>
      <c r="AF596" s="20"/>
    </row>
    <row r="597" spans="1:32" ht="19.5">
      <c r="A597" s="20"/>
      <c r="B597" s="20"/>
      <c r="C597" s="20"/>
      <c r="D597" s="20"/>
      <c r="E597" s="20"/>
      <c r="F597" s="20"/>
      <c r="G597" s="124"/>
      <c r="H597" s="20"/>
      <c r="I597" s="20"/>
      <c r="J597" s="20"/>
      <c r="K597" s="124"/>
      <c r="L597" s="127"/>
      <c r="M597" s="20"/>
      <c r="N597" s="20"/>
      <c r="O597" s="20"/>
      <c r="P597" s="124"/>
      <c r="Q597" s="127"/>
      <c r="R597" s="20"/>
      <c r="S597" s="20"/>
      <c r="T597" s="20"/>
      <c r="U597" s="124"/>
      <c r="V597" s="127"/>
      <c r="W597" s="20"/>
      <c r="X597" s="20"/>
      <c r="Y597" s="20"/>
      <c r="Z597" s="20"/>
      <c r="AA597" s="20"/>
      <c r="AB597" s="20"/>
      <c r="AC597" s="20"/>
      <c r="AD597" s="20"/>
      <c r="AE597" s="20"/>
      <c r="AF597" s="20"/>
    </row>
    <row r="598" spans="1:32" ht="19.5">
      <c r="A598" s="20"/>
      <c r="B598" s="20"/>
      <c r="C598" s="20"/>
      <c r="D598" s="20"/>
      <c r="E598" s="20"/>
      <c r="F598" s="20"/>
      <c r="G598" s="124"/>
      <c r="H598" s="20"/>
      <c r="I598" s="20"/>
      <c r="J598" s="20"/>
      <c r="K598" s="124"/>
      <c r="L598" s="127"/>
      <c r="M598" s="20"/>
      <c r="N598" s="20"/>
      <c r="O598" s="20"/>
      <c r="P598" s="124"/>
      <c r="Q598" s="127"/>
      <c r="R598" s="20"/>
      <c r="S598" s="20"/>
      <c r="T598" s="20"/>
      <c r="U598" s="124"/>
      <c r="V598" s="127"/>
      <c r="W598" s="20"/>
      <c r="X598" s="20"/>
      <c r="Y598" s="20"/>
      <c r="Z598" s="20"/>
      <c r="AA598" s="20"/>
      <c r="AB598" s="20"/>
      <c r="AC598" s="20"/>
      <c r="AD598" s="20"/>
      <c r="AE598" s="20"/>
      <c r="AF598" s="20"/>
    </row>
    <row r="599" spans="1:32" ht="19.5">
      <c r="A599" s="20"/>
      <c r="B599" s="20"/>
      <c r="C599" s="20"/>
      <c r="D599" s="20"/>
      <c r="E599" s="20"/>
      <c r="F599" s="20"/>
      <c r="G599" s="124"/>
      <c r="H599" s="20"/>
      <c r="I599" s="20"/>
      <c r="J599" s="20"/>
      <c r="K599" s="124"/>
      <c r="L599" s="127"/>
      <c r="M599" s="20"/>
      <c r="N599" s="20"/>
      <c r="O599" s="20"/>
      <c r="P599" s="124"/>
      <c r="Q599" s="127"/>
      <c r="R599" s="20"/>
      <c r="S599" s="20"/>
      <c r="T599" s="20"/>
      <c r="U599" s="124"/>
      <c r="V599" s="127"/>
      <c r="W599" s="20"/>
      <c r="X599" s="20"/>
      <c r="Y599" s="20"/>
      <c r="Z599" s="20"/>
      <c r="AA599" s="20"/>
      <c r="AB599" s="20"/>
      <c r="AC599" s="20"/>
      <c r="AD599" s="20"/>
      <c r="AE599" s="20"/>
      <c r="AF599" s="20"/>
    </row>
    <row r="600" spans="1:32" ht="19.5">
      <c r="A600" s="20"/>
      <c r="B600" s="20"/>
      <c r="C600" s="20"/>
      <c r="D600" s="20"/>
      <c r="E600" s="20"/>
      <c r="F600" s="20"/>
      <c r="G600" s="124"/>
      <c r="H600" s="20"/>
      <c r="I600" s="20"/>
      <c r="J600" s="20"/>
      <c r="K600" s="124"/>
      <c r="L600" s="127"/>
      <c r="M600" s="20"/>
      <c r="N600" s="20"/>
      <c r="O600" s="20"/>
      <c r="P600" s="124"/>
      <c r="Q600" s="127"/>
      <c r="R600" s="20"/>
      <c r="S600" s="20"/>
      <c r="T600" s="20"/>
      <c r="U600" s="124"/>
      <c r="V600" s="127"/>
      <c r="W600" s="20"/>
      <c r="X600" s="20"/>
      <c r="Y600" s="20"/>
      <c r="Z600" s="20"/>
      <c r="AA600" s="20"/>
      <c r="AB600" s="20"/>
      <c r="AC600" s="20"/>
      <c r="AD600" s="20"/>
      <c r="AE600" s="20"/>
      <c r="AF600" s="20"/>
    </row>
    <row r="601" spans="1:32" ht="19.5">
      <c r="A601" s="20"/>
      <c r="B601" s="20"/>
      <c r="C601" s="20"/>
      <c r="D601" s="20"/>
      <c r="E601" s="20"/>
      <c r="F601" s="20"/>
      <c r="G601" s="124"/>
      <c r="H601" s="20"/>
      <c r="I601" s="20"/>
      <c r="J601" s="20"/>
      <c r="K601" s="124"/>
      <c r="L601" s="127"/>
      <c r="M601" s="20"/>
      <c r="N601" s="20"/>
      <c r="O601" s="20"/>
      <c r="P601" s="124"/>
      <c r="Q601" s="127"/>
      <c r="R601" s="20"/>
      <c r="S601" s="20"/>
      <c r="T601" s="20"/>
      <c r="U601" s="124"/>
      <c r="V601" s="127"/>
      <c r="W601" s="20"/>
      <c r="X601" s="20"/>
      <c r="Y601" s="20"/>
      <c r="Z601" s="20"/>
      <c r="AA601" s="20"/>
      <c r="AB601" s="20"/>
      <c r="AC601" s="20"/>
      <c r="AD601" s="20"/>
      <c r="AE601" s="20"/>
      <c r="AF601" s="20"/>
    </row>
    <row r="602" spans="1:32" ht="19.5">
      <c r="A602" s="20"/>
      <c r="B602" s="20"/>
      <c r="C602" s="20"/>
      <c r="D602" s="20"/>
      <c r="E602" s="20"/>
      <c r="F602" s="20"/>
      <c r="G602" s="124"/>
      <c r="H602" s="20"/>
      <c r="I602" s="20"/>
      <c r="J602" s="20"/>
      <c r="K602" s="124"/>
      <c r="L602" s="127"/>
      <c r="M602" s="20"/>
      <c r="N602" s="20"/>
      <c r="O602" s="20"/>
      <c r="P602" s="124"/>
      <c r="Q602" s="127"/>
      <c r="R602" s="20"/>
      <c r="S602" s="20"/>
      <c r="T602" s="20"/>
      <c r="U602" s="124"/>
      <c r="V602" s="127"/>
      <c r="W602" s="20"/>
      <c r="X602" s="20"/>
      <c r="Y602" s="20"/>
      <c r="Z602" s="20"/>
      <c r="AA602" s="20"/>
      <c r="AB602" s="20"/>
      <c r="AC602" s="20"/>
      <c r="AD602" s="20"/>
      <c r="AE602" s="20"/>
      <c r="AF602" s="20"/>
    </row>
    <row r="603" spans="1:32" ht="19.5">
      <c r="A603" s="20"/>
      <c r="B603" s="20"/>
      <c r="C603" s="20"/>
      <c r="D603" s="20"/>
      <c r="E603" s="20"/>
      <c r="F603" s="20"/>
      <c r="G603" s="124"/>
      <c r="H603" s="20"/>
      <c r="I603" s="20"/>
      <c r="J603" s="20"/>
      <c r="K603" s="124"/>
      <c r="L603" s="127"/>
      <c r="M603" s="20"/>
      <c r="N603" s="20"/>
      <c r="O603" s="20"/>
      <c r="P603" s="124"/>
      <c r="Q603" s="127"/>
      <c r="R603" s="20"/>
      <c r="S603" s="20"/>
      <c r="T603" s="20"/>
      <c r="U603" s="124"/>
      <c r="V603" s="127"/>
      <c r="W603" s="20"/>
      <c r="X603" s="20"/>
      <c r="Y603" s="20"/>
      <c r="Z603" s="20"/>
      <c r="AA603" s="20"/>
      <c r="AB603" s="20"/>
      <c r="AC603" s="20"/>
      <c r="AD603" s="20"/>
      <c r="AE603" s="20"/>
      <c r="AF603" s="20"/>
    </row>
    <row r="604" spans="1:32" ht="19.5">
      <c r="A604" s="20"/>
      <c r="B604" s="20"/>
      <c r="C604" s="20"/>
      <c r="D604" s="20"/>
      <c r="E604" s="20"/>
      <c r="F604" s="20"/>
      <c r="G604" s="124"/>
      <c r="H604" s="20"/>
      <c r="I604" s="20"/>
      <c r="J604" s="20"/>
      <c r="K604" s="124"/>
      <c r="L604" s="127"/>
      <c r="M604" s="20"/>
      <c r="N604" s="20"/>
      <c r="O604" s="20"/>
      <c r="P604" s="124"/>
      <c r="Q604" s="127"/>
      <c r="R604" s="20"/>
      <c r="S604" s="20"/>
      <c r="T604" s="20"/>
      <c r="U604" s="124"/>
      <c r="V604" s="127"/>
      <c r="W604" s="20"/>
      <c r="X604" s="20"/>
      <c r="Y604" s="20"/>
      <c r="Z604" s="20"/>
      <c r="AA604" s="20"/>
      <c r="AB604" s="20"/>
      <c r="AC604" s="20"/>
      <c r="AD604" s="20"/>
      <c r="AE604" s="20"/>
      <c r="AF604" s="20"/>
    </row>
    <row r="605" spans="1:32" ht="19.5">
      <c r="A605" s="20"/>
      <c r="B605" s="20"/>
      <c r="C605" s="20"/>
      <c r="D605" s="20"/>
      <c r="E605" s="20"/>
      <c r="F605" s="20"/>
      <c r="G605" s="124"/>
      <c r="H605" s="20"/>
      <c r="I605" s="20"/>
      <c r="J605" s="20"/>
      <c r="K605" s="124"/>
      <c r="L605" s="127"/>
      <c r="M605" s="20"/>
      <c r="N605" s="20"/>
      <c r="O605" s="20"/>
      <c r="P605" s="124"/>
      <c r="Q605" s="127"/>
      <c r="R605" s="20"/>
      <c r="S605" s="20"/>
      <c r="T605" s="20"/>
      <c r="U605" s="124"/>
      <c r="V605" s="127"/>
      <c r="W605" s="20"/>
      <c r="X605" s="20"/>
      <c r="Y605" s="20"/>
      <c r="Z605" s="20"/>
      <c r="AA605" s="20"/>
      <c r="AB605" s="20"/>
      <c r="AC605" s="20"/>
      <c r="AD605" s="20"/>
      <c r="AE605" s="20"/>
      <c r="AF605" s="20"/>
    </row>
    <row r="606" spans="1:32" ht="19.5">
      <c r="A606" s="20"/>
      <c r="B606" s="20"/>
      <c r="C606" s="20"/>
      <c r="D606" s="20"/>
      <c r="E606" s="20"/>
      <c r="F606" s="20"/>
      <c r="G606" s="124"/>
      <c r="H606" s="20"/>
      <c r="I606" s="20"/>
      <c r="J606" s="20"/>
      <c r="K606" s="124"/>
      <c r="L606" s="127"/>
      <c r="M606" s="20"/>
      <c r="N606" s="20"/>
      <c r="O606" s="20"/>
      <c r="P606" s="124"/>
      <c r="Q606" s="127"/>
      <c r="R606" s="20"/>
      <c r="S606" s="20"/>
      <c r="T606" s="20"/>
      <c r="U606" s="124"/>
      <c r="V606" s="127"/>
      <c r="W606" s="20"/>
      <c r="X606" s="20"/>
      <c r="Y606" s="20"/>
      <c r="Z606" s="20"/>
      <c r="AA606" s="20"/>
      <c r="AB606" s="20"/>
      <c r="AC606" s="20"/>
      <c r="AD606" s="20"/>
      <c r="AE606" s="20"/>
      <c r="AF606" s="20"/>
    </row>
    <row r="607" spans="1:32" ht="19.5">
      <c r="A607" s="20"/>
      <c r="B607" s="20"/>
      <c r="C607" s="20"/>
      <c r="D607" s="20"/>
      <c r="E607" s="20"/>
      <c r="F607" s="20"/>
      <c r="G607" s="124"/>
      <c r="H607" s="20"/>
      <c r="I607" s="20"/>
      <c r="J607" s="20"/>
      <c r="K607" s="124"/>
      <c r="L607" s="127"/>
      <c r="M607" s="20"/>
      <c r="N607" s="20"/>
      <c r="O607" s="20"/>
      <c r="P607" s="124"/>
      <c r="Q607" s="127"/>
      <c r="R607" s="20"/>
      <c r="S607" s="20"/>
      <c r="T607" s="20"/>
      <c r="U607" s="124"/>
      <c r="V607" s="127"/>
      <c r="W607" s="20"/>
      <c r="X607" s="20"/>
      <c r="Y607" s="20"/>
      <c r="Z607" s="20"/>
      <c r="AA607" s="20"/>
      <c r="AB607" s="20"/>
      <c r="AC607" s="20"/>
      <c r="AD607" s="20"/>
      <c r="AE607" s="20"/>
      <c r="AF607" s="20"/>
    </row>
    <row r="608" spans="1:32" ht="19.5">
      <c r="A608" s="20"/>
      <c r="B608" s="20"/>
      <c r="C608" s="20"/>
      <c r="D608" s="20"/>
      <c r="E608" s="20"/>
      <c r="F608" s="20"/>
      <c r="G608" s="124"/>
      <c r="H608" s="20"/>
      <c r="I608" s="20"/>
      <c r="J608" s="20"/>
      <c r="K608" s="124"/>
      <c r="L608" s="127"/>
      <c r="M608" s="20"/>
      <c r="N608" s="20"/>
      <c r="O608" s="20"/>
      <c r="P608" s="124"/>
      <c r="Q608" s="127"/>
      <c r="R608" s="20"/>
      <c r="S608" s="20"/>
      <c r="T608" s="20"/>
      <c r="U608" s="124"/>
      <c r="V608" s="127"/>
      <c r="W608" s="20"/>
      <c r="X608" s="20"/>
      <c r="Y608" s="20"/>
      <c r="Z608" s="20"/>
      <c r="AA608" s="20"/>
      <c r="AB608" s="20"/>
      <c r="AC608" s="20"/>
      <c r="AD608" s="20"/>
      <c r="AE608" s="20"/>
      <c r="AF608" s="20"/>
    </row>
    <row r="609" spans="1:32" ht="19.5">
      <c r="A609" s="20"/>
      <c r="B609" s="20"/>
      <c r="C609" s="20"/>
      <c r="D609" s="20"/>
      <c r="E609" s="20"/>
      <c r="F609" s="20"/>
      <c r="G609" s="124"/>
      <c r="H609" s="20"/>
      <c r="I609" s="20"/>
      <c r="J609" s="20"/>
      <c r="K609" s="124"/>
      <c r="L609" s="127"/>
      <c r="M609" s="20"/>
      <c r="N609" s="20"/>
      <c r="O609" s="20"/>
      <c r="P609" s="124"/>
      <c r="Q609" s="127"/>
      <c r="R609" s="20"/>
      <c r="S609" s="20"/>
      <c r="T609" s="20"/>
      <c r="U609" s="124"/>
      <c r="V609" s="127"/>
      <c r="W609" s="20"/>
      <c r="X609" s="20"/>
      <c r="Y609" s="20"/>
      <c r="Z609" s="20"/>
      <c r="AA609" s="20"/>
      <c r="AB609" s="20"/>
      <c r="AC609" s="20"/>
      <c r="AD609" s="20"/>
      <c r="AE609" s="20"/>
      <c r="AF609" s="20"/>
    </row>
    <row r="610" spans="1:32" ht="19.5">
      <c r="A610" s="20"/>
      <c r="B610" s="20"/>
      <c r="C610" s="20"/>
      <c r="D610" s="20"/>
      <c r="E610" s="20"/>
      <c r="F610" s="20"/>
      <c r="G610" s="124"/>
      <c r="H610" s="20"/>
      <c r="I610" s="20"/>
      <c r="J610" s="20"/>
      <c r="K610" s="124"/>
      <c r="L610" s="127"/>
      <c r="M610" s="20"/>
      <c r="N610" s="20"/>
      <c r="O610" s="20"/>
      <c r="P610" s="124"/>
      <c r="Q610" s="127"/>
      <c r="R610" s="20"/>
      <c r="S610" s="20"/>
      <c r="T610" s="20"/>
      <c r="U610" s="124"/>
      <c r="V610" s="127"/>
      <c r="W610" s="20"/>
      <c r="X610" s="20"/>
      <c r="Y610" s="20"/>
      <c r="Z610" s="20"/>
      <c r="AA610" s="20"/>
      <c r="AB610" s="20"/>
      <c r="AC610" s="20"/>
      <c r="AD610" s="20"/>
      <c r="AE610" s="20"/>
      <c r="AF610" s="20"/>
    </row>
    <row r="611" spans="1:32" ht="19.5">
      <c r="A611" s="20"/>
      <c r="B611" s="20"/>
      <c r="C611" s="20"/>
      <c r="D611" s="20"/>
      <c r="E611" s="20"/>
      <c r="F611" s="20"/>
      <c r="G611" s="124"/>
      <c r="H611" s="20"/>
      <c r="I611" s="20"/>
      <c r="J611" s="20"/>
      <c r="K611" s="124"/>
      <c r="L611" s="127"/>
      <c r="M611" s="20"/>
      <c r="N611" s="20"/>
      <c r="O611" s="20"/>
      <c r="P611" s="124"/>
      <c r="Q611" s="127"/>
      <c r="R611" s="20"/>
      <c r="S611" s="20"/>
      <c r="T611" s="20"/>
      <c r="U611" s="124"/>
      <c r="V611" s="127"/>
      <c r="W611" s="20"/>
      <c r="X611" s="20"/>
      <c r="Y611" s="20"/>
      <c r="Z611" s="20"/>
      <c r="AA611" s="20"/>
      <c r="AB611" s="20"/>
      <c r="AC611" s="20"/>
      <c r="AD611" s="20"/>
      <c r="AE611" s="20"/>
      <c r="AF611" s="20"/>
    </row>
    <row r="612" spans="1:32" ht="19.5">
      <c r="A612" s="20"/>
      <c r="B612" s="20"/>
      <c r="C612" s="20"/>
      <c r="D612" s="20"/>
      <c r="E612" s="20"/>
      <c r="F612" s="20"/>
      <c r="G612" s="124"/>
      <c r="H612" s="20"/>
      <c r="I612" s="20"/>
      <c r="J612" s="20"/>
      <c r="K612" s="124"/>
      <c r="L612" s="127"/>
      <c r="M612" s="20"/>
      <c r="N612" s="20"/>
      <c r="O612" s="20"/>
      <c r="P612" s="124"/>
      <c r="Q612" s="127"/>
      <c r="R612" s="20"/>
      <c r="S612" s="20"/>
      <c r="T612" s="20"/>
      <c r="U612" s="124"/>
      <c r="V612" s="127"/>
      <c r="W612" s="20"/>
      <c r="X612" s="20"/>
      <c r="Y612" s="20"/>
      <c r="Z612" s="20"/>
      <c r="AA612" s="20"/>
      <c r="AB612" s="20"/>
      <c r="AC612" s="20"/>
      <c r="AD612" s="20"/>
      <c r="AE612" s="20"/>
      <c r="AF612" s="20"/>
    </row>
    <row r="613" spans="1:32" ht="19.5">
      <c r="A613" s="20"/>
      <c r="B613" s="20"/>
      <c r="C613" s="20"/>
      <c r="D613" s="20"/>
      <c r="E613" s="20"/>
      <c r="F613" s="20"/>
      <c r="G613" s="124"/>
      <c r="H613" s="20"/>
      <c r="I613" s="20"/>
      <c r="J613" s="20"/>
      <c r="K613" s="124"/>
      <c r="L613" s="127"/>
      <c r="M613" s="20"/>
      <c r="N613" s="20"/>
      <c r="O613" s="20"/>
      <c r="P613" s="124"/>
      <c r="Q613" s="127"/>
      <c r="R613" s="20"/>
      <c r="S613" s="20"/>
      <c r="T613" s="20"/>
      <c r="U613" s="124"/>
      <c r="V613" s="127"/>
      <c r="W613" s="20"/>
      <c r="X613" s="20"/>
      <c r="Y613" s="20"/>
      <c r="Z613" s="20"/>
      <c r="AA613" s="20"/>
      <c r="AB613" s="20"/>
      <c r="AC613" s="20"/>
      <c r="AD613" s="20"/>
      <c r="AE613" s="20"/>
      <c r="AF613" s="20"/>
    </row>
    <row r="614" spans="1:32" ht="19.5">
      <c r="A614" s="20"/>
      <c r="B614" s="20"/>
      <c r="C614" s="20"/>
      <c r="D614" s="20"/>
      <c r="E614" s="20"/>
      <c r="F614" s="20"/>
      <c r="G614" s="124"/>
      <c r="H614" s="20"/>
      <c r="I614" s="20"/>
      <c r="J614" s="20"/>
      <c r="K614" s="124"/>
      <c r="L614" s="127"/>
      <c r="M614" s="20"/>
      <c r="N614" s="20"/>
      <c r="O614" s="20"/>
      <c r="P614" s="124"/>
      <c r="Q614" s="127"/>
      <c r="R614" s="20"/>
      <c r="S614" s="20"/>
      <c r="T614" s="20"/>
      <c r="U614" s="124"/>
      <c r="V614" s="127"/>
      <c r="W614" s="20"/>
      <c r="X614" s="20"/>
      <c r="Y614" s="20"/>
      <c r="Z614" s="20"/>
      <c r="AA614" s="20"/>
      <c r="AB614" s="20"/>
      <c r="AC614" s="20"/>
      <c r="AD614" s="20"/>
      <c r="AE614" s="20"/>
      <c r="AF614" s="20"/>
    </row>
    <row r="615" spans="1:32" ht="19.5">
      <c r="A615" s="20"/>
      <c r="B615" s="20"/>
      <c r="C615" s="20"/>
      <c r="D615" s="20"/>
      <c r="E615" s="20"/>
      <c r="F615" s="20"/>
      <c r="G615" s="124"/>
      <c r="H615" s="20"/>
      <c r="I615" s="20"/>
      <c r="J615" s="20"/>
      <c r="K615" s="124"/>
      <c r="L615" s="127"/>
      <c r="M615" s="20"/>
      <c r="N615" s="20"/>
      <c r="O615" s="20"/>
      <c r="P615" s="124"/>
      <c r="Q615" s="127"/>
      <c r="R615" s="20"/>
      <c r="S615" s="20"/>
      <c r="T615" s="20"/>
      <c r="U615" s="124"/>
      <c r="V615" s="127"/>
      <c r="W615" s="20"/>
      <c r="X615" s="20"/>
      <c r="Y615" s="20"/>
      <c r="Z615" s="20"/>
      <c r="AA615" s="20"/>
      <c r="AB615" s="20"/>
      <c r="AC615" s="20"/>
      <c r="AD615" s="20"/>
      <c r="AE615" s="20"/>
      <c r="AF615" s="20"/>
    </row>
    <row r="616" spans="1:32" ht="19.5">
      <c r="A616" s="20"/>
      <c r="B616" s="20"/>
      <c r="C616" s="20"/>
      <c r="D616" s="20"/>
      <c r="E616" s="20"/>
      <c r="F616" s="20"/>
      <c r="G616" s="124"/>
      <c r="H616" s="20"/>
      <c r="I616" s="20"/>
      <c r="J616" s="20"/>
      <c r="K616" s="124"/>
      <c r="L616" s="127"/>
      <c r="M616" s="20"/>
      <c r="N616" s="20"/>
      <c r="O616" s="20"/>
      <c r="P616" s="124"/>
      <c r="Q616" s="127"/>
      <c r="R616" s="20"/>
      <c r="S616" s="20"/>
      <c r="T616" s="20"/>
      <c r="U616" s="124"/>
      <c r="V616" s="127"/>
      <c r="W616" s="20"/>
      <c r="X616" s="20"/>
      <c r="Y616" s="20"/>
      <c r="Z616" s="20"/>
      <c r="AA616" s="20"/>
      <c r="AB616" s="20"/>
      <c r="AC616" s="20"/>
      <c r="AD616" s="20"/>
      <c r="AE616" s="20"/>
      <c r="AF616" s="20"/>
    </row>
    <row r="617" spans="1:32" ht="19.5">
      <c r="A617" s="20"/>
      <c r="B617" s="20"/>
      <c r="C617" s="20"/>
      <c r="D617" s="20"/>
      <c r="E617" s="20"/>
      <c r="F617" s="20"/>
      <c r="G617" s="124"/>
      <c r="H617" s="20"/>
      <c r="I617" s="20"/>
      <c r="J617" s="20"/>
      <c r="K617" s="124"/>
      <c r="L617" s="127"/>
      <c r="M617" s="20"/>
      <c r="N617" s="20"/>
      <c r="O617" s="20"/>
      <c r="P617" s="124"/>
      <c r="Q617" s="127"/>
      <c r="R617" s="20"/>
      <c r="S617" s="20"/>
      <c r="T617" s="20"/>
      <c r="U617" s="124"/>
      <c r="V617" s="127"/>
      <c r="W617" s="20"/>
      <c r="X617" s="20"/>
      <c r="Y617" s="20"/>
      <c r="Z617" s="20"/>
      <c r="AA617" s="20"/>
      <c r="AB617" s="20"/>
      <c r="AC617" s="20"/>
      <c r="AD617" s="20"/>
      <c r="AE617" s="20"/>
      <c r="AF617" s="20"/>
    </row>
    <row r="618" spans="1:32" ht="19.5">
      <c r="A618" s="20"/>
      <c r="B618" s="20"/>
      <c r="C618" s="20"/>
      <c r="D618" s="20"/>
      <c r="E618" s="20"/>
      <c r="F618" s="20"/>
      <c r="G618" s="124"/>
      <c r="H618" s="20"/>
      <c r="I618" s="20"/>
      <c r="J618" s="20"/>
      <c r="K618" s="124"/>
      <c r="L618" s="127"/>
      <c r="M618" s="20"/>
      <c r="N618" s="20"/>
      <c r="O618" s="20"/>
      <c r="P618" s="124"/>
      <c r="Q618" s="127"/>
      <c r="R618" s="20"/>
      <c r="S618" s="20"/>
      <c r="T618" s="20"/>
      <c r="U618" s="124"/>
      <c r="V618" s="127"/>
      <c r="W618" s="20"/>
      <c r="X618" s="20"/>
      <c r="Y618" s="20"/>
      <c r="Z618" s="20"/>
      <c r="AA618" s="20"/>
      <c r="AB618" s="20"/>
      <c r="AC618" s="20"/>
      <c r="AD618" s="20"/>
      <c r="AE618" s="20"/>
      <c r="AF618" s="20"/>
    </row>
    <row r="619" spans="1:32" ht="19.5">
      <c r="A619" s="20"/>
      <c r="B619" s="20"/>
      <c r="C619" s="20"/>
      <c r="D619" s="20"/>
      <c r="E619" s="20"/>
      <c r="F619" s="20"/>
      <c r="G619" s="124"/>
      <c r="H619" s="20"/>
      <c r="I619" s="20"/>
      <c r="J619" s="20"/>
      <c r="K619" s="124"/>
      <c r="L619" s="127"/>
      <c r="M619" s="20"/>
      <c r="N619" s="20"/>
      <c r="O619" s="20"/>
      <c r="P619" s="124"/>
      <c r="Q619" s="127"/>
      <c r="R619" s="20"/>
      <c r="S619" s="20"/>
      <c r="T619" s="20"/>
      <c r="U619" s="124"/>
      <c r="V619" s="127"/>
      <c r="W619" s="20"/>
      <c r="X619" s="20"/>
      <c r="Y619" s="20"/>
      <c r="Z619" s="20"/>
      <c r="AA619" s="20"/>
      <c r="AB619" s="20"/>
      <c r="AC619" s="20"/>
      <c r="AD619" s="20"/>
      <c r="AE619" s="20"/>
      <c r="AF619" s="20"/>
    </row>
    <row r="620" spans="1:32" ht="19.5">
      <c r="A620" s="20"/>
      <c r="B620" s="20"/>
      <c r="C620" s="20"/>
      <c r="D620" s="20"/>
      <c r="E620" s="20"/>
      <c r="F620" s="20"/>
      <c r="G620" s="124"/>
      <c r="H620" s="20"/>
      <c r="I620" s="20"/>
      <c r="J620" s="20"/>
      <c r="K620" s="124"/>
      <c r="L620" s="127"/>
      <c r="M620" s="20"/>
      <c r="N620" s="20"/>
      <c r="O620" s="20"/>
      <c r="P620" s="124"/>
      <c r="Q620" s="127"/>
      <c r="R620" s="20"/>
      <c r="S620" s="20"/>
      <c r="T620" s="20"/>
      <c r="U620" s="124"/>
      <c r="V620" s="127"/>
      <c r="W620" s="20"/>
      <c r="X620" s="20"/>
      <c r="Y620" s="20"/>
      <c r="Z620" s="20"/>
      <c r="AA620" s="20"/>
      <c r="AB620" s="20"/>
      <c r="AC620" s="20"/>
      <c r="AD620" s="20"/>
      <c r="AE620" s="20"/>
      <c r="AF620" s="20"/>
    </row>
    <row r="621" spans="1:32" ht="19.5">
      <c r="A621" s="20"/>
      <c r="B621" s="20"/>
      <c r="C621" s="20"/>
      <c r="D621" s="20"/>
      <c r="E621" s="20"/>
      <c r="F621" s="20"/>
      <c r="G621" s="124"/>
      <c r="H621" s="20"/>
      <c r="I621" s="20"/>
      <c r="J621" s="20"/>
      <c r="K621" s="124"/>
      <c r="L621" s="127"/>
      <c r="M621" s="20"/>
      <c r="N621" s="20"/>
      <c r="O621" s="20"/>
      <c r="P621" s="124"/>
      <c r="Q621" s="127"/>
      <c r="R621" s="20"/>
      <c r="S621" s="20"/>
      <c r="T621" s="20"/>
      <c r="U621" s="124"/>
      <c r="V621" s="127"/>
      <c r="W621" s="20"/>
      <c r="X621" s="20"/>
      <c r="Y621" s="20"/>
      <c r="Z621" s="20"/>
      <c r="AA621" s="20"/>
      <c r="AB621" s="20"/>
      <c r="AC621" s="20"/>
      <c r="AD621" s="20"/>
      <c r="AE621" s="20"/>
      <c r="AF621" s="20"/>
    </row>
    <row r="622" spans="1:32" ht="19.5">
      <c r="A622" s="20"/>
      <c r="B622" s="20"/>
      <c r="C622" s="20"/>
      <c r="D622" s="20"/>
      <c r="E622" s="20"/>
      <c r="F622" s="20"/>
      <c r="G622" s="124"/>
      <c r="H622" s="20"/>
      <c r="I622" s="20"/>
      <c r="J622" s="20"/>
      <c r="K622" s="124"/>
      <c r="L622" s="127"/>
      <c r="M622" s="20"/>
      <c r="N622" s="20"/>
      <c r="O622" s="20"/>
      <c r="P622" s="124"/>
      <c r="Q622" s="127"/>
      <c r="R622" s="20"/>
      <c r="S622" s="20"/>
      <c r="T622" s="20"/>
      <c r="U622" s="124"/>
      <c r="V622" s="127"/>
      <c r="W622" s="20"/>
      <c r="X622" s="20"/>
      <c r="Y622" s="20"/>
      <c r="Z622" s="20"/>
      <c r="AA622" s="20"/>
      <c r="AB622" s="20"/>
      <c r="AC622" s="20"/>
      <c r="AD622" s="20"/>
      <c r="AE622" s="20"/>
      <c r="AF622" s="20"/>
    </row>
    <row r="623" spans="1:32" ht="19.5">
      <c r="A623" s="20"/>
      <c r="B623" s="20"/>
      <c r="C623" s="20"/>
      <c r="D623" s="20"/>
      <c r="E623" s="20"/>
      <c r="F623" s="20"/>
      <c r="G623" s="124"/>
      <c r="H623" s="20"/>
      <c r="I623" s="20"/>
      <c r="J623" s="20"/>
      <c r="K623" s="124"/>
      <c r="L623" s="127"/>
      <c r="M623" s="20"/>
      <c r="N623" s="20"/>
      <c r="O623" s="20"/>
      <c r="P623" s="124"/>
      <c r="Q623" s="127"/>
      <c r="R623" s="20"/>
      <c r="S623" s="20"/>
      <c r="T623" s="20"/>
      <c r="U623" s="124"/>
      <c r="V623" s="127"/>
      <c r="W623" s="20"/>
      <c r="X623" s="20"/>
      <c r="Y623" s="20"/>
      <c r="Z623" s="20"/>
      <c r="AA623" s="20"/>
      <c r="AB623" s="20"/>
      <c r="AC623" s="20"/>
      <c r="AD623" s="20"/>
      <c r="AE623" s="20"/>
      <c r="AF623" s="20"/>
    </row>
    <row r="624" spans="1:32" ht="19.5">
      <c r="A624" s="20"/>
      <c r="B624" s="20"/>
      <c r="C624" s="20"/>
      <c r="D624" s="20"/>
      <c r="E624" s="20"/>
      <c r="F624" s="20"/>
      <c r="G624" s="124"/>
      <c r="H624" s="20"/>
      <c r="I624" s="20"/>
      <c r="J624" s="20"/>
      <c r="K624" s="124"/>
      <c r="L624" s="127"/>
      <c r="M624" s="20"/>
      <c r="N624" s="20"/>
      <c r="O624" s="20"/>
      <c r="P624" s="124"/>
      <c r="Q624" s="127"/>
      <c r="R624" s="20"/>
      <c r="S624" s="20"/>
      <c r="T624" s="20"/>
      <c r="U624" s="124"/>
      <c r="V624" s="127"/>
      <c r="W624" s="20"/>
      <c r="X624" s="20"/>
      <c r="Y624" s="20"/>
      <c r="Z624" s="20"/>
      <c r="AA624" s="20"/>
      <c r="AB624" s="20"/>
      <c r="AC624" s="20"/>
      <c r="AD624" s="20"/>
      <c r="AE624" s="20"/>
      <c r="AF624" s="20"/>
    </row>
    <row r="625" spans="1:32" ht="19.5">
      <c r="A625" s="20"/>
      <c r="B625" s="20"/>
      <c r="C625" s="20"/>
      <c r="D625" s="20"/>
      <c r="E625" s="20"/>
      <c r="F625" s="20"/>
      <c r="G625" s="124"/>
      <c r="H625" s="20"/>
      <c r="I625" s="20"/>
      <c r="J625" s="20"/>
      <c r="K625" s="124"/>
      <c r="L625" s="127"/>
      <c r="M625" s="20"/>
      <c r="N625" s="20"/>
      <c r="O625" s="20"/>
      <c r="P625" s="124"/>
      <c r="Q625" s="127"/>
      <c r="R625" s="20"/>
      <c r="S625" s="20"/>
      <c r="T625" s="20"/>
      <c r="U625" s="124"/>
      <c r="V625" s="127"/>
      <c r="W625" s="20"/>
      <c r="X625" s="20"/>
      <c r="Y625" s="20"/>
      <c r="Z625" s="20"/>
      <c r="AA625" s="20"/>
      <c r="AB625" s="20"/>
      <c r="AC625" s="20"/>
      <c r="AD625" s="20"/>
      <c r="AE625" s="20"/>
      <c r="AF625" s="20"/>
    </row>
    <row r="626" spans="1:32" ht="19.5">
      <c r="A626" s="20"/>
      <c r="B626" s="20"/>
      <c r="C626" s="20"/>
      <c r="D626" s="20"/>
      <c r="E626" s="20"/>
      <c r="F626" s="20"/>
      <c r="G626" s="124"/>
      <c r="H626" s="20"/>
      <c r="I626" s="20"/>
      <c r="J626" s="20"/>
      <c r="K626" s="124"/>
      <c r="L626" s="127"/>
      <c r="M626" s="20"/>
      <c r="N626" s="20"/>
      <c r="O626" s="20"/>
      <c r="P626" s="124"/>
      <c r="Q626" s="127"/>
      <c r="R626" s="20"/>
      <c r="S626" s="20"/>
      <c r="T626" s="20"/>
      <c r="U626" s="124"/>
      <c r="V626" s="127"/>
      <c r="W626" s="20"/>
      <c r="X626" s="20"/>
      <c r="Y626" s="20"/>
      <c r="Z626" s="20"/>
      <c r="AA626" s="20"/>
      <c r="AB626" s="20"/>
      <c r="AC626" s="20"/>
      <c r="AD626" s="20"/>
      <c r="AE626" s="20"/>
      <c r="AF626" s="20"/>
    </row>
    <row r="627" spans="1:32" ht="19.5">
      <c r="A627" s="20"/>
      <c r="B627" s="20"/>
      <c r="C627" s="20"/>
      <c r="D627" s="20"/>
      <c r="E627" s="20"/>
      <c r="F627" s="20"/>
      <c r="G627" s="124"/>
      <c r="H627" s="20"/>
      <c r="I627" s="20"/>
      <c r="J627" s="20"/>
      <c r="K627" s="124"/>
      <c r="L627" s="127"/>
      <c r="M627" s="20"/>
      <c r="N627" s="20"/>
      <c r="O627" s="20"/>
      <c r="P627" s="124"/>
      <c r="Q627" s="127"/>
      <c r="R627" s="20"/>
      <c r="S627" s="20"/>
      <c r="T627" s="20"/>
      <c r="U627" s="124"/>
      <c r="V627" s="127"/>
      <c r="W627" s="20"/>
      <c r="X627" s="20"/>
      <c r="Y627" s="20"/>
      <c r="Z627" s="20"/>
      <c r="AA627" s="20"/>
      <c r="AB627" s="20"/>
      <c r="AC627" s="20"/>
      <c r="AD627" s="20"/>
      <c r="AE627" s="20"/>
      <c r="AF627" s="20"/>
    </row>
    <row r="628" spans="1:32" ht="19.5">
      <c r="A628" s="20"/>
      <c r="B628" s="20"/>
      <c r="C628" s="20"/>
      <c r="D628" s="20"/>
      <c r="E628" s="20"/>
      <c r="F628" s="20"/>
      <c r="G628" s="124"/>
      <c r="H628" s="20"/>
      <c r="I628" s="20"/>
      <c r="J628" s="20"/>
      <c r="K628" s="124"/>
      <c r="L628" s="127"/>
      <c r="M628" s="20"/>
      <c r="N628" s="20"/>
      <c r="O628" s="20"/>
      <c r="P628" s="124"/>
      <c r="Q628" s="127"/>
      <c r="R628" s="20"/>
      <c r="S628" s="20"/>
      <c r="T628" s="20"/>
      <c r="U628" s="124"/>
      <c r="V628" s="127"/>
      <c r="W628" s="20"/>
      <c r="X628" s="20"/>
      <c r="Y628" s="20"/>
      <c r="Z628" s="20"/>
      <c r="AA628" s="20"/>
      <c r="AB628" s="20"/>
      <c r="AC628" s="20"/>
      <c r="AD628" s="20"/>
      <c r="AE628" s="20"/>
      <c r="AF628" s="20"/>
    </row>
    <row r="629" spans="1:32" ht="19.5">
      <c r="A629" s="20"/>
      <c r="B629" s="20"/>
      <c r="C629" s="20"/>
      <c r="D629" s="20"/>
      <c r="E629" s="20"/>
      <c r="F629" s="20"/>
      <c r="G629" s="124"/>
      <c r="H629" s="20"/>
      <c r="I629" s="20"/>
      <c r="J629" s="20"/>
      <c r="K629" s="124"/>
      <c r="L629" s="127"/>
      <c r="M629" s="20"/>
      <c r="N629" s="20"/>
      <c r="O629" s="20"/>
      <c r="P629" s="124"/>
      <c r="Q629" s="127"/>
      <c r="R629" s="20"/>
      <c r="S629" s="20"/>
      <c r="T629" s="20"/>
      <c r="U629" s="124"/>
      <c r="V629" s="127"/>
      <c r="W629" s="20"/>
      <c r="X629" s="20"/>
      <c r="Y629" s="20"/>
      <c r="Z629" s="20"/>
      <c r="AA629" s="20"/>
      <c r="AB629" s="20"/>
      <c r="AC629" s="20"/>
      <c r="AD629" s="20"/>
      <c r="AE629" s="20"/>
      <c r="AF629" s="20"/>
    </row>
    <row r="630" spans="1:32" ht="19.5">
      <c r="A630" s="20"/>
      <c r="B630" s="20"/>
      <c r="C630" s="20"/>
      <c r="D630" s="20"/>
      <c r="E630" s="20"/>
      <c r="F630" s="20"/>
      <c r="G630" s="124"/>
      <c r="H630" s="20"/>
      <c r="I630" s="20"/>
      <c r="J630" s="20"/>
      <c r="K630" s="124"/>
      <c r="L630" s="127"/>
      <c r="M630" s="20"/>
      <c r="N630" s="20"/>
      <c r="O630" s="20"/>
      <c r="P630" s="124"/>
      <c r="Q630" s="127"/>
      <c r="R630" s="20"/>
      <c r="S630" s="20"/>
      <c r="T630" s="20"/>
      <c r="U630" s="124"/>
      <c r="V630" s="127"/>
      <c r="W630" s="20"/>
      <c r="X630" s="20"/>
      <c r="Y630" s="20"/>
      <c r="Z630" s="20"/>
      <c r="AA630" s="20"/>
      <c r="AB630" s="20"/>
      <c r="AC630" s="20"/>
      <c r="AD630" s="20"/>
      <c r="AE630" s="20"/>
      <c r="AF630" s="20"/>
    </row>
    <row r="631" spans="1:32" ht="19.5">
      <c r="A631" s="20"/>
      <c r="B631" s="20"/>
      <c r="C631" s="20"/>
      <c r="D631" s="20"/>
      <c r="E631" s="20"/>
      <c r="F631" s="20"/>
      <c r="G631" s="124"/>
      <c r="H631" s="20"/>
      <c r="I631" s="20"/>
      <c r="J631" s="20"/>
      <c r="K631" s="124"/>
      <c r="L631" s="127"/>
      <c r="M631" s="20"/>
      <c r="N631" s="20"/>
      <c r="O631" s="20"/>
      <c r="P631" s="124"/>
      <c r="Q631" s="127"/>
      <c r="R631" s="20"/>
      <c r="S631" s="20"/>
      <c r="T631" s="20"/>
      <c r="U631" s="124"/>
      <c r="V631" s="127"/>
      <c r="W631" s="20"/>
      <c r="X631" s="20"/>
      <c r="Y631" s="20"/>
      <c r="Z631" s="20"/>
      <c r="AA631" s="20"/>
      <c r="AB631" s="20"/>
      <c r="AC631" s="20"/>
      <c r="AD631" s="20"/>
      <c r="AE631" s="20"/>
      <c r="AF631" s="20"/>
    </row>
    <row r="632" spans="1:32" ht="19.5">
      <c r="A632" s="20"/>
      <c r="B632" s="20"/>
      <c r="C632" s="20"/>
      <c r="D632" s="20"/>
      <c r="E632" s="20"/>
      <c r="F632" s="20"/>
      <c r="G632" s="124"/>
      <c r="H632" s="20"/>
      <c r="I632" s="20"/>
      <c r="J632" s="20"/>
      <c r="K632" s="124"/>
      <c r="L632" s="127"/>
      <c r="M632" s="20"/>
      <c r="N632" s="20"/>
      <c r="O632" s="20"/>
      <c r="P632" s="124"/>
      <c r="Q632" s="127"/>
      <c r="R632" s="20"/>
      <c r="S632" s="20"/>
      <c r="T632" s="20"/>
      <c r="U632" s="124"/>
      <c r="V632" s="127"/>
      <c r="W632" s="20"/>
      <c r="X632" s="20"/>
      <c r="Y632" s="20"/>
      <c r="Z632" s="20"/>
      <c r="AA632" s="20"/>
      <c r="AB632" s="20"/>
      <c r="AC632" s="20"/>
      <c r="AD632" s="20"/>
      <c r="AE632" s="20"/>
      <c r="AF632" s="20"/>
    </row>
    <row r="633" spans="1:32" ht="19.5">
      <c r="A633" s="20"/>
      <c r="B633" s="20"/>
      <c r="C633" s="20"/>
      <c r="D633" s="20"/>
      <c r="E633" s="20"/>
      <c r="F633" s="20"/>
      <c r="G633" s="124"/>
      <c r="H633" s="20"/>
      <c r="I633" s="20"/>
      <c r="J633" s="20"/>
      <c r="K633" s="124"/>
      <c r="L633" s="127"/>
      <c r="M633" s="20"/>
      <c r="N633" s="20"/>
      <c r="O633" s="20"/>
      <c r="P633" s="124"/>
      <c r="Q633" s="127"/>
      <c r="R633" s="20"/>
      <c r="S633" s="20"/>
      <c r="T633" s="20"/>
      <c r="U633" s="124"/>
      <c r="V633" s="127"/>
      <c r="W633" s="20"/>
      <c r="X633" s="20"/>
      <c r="Y633" s="20"/>
      <c r="Z633" s="20"/>
      <c r="AA633" s="20"/>
      <c r="AB633" s="20"/>
      <c r="AC633" s="20"/>
      <c r="AD633" s="20"/>
      <c r="AE633" s="20"/>
      <c r="AF633" s="20"/>
    </row>
    <row r="634" spans="1:32" ht="19.5">
      <c r="A634" s="20"/>
      <c r="B634" s="20"/>
      <c r="C634" s="20"/>
      <c r="D634" s="20"/>
      <c r="E634" s="20"/>
      <c r="F634" s="20"/>
      <c r="G634" s="124"/>
      <c r="H634" s="20"/>
      <c r="I634" s="20"/>
      <c r="J634" s="20"/>
      <c r="K634" s="124"/>
      <c r="L634" s="127"/>
      <c r="M634" s="20"/>
      <c r="N634" s="20"/>
      <c r="O634" s="20"/>
      <c r="P634" s="124"/>
      <c r="Q634" s="127"/>
      <c r="R634" s="20"/>
      <c r="S634" s="20"/>
      <c r="T634" s="20"/>
      <c r="U634" s="124"/>
      <c r="V634" s="127"/>
      <c r="W634" s="20"/>
      <c r="X634" s="20"/>
      <c r="Y634" s="20"/>
      <c r="Z634" s="20"/>
      <c r="AA634" s="20"/>
      <c r="AB634" s="20"/>
      <c r="AC634" s="20"/>
      <c r="AD634" s="20"/>
      <c r="AE634" s="20"/>
      <c r="AF634" s="20"/>
    </row>
    <row r="635" spans="1:32" ht="19.5">
      <c r="A635" s="20"/>
      <c r="B635" s="20"/>
      <c r="C635" s="20"/>
      <c r="D635" s="20"/>
      <c r="E635" s="20"/>
      <c r="F635" s="20"/>
      <c r="G635" s="124"/>
      <c r="H635" s="20"/>
      <c r="I635" s="20"/>
      <c r="J635" s="20"/>
      <c r="K635" s="124"/>
      <c r="L635" s="127"/>
      <c r="M635" s="20"/>
      <c r="N635" s="20"/>
      <c r="O635" s="20"/>
      <c r="P635" s="124"/>
      <c r="Q635" s="127"/>
      <c r="R635" s="20"/>
      <c r="S635" s="20"/>
      <c r="T635" s="20"/>
      <c r="U635" s="124"/>
      <c r="V635" s="127"/>
      <c r="W635" s="20"/>
      <c r="X635" s="20"/>
      <c r="Y635" s="20"/>
      <c r="Z635" s="20"/>
      <c r="AA635" s="20"/>
      <c r="AB635" s="20"/>
      <c r="AC635" s="20"/>
      <c r="AD635" s="20"/>
      <c r="AE635" s="20"/>
      <c r="AF635" s="20"/>
    </row>
    <row r="636" spans="1:32" ht="19.5">
      <c r="A636" s="20"/>
      <c r="B636" s="20"/>
      <c r="C636" s="20"/>
      <c r="D636" s="20"/>
      <c r="E636" s="20"/>
      <c r="F636" s="20"/>
      <c r="G636" s="124"/>
      <c r="H636" s="20"/>
      <c r="I636" s="20"/>
      <c r="J636" s="20"/>
      <c r="K636" s="124"/>
      <c r="L636" s="127"/>
      <c r="M636" s="20"/>
      <c r="N636" s="20"/>
      <c r="O636" s="20"/>
      <c r="P636" s="124"/>
      <c r="Q636" s="127"/>
      <c r="R636" s="20"/>
      <c r="S636" s="20"/>
      <c r="T636" s="20"/>
      <c r="U636" s="124"/>
      <c r="V636" s="127"/>
      <c r="W636" s="20"/>
      <c r="X636" s="20"/>
      <c r="Y636" s="20"/>
      <c r="Z636" s="20"/>
      <c r="AA636" s="20"/>
      <c r="AB636" s="20"/>
      <c r="AC636" s="20"/>
      <c r="AD636" s="20"/>
      <c r="AE636" s="20"/>
      <c r="AF636" s="20"/>
    </row>
    <row r="637" spans="1:32" ht="19.5">
      <c r="A637" s="20"/>
      <c r="B637" s="20"/>
      <c r="C637" s="20"/>
      <c r="D637" s="20"/>
      <c r="E637" s="20"/>
      <c r="F637" s="20"/>
      <c r="G637" s="124"/>
      <c r="H637" s="20"/>
      <c r="I637" s="20"/>
      <c r="J637" s="20"/>
      <c r="K637" s="124"/>
      <c r="L637" s="127"/>
      <c r="M637" s="20"/>
      <c r="N637" s="20"/>
      <c r="O637" s="20"/>
      <c r="P637" s="124"/>
      <c r="Q637" s="127"/>
      <c r="R637" s="20"/>
      <c r="S637" s="20"/>
      <c r="T637" s="20"/>
      <c r="U637" s="124"/>
      <c r="V637" s="127"/>
      <c r="W637" s="20"/>
      <c r="X637" s="20"/>
      <c r="Y637" s="20"/>
      <c r="Z637" s="20"/>
      <c r="AA637" s="20"/>
      <c r="AB637" s="20"/>
      <c r="AC637" s="20"/>
      <c r="AD637" s="20"/>
      <c r="AE637" s="20"/>
      <c r="AF637" s="20"/>
    </row>
    <row r="638" spans="1:32" ht="19.5">
      <c r="A638" s="20"/>
      <c r="B638" s="20"/>
      <c r="C638" s="20"/>
      <c r="D638" s="20"/>
      <c r="E638" s="20"/>
      <c r="F638" s="20"/>
      <c r="G638" s="124"/>
      <c r="H638" s="20"/>
      <c r="I638" s="20"/>
      <c r="J638" s="20"/>
      <c r="K638" s="124"/>
      <c r="L638" s="127"/>
      <c r="M638" s="20"/>
      <c r="N638" s="20"/>
      <c r="O638" s="20"/>
      <c r="P638" s="124"/>
      <c r="Q638" s="127"/>
      <c r="R638" s="20"/>
      <c r="S638" s="20"/>
      <c r="T638" s="20"/>
      <c r="U638" s="124"/>
      <c r="V638" s="127"/>
      <c r="W638" s="20"/>
      <c r="X638" s="20"/>
      <c r="Y638" s="20"/>
      <c r="Z638" s="20"/>
      <c r="AA638" s="20"/>
      <c r="AB638" s="20"/>
      <c r="AC638" s="20"/>
      <c r="AD638" s="20"/>
      <c r="AE638" s="20"/>
      <c r="AF638" s="20"/>
    </row>
    <row r="639" spans="1:32" ht="19.5">
      <c r="A639" s="20"/>
      <c r="B639" s="20"/>
      <c r="C639" s="20"/>
      <c r="D639" s="20"/>
      <c r="E639" s="20"/>
      <c r="F639" s="20"/>
      <c r="G639" s="124"/>
      <c r="H639" s="20"/>
      <c r="I639" s="20"/>
      <c r="J639" s="20"/>
      <c r="K639" s="124"/>
      <c r="L639" s="127"/>
      <c r="M639" s="20"/>
      <c r="N639" s="20"/>
      <c r="O639" s="20"/>
      <c r="P639" s="124"/>
      <c r="Q639" s="127"/>
      <c r="R639" s="20"/>
      <c r="S639" s="20"/>
      <c r="T639" s="20"/>
      <c r="U639" s="124"/>
      <c r="V639" s="127"/>
      <c r="W639" s="20"/>
      <c r="X639" s="20"/>
      <c r="Y639" s="20"/>
      <c r="Z639" s="20"/>
      <c r="AA639" s="20"/>
      <c r="AB639" s="20"/>
      <c r="AC639" s="20"/>
      <c r="AD639" s="20"/>
      <c r="AE639" s="20"/>
      <c r="AF639" s="20"/>
    </row>
    <row r="640" spans="1:32" ht="19.5">
      <c r="A640" s="20"/>
      <c r="B640" s="20"/>
      <c r="C640" s="20"/>
      <c r="D640" s="20"/>
      <c r="E640" s="20"/>
      <c r="F640" s="20"/>
      <c r="G640" s="124"/>
      <c r="H640" s="20"/>
      <c r="I640" s="20"/>
      <c r="J640" s="20"/>
      <c r="K640" s="124"/>
      <c r="L640" s="127"/>
      <c r="M640" s="20"/>
      <c r="N640" s="20"/>
      <c r="O640" s="20"/>
      <c r="P640" s="124"/>
      <c r="Q640" s="127"/>
      <c r="R640" s="20"/>
      <c r="S640" s="20"/>
      <c r="T640" s="20"/>
      <c r="U640" s="124"/>
      <c r="V640" s="127"/>
      <c r="W640" s="20"/>
      <c r="X640" s="20"/>
      <c r="Y640" s="20"/>
      <c r="Z640" s="20"/>
      <c r="AA640" s="20"/>
      <c r="AB640" s="20"/>
      <c r="AC640" s="20"/>
      <c r="AD640" s="20"/>
      <c r="AE640" s="20"/>
      <c r="AF640" s="20"/>
    </row>
    <row r="641" spans="1:32" ht="19.5">
      <c r="A641" s="20"/>
      <c r="B641" s="20"/>
      <c r="C641" s="20"/>
      <c r="D641" s="20"/>
      <c r="E641" s="20"/>
      <c r="F641" s="20"/>
      <c r="G641" s="124"/>
      <c r="H641" s="20"/>
      <c r="I641" s="20"/>
      <c r="J641" s="20"/>
      <c r="K641" s="124"/>
      <c r="L641" s="127"/>
      <c r="M641" s="20"/>
      <c r="N641" s="20"/>
      <c r="O641" s="20"/>
      <c r="P641" s="124"/>
      <c r="Q641" s="127"/>
      <c r="R641" s="20"/>
      <c r="S641" s="20"/>
      <c r="T641" s="20"/>
      <c r="U641" s="124"/>
      <c r="V641" s="127"/>
      <c r="W641" s="20"/>
      <c r="X641" s="20"/>
      <c r="Y641" s="20"/>
      <c r="Z641" s="20"/>
      <c r="AA641" s="20"/>
      <c r="AB641" s="20"/>
      <c r="AC641" s="20"/>
      <c r="AD641" s="20"/>
      <c r="AE641" s="20"/>
      <c r="AF641" s="20"/>
    </row>
    <row r="642" spans="1:32" ht="19.5">
      <c r="A642" s="20"/>
      <c r="B642" s="20"/>
      <c r="C642" s="20"/>
      <c r="D642" s="20"/>
      <c r="E642" s="20"/>
      <c r="F642" s="20"/>
      <c r="G642" s="124"/>
      <c r="H642" s="20"/>
      <c r="I642" s="20"/>
      <c r="J642" s="20"/>
      <c r="K642" s="124"/>
      <c r="L642" s="127"/>
      <c r="M642" s="20"/>
      <c r="N642" s="20"/>
      <c r="O642" s="20"/>
      <c r="P642" s="124"/>
      <c r="Q642" s="127"/>
      <c r="R642" s="20"/>
      <c r="S642" s="20"/>
      <c r="T642" s="20"/>
      <c r="U642" s="124"/>
      <c r="V642" s="127"/>
      <c r="W642" s="20"/>
      <c r="X642" s="20"/>
      <c r="Y642" s="20"/>
      <c r="Z642" s="20"/>
      <c r="AA642" s="20"/>
      <c r="AB642" s="20"/>
      <c r="AC642" s="20"/>
      <c r="AD642" s="20"/>
      <c r="AE642" s="20"/>
      <c r="AF642" s="20"/>
    </row>
    <row r="643" spans="1:32" ht="19.5">
      <c r="A643" s="20"/>
      <c r="B643" s="20"/>
      <c r="C643" s="20"/>
      <c r="D643" s="20"/>
      <c r="E643" s="20"/>
      <c r="F643" s="20"/>
      <c r="G643" s="124"/>
      <c r="H643" s="20"/>
      <c r="I643" s="20"/>
      <c r="J643" s="20"/>
      <c r="K643" s="124"/>
      <c r="L643" s="127"/>
      <c r="M643" s="20"/>
      <c r="N643" s="20"/>
      <c r="O643" s="20"/>
      <c r="P643" s="124"/>
      <c r="Q643" s="127"/>
      <c r="R643" s="20"/>
      <c r="S643" s="20"/>
      <c r="T643" s="20"/>
      <c r="U643" s="124"/>
      <c r="V643" s="127"/>
      <c r="W643" s="20"/>
      <c r="X643" s="20"/>
      <c r="Y643" s="20"/>
      <c r="Z643" s="20"/>
      <c r="AA643" s="20"/>
      <c r="AB643" s="20"/>
      <c r="AC643" s="20"/>
      <c r="AD643" s="20"/>
      <c r="AE643" s="20"/>
      <c r="AF643" s="20"/>
    </row>
    <row r="644" spans="1:32" ht="19.5">
      <c r="A644" s="20"/>
      <c r="B644" s="20"/>
      <c r="C644" s="20"/>
      <c r="D644" s="20"/>
      <c r="E644" s="20"/>
      <c r="F644" s="20"/>
      <c r="G644" s="124"/>
      <c r="H644" s="20"/>
      <c r="I644" s="20"/>
      <c r="J644" s="20"/>
      <c r="K644" s="124"/>
      <c r="L644" s="127"/>
      <c r="M644" s="20"/>
      <c r="N644" s="20"/>
      <c r="O644" s="20"/>
      <c r="P644" s="124"/>
      <c r="Q644" s="127"/>
      <c r="R644" s="20"/>
      <c r="S644" s="20"/>
      <c r="T644" s="20"/>
      <c r="U644" s="124"/>
      <c r="V644" s="127"/>
      <c r="W644" s="20"/>
      <c r="X644" s="20"/>
      <c r="Y644" s="20"/>
      <c r="Z644" s="20"/>
      <c r="AA644" s="20"/>
      <c r="AB644" s="20"/>
      <c r="AC644" s="20"/>
      <c r="AD644" s="20"/>
      <c r="AE644" s="20"/>
      <c r="AF644" s="20"/>
    </row>
    <row r="645" spans="1:32" ht="19.5">
      <c r="A645" s="20"/>
      <c r="B645" s="20"/>
      <c r="C645" s="20"/>
      <c r="D645" s="20"/>
      <c r="E645" s="20"/>
      <c r="F645" s="20"/>
      <c r="G645" s="124"/>
      <c r="H645" s="20"/>
      <c r="I645" s="20"/>
      <c r="J645" s="20"/>
      <c r="K645" s="124"/>
      <c r="L645" s="127"/>
      <c r="M645" s="20"/>
      <c r="N645" s="20"/>
      <c r="O645" s="20"/>
      <c r="P645" s="124"/>
      <c r="Q645" s="127"/>
      <c r="R645" s="20"/>
      <c r="S645" s="20"/>
      <c r="T645" s="20"/>
      <c r="U645" s="124"/>
      <c r="V645" s="127"/>
      <c r="W645" s="20"/>
      <c r="X645" s="20"/>
      <c r="Y645" s="20"/>
      <c r="Z645" s="20"/>
      <c r="AA645" s="20"/>
      <c r="AB645" s="20"/>
      <c r="AC645" s="20"/>
      <c r="AD645" s="20"/>
      <c r="AE645" s="20"/>
      <c r="AF645" s="20"/>
    </row>
    <row r="646" spans="1:32" ht="19.5">
      <c r="A646" s="20"/>
      <c r="B646" s="20"/>
      <c r="C646" s="20"/>
      <c r="D646" s="20"/>
      <c r="E646" s="20"/>
      <c r="F646" s="20"/>
      <c r="G646" s="124"/>
      <c r="H646" s="20"/>
      <c r="I646" s="20"/>
      <c r="J646" s="20"/>
      <c r="K646" s="124"/>
      <c r="L646" s="127"/>
      <c r="M646" s="20"/>
      <c r="N646" s="20"/>
      <c r="O646" s="20"/>
      <c r="P646" s="124"/>
      <c r="Q646" s="127"/>
      <c r="R646" s="20"/>
      <c r="S646" s="20"/>
      <c r="T646" s="20"/>
      <c r="U646" s="124"/>
      <c r="V646" s="127"/>
      <c r="W646" s="20"/>
      <c r="X646" s="20"/>
      <c r="Y646" s="20"/>
      <c r="Z646" s="20"/>
      <c r="AA646" s="20"/>
      <c r="AB646" s="20"/>
      <c r="AC646" s="20"/>
      <c r="AD646" s="20"/>
      <c r="AE646" s="20"/>
      <c r="AF646" s="20"/>
    </row>
    <row r="647" spans="1:32" ht="19.5">
      <c r="A647" s="20"/>
      <c r="B647" s="20"/>
      <c r="C647" s="20"/>
      <c r="D647" s="20"/>
      <c r="E647" s="20"/>
      <c r="F647" s="20"/>
      <c r="G647" s="124"/>
      <c r="H647" s="20"/>
      <c r="I647" s="20"/>
      <c r="J647" s="20"/>
      <c r="K647" s="124"/>
      <c r="L647" s="127"/>
      <c r="M647" s="20"/>
      <c r="N647" s="20"/>
      <c r="O647" s="20"/>
      <c r="P647" s="124"/>
      <c r="Q647" s="127"/>
      <c r="R647" s="20"/>
      <c r="S647" s="20"/>
      <c r="T647" s="20"/>
      <c r="U647" s="124"/>
      <c r="V647" s="127"/>
      <c r="W647" s="20"/>
      <c r="X647" s="20"/>
      <c r="Y647" s="20"/>
      <c r="Z647" s="20"/>
      <c r="AA647" s="20"/>
      <c r="AB647" s="20"/>
      <c r="AC647" s="20"/>
      <c r="AD647" s="20"/>
      <c r="AE647" s="20"/>
      <c r="AF647" s="20"/>
    </row>
    <row r="648" spans="1:32" ht="19.5">
      <c r="A648" s="20"/>
      <c r="B648" s="20"/>
      <c r="C648" s="20"/>
      <c r="D648" s="20"/>
      <c r="E648" s="20"/>
      <c r="F648" s="20"/>
      <c r="G648" s="124"/>
      <c r="H648" s="20"/>
      <c r="I648" s="20"/>
      <c r="J648" s="20"/>
      <c r="K648" s="124"/>
      <c r="L648" s="127"/>
      <c r="M648" s="20"/>
      <c r="N648" s="20"/>
      <c r="O648" s="20"/>
      <c r="P648" s="124"/>
      <c r="Q648" s="127"/>
      <c r="R648" s="20"/>
      <c r="S648" s="20"/>
      <c r="T648" s="20"/>
      <c r="U648" s="124"/>
      <c r="V648" s="127"/>
      <c r="W648" s="20"/>
      <c r="X648" s="20"/>
      <c r="Y648" s="20"/>
      <c r="Z648" s="20"/>
      <c r="AA648" s="20"/>
      <c r="AB648" s="20"/>
      <c r="AC648" s="20"/>
      <c r="AD648" s="20"/>
      <c r="AE648" s="20"/>
      <c r="AF648" s="20"/>
    </row>
    <row r="649" spans="1:32" ht="19.5">
      <c r="A649" s="20"/>
      <c r="B649" s="20"/>
      <c r="C649" s="20"/>
      <c r="D649" s="20"/>
      <c r="E649" s="20"/>
      <c r="F649" s="20"/>
      <c r="G649" s="124"/>
      <c r="H649" s="20"/>
      <c r="I649" s="20"/>
      <c r="J649" s="20"/>
      <c r="K649" s="124"/>
      <c r="L649" s="127"/>
      <c r="M649" s="20"/>
      <c r="N649" s="20"/>
      <c r="O649" s="20"/>
      <c r="P649" s="124"/>
      <c r="Q649" s="127"/>
      <c r="R649" s="20"/>
      <c r="S649" s="20"/>
      <c r="T649" s="20"/>
      <c r="U649" s="124"/>
      <c r="V649" s="127"/>
      <c r="W649" s="20"/>
      <c r="X649" s="20"/>
      <c r="Y649" s="20"/>
      <c r="Z649" s="20"/>
      <c r="AA649" s="20"/>
      <c r="AB649" s="20"/>
      <c r="AC649" s="20"/>
      <c r="AD649" s="20"/>
      <c r="AE649" s="20"/>
      <c r="AF649" s="20"/>
    </row>
    <row r="650" spans="1:32" ht="19.5">
      <c r="A650" s="20"/>
      <c r="B650" s="20"/>
      <c r="C650" s="20"/>
      <c r="D650" s="20"/>
      <c r="E650" s="20"/>
      <c r="F650" s="20"/>
      <c r="G650" s="124"/>
      <c r="H650" s="20"/>
      <c r="I650" s="20"/>
      <c r="J650" s="20"/>
      <c r="K650" s="124"/>
      <c r="L650" s="127"/>
      <c r="M650" s="20"/>
      <c r="N650" s="20"/>
      <c r="O650" s="20"/>
      <c r="P650" s="124"/>
      <c r="Q650" s="127"/>
      <c r="R650" s="20"/>
      <c r="S650" s="20"/>
      <c r="T650" s="20"/>
      <c r="U650" s="124"/>
      <c r="V650" s="127"/>
      <c r="W650" s="20"/>
      <c r="X650" s="20"/>
      <c r="Y650" s="20"/>
      <c r="Z650" s="20"/>
      <c r="AA650" s="20"/>
      <c r="AB650" s="20"/>
      <c r="AC650" s="20"/>
      <c r="AD650" s="20"/>
      <c r="AE650" s="20"/>
      <c r="AF650" s="20"/>
    </row>
    <row r="651" spans="1:32" ht="19.5">
      <c r="A651" s="20"/>
      <c r="B651" s="20"/>
      <c r="C651" s="20"/>
      <c r="D651" s="20"/>
      <c r="E651" s="20"/>
      <c r="F651" s="20"/>
      <c r="G651" s="124"/>
      <c r="H651" s="20"/>
      <c r="I651" s="20"/>
      <c r="J651" s="20"/>
      <c r="K651" s="124"/>
      <c r="L651" s="127"/>
      <c r="M651" s="20"/>
      <c r="N651" s="20"/>
      <c r="O651" s="20"/>
      <c r="P651" s="124"/>
      <c r="Q651" s="127"/>
      <c r="R651" s="20"/>
      <c r="S651" s="20"/>
      <c r="T651" s="20"/>
      <c r="U651" s="124"/>
      <c r="V651" s="127"/>
      <c r="W651" s="20"/>
      <c r="X651" s="20"/>
      <c r="Y651" s="20"/>
      <c r="Z651" s="20"/>
      <c r="AA651" s="20"/>
      <c r="AB651" s="20"/>
      <c r="AC651" s="20"/>
      <c r="AD651" s="20"/>
      <c r="AE651" s="20"/>
      <c r="AF651" s="20"/>
    </row>
    <row r="652" spans="1:32" ht="19.5">
      <c r="A652" s="20"/>
      <c r="B652" s="20"/>
      <c r="C652" s="20"/>
      <c r="D652" s="20"/>
      <c r="E652" s="20"/>
      <c r="F652" s="20"/>
      <c r="G652" s="124"/>
      <c r="H652" s="20"/>
      <c r="I652" s="20"/>
      <c r="J652" s="20"/>
      <c r="K652" s="124"/>
      <c r="L652" s="127"/>
      <c r="M652" s="20"/>
      <c r="N652" s="20"/>
      <c r="O652" s="20"/>
      <c r="P652" s="124"/>
      <c r="Q652" s="127"/>
      <c r="R652" s="20"/>
      <c r="S652" s="20"/>
      <c r="T652" s="20"/>
      <c r="U652" s="124"/>
      <c r="V652" s="127"/>
      <c r="W652" s="20"/>
      <c r="X652" s="20"/>
      <c r="Y652" s="20"/>
      <c r="Z652" s="20"/>
      <c r="AA652" s="20"/>
      <c r="AB652" s="20"/>
      <c r="AC652" s="20"/>
      <c r="AD652" s="20"/>
      <c r="AE652" s="20"/>
      <c r="AF652" s="20"/>
    </row>
    <row r="653" spans="1:32" ht="19.5">
      <c r="A653" s="20"/>
      <c r="B653" s="20"/>
      <c r="C653" s="20"/>
      <c r="D653" s="20"/>
      <c r="E653" s="20"/>
      <c r="F653" s="20"/>
      <c r="G653" s="124"/>
      <c r="H653" s="20"/>
      <c r="I653" s="20"/>
      <c r="J653" s="20"/>
      <c r="K653" s="124"/>
      <c r="L653" s="127"/>
      <c r="M653" s="20"/>
      <c r="N653" s="20"/>
      <c r="O653" s="20"/>
      <c r="P653" s="124"/>
      <c r="Q653" s="127"/>
      <c r="R653" s="20"/>
      <c r="S653" s="20"/>
      <c r="T653" s="20"/>
      <c r="U653" s="124"/>
      <c r="V653" s="127"/>
      <c r="W653" s="20"/>
      <c r="X653" s="20"/>
      <c r="Y653" s="20"/>
      <c r="Z653" s="20"/>
      <c r="AA653" s="20"/>
      <c r="AB653" s="20"/>
      <c r="AC653" s="20"/>
      <c r="AD653" s="20"/>
      <c r="AE653" s="20"/>
      <c r="AF653" s="20"/>
    </row>
    <row r="654" spans="1:32" ht="19.5">
      <c r="A654" s="20"/>
      <c r="B654" s="20"/>
      <c r="C654" s="20"/>
      <c r="D654" s="20"/>
      <c r="E654" s="20"/>
      <c r="F654" s="20"/>
      <c r="G654" s="124"/>
      <c r="H654" s="20"/>
      <c r="I654" s="20"/>
      <c r="J654" s="20"/>
      <c r="K654" s="124"/>
      <c r="L654" s="127"/>
      <c r="M654" s="20"/>
      <c r="N654" s="20"/>
      <c r="O654" s="20"/>
      <c r="P654" s="124"/>
      <c r="Q654" s="127"/>
      <c r="R654" s="20"/>
      <c r="S654" s="20"/>
      <c r="T654" s="20"/>
      <c r="U654" s="124"/>
      <c r="V654" s="127"/>
      <c r="W654" s="20"/>
      <c r="X654" s="20"/>
      <c r="Y654" s="20"/>
      <c r="Z654" s="20"/>
      <c r="AA654" s="20"/>
      <c r="AB654" s="20"/>
      <c r="AC654" s="20"/>
      <c r="AD654" s="20"/>
      <c r="AE654" s="20"/>
      <c r="AF654" s="20"/>
    </row>
    <row r="655" spans="1:32" ht="19.5">
      <c r="A655" s="20"/>
      <c r="B655" s="20"/>
      <c r="C655" s="20"/>
      <c r="D655" s="20"/>
      <c r="E655" s="20"/>
      <c r="F655" s="20"/>
      <c r="G655" s="124"/>
      <c r="H655" s="20"/>
      <c r="I655" s="20"/>
      <c r="J655" s="20"/>
      <c r="K655" s="124"/>
      <c r="L655" s="127"/>
      <c r="M655" s="20"/>
      <c r="N655" s="20"/>
      <c r="O655" s="20"/>
      <c r="P655" s="124"/>
      <c r="Q655" s="127"/>
      <c r="R655" s="20"/>
      <c r="S655" s="20"/>
      <c r="T655" s="20"/>
      <c r="U655" s="124"/>
      <c r="V655" s="127"/>
      <c r="W655" s="20"/>
      <c r="X655" s="20"/>
      <c r="Y655" s="20"/>
      <c r="Z655" s="20"/>
      <c r="AA655" s="20"/>
      <c r="AB655" s="20"/>
      <c r="AC655" s="20"/>
      <c r="AD655" s="20"/>
      <c r="AE655" s="20"/>
      <c r="AF655" s="20"/>
    </row>
    <row r="656" spans="1:32" ht="19.5">
      <c r="A656" s="20"/>
      <c r="B656" s="20"/>
      <c r="C656" s="20"/>
      <c r="D656" s="20"/>
      <c r="E656" s="20"/>
      <c r="F656" s="20"/>
      <c r="G656" s="124"/>
      <c r="H656" s="20"/>
      <c r="I656" s="20"/>
      <c r="J656" s="20"/>
      <c r="K656" s="124"/>
      <c r="L656" s="127"/>
      <c r="M656" s="20"/>
      <c r="N656" s="20"/>
      <c r="O656" s="20"/>
      <c r="P656" s="124"/>
      <c r="Q656" s="127"/>
      <c r="R656" s="20"/>
      <c r="S656" s="20"/>
      <c r="T656" s="20"/>
      <c r="U656" s="124"/>
      <c r="V656" s="127"/>
      <c r="W656" s="20"/>
      <c r="X656" s="20"/>
      <c r="Y656" s="20"/>
      <c r="Z656" s="20"/>
      <c r="AA656" s="20"/>
      <c r="AB656" s="20"/>
      <c r="AC656" s="20"/>
      <c r="AD656" s="20"/>
      <c r="AE656" s="20"/>
      <c r="AF656" s="20"/>
    </row>
    <row r="657" spans="1:32" ht="19.5">
      <c r="A657" s="20"/>
      <c r="B657" s="20"/>
      <c r="C657" s="20"/>
      <c r="D657" s="20"/>
      <c r="E657" s="20"/>
      <c r="F657" s="20"/>
      <c r="G657" s="124"/>
      <c r="H657" s="20"/>
      <c r="I657" s="20"/>
      <c r="J657" s="20"/>
      <c r="K657" s="124"/>
      <c r="L657" s="127"/>
      <c r="M657" s="20"/>
      <c r="N657" s="20"/>
      <c r="O657" s="20"/>
      <c r="P657" s="124"/>
      <c r="Q657" s="127"/>
      <c r="R657" s="20"/>
      <c r="S657" s="20"/>
      <c r="T657" s="20"/>
      <c r="U657" s="124"/>
      <c r="V657" s="127"/>
      <c r="W657" s="20"/>
      <c r="X657" s="20"/>
      <c r="Y657" s="20"/>
      <c r="Z657" s="20"/>
      <c r="AA657" s="20"/>
      <c r="AB657" s="20"/>
      <c r="AC657" s="20"/>
      <c r="AD657" s="20"/>
      <c r="AE657" s="20"/>
      <c r="AF657" s="20"/>
    </row>
    <row r="658" spans="1:32" ht="19.5">
      <c r="A658" s="20"/>
      <c r="B658" s="20"/>
      <c r="C658" s="20"/>
      <c r="D658" s="20"/>
      <c r="E658" s="20"/>
      <c r="F658" s="20"/>
      <c r="G658" s="124"/>
      <c r="H658" s="20"/>
      <c r="I658" s="20"/>
      <c r="J658" s="20"/>
      <c r="K658" s="124"/>
      <c r="L658" s="127"/>
      <c r="M658" s="20"/>
      <c r="N658" s="20"/>
      <c r="O658" s="20"/>
      <c r="P658" s="124"/>
      <c r="Q658" s="127"/>
      <c r="R658" s="20"/>
      <c r="S658" s="20"/>
      <c r="T658" s="20"/>
      <c r="U658" s="124"/>
      <c r="V658" s="127"/>
      <c r="W658" s="20"/>
      <c r="X658" s="20"/>
      <c r="Y658" s="20"/>
      <c r="Z658" s="20"/>
      <c r="AA658" s="20"/>
      <c r="AB658" s="20"/>
      <c r="AC658" s="20"/>
      <c r="AD658" s="20"/>
      <c r="AE658" s="20"/>
      <c r="AF658" s="20"/>
    </row>
    <row r="659" spans="1:32" ht="19.5">
      <c r="A659" s="20"/>
      <c r="B659" s="20"/>
      <c r="C659" s="20"/>
      <c r="D659" s="20"/>
      <c r="E659" s="20"/>
      <c r="F659" s="20"/>
      <c r="G659" s="124"/>
      <c r="H659" s="20"/>
      <c r="I659" s="20"/>
      <c r="J659" s="20"/>
      <c r="K659" s="124"/>
      <c r="L659" s="127"/>
      <c r="M659" s="20"/>
      <c r="N659" s="20"/>
      <c r="O659" s="20"/>
      <c r="P659" s="124"/>
      <c r="Q659" s="127"/>
      <c r="R659" s="20"/>
      <c r="S659" s="20"/>
      <c r="T659" s="20"/>
      <c r="U659" s="124"/>
      <c r="V659" s="127"/>
      <c r="W659" s="20"/>
      <c r="X659" s="20"/>
      <c r="Y659" s="20"/>
      <c r="Z659" s="20"/>
      <c r="AA659" s="20"/>
      <c r="AB659" s="20"/>
      <c r="AC659" s="20"/>
      <c r="AD659" s="20"/>
      <c r="AE659" s="20"/>
      <c r="AF659" s="20"/>
    </row>
    <row r="660" spans="1:32" ht="19.5">
      <c r="A660" s="20"/>
      <c r="B660" s="20"/>
      <c r="C660" s="20"/>
      <c r="D660" s="20"/>
      <c r="E660" s="20"/>
      <c r="F660" s="20"/>
      <c r="G660" s="124"/>
      <c r="H660" s="20"/>
      <c r="I660" s="20"/>
      <c r="J660" s="20"/>
      <c r="K660" s="124"/>
      <c r="L660" s="127"/>
      <c r="M660" s="20"/>
      <c r="N660" s="20"/>
      <c r="O660" s="20"/>
      <c r="P660" s="124"/>
      <c r="Q660" s="127"/>
      <c r="R660" s="20"/>
      <c r="S660" s="20"/>
      <c r="T660" s="20"/>
      <c r="U660" s="124"/>
      <c r="V660" s="127"/>
      <c r="W660" s="20"/>
      <c r="X660" s="20"/>
      <c r="Y660" s="20"/>
      <c r="Z660" s="20"/>
      <c r="AA660" s="20"/>
      <c r="AB660" s="20"/>
      <c r="AC660" s="20"/>
      <c r="AD660" s="20"/>
      <c r="AE660" s="20"/>
      <c r="AF660" s="20"/>
    </row>
    <row r="661" spans="1:32" ht="19.5">
      <c r="A661" s="20"/>
      <c r="B661" s="20"/>
      <c r="C661" s="20"/>
      <c r="D661" s="20"/>
      <c r="E661" s="20"/>
      <c r="F661" s="20"/>
      <c r="G661" s="124"/>
      <c r="H661" s="20"/>
      <c r="I661" s="20"/>
      <c r="J661" s="20"/>
      <c r="K661" s="124"/>
      <c r="L661" s="127"/>
      <c r="M661" s="20"/>
      <c r="N661" s="20"/>
      <c r="O661" s="20"/>
      <c r="P661" s="124"/>
      <c r="Q661" s="127"/>
      <c r="R661" s="20"/>
      <c r="S661" s="20"/>
      <c r="T661" s="20"/>
      <c r="U661" s="124"/>
      <c r="V661" s="127"/>
      <c r="W661" s="20"/>
      <c r="X661" s="20"/>
      <c r="Y661" s="20"/>
      <c r="Z661" s="20"/>
      <c r="AA661" s="20"/>
      <c r="AB661" s="20"/>
      <c r="AC661" s="20"/>
      <c r="AD661" s="20"/>
      <c r="AE661" s="20"/>
      <c r="AF661" s="20"/>
    </row>
    <row r="662" spans="1:32" ht="19.5">
      <c r="A662" s="20"/>
      <c r="B662" s="20"/>
      <c r="C662" s="20"/>
      <c r="D662" s="20"/>
      <c r="E662" s="20"/>
      <c r="F662" s="20"/>
      <c r="G662" s="124"/>
      <c r="H662" s="20"/>
      <c r="I662" s="20"/>
      <c r="J662" s="20"/>
      <c r="K662" s="124"/>
      <c r="L662" s="127"/>
      <c r="M662" s="20"/>
      <c r="N662" s="20"/>
      <c r="O662" s="20"/>
      <c r="P662" s="124"/>
      <c r="Q662" s="127"/>
      <c r="R662" s="20"/>
      <c r="S662" s="20"/>
      <c r="T662" s="20"/>
      <c r="U662" s="124"/>
      <c r="V662" s="127"/>
      <c r="W662" s="20"/>
      <c r="X662" s="20"/>
      <c r="Y662" s="20"/>
      <c r="Z662" s="20"/>
      <c r="AA662" s="20"/>
      <c r="AB662" s="20"/>
      <c r="AC662" s="20"/>
      <c r="AD662" s="20"/>
      <c r="AE662" s="20"/>
      <c r="AF662" s="20"/>
    </row>
    <row r="663" spans="1:32" ht="19.5">
      <c r="A663" s="20"/>
      <c r="B663" s="20"/>
      <c r="C663" s="20"/>
      <c r="D663" s="20"/>
      <c r="E663" s="20"/>
      <c r="F663" s="20"/>
      <c r="G663" s="124"/>
      <c r="H663" s="20"/>
      <c r="I663" s="20"/>
      <c r="J663" s="20"/>
      <c r="K663" s="124"/>
      <c r="L663" s="127"/>
      <c r="M663" s="20"/>
      <c r="N663" s="20"/>
      <c r="O663" s="20"/>
      <c r="P663" s="124"/>
      <c r="Q663" s="127"/>
      <c r="R663" s="20"/>
      <c r="S663" s="20"/>
      <c r="T663" s="20"/>
      <c r="U663" s="124"/>
      <c r="V663" s="127"/>
      <c r="W663" s="20"/>
      <c r="X663" s="20"/>
      <c r="Y663" s="20"/>
      <c r="Z663" s="20"/>
      <c r="AA663" s="20"/>
      <c r="AB663" s="20"/>
      <c r="AC663" s="20"/>
      <c r="AD663" s="20"/>
      <c r="AE663" s="20"/>
      <c r="AF663" s="20"/>
    </row>
    <row r="664" spans="1:32" ht="19.5">
      <c r="A664" s="20"/>
      <c r="B664" s="20"/>
      <c r="C664" s="20"/>
      <c r="D664" s="20"/>
      <c r="E664" s="20"/>
      <c r="F664" s="20"/>
      <c r="G664" s="124"/>
      <c r="H664" s="20"/>
      <c r="I664" s="20"/>
      <c r="J664" s="20"/>
      <c r="K664" s="124"/>
      <c r="L664" s="127"/>
      <c r="M664" s="20"/>
      <c r="N664" s="20"/>
      <c r="O664" s="20"/>
      <c r="P664" s="124"/>
      <c r="Q664" s="127"/>
      <c r="R664" s="20"/>
      <c r="S664" s="20"/>
      <c r="T664" s="20"/>
      <c r="U664" s="124"/>
      <c r="V664" s="127"/>
      <c r="W664" s="20"/>
      <c r="X664" s="20"/>
      <c r="Y664" s="20"/>
      <c r="Z664" s="20"/>
      <c r="AA664" s="20"/>
      <c r="AB664" s="20"/>
      <c r="AC664" s="20"/>
      <c r="AD664" s="20"/>
      <c r="AE664" s="20"/>
      <c r="AF664" s="20"/>
    </row>
    <row r="665" spans="1:32" ht="19.5">
      <c r="A665" s="20"/>
      <c r="B665" s="20"/>
      <c r="C665" s="20"/>
      <c r="D665" s="20"/>
      <c r="E665" s="20"/>
      <c r="F665" s="20"/>
      <c r="G665" s="124"/>
      <c r="H665" s="20"/>
      <c r="I665" s="20"/>
      <c r="J665" s="20"/>
      <c r="K665" s="124"/>
      <c r="L665" s="127"/>
      <c r="M665" s="20"/>
      <c r="N665" s="20"/>
      <c r="O665" s="20"/>
      <c r="P665" s="124"/>
      <c r="Q665" s="127"/>
      <c r="R665" s="20"/>
      <c r="S665" s="20"/>
      <c r="T665" s="20"/>
      <c r="U665" s="124"/>
      <c r="V665" s="127"/>
      <c r="W665" s="20"/>
      <c r="X665" s="20"/>
      <c r="Y665" s="20"/>
      <c r="Z665" s="20"/>
      <c r="AA665" s="20"/>
      <c r="AB665" s="20"/>
      <c r="AC665" s="20"/>
      <c r="AD665" s="20"/>
      <c r="AE665" s="20"/>
      <c r="AF665" s="20"/>
    </row>
    <row r="666" spans="1:32" ht="19.5">
      <c r="A666" s="20"/>
      <c r="B666" s="20"/>
      <c r="C666" s="20"/>
      <c r="D666" s="20"/>
      <c r="E666" s="20"/>
      <c r="F666" s="20"/>
      <c r="G666" s="124"/>
      <c r="H666" s="20"/>
      <c r="I666" s="20"/>
      <c r="J666" s="20"/>
      <c r="K666" s="124"/>
      <c r="L666" s="127"/>
      <c r="M666" s="20"/>
      <c r="N666" s="20"/>
      <c r="O666" s="20"/>
      <c r="P666" s="124"/>
      <c r="Q666" s="127"/>
      <c r="R666" s="20"/>
      <c r="S666" s="20"/>
      <c r="T666" s="20"/>
      <c r="U666" s="124"/>
      <c r="V666" s="127"/>
      <c r="W666" s="20"/>
      <c r="X666" s="20"/>
      <c r="Y666" s="20"/>
      <c r="Z666" s="20"/>
      <c r="AA666" s="20"/>
      <c r="AB666" s="20"/>
      <c r="AC666" s="20"/>
      <c r="AD666" s="20"/>
      <c r="AE666" s="20"/>
      <c r="AF666" s="20"/>
    </row>
    <row r="667" spans="1:32" ht="19.5">
      <c r="A667" s="20"/>
      <c r="B667" s="20"/>
      <c r="C667" s="20"/>
      <c r="D667" s="20"/>
      <c r="E667" s="20"/>
      <c r="F667" s="20"/>
      <c r="G667" s="124"/>
      <c r="H667" s="20"/>
      <c r="I667" s="20"/>
      <c r="J667" s="20"/>
      <c r="K667" s="124"/>
      <c r="L667" s="127"/>
      <c r="M667" s="20"/>
      <c r="N667" s="20"/>
      <c r="O667" s="20"/>
      <c r="P667" s="124"/>
      <c r="Q667" s="127"/>
      <c r="R667" s="20"/>
      <c r="S667" s="20"/>
      <c r="T667" s="20"/>
      <c r="U667" s="124"/>
      <c r="V667" s="127"/>
      <c r="W667" s="20"/>
      <c r="X667" s="20"/>
      <c r="Y667" s="20"/>
      <c r="Z667" s="20"/>
      <c r="AA667" s="20"/>
      <c r="AB667" s="20"/>
      <c r="AC667" s="20"/>
      <c r="AD667" s="20"/>
      <c r="AE667" s="20"/>
      <c r="AF667" s="20"/>
    </row>
    <row r="668" spans="1:32" ht="19.5">
      <c r="A668" s="20"/>
      <c r="B668" s="20"/>
      <c r="C668" s="20"/>
      <c r="D668" s="20"/>
      <c r="E668" s="20"/>
      <c r="F668" s="20"/>
      <c r="G668" s="124"/>
      <c r="H668" s="20"/>
      <c r="I668" s="20"/>
      <c r="J668" s="20"/>
      <c r="K668" s="124"/>
      <c r="L668" s="127"/>
      <c r="M668" s="20"/>
      <c r="N668" s="20"/>
      <c r="O668" s="20"/>
      <c r="P668" s="124"/>
      <c r="Q668" s="127"/>
      <c r="R668" s="20"/>
      <c r="S668" s="20"/>
      <c r="T668" s="20"/>
      <c r="U668" s="124"/>
      <c r="V668" s="127"/>
      <c r="W668" s="20"/>
      <c r="X668" s="20"/>
      <c r="Y668" s="20"/>
      <c r="Z668" s="20"/>
      <c r="AA668" s="20"/>
      <c r="AB668" s="20"/>
      <c r="AC668" s="20"/>
      <c r="AD668" s="20"/>
      <c r="AE668" s="20"/>
      <c r="AF668" s="20"/>
    </row>
    <row r="669" spans="1:32" ht="19.5">
      <c r="A669" s="20"/>
      <c r="B669" s="20"/>
      <c r="C669" s="20"/>
      <c r="D669" s="20"/>
      <c r="E669" s="20"/>
      <c r="F669" s="20"/>
      <c r="G669" s="124"/>
      <c r="H669" s="20"/>
      <c r="I669" s="20"/>
      <c r="J669" s="20"/>
      <c r="K669" s="124"/>
      <c r="L669" s="127"/>
      <c r="M669" s="20"/>
      <c r="N669" s="20"/>
      <c r="O669" s="20"/>
      <c r="P669" s="124"/>
      <c r="Q669" s="127"/>
      <c r="R669" s="20"/>
      <c r="S669" s="20"/>
      <c r="T669" s="20"/>
      <c r="U669" s="124"/>
      <c r="V669" s="127"/>
      <c r="W669" s="20"/>
      <c r="X669" s="20"/>
      <c r="Y669" s="20"/>
      <c r="Z669" s="20"/>
      <c r="AA669" s="20"/>
      <c r="AB669" s="20"/>
      <c r="AC669" s="20"/>
      <c r="AD669" s="20"/>
      <c r="AE669" s="20"/>
      <c r="AF669" s="20"/>
    </row>
    <row r="670" spans="1:32" ht="19.5">
      <c r="A670" s="20"/>
      <c r="B670" s="20"/>
      <c r="C670" s="20"/>
      <c r="D670" s="20"/>
      <c r="E670" s="20"/>
      <c r="F670" s="20"/>
      <c r="G670" s="124"/>
      <c r="H670" s="20"/>
      <c r="I670" s="20"/>
      <c r="J670" s="20"/>
      <c r="K670" s="124"/>
      <c r="L670" s="127"/>
      <c r="M670" s="20"/>
      <c r="N670" s="20"/>
      <c r="O670" s="20"/>
      <c r="P670" s="124"/>
      <c r="Q670" s="127"/>
      <c r="R670" s="20"/>
      <c r="S670" s="20"/>
      <c r="T670" s="20"/>
      <c r="U670" s="124"/>
      <c r="V670" s="127"/>
      <c r="W670" s="20"/>
      <c r="X670" s="20"/>
      <c r="Y670" s="20"/>
      <c r="Z670" s="20"/>
      <c r="AA670" s="20"/>
      <c r="AB670" s="20"/>
      <c r="AC670" s="20"/>
      <c r="AD670" s="20"/>
      <c r="AE670" s="20"/>
      <c r="AF670" s="20"/>
    </row>
    <row r="671" spans="1:32" ht="19.5">
      <c r="A671" s="20"/>
      <c r="B671" s="20"/>
      <c r="C671" s="20"/>
      <c r="D671" s="20"/>
      <c r="E671" s="20"/>
      <c r="F671" s="20"/>
      <c r="G671" s="124"/>
      <c r="H671" s="20"/>
      <c r="I671" s="20"/>
      <c r="J671" s="20"/>
      <c r="K671" s="124"/>
      <c r="L671" s="127"/>
      <c r="M671" s="20"/>
      <c r="N671" s="20"/>
      <c r="O671" s="20"/>
      <c r="P671" s="124"/>
      <c r="Q671" s="127"/>
      <c r="R671" s="20"/>
      <c r="S671" s="20"/>
      <c r="T671" s="20"/>
      <c r="U671" s="124"/>
      <c r="V671" s="127"/>
      <c r="W671" s="20"/>
      <c r="X671" s="20"/>
      <c r="Y671" s="20"/>
      <c r="Z671" s="20"/>
      <c r="AA671" s="20"/>
      <c r="AB671" s="20"/>
      <c r="AC671" s="20"/>
      <c r="AD671" s="20"/>
      <c r="AE671" s="20"/>
      <c r="AF671" s="20"/>
    </row>
    <row r="672" spans="1:32" ht="19.5">
      <c r="A672" s="20"/>
      <c r="B672" s="20"/>
      <c r="C672" s="20"/>
      <c r="D672" s="20"/>
      <c r="E672" s="20"/>
      <c r="F672" s="20"/>
      <c r="G672" s="124"/>
      <c r="H672" s="20"/>
      <c r="I672" s="20"/>
      <c r="J672" s="20"/>
      <c r="K672" s="124"/>
      <c r="L672" s="127"/>
      <c r="M672" s="20"/>
      <c r="N672" s="20"/>
      <c r="O672" s="20"/>
      <c r="P672" s="124"/>
      <c r="Q672" s="127"/>
      <c r="R672" s="20"/>
      <c r="S672" s="20"/>
      <c r="T672" s="20"/>
      <c r="U672" s="124"/>
      <c r="V672" s="127"/>
      <c r="W672" s="20"/>
      <c r="X672" s="20"/>
      <c r="Y672" s="20"/>
      <c r="Z672" s="20"/>
      <c r="AA672" s="20"/>
      <c r="AB672" s="20"/>
      <c r="AC672" s="20"/>
      <c r="AD672" s="20"/>
      <c r="AE672" s="20"/>
      <c r="AF672" s="20"/>
    </row>
    <row r="673" spans="1:32" ht="19.5">
      <c r="A673" s="20"/>
      <c r="B673" s="20"/>
      <c r="C673" s="20"/>
      <c r="D673" s="20"/>
      <c r="E673" s="20"/>
      <c r="F673" s="20"/>
      <c r="G673" s="124"/>
      <c r="H673" s="20"/>
      <c r="I673" s="20"/>
      <c r="J673" s="20"/>
      <c r="K673" s="124"/>
      <c r="L673" s="127"/>
      <c r="M673" s="20"/>
      <c r="N673" s="20"/>
      <c r="O673" s="20"/>
      <c r="P673" s="124"/>
      <c r="Q673" s="127"/>
      <c r="R673" s="20"/>
      <c r="S673" s="20"/>
      <c r="T673" s="20"/>
      <c r="U673" s="124"/>
      <c r="V673" s="127"/>
      <c r="W673" s="20"/>
      <c r="X673" s="20"/>
      <c r="Y673" s="20"/>
      <c r="Z673" s="20"/>
      <c r="AA673" s="20"/>
      <c r="AB673" s="20"/>
      <c r="AC673" s="20"/>
      <c r="AD673" s="20"/>
      <c r="AE673" s="20"/>
      <c r="AF673" s="20"/>
    </row>
    <row r="674" spans="1:32" ht="19.5">
      <c r="A674" s="20"/>
      <c r="B674" s="20"/>
      <c r="C674" s="20"/>
      <c r="D674" s="20"/>
      <c r="E674" s="20"/>
      <c r="F674" s="20"/>
      <c r="G674" s="124"/>
      <c r="H674" s="20"/>
      <c r="I674" s="20"/>
      <c r="J674" s="20"/>
      <c r="K674" s="124"/>
      <c r="L674" s="127"/>
      <c r="M674" s="20"/>
      <c r="N674" s="20"/>
      <c r="O674" s="20"/>
      <c r="P674" s="124"/>
      <c r="Q674" s="127"/>
      <c r="R674" s="20"/>
      <c r="S674" s="20"/>
      <c r="T674" s="20"/>
      <c r="U674" s="124"/>
      <c r="V674" s="127"/>
      <c r="W674" s="20"/>
      <c r="X674" s="20"/>
      <c r="Y674" s="20"/>
      <c r="Z674" s="20"/>
      <c r="AA674" s="20"/>
      <c r="AB674" s="20"/>
      <c r="AC674" s="20"/>
      <c r="AD674" s="20"/>
      <c r="AE674" s="20"/>
      <c r="AF674" s="20"/>
    </row>
    <row r="675" spans="1:32" ht="19.5">
      <c r="A675" s="20"/>
      <c r="B675" s="20"/>
      <c r="C675" s="20"/>
      <c r="D675" s="20"/>
      <c r="E675" s="20"/>
      <c r="F675" s="20"/>
      <c r="G675" s="124"/>
      <c r="H675" s="20"/>
      <c r="I675" s="20"/>
      <c r="J675" s="20"/>
      <c r="K675" s="124"/>
      <c r="L675" s="127"/>
      <c r="M675" s="20"/>
      <c r="N675" s="20"/>
      <c r="O675" s="20"/>
      <c r="P675" s="124"/>
      <c r="Q675" s="127"/>
      <c r="R675" s="20"/>
      <c r="S675" s="20"/>
      <c r="T675" s="20"/>
      <c r="U675" s="124"/>
      <c r="V675" s="127"/>
      <c r="W675" s="20"/>
      <c r="X675" s="20"/>
      <c r="Y675" s="20"/>
      <c r="Z675" s="20"/>
      <c r="AA675" s="20"/>
      <c r="AB675" s="20"/>
      <c r="AC675" s="20"/>
      <c r="AD675" s="20"/>
      <c r="AE675" s="20"/>
      <c r="AF675" s="20"/>
    </row>
    <row r="676" spans="1:32" ht="19.5">
      <c r="A676" s="20"/>
      <c r="B676" s="20"/>
      <c r="C676" s="20"/>
      <c r="D676" s="20"/>
      <c r="E676" s="20"/>
      <c r="F676" s="20"/>
      <c r="G676" s="124"/>
      <c r="H676" s="20"/>
      <c r="I676" s="20"/>
      <c r="J676" s="20"/>
      <c r="K676" s="124"/>
      <c r="L676" s="127"/>
      <c r="M676" s="20"/>
      <c r="N676" s="20"/>
      <c r="O676" s="20"/>
      <c r="P676" s="124"/>
      <c r="Q676" s="127"/>
      <c r="R676" s="20"/>
      <c r="S676" s="20"/>
      <c r="T676" s="20"/>
      <c r="U676" s="124"/>
      <c r="V676" s="127"/>
      <c r="W676" s="20"/>
      <c r="X676" s="20"/>
      <c r="Y676" s="20"/>
      <c r="Z676" s="20"/>
      <c r="AA676" s="20"/>
      <c r="AB676" s="20"/>
      <c r="AC676" s="20"/>
      <c r="AD676" s="20"/>
      <c r="AE676" s="20"/>
      <c r="AF676" s="20"/>
    </row>
    <row r="677" spans="1:32" ht="19.5">
      <c r="A677" s="20"/>
      <c r="B677" s="20"/>
      <c r="C677" s="20"/>
      <c r="D677" s="20"/>
      <c r="E677" s="20"/>
      <c r="F677" s="20"/>
      <c r="G677" s="124"/>
      <c r="H677" s="20"/>
      <c r="I677" s="20"/>
      <c r="J677" s="20"/>
      <c r="K677" s="124"/>
      <c r="L677" s="127"/>
      <c r="M677" s="20"/>
      <c r="N677" s="20"/>
      <c r="O677" s="20"/>
      <c r="P677" s="124"/>
      <c r="Q677" s="127"/>
      <c r="R677" s="20"/>
      <c r="S677" s="20"/>
      <c r="T677" s="20"/>
      <c r="U677" s="124"/>
      <c r="V677" s="127"/>
      <c r="W677" s="20"/>
      <c r="X677" s="20"/>
      <c r="Y677" s="20"/>
      <c r="Z677" s="20"/>
      <c r="AA677" s="20"/>
      <c r="AB677" s="20"/>
      <c r="AC677" s="20"/>
      <c r="AD677" s="20"/>
      <c r="AE677" s="20"/>
      <c r="AF677" s="20"/>
    </row>
    <row r="678" spans="1:32" ht="19.5">
      <c r="A678" s="20"/>
      <c r="B678" s="20"/>
      <c r="C678" s="20"/>
      <c r="D678" s="20"/>
      <c r="E678" s="20"/>
      <c r="F678" s="20"/>
      <c r="G678" s="124"/>
      <c r="H678" s="20"/>
      <c r="I678" s="20"/>
      <c r="J678" s="20"/>
      <c r="K678" s="124"/>
      <c r="L678" s="127"/>
      <c r="M678" s="20"/>
      <c r="N678" s="20"/>
      <c r="O678" s="20"/>
      <c r="P678" s="124"/>
      <c r="Q678" s="127"/>
      <c r="R678" s="20"/>
      <c r="S678" s="20"/>
      <c r="T678" s="20"/>
      <c r="U678" s="124"/>
      <c r="V678" s="127"/>
      <c r="W678" s="20"/>
      <c r="X678" s="20"/>
      <c r="Y678" s="20"/>
      <c r="Z678" s="20"/>
      <c r="AA678" s="20"/>
      <c r="AB678" s="20"/>
      <c r="AC678" s="20"/>
      <c r="AD678" s="20"/>
      <c r="AE678" s="20"/>
      <c r="AF678" s="20"/>
    </row>
    <row r="679" spans="1:32" ht="19.5">
      <c r="A679" s="20"/>
      <c r="B679" s="20"/>
      <c r="C679" s="20"/>
      <c r="D679" s="20"/>
      <c r="E679" s="20"/>
      <c r="F679" s="20"/>
      <c r="G679" s="124"/>
      <c r="H679" s="20"/>
      <c r="I679" s="20"/>
      <c r="J679" s="20"/>
      <c r="K679" s="124"/>
      <c r="L679" s="127"/>
      <c r="M679" s="20"/>
      <c r="N679" s="20"/>
      <c r="O679" s="20"/>
      <c r="P679" s="124"/>
      <c r="Q679" s="127"/>
      <c r="R679" s="20"/>
      <c r="S679" s="20"/>
      <c r="T679" s="20"/>
      <c r="U679" s="124"/>
      <c r="V679" s="127"/>
      <c r="W679" s="20"/>
      <c r="X679" s="20"/>
      <c r="Y679" s="20"/>
      <c r="Z679" s="20"/>
      <c r="AA679" s="20"/>
      <c r="AB679" s="20"/>
      <c r="AC679" s="20"/>
      <c r="AD679" s="20"/>
      <c r="AE679" s="20"/>
      <c r="AF679" s="20"/>
    </row>
    <row r="680" spans="1:32" ht="19.5">
      <c r="A680" s="20"/>
      <c r="B680" s="20"/>
      <c r="C680" s="20"/>
      <c r="D680" s="20"/>
      <c r="E680" s="20"/>
      <c r="F680" s="20"/>
      <c r="G680" s="124"/>
      <c r="H680" s="20"/>
      <c r="I680" s="20"/>
      <c r="J680" s="20"/>
      <c r="K680" s="124"/>
      <c r="L680" s="127"/>
      <c r="M680" s="20"/>
      <c r="N680" s="20"/>
      <c r="O680" s="20"/>
      <c r="P680" s="124"/>
      <c r="Q680" s="127"/>
      <c r="R680" s="20"/>
      <c r="S680" s="20"/>
      <c r="T680" s="20"/>
      <c r="U680" s="124"/>
      <c r="V680" s="127"/>
      <c r="W680" s="20"/>
      <c r="X680" s="20"/>
      <c r="Y680" s="20"/>
      <c r="Z680" s="20"/>
      <c r="AA680" s="20"/>
      <c r="AB680" s="20"/>
      <c r="AC680" s="20"/>
      <c r="AD680" s="20"/>
      <c r="AE680" s="20"/>
      <c r="AF680" s="20"/>
    </row>
    <row r="681" spans="1:32" ht="19.5">
      <c r="A681" s="20"/>
      <c r="B681" s="20"/>
      <c r="C681" s="20"/>
      <c r="D681" s="20"/>
      <c r="E681" s="20"/>
      <c r="F681" s="20"/>
      <c r="G681" s="124"/>
      <c r="H681" s="20"/>
      <c r="I681" s="20"/>
      <c r="J681" s="20"/>
      <c r="K681" s="124"/>
      <c r="L681" s="127"/>
      <c r="M681" s="20"/>
      <c r="N681" s="20"/>
      <c r="O681" s="20"/>
      <c r="P681" s="124"/>
      <c r="Q681" s="127"/>
      <c r="R681" s="20"/>
      <c r="S681" s="20"/>
      <c r="T681" s="20"/>
      <c r="U681" s="124"/>
      <c r="V681" s="127"/>
      <c r="W681" s="20"/>
      <c r="X681" s="20"/>
      <c r="Y681" s="20"/>
      <c r="Z681" s="20"/>
      <c r="AA681" s="20"/>
      <c r="AB681" s="20"/>
      <c r="AC681" s="20"/>
      <c r="AD681" s="20"/>
      <c r="AE681" s="20"/>
      <c r="AF681" s="20"/>
    </row>
    <row r="682" spans="1:32" ht="19.5">
      <c r="A682" s="20"/>
      <c r="B682" s="20"/>
      <c r="C682" s="20"/>
      <c r="D682" s="20"/>
      <c r="E682" s="20"/>
      <c r="F682" s="20"/>
      <c r="G682" s="124"/>
      <c r="H682" s="20"/>
      <c r="I682" s="20"/>
      <c r="J682" s="20"/>
      <c r="K682" s="124"/>
      <c r="L682" s="127"/>
      <c r="M682" s="20"/>
      <c r="N682" s="20"/>
      <c r="O682" s="20"/>
      <c r="P682" s="124"/>
      <c r="Q682" s="127"/>
      <c r="R682" s="20"/>
      <c r="S682" s="20"/>
      <c r="T682" s="20"/>
      <c r="U682" s="124"/>
      <c r="V682" s="127"/>
      <c r="W682" s="20"/>
      <c r="X682" s="20"/>
      <c r="Y682" s="20"/>
      <c r="Z682" s="20"/>
      <c r="AA682" s="20"/>
      <c r="AB682" s="20"/>
      <c r="AC682" s="20"/>
      <c r="AD682" s="20"/>
      <c r="AE682" s="20"/>
      <c r="AF682" s="20"/>
    </row>
    <row r="683" spans="1:32" ht="19.5">
      <c r="A683" s="20"/>
      <c r="B683" s="20"/>
      <c r="C683" s="20"/>
      <c r="D683" s="20"/>
      <c r="E683" s="20"/>
      <c r="F683" s="20"/>
      <c r="G683" s="124"/>
      <c r="H683" s="20"/>
      <c r="I683" s="20"/>
      <c r="J683" s="20"/>
      <c r="K683" s="124"/>
      <c r="L683" s="127"/>
      <c r="M683" s="20"/>
      <c r="N683" s="20"/>
      <c r="O683" s="20"/>
      <c r="P683" s="124"/>
      <c r="Q683" s="127"/>
      <c r="R683" s="20"/>
      <c r="S683" s="20"/>
      <c r="T683" s="20"/>
      <c r="U683" s="124"/>
      <c r="V683" s="127"/>
      <c r="W683" s="20"/>
      <c r="X683" s="20"/>
      <c r="Y683" s="20"/>
      <c r="Z683" s="20"/>
      <c r="AA683" s="20"/>
      <c r="AB683" s="20"/>
      <c r="AC683" s="20"/>
      <c r="AD683" s="20"/>
      <c r="AE683" s="20"/>
      <c r="AF683" s="20"/>
    </row>
    <row r="684" spans="1:32" ht="19.5">
      <c r="A684" s="20"/>
      <c r="B684" s="20"/>
      <c r="C684" s="20"/>
      <c r="D684" s="20"/>
      <c r="E684" s="20"/>
      <c r="F684" s="20"/>
      <c r="G684" s="124"/>
      <c r="H684" s="20"/>
      <c r="I684" s="20"/>
      <c r="J684" s="20"/>
      <c r="K684" s="124"/>
      <c r="L684" s="127"/>
      <c r="M684" s="20"/>
      <c r="N684" s="20"/>
      <c r="O684" s="20"/>
      <c r="P684" s="124"/>
      <c r="Q684" s="127"/>
      <c r="R684" s="20"/>
      <c r="S684" s="20"/>
      <c r="T684" s="20"/>
      <c r="U684" s="124"/>
      <c r="V684" s="127"/>
      <c r="W684" s="20"/>
      <c r="X684" s="20"/>
      <c r="Y684" s="20"/>
      <c r="Z684" s="20"/>
      <c r="AA684" s="20"/>
      <c r="AB684" s="20"/>
      <c r="AC684" s="20"/>
      <c r="AD684" s="20"/>
      <c r="AE684" s="20"/>
      <c r="AF684" s="20"/>
    </row>
    <row r="685" spans="1:32" ht="19.5">
      <c r="A685" s="20"/>
      <c r="B685" s="20"/>
      <c r="C685" s="20"/>
      <c r="D685" s="20"/>
      <c r="E685" s="20"/>
      <c r="F685" s="20"/>
      <c r="G685" s="124"/>
      <c r="H685" s="20"/>
      <c r="I685" s="20"/>
      <c r="J685" s="20"/>
      <c r="K685" s="124"/>
      <c r="L685" s="127"/>
      <c r="M685" s="20"/>
      <c r="N685" s="20"/>
      <c r="O685" s="20"/>
      <c r="P685" s="124"/>
      <c r="Q685" s="127"/>
      <c r="R685" s="20"/>
      <c r="S685" s="20"/>
      <c r="T685" s="20"/>
      <c r="U685" s="124"/>
      <c r="V685" s="127"/>
      <c r="W685" s="20"/>
      <c r="X685" s="20"/>
      <c r="Y685" s="20"/>
      <c r="Z685" s="20"/>
      <c r="AA685" s="20"/>
      <c r="AB685" s="20"/>
      <c r="AC685" s="20"/>
      <c r="AD685" s="20"/>
      <c r="AE685" s="20"/>
      <c r="AF685" s="20"/>
    </row>
    <row r="686" spans="1:32" ht="19.5">
      <c r="A686" s="20"/>
      <c r="B686" s="20"/>
      <c r="C686" s="20"/>
      <c r="D686" s="20"/>
      <c r="E686" s="20"/>
      <c r="F686" s="20"/>
      <c r="G686" s="124"/>
      <c r="H686" s="20"/>
      <c r="I686" s="20"/>
      <c r="J686" s="20"/>
      <c r="K686" s="124"/>
      <c r="L686" s="127"/>
      <c r="M686" s="20"/>
      <c r="N686" s="20"/>
      <c r="O686" s="20"/>
      <c r="P686" s="124"/>
      <c r="Q686" s="127"/>
      <c r="R686" s="20"/>
      <c r="S686" s="20"/>
      <c r="T686" s="20"/>
      <c r="U686" s="124"/>
      <c r="V686" s="127"/>
      <c r="W686" s="20"/>
      <c r="X686" s="20"/>
      <c r="Y686" s="20"/>
      <c r="Z686" s="20"/>
      <c r="AA686" s="20"/>
      <c r="AB686" s="20"/>
      <c r="AC686" s="20"/>
      <c r="AD686" s="20"/>
      <c r="AE686" s="20"/>
      <c r="AF686" s="20"/>
    </row>
    <row r="687" spans="1:32" ht="19.5">
      <c r="A687" s="20"/>
      <c r="B687" s="20"/>
      <c r="C687" s="20"/>
      <c r="D687" s="20"/>
      <c r="E687" s="20"/>
      <c r="F687" s="20"/>
      <c r="G687" s="124"/>
      <c r="H687" s="20"/>
      <c r="I687" s="20"/>
      <c r="J687" s="20"/>
      <c r="K687" s="124"/>
      <c r="L687" s="127"/>
      <c r="M687" s="20"/>
      <c r="N687" s="20"/>
      <c r="O687" s="20"/>
      <c r="P687" s="124"/>
      <c r="Q687" s="127"/>
      <c r="R687" s="20"/>
      <c r="S687" s="20"/>
      <c r="T687" s="20"/>
      <c r="U687" s="124"/>
      <c r="V687" s="127"/>
      <c r="W687" s="20"/>
      <c r="X687" s="20"/>
      <c r="Y687" s="20"/>
      <c r="Z687" s="20"/>
      <c r="AA687" s="20"/>
      <c r="AB687" s="20"/>
      <c r="AC687" s="20"/>
      <c r="AD687" s="20"/>
      <c r="AE687" s="20"/>
      <c r="AF687" s="20"/>
    </row>
    <row r="688" spans="1:32" ht="19.5">
      <c r="A688" s="20"/>
      <c r="B688" s="20"/>
      <c r="C688" s="20"/>
      <c r="D688" s="20"/>
      <c r="E688" s="20"/>
      <c r="F688" s="20"/>
      <c r="G688" s="124"/>
      <c r="H688" s="20"/>
      <c r="I688" s="20"/>
      <c r="J688" s="20"/>
      <c r="K688" s="124"/>
      <c r="L688" s="127"/>
      <c r="M688" s="20"/>
      <c r="N688" s="20"/>
      <c r="O688" s="20"/>
      <c r="P688" s="124"/>
      <c r="Q688" s="127"/>
      <c r="R688" s="20"/>
      <c r="S688" s="20"/>
      <c r="T688" s="20"/>
      <c r="U688" s="124"/>
      <c r="V688" s="127"/>
      <c r="W688" s="20"/>
      <c r="X688" s="20"/>
      <c r="Y688" s="20"/>
      <c r="Z688" s="20"/>
      <c r="AA688" s="20"/>
      <c r="AB688" s="20"/>
      <c r="AC688" s="20"/>
      <c r="AD688" s="20"/>
      <c r="AE688" s="20"/>
      <c r="AF688" s="20"/>
    </row>
    <row r="689" spans="1:32" ht="19.5">
      <c r="A689" s="20"/>
      <c r="B689" s="20"/>
      <c r="C689" s="20"/>
      <c r="D689" s="20"/>
      <c r="E689" s="20"/>
      <c r="F689" s="20"/>
      <c r="G689" s="124"/>
      <c r="H689" s="20"/>
      <c r="I689" s="20"/>
      <c r="J689" s="20"/>
      <c r="K689" s="124"/>
      <c r="L689" s="127"/>
      <c r="M689" s="20"/>
      <c r="N689" s="20"/>
      <c r="O689" s="20"/>
      <c r="P689" s="124"/>
      <c r="Q689" s="127"/>
      <c r="R689" s="20"/>
      <c r="S689" s="20"/>
      <c r="T689" s="20"/>
      <c r="U689" s="124"/>
      <c r="V689" s="127"/>
      <c r="W689" s="20"/>
      <c r="X689" s="20"/>
      <c r="Y689" s="20"/>
      <c r="Z689" s="20"/>
      <c r="AA689" s="20"/>
      <c r="AB689" s="20"/>
      <c r="AC689" s="20"/>
      <c r="AD689" s="20"/>
      <c r="AE689" s="20"/>
      <c r="AF689" s="20"/>
    </row>
    <row r="690" spans="1:32" ht="19.5">
      <c r="A690" s="20"/>
      <c r="B690" s="20"/>
      <c r="C690" s="20"/>
      <c r="D690" s="20"/>
      <c r="E690" s="20"/>
      <c r="F690" s="20"/>
      <c r="G690" s="124"/>
      <c r="H690" s="20"/>
      <c r="I690" s="20"/>
      <c r="J690" s="20"/>
      <c r="K690" s="124"/>
      <c r="L690" s="127"/>
      <c r="M690" s="20"/>
      <c r="N690" s="20"/>
      <c r="O690" s="20"/>
      <c r="P690" s="124"/>
      <c r="Q690" s="127"/>
      <c r="R690" s="20"/>
      <c r="S690" s="20"/>
      <c r="T690" s="20"/>
      <c r="U690" s="124"/>
      <c r="V690" s="127"/>
      <c r="W690" s="20"/>
      <c r="X690" s="20"/>
      <c r="Y690" s="20"/>
      <c r="Z690" s="20"/>
      <c r="AA690" s="20"/>
      <c r="AB690" s="20"/>
      <c r="AC690" s="20"/>
      <c r="AD690" s="20"/>
      <c r="AE690" s="20"/>
      <c r="AF690" s="20"/>
    </row>
    <row r="691" spans="1:32" ht="19.5">
      <c r="A691" s="20"/>
      <c r="B691" s="20"/>
      <c r="C691" s="20"/>
      <c r="D691" s="20"/>
      <c r="E691" s="20"/>
      <c r="F691" s="20"/>
      <c r="G691" s="124"/>
      <c r="H691" s="20"/>
      <c r="I691" s="20"/>
      <c r="J691" s="20"/>
      <c r="K691" s="124"/>
      <c r="L691" s="127"/>
      <c r="M691" s="20"/>
      <c r="N691" s="20"/>
      <c r="O691" s="20"/>
      <c r="P691" s="124"/>
      <c r="Q691" s="127"/>
      <c r="R691" s="20"/>
      <c r="S691" s="20"/>
      <c r="T691" s="20"/>
      <c r="U691" s="124"/>
      <c r="V691" s="127"/>
      <c r="W691" s="20"/>
      <c r="X691" s="20"/>
      <c r="Y691" s="20"/>
      <c r="Z691" s="20"/>
      <c r="AA691" s="20"/>
      <c r="AB691" s="20"/>
      <c r="AC691" s="20"/>
      <c r="AD691" s="20"/>
      <c r="AE691" s="20"/>
      <c r="AF691" s="20"/>
    </row>
    <row r="692" spans="1:32" ht="19.5">
      <c r="A692" s="20"/>
      <c r="B692" s="20"/>
      <c r="C692" s="20"/>
      <c r="D692" s="20"/>
      <c r="E692" s="20"/>
      <c r="F692" s="20"/>
      <c r="G692" s="124"/>
      <c r="H692" s="20"/>
      <c r="I692" s="20"/>
      <c r="J692" s="20"/>
      <c r="K692" s="124"/>
      <c r="L692" s="127"/>
      <c r="M692" s="20"/>
      <c r="N692" s="20"/>
      <c r="O692" s="20"/>
      <c r="P692" s="124"/>
      <c r="Q692" s="127"/>
      <c r="R692" s="20"/>
      <c r="S692" s="20"/>
      <c r="T692" s="20"/>
      <c r="U692" s="124"/>
      <c r="V692" s="127"/>
      <c r="W692" s="20"/>
      <c r="X692" s="20"/>
      <c r="Y692" s="20"/>
      <c r="Z692" s="20"/>
      <c r="AA692" s="20"/>
      <c r="AB692" s="20"/>
      <c r="AC692" s="20"/>
      <c r="AD692" s="20"/>
      <c r="AE692" s="20"/>
      <c r="AF692" s="20"/>
    </row>
    <row r="693" spans="1:32" ht="19.5">
      <c r="A693" s="20"/>
      <c r="B693" s="20"/>
      <c r="C693" s="20"/>
      <c r="D693" s="20"/>
      <c r="E693" s="20"/>
      <c r="F693" s="20"/>
      <c r="G693" s="124"/>
      <c r="H693" s="20"/>
      <c r="I693" s="20"/>
      <c r="J693" s="20"/>
      <c r="K693" s="124"/>
      <c r="L693" s="127"/>
      <c r="M693" s="20"/>
      <c r="N693" s="20"/>
      <c r="O693" s="20"/>
      <c r="P693" s="124"/>
      <c r="Q693" s="127"/>
      <c r="R693" s="20"/>
      <c r="S693" s="20"/>
      <c r="T693" s="20"/>
      <c r="U693" s="124"/>
      <c r="V693" s="127"/>
      <c r="W693" s="20"/>
      <c r="X693" s="20"/>
      <c r="Y693" s="20"/>
      <c r="Z693" s="20"/>
      <c r="AA693" s="20"/>
      <c r="AB693" s="20"/>
      <c r="AC693" s="20"/>
      <c r="AD693" s="20"/>
      <c r="AE693" s="20"/>
      <c r="AF693" s="20"/>
    </row>
    <row r="694" spans="1:32" ht="19.5">
      <c r="A694" s="20"/>
      <c r="B694" s="20"/>
      <c r="C694" s="20"/>
      <c r="D694" s="20"/>
      <c r="E694" s="20"/>
      <c r="F694" s="20"/>
      <c r="G694" s="124"/>
      <c r="H694" s="20"/>
      <c r="I694" s="20"/>
      <c r="J694" s="20"/>
      <c r="K694" s="124"/>
      <c r="L694" s="127"/>
      <c r="M694" s="20"/>
      <c r="N694" s="20"/>
      <c r="O694" s="20"/>
      <c r="P694" s="124"/>
      <c r="Q694" s="127"/>
      <c r="R694" s="20"/>
      <c r="S694" s="20"/>
      <c r="T694" s="20"/>
      <c r="U694" s="124"/>
      <c r="V694" s="127"/>
      <c r="W694" s="20"/>
      <c r="X694" s="20"/>
      <c r="Y694" s="20"/>
      <c r="Z694" s="20"/>
      <c r="AA694" s="20"/>
      <c r="AB694" s="20"/>
      <c r="AC694" s="20"/>
      <c r="AD694" s="20"/>
      <c r="AE694" s="20"/>
      <c r="AF694" s="20"/>
    </row>
    <row r="695" spans="1:32" ht="19.5">
      <c r="A695" s="20"/>
      <c r="B695" s="20"/>
      <c r="C695" s="20"/>
      <c r="D695" s="20"/>
      <c r="E695" s="20"/>
      <c r="F695" s="20"/>
      <c r="G695" s="124"/>
      <c r="H695" s="20"/>
      <c r="I695" s="20"/>
      <c r="J695" s="20"/>
      <c r="K695" s="124"/>
      <c r="L695" s="127"/>
      <c r="M695" s="20"/>
      <c r="N695" s="20"/>
      <c r="O695" s="20"/>
      <c r="P695" s="124"/>
      <c r="Q695" s="127"/>
      <c r="R695" s="20"/>
      <c r="S695" s="20"/>
      <c r="T695" s="20"/>
      <c r="U695" s="124"/>
      <c r="V695" s="127"/>
      <c r="W695" s="20"/>
      <c r="X695" s="20"/>
      <c r="Y695" s="20"/>
      <c r="Z695" s="20"/>
      <c r="AA695" s="20"/>
      <c r="AB695" s="20"/>
      <c r="AC695" s="20"/>
      <c r="AD695" s="20"/>
      <c r="AE695" s="20"/>
      <c r="AF695" s="20"/>
    </row>
    <row r="696" spans="1:32" ht="19.5">
      <c r="A696" s="20"/>
      <c r="B696" s="20"/>
      <c r="C696" s="20"/>
      <c r="D696" s="20"/>
      <c r="E696" s="20"/>
      <c r="F696" s="20"/>
      <c r="G696" s="124"/>
      <c r="H696" s="20"/>
      <c r="I696" s="20"/>
      <c r="J696" s="20"/>
      <c r="K696" s="124"/>
      <c r="L696" s="127"/>
      <c r="M696" s="20"/>
      <c r="N696" s="20"/>
      <c r="O696" s="20"/>
      <c r="P696" s="124"/>
      <c r="Q696" s="127"/>
      <c r="R696" s="20"/>
      <c r="S696" s="20"/>
      <c r="T696" s="20"/>
      <c r="U696" s="124"/>
      <c r="V696" s="127"/>
      <c r="W696" s="20"/>
      <c r="X696" s="20"/>
      <c r="Y696" s="20"/>
      <c r="Z696" s="20"/>
      <c r="AA696" s="20"/>
      <c r="AB696" s="20"/>
      <c r="AC696" s="20"/>
      <c r="AD696" s="20"/>
      <c r="AE696" s="20"/>
      <c r="AF696" s="20"/>
    </row>
    <row r="697" spans="1:32" ht="19.5">
      <c r="A697" s="20"/>
      <c r="B697" s="20"/>
      <c r="C697" s="20"/>
      <c r="D697" s="20"/>
      <c r="E697" s="20"/>
      <c r="F697" s="20"/>
      <c r="G697" s="124"/>
      <c r="H697" s="20"/>
      <c r="I697" s="20"/>
      <c r="J697" s="20"/>
      <c r="K697" s="124"/>
      <c r="L697" s="127"/>
      <c r="M697" s="20"/>
      <c r="N697" s="20"/>
      <c r="O697" s="20"/>
      <c r="P697" s="124"/>
      <c r="Q697" s="127"/>
      <c r="R697" s="20"/>
      <c r="S697" s="20"/>
      <c r="T697" s="20"/>
      <c r="U697" s="124"/>
      <c r="V697" s="127"/>
      <c r="W697" s="20"/>
      <c r="X697" s="20"/>
      <c r="Y697" s="20"/>
      <c r="Z697" s="20"/>
      <c r="AA697" s="20"/>
      <c r="AB697" s="20"/>
      <c r="AC697" s="20"/>
      <c r="AD697" s="20"/>
      <c r="AE697" s="20"/>
      <c r="AF697" s="20"/>
    </row>
    <row r="698" spans="1:32" ht="19.5">
      <c r="A698" s="20"/>
      <c r="B698" s="20"/>
      <c r="C698" s="20"/>
      <c r="D698" s="20"/>
      <c r="E698" s="20"/>
      <c r="F698" s="20"/>
      <c r="G698" s="124"/>
      <c r="H698" s="20"/>
      <c r="I698" s="20"/>
      <c r="J698" s="20"/>
      <c r="K698" s="124"/>
      <c r="L698" s="127"/>
      <c r="M698" s="20"/>
      <c r="N698" s="20"/>
      <c r="O698" s="20"/>
      <c r="P698" s="124"/>
      <c r="Q698" s="127"/>
      <c r="R698" s="20"/>
      <c r="S698" s="20"/>
      <c r="T698" s="20"/>
      <c r="U698" s="124"/>
      <c r="V698" s="127"/>
      <c r="W698" s="20"/>
      <c r="X698" s="20"/>
      <c r="Y698" s="20"/>
      <c r="Z698" s="20"/>
      <c r="AA698" s="20"/>
      <c r="AB698" s="20"/>
      <c r="AC698" s="20"/>
      <c r="AD698" s="20"/>
      <c r="AE698" s="20"/>
      <c r="AF698" s="20"/>
    </row>
    <row r="699" spans="1:32" ht="19.5">
      <c r="A699" s="20"/>
      <c r="B699" s="20"/>
      <c r="C699" s="20"/>
      <c r="D699" s="20"/>
      <c r="E699" s="20"/>
      <c r="F699" s="20"/>
      <c r="G699" s="124"/>
      <c r="H699" s="20"/>
      <c r="I699" s="20"/>
      <c r="J699" s="20"/>
      <c r="K699" s="124"/>
      <c r="L699" s="127"/>
      <c r="M699" s="20"/>
      <c r="N699" s="20"/>
      <c r="O699" s="20"/>
      <c r="P699" s="124"/>
      <c r="Q699" s="127"/>
      <c r="R699" s="20"/>
      <c r="S699" s="20"/>
      <c r="T699" s="20"/>
      <c r="U699" s="124"/>
      <c r="V699" s="127"/>
      <c r="W699" s="20"/>
      <c r="X699" s="20"/>
      <c r="Y699" s="20"/>
      <c r="Z699" s="20"/>
      <c r="AA699" s="20"/>
      <c r="AB699" s="20"/>
      <c r="AC699" s="20"/>
      <c r="AD699" s="20"/>
      <c r="AE699" s="20"/>
      <c r="AF699" s="20"/>
    </row>
    <row r="700" spans="1:32" ht="19.5">
      <c r="A700" s="20"/>
      <c r="B700" s="20"/>
      <c r="C700" s="20"/>
      <c r="D700" s="20"/>
      <c r="E700" s="20"/>
      <c r="F700" s="20"/>
      <c r="G700" s="124"/>
      <c r="H700" s="20"/>
      <c r="I700" s="20"/>
      <c r="J700" s="20"/>
      <c r="K700" s="124"/>
      <c r="L700" s="127"/>
      <c r="M700" s="20"/>
      <c r="N700" s="20"/>
      <c r="O700" s="20"/>
      <c r="P700" s="124"/>
      <c r="Q700" s="127"/>
      <c r="R700" s="20"/>
      <c r="S700" s="20"/>
      <c r="T700" s="20"/>
      <c r="U700" s="124"/>
      <c r="V700" s="127"/>
      <c r="W700" s="20"/>
      <c r="X700" s="20"/>
      <c r="Y700" s="20"/>
      <c r="Z700" s="20"/>
      <c r="AA700" s="20"/>
      <c r="AB700" s="20"/>
      <c r="AC700" s="20"/>
      <c r="AD700" s="20"/>
      <c r="AE700" s="20"/>
      <c r="AF700" s="20"/>
    </row>
    <row r="701" spans="1:32" ht="19.5">
      <c r="A701" s="20"/>
      <c r="B701" s="20"/>
      <c r="C701" s="20"/>
      <c r="D701" s="20"/>
      <c r="E701" s="20"/>
      <c r="F701" s="20"/>
      <c r="G701" s="124"/>
      <c r="H701" s="20"/>
      <c r="I701" s="20"/>
      <c r="J701" s="20"/>
      <c r="K701" s="124"/>
      <c r="L701" s="127"/>
      <c r="M701" s="20"/>
      <c r="N701" s="20"/>
      <c r="O701" s="20"/>
      <c r="P701" s="124"/>
      <c r="Q701" s="127"/>
      <c r="R701" s="20"/>
      <c r="S701" s="20"/>
      <c r="T701" s="20"/>
      <c r="U701" s="124"/>
      <c r="V701" s="127"/>
      <c r="W701" s="20"/>
      <c r="X701" s="20"/>
      <c r="Y701" s="20"/>
      <c r="Z701" s="20"/>
      <c r="AA701" s="20"/>
      <c r="AB701" s="20"/>
      <c r="AC701" s="20"/>
      <c r="AD701" s="20"/>
      <c r="AE701" s="20"/>
      <c r="AF701" s="20"/>
    </row>
    <row r="702" spans="1:32" ht="19.5">
      <c r="A702" s="20"/>
      <c r="B702" s="20"/>
      <c r="C702" s="20"/>
      <c r="D702" s="20"/>
      <c r="E702" s="20"/>
      <c r="F702" s="20"/>
      <c r="G702" s="124"/>
      <c r="H702" s="20"/>
      <c r="I702" s="20"/>
      <c r="J702" s="20"/>
      <c r="K702" s="124"/>
      <c r="L702" s="127"/>
      <c r="M702" s="20"/>
      <c r="N702" s="20"/>
      <c r="O702" s="20"/>
      <c r="P702" s="124"/>
      <c r="Q702" s="127"/>
      <c r="R702" s="20"/>
      <c r="S702" s="20"/>
      <c r="T702" s="20"/>
      <c r="U702" s="124"/>
      <c r="V702" s="127"/>
      <c r="W702" s="20"/>
      <c r="X702" s="20"/>
      <c r="Y702" s="20"/>
      <c r="Z702" s="20"/>
      <c r="AA702" s="20"/>
      <c r="AB702" s="20"/>
      <c r="AC702" s="20"/>
      <c r="AD702" s="20"/>
      <c r="AE702" s="20"/>
      <c r="AF702" s="20"/>
    </row>
    <row r="703" spans="1:32" ht="19.5">
      <c r="A703" s="20"/>
      <c r="B703" s="20"/>
      <c r="C703" s="20"/>
      <c r="D703" s="20"/>
      <c r="E703" s="20"/>
      <c r="F703" s="20"/>
      <c r="G703" s="124"/>
      <c r="H703" s="20"/>
      <c r="I703" s="20"/>
      <c r="J703" s="20"/>
      <c r="K703" s="124"/>
      <c r="L703" s="127"/>
      <c r="M703" s="20"/>
      <c r="N703" s="20"/>
      <c r="O703" s="20"/>
      <c r="P703" s="124"/>
      <c r="Q703" s="127"/>
      <c r="R703" s="20"/>
      <c r="S703" s="20"/>
      <c r="T703" s="20"/>
      <c r="U703" s="124"/>
      <c r="V703" s="127"/>
      <c r="W703" s="20"/>
      <c r="X703" s="20"/>
      <c r="Y703" s="20"/>
      <c r="Z703" s="20"/>
      <c r="AA703" s="20"/>
      <c r="AB703" s="20"/>
      <c r="AC703" s="20"/>
      <c r="AD703" s="20"/>
      <c r="AE703" s="20"/>
      <c r="AF703" s="20"/>
    </row>
    <row r="704" spans="1:32" ht="19.5">
      <c r="A704" s="20"/>
      <c r="B704" s="20"/>
      <c r="C704" s="20"/>
      <c r="D704" s="20"/>
      <c r="E704" s="20"/>
      <c r="F704" s="20"/>
      <c r="G704" s="124"/>
      <c r="H704" s="20"/>
      <c r="I704" s="20"/>
      <c r="J704" s="20"/>
      <c r="K704" s="124"/>
      <c r="L704" s="127"/>
      <c r="M704" s="20"/>
      <c r="N704" s="20"/>
      <c r="O704" s="20"/>
      <c r="P704" s="124"/>
      <c r="Q704" s="127"/>
      <c r="R704" s="20"/>
      <c r="S704" s="20"/>
      <c r="T704" s="20"/>
      <c r="U704" s="124"/>
      <c r="V704" s="127"/>
      <c r="W704" s="20"/>
      <c r="X704" s="20"/>
      <c r="Y704" s="20"/>
      <c r="Z704" s="20"/>
      <c r="AA704" s="20"/>
      <c r="AB704" s="20"/>
      <c r="AC704" s="20"/>
      <c r="AD704" s="20"/>
      <c r="AE704" s="20"/>
      <c r="AF704" s="20"/>
    </row>
    <row r="705" spans="1:32" ht="19.5">
      <c r="A705" s="20"/>
      <c r="B705" s="20"/>
      <c r="C705" s="20"/>
      <c r="D705" s="20"/>
      <c r="E705" s="20"/>
      <c r="F705" s="20"/>
      <c r="G705" s="124"/>
      <c r="H705" s="20"/>
      <c r="I705" s="20"/>
      <c r="J705" s="20"/>
      <c r="K705" s="124"/>
      <c r="L705" s="127"/>
      <c r="M705" s="20"/>
      <c r="N705" s="20"/>
      <c r="O705" s="20"/>
      <c r="P705" s="124"/>
      <c r="Q705" s="127"/>
      <c r="R705" s="20"/>
      <c r="S705" s="20"/>
      <c r="T705" s="20"/>
      <c r="U705" s="124"/>
      <c r="V705" s="127"/>
      <c r="W705" s="20"/>
      <c r="X705" s="20"/>
      <c r="Y705" s="20"/>
      <c r="Z705" s="20"/>
      <c r="AA705" s="20"/>
      <c r="AB705" s="20"/>
      <c r="AC705" s="20"/>
      <c r="AD705" s="20"/>
      <c r="AE705" s="20"/>
      <c r="AF705" s="20"/>
    </row>
    <row r="706" spans="1:32" ht="19.5">
      <c r="A706" s="20"/>
      <c r="B706" s="20"/>
      <c r="C706" s="20"/>
      <c r="D706" s="20"/>
      <c r="E706" s="20"/>
      <c r="F706" s="20"/>
      <c r="G706" s="124"/>
      <c r="H706" s="20"/>
      <c r="I706" s="20"/>
      <c r="J706" s="20"/>
      <c r="K706" s="124"/>
      <c r="L706" s="127"/>
      <c r="M706" s="20"/>
      <c r="N706" s="20"/>
      <c r="O706" s="20"/>
      <c r="P706" s="124"/>
      <c r="Q706" s="127"/>
      <c r="R706" s="20"/>
      <c r="S706" s="20"/>
      <c r="T706" s="20"/>
      <c r="U706" s="124"/>
      <c r="V706" s="127"/>
      <c r="W706" s="20"/>
      <c r="X706" s="20"/>
      <c r="Y706" s="20"/>
      <c r="Z706" s="20"/>
      <c r="AA706" s="20"/>
      <c r="AB706" s="20"/>
      <c r="AC706" s="20"/>
      <c r="AD706" s="20"/>
      <c r="AE706" s="20"/>
      <c r="AF706" s="20"/>
    </row>
    <row r="707" spans="1:32" ht="19.5">
      <c r="A707" s="20"/>
      <c r="B707" s="20"/>
      <c r="C707" s="20"/>
      <c r="D707" s="20"/>
      <c r="E707" s="20"/>
      <c r="F707" s="20"/>
      <c r="G707" s="124"/>
      <c r="H707" s="20"/>
      <c r="I707" s="20"/>
      <c r="J707" s="20"/>
      <c r="K707" s="124"/>
      <c r="L707" s="127"/>
      <c r="M707" s="20"/>
      <c r="N707" s="20"/>
      <c r="O707" s="20"/>
      <c r="P707" s="124"/>
      <c r="Q707" s="127"/>
      <c r="R707" s="20"/>
      <c r="S707" s="20"/>
      <c r="T707" s="20"/>
      <c r="U707" s="124"/>
      <c r="V707" s="127"/>
      <c r="W707" s="20"/>
      <c r="X707" s="20"/>
      <c r="Y707" s="20"/>
      <c r="Z707" s="20"/>
      <c r="AA707" s="20"/>
      <c r="AB707" s="20"/>
      <c r="AC707" s="20"/>
      <c r="AD707" s="20"/>
      <c r="AE707" s="20"/>
      <c r="AF707" s="20"/>
    </row>
    <row r="708" spans="1:32" ht="19.5">
      <c r="A708" s="20"/>
      <c r="B708" s="20"/>
      <c r="C708" s="20"/>
      <c r="D708" s="20"/>
      <c r="E708" s="20"/>
      <c r="F708" s="20"/>
      <c r="G708" s="124"/>
      <c r="H708" s="20"/>
      <c r="I708" s="20"/>
      <c r="J708" s="20"/>
      <c r="K708" s="124"/>
      <c r="L708" s="127"/>
      <c r="M708" s="20"/>
      <c r="N708" s="20"/>
      <c r="O708" s="20"/>
      <c r="P708" s="124"/>
      <c r="Q708" s="127"/>
      <c r="R708" s="20"/>
      <c r="S708" s="20"/>
      <c r="T708" s="20"/>
      <c r="U708" s="124"/>
      <c r="V708" s="127"/>
      <c r="W708" s="20"/>
      <c r="X708" s="20"/>
      <c r="Y708" s="20"/>
      <c r="Z708" s="20"/>
      <c r="AA708" s="20"/>
      <c r="AB708" s="20"/>
      <c r="AC708" s="20"/>
      <c r="AD708" s="20"/>
      <c r="AE708" s="20"/>
      <c r="AF708" s="20"/>
    </row>
    <row r="709" spans="1:32" ht="19.5">
      <c r="A709" s="20"/>
      <c r="B709" s="20"/>
      <c r="C709" s="20"/>
      <c r="D709" s="20"/>
      <c r="E709" s="20"/>
      <c r="F709" s="20"/>
      <c r="G709" s="124"/>
      <c r="H709" s="20"/>
      <c r="I709" s="20"/>
      <c r="J709" s="20"/>
      <c r="K709" s="124"/>
      <c r="L709" s="127"/>
      <c r="M709" s="20"/>
      <c r="N709" s="20"/>
      <c r="O709" s="20"/>
      <c r="P709" s="124"/>
      <c r="Q709" s="127"/>
      <c r="R709" s="20"/>
      <c r="S709" s="20"/>
      <c r="T709" s="20"/>
      <c r="U709" s="124"/>
      <c r="V709" s="127"/>
      <c r="W709" s="20"/>
      <c r="X709" s="20"/>
      <c r="Y709" s="20"/>
      <c r="Z709" s="20"/>
      <c r="AA709" s="20"/>
      <c r="AB709" s="20"/>
      <c r="AC709" s="20"/>
      <c r="AD709" s="20"/>
      <c r="AE709" s="20"/>
      <c r="AF709" s="20"/>
    </row>
    <row r="710" spans="1:32" ht="19.5">
      <c r="A710" s="20"/>
      <c r="B710" s="20"/>
      <c r="C710" s="20"/>
      <c r="D710" s="20"/>
      <c r="E710" s="20"/>
      <c r="F710" s="20"/>
      <c r="G710" s="124"/>
      <c r="H710" s="20"/>
      <c r="I710" s="20"/>
      <c r="J710" s="20"/>
      <c r="K710" s="124"/>
      <c r="L710" s="127"/>
      <c r="M710" s="20"/>
      <c r="N710" s="20"/>
      <c r="O710" s="20"/>
      <c r="P710" s="124"/>
      <c r="Q710" s="127"/>
      <c r="R710" s="20"/>
      <c r="S710" s="20"/>
      <c r="T710" s="20"/>
      <c r="U710" s="124"/>
      <c r="V710" s="127"/>
      <c r="W710" s="20"/>
      <c r="X710" s="20"/>
      <c r="Y710" s="20"/>
      <c r="Z710" s="20"/>
      <c r="AA710" s="20"/>
      <c r="AB710" s="20"/>
      <c r="AC710" s="20"/>
      <c r="AD710" s="20"/>
      <c r="AE710" s="20"/>
      <c r="AF710" s="20"/>
    </row>
    <row r="711" spans="1:32" ht="19.5">
      <c r="A711" s="20"/>
      <c r="B711" s="20"/>
      <c r="C711" s="20"/>
      <c r="D711" s="20"/>
      <c r="E711" s="20"/>
      <c r="F711" s="20"/>
      <c r="G711" s="124"/>
      <c r="H711" s="20"/>
      <c r="I711" s="20"/>
      <c r="J711" s="20"/>
      <c r="K711" s="124"/>
      <c r="L711" s="127"/>
      <c r="M711" s="20"/>
      <c r="N711" s="20"/>
      <c r="O711" s="20"/>
      <c r="P711" s="124"/>
      <c r="Q711" s="127"/>
      <c r="R711" s="20"/>
      <c r="S711" s="20"/>
      <c r="T711" s="20"/>
      <c r="U711" s="124"/>
      <c r="V711" s="127"/>
      <c r="W711" s="20"/>
      <c r="X711" s="20"/>
      <c r="Y711" s="20"/>
      <c r="Z711" s="20"/>
      <c r="AA711" s="20"/>
      <c r="AB711" s="20"/>
      <c r="AC711" s="20"/>
      <c r="AD711" s="20"/>
      <c r="AE711" s="20"/>
      <c r="AF711" s="20"/>
    </row>
    <row r="712" spans="1:32" ht="19.5">
      <c r="A712" s="20"/>
      <c r="B712" s="20"/>
      <c r="C712" s="20"/>
      <c r="D712" s="20"/>
      <c r="E712" s="20"/>
      <c r="F712" s="20"/>
      <c r="G712" s="124"/>
      <c r="H712" s="20"/>
      <c r="I712" s="20"/>
      <c r="J712" s="20"/>
      <c r="K712" s="124"/>
      <c r="L712" s="127"/>
      <c r="M712" s="20"/>
      <c r="N712" s="20"/>
      <c r="O712" s="20"/>
      <c r="P712" s="124"/>
      <c r="Q712" s="127"/>
      <c r="R712" s="20"/>
      <c r="S712" s="20"/>
      <c r="T712" s="20"/>
      <c r="U712" s="124"/>
      <c r="V712" s="127"/>
      <c r="W712" s="20"/>
      <c r="X712" s="20"/>
      <c r="Y712" s="20"/>
      <c r="Z712" s="20"/>
      <c r="AA712" s="20"/>
      <c r="AB712" s="20"/>
      <c r="AC712" s="20"/>
      <c r="AD712" s="20"/>
      <c r="AE712" s="20"/>
      <c r="AF712" s="20"/>
    </row>
    <row r="713" spans="1:32" ht="19.5">
      <c r="A713" s="20"/>
      <c r="B713" s="20"/>
      <c r="C713" s="20"/>
      <c r="D713" s="20"/>
      <c r="E713" s="20"/>
      <c r="F713" s="20"/>
      <c r="G713" s="124"/>
      <c r="H713" s="20"/>
      <c r="I713" s="20"/>
      <c r="J713" s="20"/>
      <c r="K713" s="124"/>
      <c r="L713" s="127"/>
      <c r="M713" s="20"/>
      <c r="N713" s="20"/>
      <c r="O713" s="20"/>
      <c r="P713" s="124"/>
      <c r="Q713" s="127"/>
      <c r="R713" s="20"/>
      <c r="S713" s="20"/>
      <c r="T713" s="20"/>
      <c r="U713" s="124"/>
      <c r="V713" s="127"/>
      <c r="W713" s="20"/>
      <c r="X713" s="20"/>
      <c r="Y713" s="20"/>
      <c r="Z713" s="20"/>
      <c r="AA713" s="20"/>
      <c r="AB713" s="20"/>
      <c r="AC713" s="20"/>
      <c r="AD713" s="20"/>
      <c r="AE713" s="20"/>
      <c r="AF713" s="20"/>
    </row>
    <row r="714" spans="1:32" ht="19.5">
      <c r="A714" s="20"/>
      <c r="B714" s="20"/>
      <c r="C714" s="20"/>
      <c r="D714" s="20"/>
      <c r="E714" s="20"/>
      <c r="F714" s="20"/>
      <c r="G714" s="124"/>
      <c r="H714" s="20"/>
      <c r="I714" s="20"/>
      <c r="J714" s="20"/>
      <c r="K714" s="124"/>
      <c r="L714" s="127"/>
      <c r="M714" s="20"/>
      <c r="N714" s="20"/>
      <c r="O714" s="20"/>
      <c r="P714" s="124"/>
      <c r="Q714" s="127"/>
      <c r="R714" s="20"/>
      <c r="S714" s="20"/>
      <c r="T714" s="20"/>
      <c r="U714" s="124"/>
      <c r="V714" s="127"/>
      <c r="W714" s="20"/>
      <c r="X714" s="20"/>
      <c r="Y714" s="20"/>
      <c r="Z714" s="20"/>
      <c r="AA714" s="20"/>
      <c r="AB714" s="20"/>
      <c r="AC714" s="20"/>
      <c r="AD714" s="20"/>
      <c r="AE714" s="20"/>
      <c r="AF714" s="20"/>
    </row>
    <row r="715" spans="1:32" ht="19.5">
      <c r="A715" s="20"/>
      <c r="B715" s="20"/>
      <c r="C715" s="20"/>
      <c r="D715" s="20"/>
      <c r="E715" s="20"/>
      <c r="F715" s="20"/>
      <c r="G715" s="124"/>
      <c r="H715" s="20"/>
      <c r="I715" s="20"/>
      <c r="J715" s="20"/>
      <c r="K715" s="124"/>
      <c r="L715" s="127"/>
      <c r="M715" s="20"/>
      <c r="N715" s="20"/>
      <c r="O715" s="20"/>
      <c r="P715" s="124"/>
      <c r="Q715" s="127"/>
      <c r="R715" s="20"/>
      <c r="S715" s="20"/>
      <c r="T715" s="20"/>
      <c r="U715" s="124"/>
      <c r="V715" s="127"/>
      <c r="W715" s="20"/>
      <c r="X715" s="20"/>
      <c r="Y715" s="20"/>
      <c r="Z715" s="20"/>
      <c r="AA715" s="20"/>
      <c r="AB715" s="20"/>
      <c r="AC715" s="20"/>
      <c r="AD715" s="20"/>
      <c r="AE715" s="20"/>
      <c r="AF715" s="20"/>
    </row>
    <row r="716" spans="1:32" ht="19.5">
      <c r="A716" s="20"/>
      <c r="B716" s="20"/>
      <c r="C716" s="20"/>
      <c r="D716" s="20"/>
      <c r="E716" s="20"/>
      <c r="F716" s="20"/>
      <c r="G716" s="124"/>
      <c r="H716" s="20"/>
      <c r="I716" s="20"/>
      <c r="J716" s="20"/>
      <c r="K716" s="124"/>
      <c r="L716" s="127"/>
      <c r="M716" s="20"/>
      <c r="N716" s="20"/>
      <c r="O716" s="20"/>
      <c r="P716" s="124"/>
      <c r="Q716" s="127"/>
      <c r="R716" s="20"/>
      <c r="S716" s="20"/>
      <c r="T716" s="20"/>
      <c r="U716" s="124"/>
      <c r="V716" s="127"/>
      <c r="W716" s="20"/>
      <c r="X716" s="20"/>
      <c r="Y716" s="20"/>
      <c r="Z716" s="20"/>
      <c r="AA716" s="20"/>
      <c r="AB716" s="20"/>
      <c r="AC716" s="20"/>
      <c r="AD716" s="20"/>
      <c r="AE716" s="20"/>
      <c r="AF716" s="20"/>
    </row>
    <row r="717" spans="1:32" ht="19.5">
      <c r="A717" s="20"/>
      <c r="B717" s="20"/>
      <c r="C717" s="20"/>
      <c r="D717" s="20"/>
      <c r="E717" s="20"/>
      <c r="F717" s="20"/>
      <c r="G717" s="124"/>
      <c r="H717" s="20"/>
      <c r="I717" s="20"/>
      <c r="J717" s="20"/>
      <c r="K717" s="124"/>
      <c r="L717" s="127"/>
      <c r="M717" s="20"/>
      <c r="N717" s="20"/>
      <c r="O717" s="20"/>
      <c r="P717" s="124"/>
      <c r="Q717" s="127"/>
      <c r="R717" s="20"/>
      <c r="S717" s="20"/>
      <c r="T717" s="20"/>
      <c r="U717" s="124"/>
      <c r="V717" s="127"/>
      <c r="W717" s="20"/>
      <c r="X717" s="20"/>
      <c r="Y717" s="20"/>
      <c r="Z717" s="20"/>
      <c r="AA717" s="20"/>
      <c r="AB717" s="20"/>
      <c r="AC717" s="20"/>
      <c r="AD717" s="20"/>
      <c r="AE717" s="20"/>
      <c r="AF717" s="20"/>
    </row>
    <row r="718" spans="1:32" ht="19.5">
      <c r="A718" s="20"/>
      <c r="B718" s="20"/>
      <c r="C718" s="20"/>
      <c r="D718" s="20"/>
      <c r="E718" s="20"/>
      <c r="F718" s="20"/>
      <c r="G718" s="124"/>
      <c r="H718" s="20"/>
      <c r="I718" s="20"/>
      <c r="J718" s="20"/>
      <c r="K718" s="124"/>
      <c r="L718" s="127"/>
      <c r="M718" s="20"/>
      <c r="N718" s="20"/>
      <c r="O718" s="20"/>
      <c r="P718" s="124"/>
      <c r="Q718" s="127"/>
      <c r="R718" s="20"/>
      <c r="S718" s="20"/>
      <c r="T718" s="20"/>
      <c r="U718" s="124"/>
      <c r="V718" s="127"/>
      <c r="W718" s="20"/>
      <c r="X718" s="20"/>
      <c r="Y718" s="20"/>
      <c r="Z718" s="20"/>
      <c r="AA718" s="20"/>
      <c r="AB718" s="20"/>
      <c r="AC718" s="20"/>
      <c r="AD718" s="20"/>
      <c r="AE718" s="20"/>
      <c r="AF718" s="20"/>
    </row>
    <row r="719" spans="1:32" ht="19.5">
      <c r="A719" s="20"/>
      <c r="B719" s="20"/>
      <c r="C719" s="20"/>
      <c r="D719" s="20"/>
      <c r="E719" s="20"/>
      <c r="F719" s="20"/>
      <c r="G719" s="124"/>
      <c r="H719" s="20"/>
      <c r="I719" s="20"/>
      <c r="J719" s="20"/>
      <c r="K719" s="124"/>
      <c r="L719" s="127"/>
      <c r="M719" s="20"/>
      <c r="N719" s="20"/>
      <c r="O719" s="20"/>
      <c r="P719" s="124"/>
      <c r="Q719" s="127"/>
      <c r="R719" s="20"/>
      <c r="S719" s="20"/>
      <c r="T719" s="20"/>
      <c r="U719" s="124"/>
      <c r="V719" s="127"/>
      <c r="W719" s="20"/>
      <c r="X719" s="20"/>
      <c r="Y719" s="20"/>
      <c r="Z719" s="20"/>
      <c r="AA719" s="20"/>
      <c r="AB719" s="20"/>
      <c r="AC719" s="20"/>
      <c r="AD719" s="20"/>
      <c r="AE719" s="20"/>
      <c r="AF719" s="20"/>
    </row>
    <row r="720" spans="1:32" ht="19.5">
      <c r="A720" s="20"/>
      <c r="B720" s="20"/>
      <c r="C720" s="20"/>
      <c r="D720" s="20"/>
      <c r="E720" s="20"/>
      <c r="F720" s="20"/>
      <c r="G720" s="124"/>
      <c r="H720" s="20"/>
      <c r="I720" s="20"/>
      <c r="J720" s="20"/>
      <c r="K720" s="124"/>
      <c r="L720" s="127"/>
      <c r="M720" s="20"/>
      <c r="N720" s="20"/>
      <c r="O720" s="20"/>
      <c r="P720" s="124"/>
      <c r="Q720" s="127"/>
      <c r="R720" s="20"/>
      <c r="S720" s="20"/>
      <c r="T720" s="20"/>
      <c r="U720" s="124"/>
      <c r="V720" s="127"/>
      <c r="W720" s="20"/>
      <c r="X720" s="20"/>
      <c r="Y720" s="20"/>
      <c r="Z720" s="20"/>
      <c r="AA720" s="20"/>
      <c r="AB720" s="20"/>
      <c r="AC720" s="20"/>
      <c r="AD720" s="20"/>
      <c r="AE720" s="20"/>
      <c r="AF720" s="20"/>
    </row>
    <row r="721" spans="1:32" ht="19.5">
      <c r="A721" s="20"/>
      <c r="B721" s="20"/>
      <c r="C721" s="20"/>
      <c r="D721" s="20"/>
      <c r="E721" s="20"/>
      <c r="F721" s="20"/>
      <c r="G721" s="124"/>
      <c r="H721" s="20"/>
      <c r="I721" s="20"/>
      <c r="J721" s="20"/>
      <c r="K721" s="124"/>
      <c r="L721" s="127"/>
      <c r="M721" s="20"/>
      <c r="N721" s="20"/>
      <c r="O721" s="20"/>
      <c r="P721" s="124"/>
      <c r="Q721" s="127"/>
      <c r="R721" s="20"/>
      <c r="S721" s="20"/>
      <c r="T721" s="20"/>
      <c r="U721" s="124"/>
      <c r="V721" s="127"/>
      <c r="W721" s="20"/>
      <c r="X721" s="20"/>
      <c r="Y721" s="20"/>
      <c r="Z721" s="20"/>
      <c r="AA721" s="20"/>
      <c r="AB721" s="20"/>
      <c r="AC721" s="20"/>
      <c r="AD721" s="20"/>
      <c r="AE721" s="20"/>
      <c r="AF721" s="20"/>
    </row>
    <row r="722" spans="1:32" ht="19.5">
      <c r="A722" s="20"/>
      <c r="B722" s="20"/>
      <c r="C722" s="20"/>
      <c r="D722" s="20"/>
      <c r="E722" s="20"/>
      <c r="F722" s="20"/>
      <c r="G722" s="124"/>
      <c r="H722" s="20"/>
      <c r="I722" s="20"/>
      <c r="J722" s="20"/>
      <c r="K722" s="124"/>
      <c r="L722" s="127"/>
      <c r="M722" s="20"/>
      <c r="N722" s="20"/>
      <c r="O722" s="20"/>
      <c r="P722" s="124"/>
      <c r="Q722" s="127"/>
      <c r="R722" s="20"/>
      <c r="S722" s="20"/>
      <c r="T722" s="20"/>
      <c r="U722" s="124"/>
      <c r="V722" s="127"/>
      <c r="W722" s="20"/>
      <c r="X722" s="20"/>
      <c r="Y722" s="20"/>
      <c r="Z722" s="20"/>
      <c r="AA722" s="20"/>
      <c r="AB722" s="20"/>
      <c r="AC722" s="20"/>
      <c r="AD722" s="20"/>
      <c r="AE722" s="20"/>
      <c r="AF722" s="20"/>
    </row>
    <row r="723" spans="1:32" ht="19.5">
      <c r="A723" s="20"/>
      <c r="B723" s="20"/>
      <c r="C723" s="20"/>
      <c r="D723" s="20"/>
      <c r="E723" s="20"/>
      <c r="F723" s="20"/>
      <c r="G723" s="124"/>
      <c r="H723" s="20"/>
      <c r="I723" s="20"/>
      <c r="J723" s="20"/>
      <c r="K723" s="124"/>
      <c r="L723" s="127"/>
      <c r="M723" s="20"/>
      <c r="N723" s="20"/>
      <c r="O723" s="20"/>
      <c r="P723" s="124"/>
      <c r="Q723" s="127"/>
      <c r="R723" s="20"/>
      <c r="S723" s="20"/>
      <c r="T723" s="20"/>
      <c r="U723" s="124"/>
      <c r="V723" s="127"/>
      <c r="W723" s="20"/>
      <c r="X723" s="20"/>
      <c r="Y723" s="20"/>
      <c r="Z723" s="20"/>
      <c r="AA723" s="20"/>
      <c r="AB723" s="20"/>
      <c r="AC723" s="20"/>
      <c r="AD723" s="20"/>
      <c r="AE723" s="20"/>
      <c r="AF723" s="20"/>
    </row>
    <row r="724" spans="1:32" ht="19.5">
      <c r="A724" s="20"/>
      <c r="B724" s="20"/>
      <c r="C724" s="20"/>
      <c r="D724" s="20"/>
      <c r="E724" s="20"/>
      <c r="F724" s="20"/>
      <c r="G724" s="124"/>
      <c r="H724" s="20"/>
      <c r="I724" s="20"/>
      <c r="J724" s="20"/>
      <c r="K724" s="124"/>
      <c r="L724" s="127"/>
      <c r="M724" s="20"/>
      <c r="N724" s="20"/>
      <c r="O724" s="20"/>
      <c r="P724" s="124"/>
      <c r="Q724" s="127"/>
      <c r="R724" s="20"/>
      <c r="S724" s="20"/>
      <c r="T724" s="20"/>
      <c r="U724" s="124"/>
      <c r="V724" s="127"/>
      <c r="W724" s="20"/>
      <c r="X724" s="20"/>
      <c r="Y724" s="20"/>
      <c r="Z724" s="20"/>
      <c r="AA724" s="20"/>
      <c r="AB724" s="20"/>
      <c r="AC724" s="20"/>
      <c r="AD724" s="20"/>
      <c r="AE724" s="20"/>
      <c r="AF724" s="20"/>
    </row>
    <row r="725" spans="1:32" ht="19.5">
      <c r="A725" s="20"/>
      <c r="B725" s="20"/>
      <c r="C725" s="20"/>
      <c r="D725" s="20"/>
      <c r="E725" s="20"/>
      <c r="F725" s="20"/>
      <c r="G725" s="124"/>
      <c r="H725" s="20"/>
      <c r="I725" s="20"/>
      <c r="J725" s="20"/>
      <c r="K725" s="124"/>
      <c r="L725" s="127"/>
      <c r="M725" s="20"/>
      <c r="N725" s="20"/>
      <c r="O725" s="20"/>
      <c r="P725" s="124"/>
      <c r="Q725" s="127"/>
      <c r="R725" s="20"/>
      <c r="S725" s="20"/>
      <c r="T725" s="20"/>
      <c r="U725" s="124"/>
      <c r="V725" s="127"/>
      <c r="W725" s="20"/>
      <c r="X725" s="20"/>
      <c r="Y725" s="20"/>
      <c r="Z725" s="20"/>
      <c r="AA725" s="20"/>
      <c r="AB725" s="20"/>
      <c r="AC725" s="20"/>
      <c r="AD725" s="20"/>
      <c r="AE725" s="20"/>
      <c r="AF725" s="20"/>
    </row>
    <row r="726" spans="1:32" ht="19.5">
      <c r="A726" s="20"/>
      <c r="B726" s="20"/>
      <c r="C726" s="20"/>
      <c r="D726" s="20"/>
      <c r="E726" s="20"/>
      <c r="F726" s="20"/>
      <c r="G726" s="124"/>
      <c r="H726" s="20"/>
      <c r="I726" s="20"/>
      <c r="J726" s="20"/>
      <c r="K726" s="124"/>
      <c r="L726" s="127"/>
      <c r="M726" s="20"/>
      <c r="N726" s="20"/>
      <c r="O726" s="20"/>
      <c r="P726" s="124"/>
      <c r="Q726" s="127"/>
      <c r="R726" s="20"/>
      <c r="S726" s="20"/>
      <c r="T726" s="20"/>
      <c r="U726" s="124"/>
      <c r="V726" s="127"/>
      <c r="W726" s="20"/>
      <c r="X726" s="20"/>
      <c r="Y726" s="20"/>
      <c r="Z726" s="20"/>
      <c r="AA726" s="20"/>
      <c r="AB726" s="20"/>
      <c r="AC726" s="20"/>
      <c r="AD726" s="20"/>
      <c r="AE726" s="20"/>
      <c r="AF726" s="20"/>
    </row>
    <row r="727" spans="1:32" ht="19.5">
      <c r="A727" s="20"/>
      <c r="B727" s="20"/>
      <c r="C727" s="20"/>
      <c r="D727" s="20"/>
      <c r="E727" s="20"/>
      <c r="F727" s="20"/>
      <c r="G727" s="124"/>
      <c r="H727" s="20"/>
      <c r="I727" s="20"/>
      <c r="J727" s="20"/>
      <c r="K727" s="124"/>
      <c r="L727" s="127"/>
      <c r="M727" s="20"/>
      <c r="N727" s="20"/>
      <c r="O727" s="20"/>
      <c r="P727" s="124"/>
      <c r="Q727" s="127"/>
      <c r="R727" s="20"/>
      <c r="S727" s="20"/>
      <c r="T727" s="20"/>
      <c r="U727" s="124"/>
      <c r="V727" s="127"/>
      <c r="W727" s="20"/>
      <c r="X727" s="20"/>
      <c r="Y727" s="20"/>
      <c r="Z727" s="20"/>
      <c r="AA727" s="20"/>
      <c r="AB727" s="20"/>
      <c r="AC727" s="20"/>
      <c r="AD727" s="20"/>
      <c r="AE727" s="20"/>
      <c r="AF727" s="20"/>
    </row>
    <row r="728" spans="1:32" ht="19.5">
      <c r="A728" s="20"/>
      <c r="B728" s="20"/>
      <c r="C728" s="20"/>
      <c r="D728" s="20"/>
      <c r="E728" s="20"/>
      <c r="F728" s="20"/>
      <c r="G728" s="124"/>
      <c r="H728" s="20"/>
      <c r="I728" s="20"/>
      <c r="J728" s="20"/>
      <c r="K728" s="124"/>
      <c r="L728" s="127"/>
      <c r="M728" s="20"/>
      <c r="N728" s="20"/>
      <c r="O728" s="20"/>
      <c r="P728" s="124"/>
      <c r="Q728" s="127"/>
      <c r="R728" s="20"/>
      <c r="S728" s="20"/>
      <c r="T728" s="20"/>
      <c r="U728" s="124"/>
      <c r="V728" s="127"/>
      <c r="W728" s="20"/>
      <c r="X728" s="20"/>
      <c r="Y728" s="20"/>
      <c r="Z728" s="20"/>
      <c r="AA728" s="20"/>
      <c r="AB728" s="20"/>
      <c r="AC728" s="20"/>
      <c r="AD728" s="20"/>
      <c r="AE728" s="20"/>
      <c r="AF728" s="20"/>
    </row>
    <row r="729" spans="1:32" ht="19.5">
      <c r="A729" s="20"/>
      <c r="B729" s="20"/>
      <c r="C729" s="20"/>
      <c r="D729" s="20"/>
      <c r="E729" s="20"/>
      <c r="F729" s="20"/>
      <c r="G729" s="124"/>
      <c r="H729" s="20"/>
      <c r="I729" s="20"/>
      <c r="J729" s="20"/>
      <c r="K729" s="124"/>
      <c r="L729" s="127"/>
      <c r="M729" s="20"/>
      <c r="N729" s="20"/>
      <c r="O729" s="20"/>
      <c r="P729" s="124"/>
      <c r="Q729" s="127"/>
      <c r="R729" s="20"/>
      <c r="S729" s="20"/>
      <c r="T729" s="20"/>
      <c r="U729" s="124"/>
      <c r="V729" s="127"/>
      <c r="W729" s="20"/>
      <c r="X729" s="20"/>
      <c r="Y729" s="20"/>
      <c r="Z729" s="20"/>
      <c r="AA729" s="20"/>
      <c r="AB729" s="20"/>
      <c r="AC729" s="20"/>
      <c r="AD729" s="20"/>
      <c r="AE729" s="20"/>
      <c r="AF729" s="20"/>
    </row>
    <row r="730" spans="1:32" ht="19.5">
      <c r="A730" s="20"/>
      <c r="B730" s="20"/>
      <c r="C730" s="20"/>
      <c r="D730" s="20"/>
      <c r="E730" s="20"/>
      <c r="F730" s="20"/>
      <c r="G730" s="124"/>
      <c r="H730" s="20"/>
      <c r="I730" s="20"/>
      <c r="J730" s="20"/>
      <c r="K730" s="124"/>
      <c r="L730" s="127"/>
      <c r="M730" s="20"/>
      <c r="N730" s="20"/>
      <c r="O730" s="20"/>
      <c r="P730" s="124"/>
      <c r="Q730" s="127"/>
      <c r="R730" s="20"/>
      <c r="S730" s="20"/>
      <c r="T730" s="20"/>
      <c r="U730" s="124"/>
      <c r="V730" s="127"/>
      <c r="W730" s="20"/>
      <c r="X730" s="20"/>
      <c r="Y730" s="20"/>
      <c r="Z730" s="20"/>
      <c r="AA730" s="20"/>
      <c r="AB730" s="20"/>
      <c r="AC730" s="20"/>
      <c r="AD730" s="20"/>
      <c r="AE730" s="20"/>
      <c r="AF730" s="20"/>
    </row>
    <row r="731" spans="1:32" ht="19.5">
      <c r="A731" s="20"/>
      <c r="B731" s="20"/>
      <c r="C731" s="20"/>
      <c r="D731" s="20"/>
      <c r="E731" s="20"/>
      <c r="F731" s="20"/>
      <c r="G731" s="124"/>
      <c r="H731" s="20"/>
      <c r="I731" s="20"/>
      <c r="J731" s="20"/>
      <c r="K731" s="124"/>
      <c r="L731" s="127"/>
      <c r="M731" s="20"/>
      <c r="N731" s="20"/>
      <c r="O731" s="20"/>
      <c r="P731" s="124"/>
      <c r="Q731" s="127"/>
      <c r="R731" s="20"/>
      <c r="S731" s="20"/>
      <c r="T731" s="20"/>
      <c r="U731" s="124"/>
      <c r="V731" s="127"/>
      <c r="W731" s="20"/>
      <c r="X731" s="20"/>
      <c r="Y731" s="20"/>
      <c r="Z731" s="20"/>
      <c r="AA731" s="20"/>
      <c r="AB731" s="20"/>
      <c r="AC731" s="20"/>
      <c r="AD731" s="20"/>
      <c r="AE731" s="20"/>
      <c r="AF731" s="20"/>
    </row>
    <row r="732" spans="1:32" ht="19.5">
      <c r="A732" s="20"/>
      <c r="B732" s="20"/>
      <c r="C732" s="20"/>
      <c r="D732" s="20"/>
      <c r="E732" s="20"/>
      <c r="F732" s="20"/>
      <c r="G732" s="124"/>
      <c r="H732" s="20"/>
      <c r="I732" s="20"/>
      <c r="J732" s="20"/>
      <c r="K732" s="124"/>
      <c r="L732" s="127"/>
      <c r="M732" s="20"/>
      <c r="N732" s="20"/>
      <c r="O732" s="20"/>
      <c r="P732" s="124"/>
      <c r="Q732" s="127"/>
      <c r="R732" s="20"/>
      <c r="S732" s="20"/>
      <c r="T732" s="20"/>
      <c r="U732" s="124"/>
      <c r="V732" s="127"/>
      <c r="W732" s="20"/>
      <c r="X732" s="20"/>
      <c r="Y732" s="20"/>
      <c r="Z732" s="20"/>
      <c r="AA732" s="20"/>
      <c r="AB732" s="20"/>
      <c r="AC732" s="20"/>
      <c r="AD732" s="20"/>
      <c r="AE732" s="20"/>
      <c r="AF732" s="20"/>
    </row>
    <row r="733" spans="1:32" ht="19.5">
      <c r="A733" s="20"/>
      <c r="B733" s="20"/>
      <c r="C733" s="20"/>
      <c r="D733" s="20"/>
      <c r="E733" s="20"/>
      <c r="F733" s="20"/>
      <c r="G733" s="124"/>
      <c r="H733" s="20"/>
      <c r="I733" s="20"/>
      <c r="J733" s="20"/>
      <c r="K733" s="124"/>
      <c r="L733" s="127"/>
      <c r="M733" s="20"/>
      <c r="N733" s="20"/>
      <c r="O733" s="20"/>
      <c r="P733" s="124"/>
      <c r="Q733" s="127"/>
      <c r="R733" s="20"/>
      <c r="S733" s="20"/>
      <c r="T733" s="20"/>
      <c r="U733" s="124"/>
      <c r="V733" s="127"/>
      <c r="W733" s="20"/>
      <c r="X733" s="20"/>
      <c r="Y733" s="20"/>
      <c r="Z733" s="20"/>
      <c r="AA733" s="20"/>
      <c r="AB733" s="20"/>
      <c r="AC733" s="20"/>
      <c r="AD733" s="20"/>
      <c r="AE733" s="20"/>
      <c r="AF733" s="20"/>
    </row>
    <row r="734" spans="1:32" ht="19.5">
      <c r="A734" s="20"/>
      <c r="B734" s="20"/>
      <c r="C734" s="20"/>
      <c r="D734" s="20"/>
      <c r="E734" s="20"/>
      <c r="F734" s="20"/>
      <c r="G734" s="124"/>
      <c r="H734" s="20"/>
      <c r="I734" s="20"/>
      <c r="J734" s="20"/>
      <c r="K734" s="124"/>
      <c r="L734" s="127"/>
      <c r="M734" s="20"/>
      <c r="N734" s="20"/>
      <c r="O734" s="20"/>
      <c r="P734" s="124"/>
      <c r="Q734" s="127"/>
      <c r="R734" s="20"/>
      <c r="S734" s="20"/>
      <c r="T734" s="20"/>
      <c r="U734" s="124"/>
      <c r="V734" s="127"/>
      <c r="W734" s="20"/>
      <c r="X734" s="20"/>
      <c r="Y734" s="20"/>
      <c r="Z734" s="20"/>
      <c r="AA734" s="20"/>
      <c r="AB734" s="20"/>
      <c r="AC734" s="20"/>
      <c r="AD734" s="20"/>
      <c r="AE734" s="20"/>
      <c r="AF734" s="20"/>
    </row>
    <row r="735" spans="1:32" ht="19.5">
      <c r="A735" s="20"/>
      <c r="B735" s="20"/>
      <c r="C735" s="20"/>
      <c r="D735" s="20"/>
      <c r="E735" s="20"/>
      <c r="F735" s="20"/>
      <c r="G735" s="124"/>
      <c r="H735" s="20"/>
      <c r="I735" s="20"/>
      <c r="J735" s="20"/>
      <c r="K735" s="124"/>
      <c r="L735" s="127"/>
      <c r="M735" s="20"/>
      <c r="N735" s="20"/>
      <c r="O735" s="20"/>
      <c r="P735" s="124"/>
      <c r="Q735" s="127"/>
      <c r="R735" s="20"/>
      <c r="S735" s="20"/>
      <c r="T735" s="20"/>
      <c r="U735" s="124"/>
      <c r="V735" s="127"/>
      <c r="W735" s="20"/>
      <c r="X735" s="20"/>
      <c r="Y735" s="20"/>
      <c r="Z735" s="20"/>
      <c r="AA735" s="20"/>
      <c r="AB735" s="20"/>
      <c r="AC735" s="20"/>
      <c r="AD735" s="20"/>
      <c r="AE735" s="20"/>
      <c r="AF735" s="20"/>
    </row>
    <row r="736" spans="1:32" ht="19.5">
      <c r="A736" s="20"/>
      <c r="B736" s="20"/>
      <c r="C736" s="20"/>
      <c r="D736" s="20"/>
      <c r="E736" s="20"/>
      <c r="F736" s="20"/>
      <c r="G736" s="124"/>
      <c r="H736" s="20"/>
      <c r="I736" s="20"/>
      <c r="J736" s="20"/>
      <c r="K736" s="124"/>
      <c r="L736" s="127"/>
      <c r="M736" s="20"/>
      <c r="N736" s="20"/>
      <c r="O736" s="20"/>
      <c r="P736" s="124"/>
      <c r="Q736" s="127"/>
      <c r="R736" s="20"/>
      <c r="S736" s="20"/>
      <c r="T736" s="20"/>
      <c r="U736" s="124"/>
      <c r="V736" s="127"/>
      <c r="W736" s="20"/>
      <c r="X736" s="20"/>
      <c r="Y736" s="20"/>
      <c r="Z736" s="20"/>
      <c r="AA736" s="20"/>
      <c r="AB736" s="20"/>
      <c r="AC736" s="20"/>
      <c r="AD736" s="20"/>
      <c r="AE736" s="20"/>
      <c r="AF736" s="20"/>
    </row>
    <row r="737" spans="1:32" ht="19.5">
      <c r="A737" s="20"/>
      <c r="B737" s="20"/>
      <c r="C737" s="20"/>
      <c r="D737" s="20"/>
      <c r="E737" s="20"/>
      <c r="F737" s="20"/>
      <c r="G737" s="124"/>
      <c r="H737" s="20"/>
      <c r="I737" s="20"/>
      <c r="J737" s="20"/>
      <c r="K737" s="124"/>
      <c r="L737" s="127"/>
      <c r="M737" s="20"/>
      <c r="N737" s="20"/>
      <c r="O737" s="20"/>
      <c r="P737" s="124"/>
      <c r="Q737" s="127"/>
      <c r="R737" s="20"/>
      <c r="S737" s="20"/>
      <c r="T737" s="20"/>
      <c r="U737" s="124"/>
      <c r="V737" s="127"/>
      <c r="W737" s="20"/>
      <c r="X737" s="20"/>
      <c r="Y737" s="20"/>
      <c r="Z737" s="20"/>
      <c r="AA737" s="20"/>
      <c r="AB737" s="20"/>
      <c r="AC737" s="20"/>
      <c r="AD737" s="20"/>
      <c r="AE737" s="20"/>
      <c r="AF737" s="20"/>
    </row>
    <row r="738" spans="1:32" ht="19.5">
      <c r="A738" s="20"/>
      <c r="B738" s="20"/>
      <c r="C738" s="20"/>
      <c r="D738" s="20"/>
      <c r="E738" s="20"/>
      <c r="F738" s="20"/>
      <c r="G738" s="124"/>
      <c r="H738" s="20"/>
      <c r="I738" s="20"/>
      <c r="J738" s="20"/>
      <c r="K738" s="124"/>
      <c r="L738" s="127"/>
      <c r="M738" s="20"/>
      <c r="N738" s="20"/>
      <c r="O738" s="20"/>
      <c r="P738" s="124"/>
      <c r="Q738" s="127"/>
      <c r="R738" s="20"/>
      <c r="S738" s="20"/>
      <c r="T738" s="20"/>
      <c r="U738" s="124"/>
      <c r="V738" s="127"/>
      <c r="W738" s="20"/>
      <c r="X738" s="20"/>
      <c r="Y738" s="20"/>
      <c r="Z738" s="20"/>
      <c r="AA738" s="20"/>
      <c r="AB738" s="20"/>
      <c r="AC738" s="20"/>
      <c r="AD738" s="20"/>
      <c r="AE738" s="20"/>
      <c r="AF738" s="20"/>
    </row>
    <row r="739" spans="1:32" ht="19.5">
      <c r="A739" s="20"/>
      <c r="B739" s="20"/>
      <c r="C739" s="20"/>
      <c r="D739" s="20"/>
      <c r="E739" s="20"/>
      <c r="F739" s="20"/>
      <c r="G739" s="124"/>
      <c r="H739" s="20"/>
      <c r="I739" s="20"/>
      <c r="J739" s="20"/>
      <c r="K739" s="124"/>
      <c r="L739" s="127"/>
      <c r="M739" s="20"/>
      <c r="N739" s="20"/>
      <c r="O739" s="20"/>
      <c r="P739" s="124"/>
      <c r="Q739" s="127"/>
      <c r="R739" s="20"/>
      <c r="S739" s="20"/>
      <c r="T739" s="20"/>
      <c r="U739" s="124"/>
      <c r="V739" s="127"/>
      <c r="W739" s="20"/>
      <c r="X739" s="20"/>
      <c r="Y739" s="20"/>
      <c r="Z739" s="20"/>
      <c r="AA739" s="20"/>
      <c r="AB739" s="20"/>
      <c r="AC739" s="20"/>
      <c r="AD739" s="20"/>
      <c r="AE739" s="20"/>
      <c r="AF739" s="20"/>
    </row>
    <row r="740" spans="1:32" ht="19.5">
      <c r="A740" s="20"/>
      <c r="B740" s="20"/>
      <c r="C740" s="20"/>
      <c r="D740" s="20"/>
      <c r="E740" s="20"/>
      <c r="F740" s="20"/>
      <c r="G740" s="124"/>
      <c r="H740" s="20"/>
      <c r="I740" s="20"/>
      <c r="J740" s="20"/>
      <c r="K740" s="124"/>
      <c r="L740" s="127"/>
      <c r="M740" s="20"/>
      <c r="N740" s="20"/>
      <c r="O740" s="20"/>
      <c r="P740" s="124"/>
      <c r="Q740" s="127"/>
      <c r="R740" s="20"/>
      <c r="S740" s="20"/>
      <c r="T740" s="20"/>
      <c r="U740" s="124"/>
      <c r="V740" s="127"/>
      <c r="W740" s="20"/>
      <c r="X740" s="20"/>
      <c r="Y740" s="20"/>
      <c r="Z740" s="20"/>
      <c r="AA740" s="20"/>
      <c r="AB740" s="20"/>
      <c r="AC740" s="20"/>
      <c r="AD740" s="20"/>
      <c r="AE740" s="20"/>
      <c r="AF740" s="20"/>
    </row>
    <row r="741" spans="1:32" ht="19.5">
      <c r="A741" s="20"/>
      <c r="B741" s="20"/>
      <c r="C741" s="20"/>
      <c r="D741" s="20"/>
      <c r="E741" s="20"/>
      <c r="F741" s="20"/>
      <c r="G741" s="124"/>
      <c r="H741" s="20"/>
      <c r="I741" s="20"/>
      <c r="J741" s="20"/>
      <c r="K741" s="124"/>
      <c r="L741" s="127"/>
      <c r="M741" s="20"/>
      <c r="N741" s="20"/>
      <c r="O741" s="20"/>
      <c r="P741" s="124"/>
      <c r="Q741" s="127"/>
      <c r="R741" s="20"/>
      <c r="S741" s="20"/>
      <c r="T741" s="20"/>
      <c r="U741" s="124"/>
      <c r="V741" s="127"/>
      <c r="W741" s="20"/>
      <c r="X741" s="20"/>
      <c r="Y741" s="20"/>
      <c r="Z741" s="20"/>
      <c r="AA741" s="20"/>
      <c r="AB741" s="20"/>
      <c r="AC741" s="20"/>
      <c r="AD741" s="20"/>
      <c r="AE741" s="20"/>
      <c r="AF741" s="20"/>
    </row>
    <row r="742" spans="1:32" ht="19.5">
      <c r="A742" s="20"/>
      <c r="B742" s="20"/>
      <c r="C742" s="20"/>
      <c r="D742" s="20"/>
      <c r="E742" s="20"/>
      <c r="F742" s="20"/>
      <c r="G742" s="124"/>
      <c r="H742" s="20"/>
      <c r="I742" s="20"/>
      <c r="J742" s="20"/>
      <c r="K742" s="124"/>
      <c r="L742" s="127"/>
      <c r="M742" s="20"/>
      <c r="N742" s="20"/>
      <c r="O742" s="20"/>
      <c r="P742" s="124"/>
      <c r="Q742" s="127"/>
      <c r="R742" s="20"/>
      <c r="S742" s="20"/>
      <c r="T742" s="20"/>
      <c r="U742" s="124"/>
      <c r="V742" s="127"/>
      <c r="W742" s="20"/>
      <c r="X742" s="20"/>
      <c r="Y742" s="20"/>
      <c r="Z742" s="20"/>
      <c r="AA742" s="20"/>
      <c r="AB742" s="20"/>
      <c r="AC742" s="20"/>
      <c r="AD742" s="20"/>
      <c r="AE742" s="20"/>
      <c r="AF742" s="20"/>
    </row>
    <row r="743" spans="1:32" ht="19.5">
      <c r="A743" s="20"/>
      <c r="B743" s="20"/>
      <c r="C743" s="20"/>
      <c r="D743" s="20"/>
      <c r="E743" s="20"/>
      <c r="F743" s="20"/>
      <c r="G743" s="124"/>
      <c r="H743" s="20"/>
      <c r="I743" s="20"/>
      <c r="J743" s="20"/>
      <c r="K743" s="124"/>
      <c r="L743" s="127"/>
      <c r="M743" s="20"/>
      <c r="N743" s="20"/>
      <c r="O743" s="20"/>
      <c r="P743" s="124"/>
      <c r="Q743" s="127"/>
      <c r="R743" s="20"/>
      <c r="S743" s="20"/>
      <c r="T743" s="20"/>
      <c r="U743" s="124"/>
      <c r="V743" s="127"/>
      <c r="W743" s="20"/>
      <c r="X743" s="20"/>
      <c r="Y743" s="20"/>
      <c r="Z743" s="20"/>
      <c r="AA743" s="20"/>
      <c r="AB743" s="20"/>
      <c r="AC743" s="20"/>
      <c r="AD743" s="20"/>
      <c r="AE743" s="20"/>
      <c r="AF743" s="20"/>
    </row>
    <row r="744" spans="1:32" ht="19.5">
      <c r="A744" s="20"/>
      <c r="B744" s="20"/>
      <c r="C744" s="20"/>
      <c r="D744" s="20"/>
      <c r="E744" s="20"/>
      <c r="F744" s="20"/>
      <c r="G744" s="124"/>
      <c r="H744" s="20"/>
      <c r="I744" s="20"/>
      <c r="J744" s="20"/>
      <c r="K744" s="124"/>
      <c r="L744" s="127"/>
      <c r="M744" s="20"/>
      <c r="N744" s="20"/>
      <c r="O744" s="20"/>
      <c r="P744" s="124"/>
      <c r="Q744" s="127"/>
      <c r="R744" s="20"/>
      <c r="S744" s="20"/>
      <c r="T744" s="20"/>
      <c r="U744" s="124"/>
      <c r="V744" s="127"/>
      <c r="W744" s="20"/>
      <c r="X744" s="20"/>
      <c r="Y744" s="20"/>
      <c r="Z744" s="20"/>
      <c r="AA744" s="20"/>
      <c r="AB744" s="20"/>
      <c r="AC744" s="20"/>
      <c r="AD744" s="20"/>
      <c r="AE744" s="20"/>
      <c r="AF744" s="20"/>
    </row>
    <row r="745" spans="1:32" ht="19.5">
      <c r="A745" s="20"/>
      <c r="B745" s="20"/>
      <c r="C745" s="20"/>
      <c r="D745" s="20"/>
      <c r="E745" s="20"/>
      <c r="F745" s="20"/>
      <c r="G745" s="124"/>
      <c r="H745" s="20"/>
      <c r="I745" s="20"/>
      <c r="J745" s="20"/>
      <c r="K745" s="124"/>
      <c r="L745" s="127"/>
      <c r="M745" s="20"/>
      <c r="N745" s="20"/>
      <c r="O745" s="20"/>
      <c r="P745" s="124"/>
      <c r="Q745" s="127"/>
      <c r="R745" s="20"/>
      <c r="S745" s="20"/>
      <c r="T745" s="20"/>
      <c r="U745" s="124"/>
      <c r="V745" s="127"/>
      <c r="W745" s="20"/>
      <c r="X745" s="20"/>
      <c r="Y745" s="20"/>
      <c r="Z745" s="20"/>
      <c r="AA745" s="20"/>
      <c r="AB745" s="20"/>
      <c r="AC745" s="20"/>
      <c r="AD745" s="20"/>
      <c r="AE745" s="20"/>
      <c r="AF745" s="20"/>
    </row>
    <row r="746" spans="1:32" ht="19.5">
      <c r="A746" s="20"/>
      <c r="B746" s="20"/>
      <c r="C746" s="20"/>
      <c r="D746" s="20"/>
      <c r="E746" s="20"/>
      <c r="F746" s="20"/>
      <c r="G746" s="124"/>
      <c r="H746" s="20"/>
      <c r="I746" s="20"/>
      <c r="J746" s="20"/>
      <c r="K746" s="124"/>
      <c r="L746" s="127"/>
      <c r="M746" s="20"/>
      <c r="N746" s="20"/>
      <c r="O746" s="20"/>
      <c r="P746" s="124"/>
      <c r="Q746" s="127"/>
      <c r="R746" s="20"/>
      <c r="S746" s="20"/>
      <c r="T746" s="20"/>
      <c r="U746" s="124"/>
      <c r="V746" s="127"/>
      <c r="W746" s="20"/>
      <c r="X746" s="20"/>
      <c r="Y746" s="20"/>
      <c r="Z746" s="20"/>
      <c r="AA746" s="20"/>
      <c r="AB746" s="20"/>
      <c r="AC746" s="20"/>
      <c r="AD746" s="20"/>
      <c r="AE746" s="20"/>
      <c r="AF746" s="20"/>
    </row>
    <row r="747" spans="1:32" ht="19.5">
      <c r="A747" s="20"/>
      <c r="B747" s="20"/>
      <c r="C747" s="20"/>
      <c r="D747" s="20"/>
      <c r="E747" s="20"/>
      <c r="F747" s="20"/>
      <c r="G747" s="124"/>
      <c r="H747" s="20"/>
      <c r="I747" s="20"/>
      <c r="J747" s="20"/>
      <c r="K747" s="124"/>
      <c r="L747" s="127"/>
      <c r="M747" s="20"/>
      <c r="N747" s="20"/>
      <c r="O747" s="20"/>
      <c r="P747" s="124"/>
      <c r="Q747" s="127"/>
      <c r="R747" s="20"/>
      <c r="S747" s="20"/>
      <c r="T747" s="20"/>
      <c r="U747" s="124"/>
      <c r="V747" s="127"/>
      <c r="W747" s="20"/>
      <c r="X747" s="20"/>
      <c r="Y747" s="20"/>
      <c r="Z747" s="20"/>
      <c r="AA747" s="20"/>
      <c r="AB747" s="20"/>
      <c r="AC747" s="20"/>
      <c r="AD747" s="20"/>
      <c r="AE747" s="20"/>
      <c r="AF747" s="20"/>
    </row>
    <row r="748" spans="1:32" ht="19.5">
      <c r="A748" s="20"/>
      <c r="B748" s="20"/>
      <c r="C748" s="20"/>
      <c r="D748" s="20"/>
      <c r="E748" s="20"/>
      <c r="F748" s="20"/>
      <c r="G748" s="124"/>
      <c r="H748" s="20"/>
      <c r="I748" s="20"/>
      <c r="J748" s="20"/>
      <c r="K748" s="124"/>
      <c r="L748" s="127"/>
      <c r="M748" s="20"/>
      <c r="N748" s="20"/>
      <c r="O748" s="20"/>
      <c r="P748" s="124"/>
      <c r="Q748" s="127"/>
      <c r="R748" s="20"/>
      <c r="S748" s="20"/>
      <c r="T748" s="20"/>
      <c r="U748" s="124"/>
      <c r="V748" s="127"/>
      <c r="W748" s="20"/>
      <c r="X748" s="20"/>
      <c r="Y748" s="20"/>
      <c r="Z748" s="20"/>
      <c r="AA748" s="20"/>
      <c r="AB748" s="20"/>
      <c r="AC748" s="20"/>
      <c r="AD748" s="20"/>
      <c r="AE748" s="20"/>
      <c r="AF748" s="20"/>
    </row>
    <row r="749" spans="1:32" ht="19.5">
      <c r="A749" s="20"/>
      <c r="B749" s="20"/>
      <c r="C749" s="20"/>
      <c r="D749" s="20"/>
      <c r="E749" s="20"/>
      <c r="F749" s="20"/>
      <c r="G749" s="124"/>
      <c r="H749" s="20"/>
      <c r="I749" s="20"/>
      <c r="J749" s="20"/>
      <c r="K749" s="124"/>
      <c r="L749" s="127"/>
      <c r="M749" s="20"/>
      <c r="N749" s="20"/>
      <c r="O749" s="20"/>
      <c r="P749" s="124"/>
      <c r="Q749" s="127"/>
      <c r="R749" s="20"/>
      <c r="S749" s="20"/>
      <c r="T749" s="20"/>
      <c r="U749" s="124"/>
      <c r="V749" s="127"/>
      <c r="W749" s="20"/>
      <c r="X749" s="20"/>
      <c r="Y749" s="20"/>
      <c r="Z749" s="20"/>
      <c r="AA749" s="20"/>
      <c r="AB749" s="20"/>
      <c r="AC749" s="20"/>
      <c r="AD749" s="20"/>
      <c r="AE749" s="20"/>
      <c r="AF749" s="20"/>
    </row>
    <row r="750" spans="1:32" ht="19.5">
      <c r="A750" s="20"/>
      <c r="B750" s="20"/>
      <c r="C750" s="20"/>
      <c r="D750" s="20"/>
      <c r="E750" s="20"/>
      <c r="F750" s="20"/>
      <c r="G750" s="124"/>
      <c r="H750" s="20"/>
      <c r="I750" s="20"/>
      <c r="J750" s="20"/>
      <c r="K750" s="124"/>
      <c r="L750" s="127"/>
      <c r="M750" s="20"/>
      <c r="N750" s="20"/>
      <c r="O750" s="20"/>
      <c r="P750" s="124"/>
      <c r="Q750" s="127"/>
      <c r="R750" s="20"/>
      <c r="S750" s="20"/>
      <c r="T750" s="20"/>
      <c r="U750" s="124"/>
      <c r="V750" s="127"/>
      <c r="W750" s="20"/>
      <c r="X750" s="20"/>
      <c r="Y750" s="20"/>
      <c r="Z750" s="20"/>
      <c r="AA750" s="20"/>
      <c r="AB750" s="20"/>
      <c r="AC750" s="20"/>
      <c r="AD750" s="20"/>
      <c r="AE750" s="20"/>
      <c r="AF750" s="20"/>
    </row>
    <row r="751" spans="1:32" ht="19.5">
      <c r="A751" s="20"/>
      <c r="B751" s="20"/>
      <c r="C751" s="20"/>
      <c r="D751" s="20"/>
      <c r="E751" s="20"/>
      <c r="F751" s="20"/>
      <c r="G751" s="124"/>
      <c r="H751" s="20"/>
      <c r="I751" s="20"/>
      <c r="J751" s="20"/>
      <c r="K751" s="124"/>
      <c r="L751" s="127"/>
      <c r="M751" s="20"/>
      <c r="N751" s="20"/>
      <c r="O751" s="20"/>
      <c r="P751" s="124"/>
      <c r="Q751" s="127"/>
      <c r="R751" s="20"/>
      <c r="S751" s="20"/>
      <c r="T751" s="20"/>
      <c r="U751" s="124"/>
      <c r="V751" s="127"/>
      <c r="W751" s="20"/>
      <c r="X751" s="20"/>
      <c r="Y751" s="20"/>
      <c r="Z751" s="20"/>
      <c r="AA751" s="20"/>
      <c r="AB751" s="20"/>
      <c r="AC751" s="20"/>
      <c r="AD751" s="20"/>
      <c r="AE751" s="20"/>
      <c r="AF751" s="20"/>
    </row>
    <row r="752" spans="1:32" ht="19.5">
      <c r="A752" s="20"/>
      <c r="B752" s="20"/>
      <c r="C752" s="20"/>
      <c r="D752" s="20"/>
      <c r="E752" s="20"/>
      <c r="F752" s="20"/>
      <c r="G752" s="124"/>
      <c r="H752" s="20"/>
      <c r="I752" s="20"/>
      <c r="J752" s="20"/>
      <c r="K752" s="124"/>
      <c r="L752" s="127"/>
      <c r="M752" s="20"/>
      <c r="N752" s="20"/>
      <c r="O752" s="20"/>
      <c r="P752" s="124"/>
      <c r="Q752" s="127"/>
      <c r="R752" s="20"/>
      <c r="S752" s="20"/>
      <c r="T752" s="20"/>
      <c r="U752" s="124"/>
      <c r="V752" s="127"/>
      <c r="W752" s="20"/>
      <c r="X752" s="20"/>
      <c r="Y752" s="20"/>
      <c r="Z752" s="20"/>
      <c r="AA752" s="20"/>
      <c r="AB752" s="20"/>
      <c r="AC752" s="20"/>
      <c r="AD752" s="20"/>
      <c r="AE752" s="20"/>
      <c r="AF752" s="20"/>
    </row>
    <row r="753" spans="1:32" ht="19.5">
      <c r="A753" s="20"/>
      <c r="B753" s="20"/>
      <c r="C753" s="20"/>
      <c r="D753" s="20"/>
      <c r="E753" s="20"/>
      <c r="F753" s="20"/>
      <c r="G753" s="124"/>
      <c r="H753" s="20"/>
      <c r="I753" s="20"/>
      <c r="J753" s="20"/>
      <c r="K753" s="124"/>
      <c r="L753" s="127"/>
      <c r="M753" s="20"/>
      <c r="N753" s="20"/>
      <c r="O753" s="20"/>
      <c r="P753" s="124"/>
      <c r="Q753" s="127"/>
      <c r="R753" s="20"/>
      <c r="S753" s="20"/>
      <c r="T753" s="20"/>
      <c r="U753" s="124"/>
      <c r="V753" s="127"/>
      <c r="W753" s="20"/>
      <c r="X753" s="20"/>
      <c r="Y753" s="20"/>
      <c r="Z753" s="20"/>
      <c r="AA753" s="20"/>
      <c r="AB753" s="20"/>
      <c r="AC753" s="20"/>
      <c r="AD753" s="20"/>
      <c r="AE753" s="20"/>
      <c r="AF753" s="20"/>
    </row>
    <row r="754" spans="1:32" ht="19.5">
      <c r="A754" s="20"/>
      <c r="B754" s="20"/>
      <c r="C754" s="20"/>
      <c r="D754" s="20"/>
      <c r="E754" s="20"/>
      <c r="F754" s="20"/>
      <c r="G754" s="124"/>
      <c r="H754" s="20"/>
      <c r="I754" s="20"/>
      <c r="J754" s="20"/>
      <c r="K754" s="124"/>
      <c r="L754" s="127"/>
      <c r="M754" s="20"/>
      <c r="N754" s="20"/>
      <c r="O754" s="20"/>
      <c r="P754" s="124"/>
      <c r="Q754" s="127"/>
      <c r="R754" s="20"/>
      <c r="S754" s="20"/>
      <c r="T754" s="20"/>
      <c r="U754" s="124"/>
      <c r="V754" s="127"/>
      <c r="W754" s="20"/>
      <c r="X754" s="20"/>
      <c r="Y754" s="20"/>
      <c r="Z754" s="20"/>
      <c r="AA754" s="20"/>
      <c r="AB754" s="20"/>
      <c r="AC754" s="20"/>
      <c r="AD754" s="20"/>
      <c r="AE754" s="20"/>
      <c r="AF754" s="20"/>
    </row>
    <row r="755" spans="1:32" ht="19.5">
      <c r="A755" s="20"/>
      <c r="B755" s="20"/>
      <c r="C755" s="20"/>
      <c r="D755" s="20"/>
      <c r="E755" s="20"/>
      <c r="F755" s="20"/>
      <c r="G755" s="124"/>
      <c r="H755" s="20"/>
      <c r="I755" s="20"/>
      <c r="J755" s="20"/>
      <c r="K755" s="124"/>
      <c r="L755" s="127"/>
      <c r="M755" s="20"/>
      <c r="N755" s="20"/>
      <c r="O755" s="20"/>
      <c r="P755" s="124"/>
      <c r="Q755" s="127"/>
      <c r="R755" s="20"/>
      <c r="S755" s="20"/>
      <c r="T755" s="20"/>
      <c r="U755" s="124"/>
      <c r="V755" s="127"/>
      <c r="W755" s="20"/>
      <c r="X755" s="20"/>
      <c r="Y755" s="20"/>
      <c r="Z755" s="20"/>
      <c r="AA755" s="20"/>
      <c r="AB755" s="20"/>
      <c r="AC755" s="20"/>
      <c r="AD755" s="20"/>
      <c r="AE755" s="20"/>
      <c r="AF755" s="20"/>
    </row>
    <row r="756" spans="1:32" ht="19.5">
      <c r="A756" s="20"/>
      <c r="B756" s="20"/>
      <c r="C756" s="20"/>
      <c r="D756" s="20"/>
      <c r="E756" s="20"/>
      <c r="F756" s="20"/>
      <c r="G756" s="124"/>
      <c r="H756" s="20"/>
      <c r="I756" s="20"/>
      <c r="J756" s="20"/>
      <c r="K756" s="124"/>
      <c r="L756" s="127"/>
      <c r="M756" s="20"/>
      <c r="N756" s="20"/>
      <c r="O756" s="20"/>
      <c r="P756" s="124"/>
      <c r="Q756" s="127"/>
      <c r="R756" s="20"/>
      <c r="S756" s="20"/>
      <c r="T756" s="20"/>
      <c r="U756" s="124"/>
      <c r="V756" s="127"/>
      <c r="W756" s="20"/>
      <c r="X756" s="20"/>
      <c r="Y756" s="20"/>
      <c r="Z756" s="20"/>
      <c r="AA756" s="20"/>
      <c r="AB756" s="20"/>
      <c r="AC756" s="20"/>
      <c r="AD756" s="20"/>
      <c r="AE756" s="20"/>
      <c r="AF756" s="20"/>
    </row>
    <row r="757" spans="1:32" ht="19.5">
      <c r="A757" s="20"/>
      <c r="B757" s="20"/>
      <c r="C757" s="20"/>
      <c r="D757" s="20"/>
      <c r="E757" s="20"/>
      <c r="F757" s="20"/>
      <c r="G757" s="124"/>
      <c r="H757" s="20"/>
      <c r="I757" s="20"/>
      <c r="J757" s="20"/>
      <c r="K757" s="124"/>
      <c r="L757" s="127"/>
      <c r="M757" s="20"/>
      <c r="N757" s="20"/>
      <c r="O757" s="20"/>
      <c r="P757" s="124"/>
      <c r="Q757" s="127"/>
      <c r="R757" s="20"/>
      <c r="S757" s="20"/>
      <c r="T757" s="20"/>
      <c r="U757" s="124"/>
      <c r="V757" s="127"/>
      <c r="W757" s="20"/>
      <c r="X757" s="20"/>
      <c r="Y757" s="20"/>
      <c r="Z757" s="20"/>
      <c r="AA757" s="20"/>
      <c r="AB757" s="20"/>
      <c r="AC757" s="20"/>
      <c r="AD757" s="20"/>
      <c r="AE757" s="20"/>
      <c r="AF757" s="20"/>
    </row>
    <row r="758" spans="1:32" ht="19.5">
      <c r="A758" s="20"/>
      <c r="B758" s="20"/>
      <c r="C758" s="20"/>
      <c r="D758" s="20"/>
      <c r="E758" s="20"/>
      <c r="F758" s="20"/>
      <c r="G758" s="124"/>
      <c r="H758" s="20"/>
      <c r="I758" s="20"/>
      <c r="J758" s="20"/>
      <c r="K758" s="124"/>
      <c r="L758" s="127"/>
      <c r="M758" s="20"/>
      <c r="N758" s="20"/>
      <c r="O758" s="20"/>
      <c r="P758" s="124"/>
      <c r="Q758" s="127"/>
      <c r="R758" s="20"/>
      <c r="S758" s="20"/>
      <c r="T758" s="20"/>
      <c r="U758" s="124"/>
      <c r="V758" s="127"/>
      <c r="W758" s="20"/>
      <c r="X758" s="20"/>
      <c r="Y758" s="20"/>
      <c r="Z758" s="20"/>
      <c r="AA758" s="20"/>
      <c r="AB758" s="20"/>
      <c r="AC758" s="20"/>
      <c r="AD758" s="20"/>
      <c r="AE758" s="20"/>
      <c r="AF758" s="20"/>
    </row>
    <row r="759" spans="1:32" ht="19.5">
      <c r="A759" s="20"/>
      <c r="B759" s="20"/>
      <c r="C759" s="20"/>
      <c r="D759" s="20"/>
      <c r="E759" s="20"/>
      <c r="F759" s="20"/>
      <c r="G759" s="124"/>
      <c r="H759" s="20"/>
      <c r="I759" s="20"/>
      <c r="J759" s="20"/>
      <c r="K759" s="124"/>
      <c r="L759" s="127"/>
      <c r="M759" s="20"/>
      <c r="N759" s="20"/>
      <c r="O759" s="20"/>
      <c r="P759" s="124"/>
      <c r="Q759" s="127"/>
      <c r="R759" s="20"/>
      <c r="S759" s="20"/>
      <c r="T759" s="20"/>
      <c r="U759" s="124"/>
      <c r="V759" s="127"/>
      <c r="W759" s="20"/>
      <c r="X759" s="20"/>
      <c r="Y759" s="20"/>
      <c r="Z759" s="20"/>
      <c r="AA759" s="20"/>
      <c r="AB759" s="20"/>
      <c r="AC759" s="20"/>
      <c r="AD759" s="20"/>
      <c r="AE759" s="20"/>
      <c r="AF759" s="20"/>
    </row>
    <row r="760" spans="1:32" ht="19.5">
      <c r="A760" s="20"/>
      <c r="B760" s="20"/>
      <c r="C760" s="20"/>
      <c r="D760" s="20"/>
      <c r="E760" s="20"/>
      <c r="F760" s="20"/>
      <c r="G760" s="124"/>
      <c r="H760" s="20"/>
      <c r="I760" s="20"/>
      <c r="J760" s="20"/>
      <c r="K760" s="124"/>
      <c r="L760" s="127"/>
      <c r="M760" s="20"/>
      <c r="N760" s="20"/>
      <c r="O760" s="20"/>
      <c r="P760" s="124"/>
      <c r="Q760" s="127"/>
      <c r="R760" s="20"/>
      <c r="S760" s="20"/>
      <c r="T760" s="20"/>
      <c r="U760" s="124"/>
      <c r="V760" s="127"/>
      <c r="W760" s="20"/>
      <c r="X760" s="20"/>
      <c r="Y760" s="20"/>
      <c r="Z760" s="20"/>
      <c r="AA760" s="20"/>
      <c r="AB760" s="20"/>
      <c r="AC760" s="20"/>
      <c r="AD760" s="20"/>
      <c r="AE760" s="20"/>
      <c r="AF760" s="20"/>
    </row>
    <row r="761" spans="1:32" ht="19.5">
      <c r="A761" s="20"/>
      <c r="B761" s="20"/>
      <c r="C761" s="20"/>
      <c r="D761" s="20"/>
      <c r="E761" s="20"/>
      <c r="F761" s="20"/>
      <c r="G761" s="124"/>
      <c r="H761" s="20"/>
      <c r="I761" s="20"/>
      <c r="J761" s="20"/>
      <c r="K761" s="124"/>
      <c r="L761" s="127"/>
      <c r="M761" s="20"/>
      <c r="N761" s="20"/>
      <c r="O761" s="20"/>
      <c r="P761" s="124"/>
      <c r="Q761" s="127"/>
      <c r="R761" s="20"/>
      <c r="S761" s="20"/>
      <c r="T761" s="20"/>
      <c r="U761" s="124"/>
      <c r="V761" s="127"/>
      <c r="W761" s="20"/>
      <c r="X761" s="20"/>
      <c r="Y761" s="20"/>
      <c r="Z761" s="20"/>
      <c r="AA761" s="20"/>
      <c r="AB761" s="20"/>
      <c r="AC761" s="20"/>
      <c r="AD761" s="20"/>
      <c r="AE761" s="20"/>
      <c r="AF761" s="20"/>
    </row>
    <row r="762" spans="1:32" ht="19.5">
      <c r="A762" s="20"/>
      <c r="B762" s="20"/>
      <c r="C762" s="20"/>
      <c r="D762" s="20"/>
      <c r="E762" s="20"/>
      <c r="F762" s="20"/>
      <c r="G762" s="124"/>
      <c r="H762" s="20"/>
      <c r="I762" s="20"/>
      <c r="J762" s="20"/>
      <c r="K762" s="124"/>
      <c r="L762" s="127"/>
      <c r="M762" s="20"/>
      <c r="N762" s="20"/>
      <c r="O762" s="20"/>
      <c r="P762" s="124"/>
      <c r="Q762" s="127"/>
      <c r="R762" s="20"/>
      <c r="S762" s="20"/>
      <c r="T762" s="20"/>
      <c r="U762" s="124"/>
      <c r="V762" s="127"/>
      <c r="W762" s="20"/>
      <c r="X762" s="20"/>
      <c r="Y762" s="20"/>
      <c r="Z762" s="20"/>
      <c r="AA762" s="20"/>
      <c r="AB762" s="20"/>
      <c r="AC762" s="20"/>
      <c r="AD762" s="20"/>
      <c r="AE762" s="20"/>
      <c r="AF762" s="20"/>
    </row>
    <row r="763" spans="1:32" ht="19.5">
      <c r="A763" s="20"/>
      <c r="B763" s="20"/>
      <c r="C763" s="20"/>
      <c r="D763" s="20"/>
      <c r="E763" s="20"/>
      <c r="F763" s="20"/>
      <c r="G763" s="124"/>
      <c r="H763" s="20"/>
      <c r="I763" s="20"/>
      <c r="J763" s="20"/>
      <c r="K763" s="124"/>
      <c r="L763" s="127"/>
      <c r="M763" s="20"/>
      <c r="N763" s="20"/>
      <c r="O763" s="20"/>
      <c r="P763" s="124"/>
      <c r="Q763" s="127"/>
      <c r="R763" s="20"/>
      <c r="S763" s="20"/>
      <c r="T763" s="20"/>
      <c r="U763" s="124"/>
      <c r="V763" s="127"/>
      <c r="W763" s="20"/>
      <c r="X763" s="20"/>
      <c r="Y763" s="20"/>
      <c r="Z763" s="20"/>
      <c r="AA763" s="20"/>
      <c r="AB763" s="20"/>
      <c r="AC763" s="20"/>
      <c r="AD763" s="20"/>
      <c r="AE763" s="20"/>
      <c r="AF763" s="20"/>
    </row>
    <row r="764" spans="1:32" ht="19.5">
      <c r="A764" s="20"/>
      <c r="B764" s="20"/>
      <c r="C764" s="20"/>
      <c r="D764" s="20"/>
      <c r="E764" s="20"/>
      <c r="F764" s="20"/>
      <c r="G764" s="124"/>
      <c r="H764" s="20"/>
      <c r="I764" s="20"/>
      <c r="J764" s="20"/>
      <c r="K764" s="124"/>
      <c r="L764" s="127"/>
      <c r="M764" s="20"/>
      <c r="N764" s="20"/>
      <c r="O764" s="20"/>
      <c r="P764" s="124"/>
      <c r="Q764" s="127"/>
      <c r="R764" s="20"/>
      <c r="S764" s="20"/>
      <c r="T764" s="20"/>
      <c r="U764" s="124"/>
      <c r="V764" s="127"/>
      <c r="W764" s="20"/>
      <c r="X764" s="20"/>
      <c r="Y764" s="20"/>
      <c r="Z764" s="20"/>
      <c r="AA764" s="20"/>
      <c r="AB764" s="20"/>
      <c r="AC764" s="20"/>
      <c r="AD764" s="20"/>
      <c r="AE764" s="20"/>
      <c r="AF764" s="20"/>
    </row>
    <row r="765" spans="1:32" ht="19.5">
      <c r="A765" s="20"/>
      <c r="B765" s="20"/>
      <c r="C765" s="20"/>
      <c r="D765" s="20"/>
      <c r="E765" s="20"/>
      <c r="F765" s="20"/>
      <c r="G765" s="124"/>
      <c r="H765" s="20"/>
      <c r="I765" s="20"/>
      <c r="J765" s="20"/>
      <c r="K765" s="124"/>
      <c r="L765" s="127"/>
      <c r="M765" s="20"/>
      <c r="N765" s="20"/>
      <c r="O765" s="20"/>
      <c r="P765" s="124"/>
      <c r="Q765" s="127"/>
      <c r="R765" s="20"/>
      <c r="S765" s="20"/>
      <c r="T765" s="20"/>
      <c r="U765" s="124"/>
      <c r="V765" s="127"/>
      <c r="W765" s="20"/>
      <c r="X765" s="20"/>
      <c r="Y765" s="20"/>
      <c r="Z765" s="20"/>
      <c r="AA765" s="20"/>
      <c r="AB765" s="20"/>
      <c r="AC765" s="20"/>
      <c r="AD765" s="20"/>
      <c r="AE765" s="20"/>
      <c r="AF765" s="20"/>
    </row>
    <row r="766" spans="1:32" ht="19.5">
      <c r="A766" s="20"/>
      <c r="B766" s="20"/>
      <c r="C766" s="20"/>
      <c r="D766" s="20"/>
      <c r="E766" s="20"/>
      <c r="F766" s="20"/>
      <c r="G766" s="124"/>
      <c r="H766" s="20"/>
      <c r="I766" s="20"/>
      <c r="J766" s="20"/>
      <c r="K766" s="124"/>
      <c r="L766" s="127"/>
      <c r="M766" s="20"/>
      <c r="N766" s="20"/>
      <c r="O766" s="20"/>
      <c r="P766" s="124"/>
      <c r="Q766" s="127"/>
      <c r="R766" s="20"/>
      <c r="S766" s="20"/>
      <c r="T766" s="20"/>
      <c r="U766" s="124"/>
      <c r="V766" s="127"/>
      <c r="W766" s="20"/>
      <c r="X766" s="20"/>
      <c r="Y766" s="20"/>
      <c r="Z766" s="20"/>
      <c r="AA766" s="20"/>
      <c r="AB766" s="20"/>
      <c r="AC766" s="20"/>
      <c r="AD766" s="20"/>
      <c r="AE766" s="20"/>
      <c r="AF766" s="20"/>
    </row>
    <row r="767" spans="1:32" ht="19.5">
      <c r="A767" s="20"/>
      <c r="B767" s="20"/>
      <c r="C767" s="20"/>
      <c r="D767" s="20"/>
      <c r="E767" s="20"/>
      <c r="F767" s="20"/>
      <c r="G767" s="124"/>
      <c r="H767" s="20"/>
      <c r="I767" s="20"/>
      <c r="J767" s="20"/>
      <c r="K767" s="124"/>
      <c r="L767" s="127"/>
      <c r="M767" s="20"/>
      <c r="N767" s="20"/>
      <c r="O767" s="20"/>
      <c r="P767" s="124"/>
      <c r="Q767" s="127"/>
      <c r="R767" s="20"/>
      <c r="S767" s="20"/>
      <c r="T767" s="20"/>
      <c r="U767" s="124"/>
      <c r="V767" s="127"/>
      <c r="W767" s="20"/>
      <c r="X767" s="20"/>
      <c r="Y767" s="20"/>
      <c r="Z767" s="20"/>
      <c r="AA767" s="20"/>
      <c r="AB767" s="20"/>
      <c r="AC767" s="20"/>
      <c r="AD767" s="20"/>
      <c r="AE767" s="20"/>
      <c r="AF767" s="20"/>
    </row>
    <row r="768" spans="1:32" ht="19.5">
      <c r="A768" s="20"/>
      <c r="B768" s="20"/>
      <c r="C768" s="20"/>
      <c r="D768" s="20"/>
      <c r="E768" s="20"/>
      <c r="F768" s="20"/>
      <c r="G768" s="124"/>
      <c r="H768" s="20"/>
      <c r="I768" s="20"/>
      <c r="J768" s="20"/>
      <c r="K768" s="124"/>
      <c r="L768" s="127"/>
      <c r="M768" s="20"/>
      <c r="N768" s="20"/>
      <c r="O768" s="20"/>
      <c r="P768" s="124"/>
      <c r="Q768" s="127"/>
      <c r="R768" s="20"/>
      <c r="S768" s="20"/>
      <c r="T768" s="20"/>
      <c r="U768" s="124"/>
      <c r="V768" s="127"/>
      <c r="W768" s="20"/>
      <c r="X768" s="20"/>
      <c r="Y768" s="20"/>
      <c r="Z768" s="20"/>
      <c r="AA768" s="20"/>
      <c r="AB768" s="20"/>
      <c r="AC768" s="20"/>
      <c r="AD768" s="20"/>
      <c r="AE768" s="20"/>
      <c r="AF768" s="20"/>
    </row>
    <row r="769" spans="1:32" ht="19.5">
      <c r="A769" s="20"/>
      <c r="B769" s="20"/>
      <c r="C769" s="20"/>
      <c r="D769" s="20"/>
      <c r="E769" s="20"/>
      <c r="F769" s="20"/>
      <c r="G769" s="124"/>
      <c r="H769" s="20"/>
      <c r="I769" s="20"/>
      <c r="J769" s="20"/>
      <c r="K769" s="124"/>
      <c r="L769" s="127"/>
      <c r="M769" s="20"/>
      <c r="N769" s="20"/>
      <c r="O769" s="20"/>
      <c r="P769" s="124"/>
      <c r="Q769" s="127"/>
      <c r="R769" s="20"/>
      <c r="S769" s="20"/>
      <c r="T769" s="20"/>
      <c r="U769" s="124"/>
      <c r="V769" s="127"/>
      <c r="W769" s="20"/>
      <c r="X769" s="20"/>
      <c r="Y769" s="20"/>
      <c r="Z769" s="20"/>
      <c r="AA769" s="20"/>
      <c r="AB769" s="20"/>
      <c r="AC769" s="20"/>
      <c r="AD769" s="20"/>
      <c r="AE769" s="20"/>
      <c r="AF769" s="20"/>
    </row>
    <row r="770" spans="1:32" ht="19.5">
      <c r="A770" s="20"/>
      <c r="B770" s="20"/>
      <c r="C770" s="20"/>
      <c r="D770" s="20"/>
      <c r="E770" s="20"/>
      <c r="F770" s="20"/>
      <c r="G770" s="124"/>
      <c r="H770" s="20"/>
      <c r="I770" s="20"/>
      <c r="J770" s="20"/>
      <c r="K770" s="124"/>
      <c r="L770" s="127"/>
      <c r="M770" s="20"/>
      <c r="N770" s="20"/>
      <c r="O770" s="20"/>
      <c r="P770" s="124"/>
      <c r="Q770" s="127"/>
      <c r="R770" s="20"/>
      <c r="S770" s="20"/>
      <c r="T770" s="20"/>
      <c r="U770" s="124"/>
      <c r="V770" s="127"/>
      <c r="W770" s="20"/>
      <c r="X770" s="20"/>
      <c r="Y770" s="20"/>
      <c r="Z770" s="20"/>
      <c r="AA770" s="20"/>
      <c r="AB770" s="20"/>
      <c r="AC770" s="20"/>
      <c r="AD770" s="20"/>
      <c r="AE770" s="20"/>
      <c r="AF770" s="20"/>
    </row>
    <row r="771" spans="1:32" ht="19.5">
      <c r="A771" s="20"/>
      <c r="B771" s="20"/>
      <c r="C771" s="20"/>
      <c r="D771" s="20"/>
      <c r="E771" s="20"/>
      <c r="F771" s="20"/>
      <c r="G771" s="124"/>
      <c r="H771" s="20"/>
      <c r="I771" s="20"/>
      <c r="J771" s="20"/>
      <c r="K771" s="124"/>
      <c r="L771" s="127"/>
      <c r="M771" s="20"/>
      <c r="N771" s="20"/>
      <c r="O771" s="20"/>
      <c r="P771" s="124"/>
      <c r="Q771" s="127"/>
      <c r="R771" s="20"/>
      <c r="S771" s="20"/>
      <c r="T771" s="20"/>
      <c r="U771" s="124"/>
      <c r="V771" s="127"/>
      <c r="W771" s="20"/>
      <c r="X771" s="20"/>
      <c r="Y771" s="20"/>
      <c r="Z771" s="20"/>
      <c r="AA771" s="20"/>
      <c r="AB771" s="20"/>
      <c r="AC771" s="20"/>
      <c r="AD771" s="20"/>
      <c r="AE771" s="20"/>
      <c r="AF771" s="20"/>
    </row>
    <row r="772" spans="1:32" ht="19.5">
      <c r="A772" s="20"/>
      <c r="B772" s="20"/>
      <c r="C772" s="20"/>
      <c r="D772" s="20"/>
      <c r="E772" s="20"/>
      <c r="F772" s="20"/>
      <c r="G772" s="124"/>
      <c r="H772" s="20"/>
      <c r="I772" s="20"/>
      <c r="J772" s="20"/>
      <c r="K772" s="124"/>
      <c r="L772" s="127"/>
      <c r="M772" s="20"/>
      <c r="N772" s="20"/>
      <c r="O772" s="20"/>
      <c r="P772" s="124"/>
      <c r="Q772" s="127"/>
      <c r="R772" s="20"/>
      <c r="S772" s="20"/>
      <c r="T772" s="20"/>
      <c r="U772" s="124"/>
      <c r="V772" s="127"/>
      <c r="W772" s="20"/>
      <c r="X772" s="20"/>
      <c r="Y772" s="20"/>
      <c r="Z772" s="20"/>
      <c r="AA772" s="20"/>
      <c r="AB772" s="20"/>
      <c r="AC772" s="20"/>
      <c r="AD772" s="20"/>
      <c r="AE772" s="20"/>
      <c r="AF772" s="20"/>
    </row>
    <row r="773" spans="1:32" ht="19.5">
      <c r="A773" s="20"/>
      <c r="B773" s="20"/>
      <c r="C773" s="20"/>
      <c r="D773" s="20"/>
      <c r="E773" s="20"/>
      <c r="F773" s="20"/>
      <c r="G773" s="124"/>
      <c r="H773" s="20"/>
      <c r="I773" s="20"/>
      <c r="J773" s="20"/>
      <c r="K773" s="124"/>
      <c r="L773" s="127"/>
      <c r="M773" s="20"/>
      <c r="N773" s="20"/>
      <c r="O773" s="20"/>
      <c r="P773" s="124"/>
      <c r="Q773" s="127"/>
      <c r="R773" s="20"/>
      <c r="S773" s="20"/>
      <c r="T773" s="20"/>
      <c r="U773" s="124"/>
      <c r="V773" s="127"/>
      <c r="W773" s="20"/>
      <c r="X773" s="20"/>
      <c r="Y773" s="20"/>
      <c r="Z773" s="20"/>
      <c r="AA773" s="20"/>
      <c r="AB773" s="20"/>
      <c r="AC773" s="20"/>
      <c r="AD773" s="20"/>
      <c r="AE773" s="20"/>
      <c r="AF773" s="20"/>
    </row>
    <row r="774" spans="1:32" ht="19.5">
      <c r="A774" s="20"/>
      <c r="B774" s="20"/>
      <c r="C774" s="20"/>
      <c r="D774" s="20"/>
      <c r="E774" s="20"/>
      <c r="F774" s="20"/>
      <c r="G774" s="124"/>
      <c r="H774" s="20"/>
      <c r="I774" s="20"/>
      <c r="J774" s="20"/>
      <c r="K774" s="124"/>
      <c r="L774" s="127"/>
      <c r="M774" s="20"/>
      <c r="N774" s="20"/>
      <c r="O774" s="20"/>
      <c r="P774" s="124"/>
      <c r="Q774" s="127"/>
      <c r="R774" s="20"/>
      <c r="S774" s="20"/>
      <c r="T774" s="20"/>
      <c r="U774" s="124"/>
      <c r="V774" s="127"/>
      <c r="W774" s="20"/>
      <c r="X774" s="20"/>
      <c r="Y774" s="20"/>
      <c r="Z774" s="20"/>
      <c r="AA774" s="20"/>
      <c r="AB774" s="20"/>
      <c r="AC774" s="20"/>
      <c r="AD774" s="20"/>
      <c r="AE774" s="20"/>
      <c r="AF774" s="20"/>
    </row>
    <row r="775" spans="1:32" ht="19.5">
      <c r="A775" s="20"/>
      <c r="B775" s="20"/>
      <c r="C775" s="20"/>
      <c r="D775" s="20"/>
      <c r="E775" s="20"/>
      <c r="F775" s="20"/>
      <c r="G775" s="124"/>
      <c r="H775" s="20"/>
      <c r="I775" s="20"/>
      <c r="J775" s="20"/>
      <c r="K775" s="124"/>
      <c r="L775" s="127"/>
      <c r="M775" s="20"/>
      <c r="N775" s="20"/>
      <c r="O775" s="20"/>
      <c r="P775" s="124"/>
      <c r="Q775" s="127"/>
      <c r="R775" s="20"/>
      <c r="S775" s="20"/>
      <c r="T775" s="20"/>
      <c r="U775" s="124"/>
      <c r="V775" s="127"/>
      <c r="W775" s="20"/>
      <c r="X775" s="20"/>
      <c r="Y775" s="20"/>
      <c r="Z775" s="20"/>
      <c r="AA775" s="20"/>
      <c r="AB775" s="20"/>
      <c r="AC775" s="20"/>
      <c r="AD775" s="20"/>
      <c r="AE775" s="20"/>
      <c r="AF775" s="20"/>
    </row>
    <row r="776" spans="1:32" ht="19.5">
      <c r="A776" s="20"/>
      <c r="B776" s="20"/>
      <c r="C776" s="20"/>
      <c r="D776" s="20"/>
      <c r="E776" s="20"/>
      <c r="F776" s="20"/>
      <c r="G776" s="124"/>
      <c r="H776" s="20"/>
      <c r="I776" s="20"/>
      <c r="J776" s="20"/>
      <c r="K776" s="124"/>
      <c r="L776" s="127"/>
      <c r="M776" s="20"/>
      <c r="N776" s="20"/>
      <c r="O776" s="20"/>
      <c r="P776" s="124"/>
      <c r="Q776" s="127"/>
      <c r="R776" s="20"/>
      <c r="S776" s="20"/>
      <c r="T776" s="20"/>
      <c r="U776" s="124"/>
      <c r="V776" s="127"/>
      <c r="W776" s="20"/>
      <c r="X776" s="20"/>
      <c r="Y776" s="20"/>
      <c r="Z776" s="20"/>
      <c r="AA776" s="20"/>
      <c r="AB776" s="20"/>
      <c r="AC776" s="20"/>
      <c r="AD776" s="20"/>
      <c r="AE776" s="20"/>
      <c r="AF776" s="20"/>
    </row>
    <row r="777" spans="1:32" ht="19.5">
      <c r="A777" s="20"/>
      <c r="B777" s="20"/>
      <c r="C777" s="20"/>
      <c r="D777" s="20"/>
      <c r="E777" s="20"/>
      <c r="F777" s="20"/>
      <c r="G777" s="124"/>
      <c r="H777" s="20"/>
      <c r="I777" s="20"/>
      <c r="J777" s="20"/>
      <c r="K777" s="124"/>
      <c r="L777" s="127"/>
      <c r="M777" s="20"/>
      <c r="N777" s="20"/>
      <c r="O777" s="20"/>
      <c r="P777" s="124"/>
      <c r="Q777" s="127"/>
      <c r="R777" s="20"/>
      <c r="S777" s="20"/>
      <c r="T777" s="20"/>
      <c r="U777" s="124"/>
      <c r="V777" s="127"/>
      <c r="W777" s="20"/>
      <c r="X777" s="20"/>
      <c r="Y777" s="20"/>
      <c r="Z777" s="20"/>
      <c r="AA777" s="20"/>
      <c r="AB777" s="20"/>
      <c r="AC777" s="20"/>
      <c r="AD777" s="20"/>
      <c r="AE777" s="20"/>
      <c r="AF777" s="20"/>
    </row>
    <row r="778" spans="1:32" ht="19.5">
      <c r="A778" s="20"/>
      <c r="B778" s="20"/>
      <c r="C778" s="20"/>
      <c r="D778" s="20"/>
      <c r="E778" s="20"/>
      <c r="F778" s="20"/>
      <c r="G778" s="124"/>
      <c r="H778" s="20"/>
      <c r="I778" s="20"/>
      <c r="J778" s="20"/>
      <c r="K778" s="124"/>
      <c r="L778" s="127"/>
      <c r="M778" s="20"/>
      <c r="N778" s="20"/>
      <c r="O778" s="20"/>
      <c r="P778" s="124"/>
      <c r="Q778" s="127"/>
      <c r="R778" s="20"/>
      <c r="S778" s="20"/>
      <c r="T778" s="20"/>
      <c r="U778" s="124"/>
      <c r="V778" s="127"/>
      <c r="W778" s="20"/>
      <c r="X778" s="20"/>
      <c r="Y778" s="20"/>
      <c r="Z778" s="20"/>
      <c r="AA778" s="20"/>
      <c r="AB778" s="20"/>
      <c r="AC778" s="20"/>
      <c r="AD778" s="20"/>
      <c r="AE778" s="20"/>
      <c r="AF778" s="20"/>
    </row>
    <row r="779" spans="1:32" ht="19.5">
      <c r="A779" s="20"/>
      <c r="B779" s="20"/>
      <c r="C779" s="20"/>
      <c r="D779" s="20"/>
      <c r="E779" s="20"/>
      <c r="F779" s="20"/>
      <c r="G779" s="124"/>
      <c r="H779" s="20"/>
      <c r="I779" s="20"/>
      <c r="J779" s="20"/>
      <c r="K779" s="124"/>
      <c r="L779" s="127"/>
      <c r="M779" s="20"/>
      <c r="N779" s="20"/>
      <c r="O779" s="20"/>
      <c r="P779" s="124"/>
      <c r="Q779" s="127"/>
      <c r="R779" s="20"/>
      <c r="S779" s="20"/>
      <c r="T779" s="20"/>
      <c r="U779" s="124"/>
      <c r="V779" s="127"/>
      <c r="W779" s="20"/>
      <c r="X779" s="20"/>
      <c r="Y779" s="20"/>
      <c r="Z779" s="20"/>
      <c r="AA779" s="20"/>
      <c r="AB779" s="20"/>
      <c r="AC779" s="20"/>
      <c r="AD779" s="20"/>
      <c r="AE779" s="20"/>
      <c r="AF779" s="20"/>
    </row>
    <row r="780" spans="1:32" ht="19.5">
      <c r="A780" s="20"/>
      <c r="B780" s="20"/>
      <c r="C780" s="20"/>
      <c r="D780" s="20"/>
      <c r="E780" s="20"/>
      <c r="F780" s="20"/>
      <c r="G780" s="124"/>
      <c r="H780" s="20"/>
      <c r="I780" s="20"/>
      <c r="J780" s="20"/>
      <c r="K780" s="124"/>
      <c r="L780" s="127"/>
      <c r="M780" s="20"/>
      <c r="N780" s="20"/>
      <c r="O780" s="20"/>
      <c r="P780" s="124"/>
      <c r="Q780" s="127"/>
      <c r="R780" s="20"/>
      <c r="S780" s="20"/>
      <c r="T780" s="20"/>
      <c r="U780" s="124"/>
      <c r="V780" s="127"/>
      <c r="W780" s="20"/>
      <c r="X780" s="20"/>
      <c r="Y780" s="20"/>
      <c r="Z780" s="20"/>
      <c r="AA780" s="20"/>
      <c r="AB780" s="20"/>
      <c r="AC780" s="20"/>
      <c r="AD780" s="20"/>
      <c r="AE780" s="20"/>
      <c r="AF780" s="20"/>
    </row>
    <row r="781" spans="1:32" ht="19.5">
      <c r="A781" s="20"/>
      <c r="B781" s="20"/>
      <c r="C781" s="20"/>
      <c r="D781" s="20"/>
      <c r="E781" s="20"/>
      <c r="F781" s="20"/>
      <c r="G781" s="124"/>
      <c r="H781" s="20"/>
      <c r="I781" s="20"/>
      <c r="J781" s="20"/>
      <c r="K781" s="124"/>
      <c r="L781" s="127"/>
      <c r="M781" s="20"/>
      <c r="N781" s="20"/>
      <c r="O781" s="20"/>
      <c r="P781" s="124"/>
      <c r="Q781" s="127"/>
      <c r="R781" s="20"/>
      <c r="S781" s="20"/>
      <c r="T781" s="20"/>
      <c r="U781" s="124"/>
      <c r="V781" s="127"/>
      <c r="W781" s="20"/>
      <c r="X781" s="20"/>
      <c r="Y781" s="20"/>
      <c r="Z781" s="20"/>
      <c r="AA781" s="20"/>
      <c r="AB781" s="20"/>
      <c r="AC781" s="20"/>
      <c r="AD781" s="20"/>
      <c r="AE781" s="20"/>
      <c r="AF781" s="20"/>
    </row>
    <row r="782" spans="1:32" ht="19.5">
      <c r="A782" s="20"/>
      <c r="B782" s="20"/>
      <c r="C782" s="20"/>
      <c r="D782" s="20"/>
      <c r="E782" s="20"/>
      <c r="F782" s="20"/>
      <c r="G782" s="124"/>
      <c r="H782" s="20"/>
      <c r="I782" s="20"/>
      <c r="J782" s="20"/>
      <c r="K782" s="124"/>
      <c r="L782" s="127"/>
      <c r="M782" s="20"/>
      <c r="N782" s="20"/>
      <c r="O782" s="20"/>
      <c r="P782" s="124"/>
      <c r="Q782" s="127"/>
      <c r="R782" s="20"/>
      <c r="S782" s="20"/>
      <c r="T782" s="20"/>
      <c r="U782" s="124"/>
      <c r="V782" s="127"/>
      <c r="W782" s="20"/>
      <c r="X782" s="20"/>
      <c r="Y782" s="20"/>
      <c r="Z782" s="20"/>
      <c r="AA782" s="20"/>
      <c r="AB782" s="20"/>
      <c r="AC782" s="20"/>
      <c r="AD782" s="20"/>
      <c r="AE782" s="20"/>
      <c r="AF782" s="20"/>
    </row>
    <row r="783" spans="1:32" ht="19.5">
      <c r="A783" s="20"/>
      <c r="B783" s="20"/>
      <c r="C783" s="20"/>
      <c r="D783" s="20"/>
      <c r="E783" s="20"/>
      <c r="F783" s="20"/>
      <c r="G783" s="124"/>
      <c r="H783" s="20"/>
      <c r="I783" s="20"/>
      <c r="J783" s="20"/>
      <c r="K783" s="124"/>
      <c r="L783" s="127"/>
      <c r="M783" s="20"/>
      <c r="N783" s="20"/>
      <c r="O783" s="20"/>
      <c r="P783" s="124"/>
      <c r="Q783" s="127"/>
      <c r="R783" s="20"/>
      <c r="S783" s="20"/>
      <c r="T783" s="20"/>
      <c r="U783" s="124"/>
      <c r="V783" s="127"/>
      <c r="W783" s="20"/>
      <c r="X783" s="20"/>
      <c r="Y783" s="20"/>
      <c r="Z783" s="20"/>
      <c r="AA783" s="20"/>
      <c r="AB783" s="20"/>
      <c r="AC783" s="20"/>
      <c r="AD783" s="20"/>
      <c r="AE783" s="20"/>
      <c r="AF783" s="20"/>
    </row>
    <row r="784" spans="1:32" ht="19.5">
      <c r="A784" s="20"/>
      <c r="B784" s="20"/>
      <c r="C784" s="20"/>
      <c r="D784" s="20"/>
      <c r="E784" s="20"/>
      <c r="F784" s="20"/>
      <c r="G784" s="124"/>
      <c r="H784" s="20"/>
      <c r="I784" s="20"/>
      <c r="J784" s="20"/>
      <c r="K784" s="124"/>
      <c r="L784" s="127"/>
      <c r="M784" s="20"/>
      <c r="N784" s="20"/>
      <c r="O784" s="20"/>
      <c r="P784" s="124"/>
      <c r="Q784" s="127"/>
      <c r="R784" s="20"/>
      <c r="S784" s="20"/>
      <c r="T784" s="20"/>
      <c r="U784" s="124"/>
      <c r="V784" s="127"/>
      <c r="W784" s="20"/>
      <c r="X784" s="20"/>
      <c r="Y784" s="20"/>
      <c r="Z784" s="20"/>
      <c r="AA784" s="20"/>
      <c r="AB784" s="20"/>
      <c r="AC784" s="20"/>
      <c r="AD784" s="20"/>
      <c r="AE784" s="20"/>
      <c r="AF784" s="20"/>
    </row>
    <row r="785" spans="1:32" ht="19.5">
      <c r="A785" s="20"/>
      <c r="B785" s="20"/>
      <c r="C785" s="20"/>
      <c r="D785" s="20"/>
      <c r="E785" s="20"/>
      <c r="F785" s="20"/>
      <c r="G785" s="124"/>
      <c r="H785" s="20"/>
      <c r="I785" s="20"/>
      <c r="J785" s="20"/>
      <c r="K785" s="124"/>
      <c r="L785" s="127"/>
      <c r="M785" s="20"/>
      <c r="N785" s="20"/>
      <c r="O785" s="20"/>
      <c r="P785" s="124"/>
      <c r="Q785" s="127"/>
      <c r="R785" s="20"/>
      <c r="S785" s="20"/>
      <c r="T785" s="20"/>
      <c r="U785" s="124"/>
      <c r="V785" s="127"/>
      <c r="W785" s="20"/>
      <c r="X785" s="20"/>
      <c r="Y785" s="20"/>
      <c r="Z785" s="20"/>
      <c r="AA785" s="20"/>
      <c r="AB785" s="20"/>
      <c r="AC785" s="20"/>
      <c r="AD785" s="20"/>
      <c r="AE785" s="20"/>
      <c r="AF785" s="20"/>
    </row>
    <row r="786" spans="1:32" ht="19.5">
      <c r="A786" s="20"/>
      <c r="B786" s="20"/>
      <c r="C786" s="20"/>
      <c r="D786" s="20"/>
      <c r="E786" s="20"/>
      <c r="F786" s="20"/>
      <c r="G786" s="124"/>
      <c r="H786" s="20"/>
      <c r="I786" s="20"/>
      <c r="J786" s="20"/>
      <c r="K786" s="124"/>
      <c r="L786" s="127"/>
      <c r="M786" s="20"/>
      <c r="N786" s="20"/>
      <c r="O786" s="20"/>
      <c r="P786" s="124"/>
      <c r="Q786" s="127"/>
      <c r="R786" s="20"/>
      <c r="S786" s="20"/>
      <c r="T786" s="20"/>
      <c r="U786" s="124"/>
      <c r="V786" s="127"/>
      <c r="W786" s="20"/>
      <c r="X786" s="20"/>
      <c r="Y786" s="20"/>
      <c r="Z786" s="20"/>
      <c r="AA786" s="20"/>
      <c r="AB786" s="20"/>
      <c r="AC786" s="20"/>
      <c r="AD786" s="20"/>
      <c r="AE786" s="20"/>
      <c r="AF786" s="20"/>
    </row>
    <row r="787" spans="1:32" ht="19.5">
      <c r="A787" s="20"/>
      <c r="B787" s="20"/>
      <c r="C787" s="20"/>
      <c r="D787" s="20"/>
      <c r="E787" s="20"/>
      <c r="F787" s="20"/>
      <c r="G787" s="124"/>
      <c r="H787" s="20"/>
      <c r="I787" s="20"/>
      <c r="J787" s="20"/>
      <c r="K787" s="124"/>
      <c r="L787" s="127"/>
      <c r="M787" s="20"/>
      <c r="N787" s="20"/>
      <c r="O787" s="20"/>
      <c r="P787" s="124"/>
      <c r="Q787" s="127"/>
      <c r="R787" s="20"/>
      <c r="S787" s="20"/>
      <c r="T787" s="20"/>
      <c r="U787" s="124"/>
      <c r="V787" s="127"/>
      <c r="W787" s="20"/>
      <c r="X787" s="20"/>
      <c r="Y787" s="20"/>
      <c r="Z787" s="20"/>
      <c r="AA787" s="20"/>
      <c r="AB787" s="20"/>
      <c r="AC787" s="20"/>
      <c r="AD787" s="20"/>
      <c r="AE787" s="20"/>
      <c r="AF787" s="20"/>
    </row>
    <row r="788" spans="1:32" ht="19.5">
      <c r="A788" s="20"/>
      <c r="B788" s="20"/>
      <c r="C788" s="20"/>
      <c r="D788" s="20"/>
      <c r="E788" s="20"/>
      <c r="F788" s="20"/>
      <c r="G788" s="124"/>
      <c r="H788" s="20"/>
      <c r="I788" s="20"/>
      <c r="J788" s="20"/>
      <c r="K788" s="124"/>
      <c r="L788" s="127"/>
      <c r="M788" s="20"/>
      <c r="N788" s="20"/>
      <c r="O788" s="20"/>
      <c r="P788" s="124"/>
      <c r="Q788" s="127"/>
      <c r="R788" s="20"/>
      <c r="S788" s="20"/>
      <c r="T788" s="20"/>
      <c r="U788" s="124"/>
      <c r="V788" s="127"/>
      <c r="W788" s="20"/>
      <c r="X788" s="20"/>
      <c r="Y788" s="20"/>
      <c r="Z788" s="20"/>
      <c r="AA788" s="20"/>
      <c r="AB788" s="20"/>
      <c r="AC788" s="20"/>
      <c r="AD788" s="20"/>
      <c r="AE788" s="20"/>
      <c r="AF788" s="20"/>
    </row>
    <row r="789" spans="1:32" ht="19.5">
      <c r="A789" s="20"/>
      <c r="B789" s="20"/>
      <c r="C789" s="20"/>
      <c r="D789" s="20"/>
      <c r="E789" s="20"/>
      <c r="F789" s="20"/>
      <c r="G789" s="124"/>
      <c r="H789" s="20"/>
      <c r="I789" s="20"/>
      <c r="J789" s="20"/>
      <c r="K789" s="124"/>
      <c r="L789" s="127"/>
      <c r="M789" s="20"/>
      <c r="N789" s="20"/>
      <c r="O789" s="20"/>
      <c r="P789" s="124"/>
      <c r="Q789" s="127"/>
      <c r="R789" s="20"/>
      <c r="S789" s="20"/>
      <c r="T789" s="20"/>
      <c r="U789" s="124"/>
      <c r="V789" s="127"/>
      <c r="W789" s="20"/>
      <c r="X789" s="20"/>
      <c r="Y789" s="20"/>
      <c r="Z789" s="20"/>
      <c r="AA789" s="20"/>
      <c r="AB789" s="20"/>
      <c r="AC789" s="20"/>
      <c r="AD789" s="20"/>
      <c r="AE789" s="20"/>
      <c r="AF789" s="20"/>
    </row>
    <row r="790" spans="1:32" ht="19.5">
      <c r="A790" s="20"/>
      <c r="B790" s="20"/>
      <c r="C790" s="20"/>
      <c r="D790" s="20"/>
      <c r="E790" s="20"/>
      <c r="F790" s="20"/>
      <c r="G790" s="124"/>
      <c r="H790" s="20"/>
      <c r="I790" s="20"/>
      <c r="J790" s="20"/>
      <c r="K790" s="124"/>
      <c r="L790" s="127"/>
      <c r="M790" s="20"/>
      <c r="N790" s="20"/>
      <c r="O790" s="20"/>
      <c r="P790" s="124"/>
      <c r="Q790" s="127"/>
      <c r="R790" s="20"/>
      <c r="S790" s="20"/>
      <c r="T790" s="20"/>
      <c r="U790" s="124"/>
      <c r="V790" s="127"/>
      <c r="W790" s="20"/>
      <c r="X790" s="20"/>
      <c r="Y790" s="20"/>
      <c r="Z790" s="20"/>
      <c r="AA790" s="20"/>
      <c r="AB790" s="20"/>
      <c r="AC790" s="20"/>
      <c r="AD790" s="20"/>
      <c r="AE790" s="20"/>
      <c r="AF790" s="20"/>
    </row>
    <row r="791" spans="1:32" ht="19.5">
      <c r="A791" s="20"/>
      <c r="B791" s="20"/>
      <c r="C791" s="20"/>
      <c r="D791" s="20"/>
      <c r="E791" s="20"/>
      <c r="F791" s="20"/>
      <c r="G791" s="124"/>
      <c r="H791" s="20"/>
      <c r="I791" s="20"/>
      <c r="J791" s="20"/>
      <c r="K791" s="124"/>
      <c r="L791" s="127"/>
      <c r="M791" s="20"/>
      <c r="N791" s="20"/>
      <c r="O791" s="20"/>
      <c r="P791" s="124"/>
      <c r="Q791" s="127"/>
      <c r="R791" s="20"/>
      <c r="S791" s="20"/>
      <c r="T791" s="20"/>
      <c r="U791" s="124"/>
      <c r="V791" s="127"/>
      <c r="W791" s="20"/>
      <c r="X791" s="20"/>
      <c r="Y791" s="20"/>
      <c r="Z791" s="20"/>
      <c r="AA791" s="20"/>
      <c r="AB791" s="20"/>
      <c r="AC791" s="20"/>
      <c r="AD791" s="20"/>
      <c r="AE791" s="20"/>
      <c r="AF791" s="20"/>
    </row>
    <row r="792" spans="1:32" ht="19.5">
      <c r="A792" s="20"/>
      <c r="B792" s="20"/>
      <c r="C792" s="20"/>
      <c r="D792" s="20"/>
      <c r="E792" s="20"/>
      <c r="F792" s="20"/>
      <c r="G792" s="124"/>
      <c r="H792" s="20"/>
      <c r="I792" s="20"/>
      <c r="J792" s="20"/>
      <c r="K792" s="124"/>
      <c r="L792" s="127"/>
      <c r="M792" s="20"/>
      <c r="N792" s="20"/>
      <c r="O792" s="20"/>
      <c r="P792" s="124"/>
      <c r="Q792" s="127"/>
      <c r="R792" s="20"/>
      <c r="S792" s="20"/>
      <c r="T792" s="20"/>
      <c r="U792" s="124"/>
      <c r="V792" s="127"/>
      <c r="W792" s="20"/>
      <c r="X792" s="20"/>
      <c r="Y792" s="20"/>
      <c r="Z792" s="20"/>
      <c r="AA792" s="20"/>
      <c r="AB792" s="20"/>
      <c r="AC792" s="20"/>
      <c r="AD792" s="20"/>
      <c r="AE792" s="20"/>
      <c r="AF792" s="20"/>
    </row>
    <row r="793" spans="1:32" ht="19.5">
      <c r="A793" s="20"/>
      <c r="B793" s="20"/>
      <c r="C793" s="20"/>
      <c r="D793" s="20"/>
      <c r="E793" s="20"/>
      <c r="F793" s="20"/>
      <c r="G793" s="124"/>
      <c r="H793" s="20"/>
      <c r="I793" s="20"/>
      <c r="J793" s="20"/>
      <c r="K793" s="124"/>
      <c r="L793" s="127"/>
      <c r="M793" s="20"/>
      <c r="N793" s="20"/>
      <c r="O793" s="20"/>
      <c r="P793" s="124"/>
      <c r="Q793" s="127"/>
      <c r="R793" s="20"/>
      <c r="S793" s="20"/>
      <c r="T793" s="20"/>
      <c r="U793" s="124"/>
      <c r="V793" s="127"/>
      <c r="W793" s="20"/>
      <c r="X793" s="20"/>
      <c r="Y793" s="20"/>
      <c r="Z793" s="20"/>
      <c r="AA793" s="20"/>
      <c r="AB793" s="20"/>
      <c r="AC793" s="20"/>
      <c r="AD793" s="20"/>
      <c r="AE793" s="20"/>
      <c r="AF793" s="20"/>
    </row>
    <row r="794" spans="1:32" ht="19.5">
      <c r="A794" s="20"/>
      <c r="B794" s="20"/>
      <c r="C794" s="20"/>
      <c r="D794" s="20"/>
      <c r="E794" s="20"/>
      <c r="F794" s="20"/>
      <c r="G794" s="124"/>
      <c r="H794" s="20"/>
      <c r="I794" s="20"/>
      <c r="J794" s="20"/>
      <c r="K794" s="124"/>
      <c r="L794" s="127"/>
      <c r="M794" s="20"/>
      <c r="N794" s="20"/>
      <c r="O794" s="20"/>
      <c r="P794" s="124"/>
      <c r="Q794" s="127"/>
      <c r="R794" s="20"/>
      <c r="S794" s="20"/>
      <c r="T794" s="20"/>
      <c r="U794" s="124"/>
      <c r="V794" s="127"/>
      <c r="W794" s="20"/>
      <c r="X794" s="20"/>
      <c r="Y794" s="20"/>
      <c r="Z794" s="20"/>
      <c r="AA794" s="20"/>
      <c r="AB794" s="20"/>
      <c r="AC794" s="20"/>
      <c r="AD794" s="20"/>
      <c r="AE794" s="20"/>
      <c r="AF794" s="20"/>
    </row>
    <row r="795" spans="1:32" ht="19.5">
      <c r="A795" s="20"/>
      <c r="B795" s="20"/>
      <c r="C795" s="20"/>
      <c r="D795" s="20"/>
      <c r="E795" s="20"/>
      <c r="F795" s="20"/>
      <c r="G795" s="124"/>
      <c r="H795" s="20"/>
      <c r="I795" s="20"/>
      <c r="J795" s="20"/>
      <c r="K795" s="124"/>
      <c r="L795" s="127"/>
      <c r="M795" s="20"/>
      <c r="N795" s="20"/>
      <c r="O795" s="20"/>
      <c r="P795" s="124"/>
      <c r="Q795" s="127"/>
      <c r="R795" s="20"/>
      <c r="S795" s="20"/>
      <c r="T795" s="20"/>
      <c r="U795" s="124"/>
      <c r="V795" s="127"/>
      <c r="W795" s="20"/>
      <c r="X795" s="20"/>
      <c r="Y795" s="20"/>
      <c r="Z795" s="20"/>
      <c r="AA795" s="20"/>
      <c r="AB795" s="20"/>
      <c r="AC795" s="20"/>
      <c r="AD795" s="20"/>
      <c r="AE795" s="20"/>
      <c r="AF795" s="20"/>
    </row>
    <row r="796" spans="1:32" ht="19.5">
      <c r="A796" s="20"/>
      <c r="B796" s="20"/>
      <c r="C796" s="20"/>
      <c r="D796" s="20"/>
      <c r="E796" s="20"/>
      <c r="F796" s="20"/>
      <c r="G796" s="124"/>
      <c r="H796" s="20"/>
      <c r="I796" s="20"/>
      <c r="J796" s="20"/>
      <c r="K796" s="124"/>
      <c r="L796" s="127"/>
      <c r="M796" s="20"/>
      <c r="N796" s="20"/>
      <c r="O796" s="20"/>
      <c r="P796" s="124"/>
      <c r="Q796" s="127"/>
      <c r="R796" s="20"/>
      <c r="S796" s="20"/>
      <c r="T796" s="20"/>
      <c r="U796" s="124"/>
      <c r="V796" s="127"/>
      <c r="W796" s="20"/>
      <c r="X796" s="20"/>
      <c r="Y796" s="20"/>
      <c r="Z796" s="20"/>
      <c r="AA796" s="20"/>
      <c r="AB796" s="20"/>
      <c r="AC796" s="20"/>
      <c r="AD796" s="20"/>
      <c r="AE796" s="20"/>
      <c r="AF796" s="20"/>
    </row>
    <row r="797" spans="1:32" ht="19.5">
      <c r="A797" s="20"/>
      <c r="B797" s="20"/>
      <c r="C797" s="20"/>
      <c r="D797" s="20"/>
      <c r="E797" s="20"/>
      <c r="F797" s="20"/>
      <c r="G797" s="124"/>
      <c r="H797" s="20"/>
      <c r="I797" s="20"/>
      <c r="J797" s="20"/>
      <c r="K797" s="124"/>
      <c r="L797" s="127"/>
      <c r="M797" s="20"/>
      <c r="N797" s="20"/>
      <c r="O797" s="20"/>
      <c r="P797" s="124"/>
      <c r="Q797" s="127"/>
      <c r="R797" s="20"/>
      <c r="S797" s="20"/>
      <c r="T797" s="20"/>
      <c r="U797" s="124"/>
      <c r="V797" s="127"/>
      <c r="W797" s="20"/>
      <c r="X797" s="20"/>
      <c r="Y797" s="20"/>
      <c r="Z797" s="20"/>
      <c r="AA797" s="20"/>
      <c r="AB797" s="20"/>
      <c r="AC797" s="20"/>
      <c r="AD797" s="20"/>
      <c r="AE797" s="20"/>
      <c r="AF797" s="20"/>
    </row>
    <row r="798" spans="1:32" ht="19.5">
      <c r="A798" s="20"/>
      <c r="B798" s="20"/>
      <c r="C798" s="20"/>
      <c r="D798" s="20"/>
      <c r="E798" s="20"/>
      <c r="F798" s="20"/>
      <c r="G798" s="124"/>
      <c r="H798" s="20"/>
      <c r="I798" s="20"/>
      <c r="J798" s="20"/>
      <c r="K798" s="124"/>
      <c r="L798" s="127"/>
      <c r="M798" s="20"/>
      <c r="N798" s="20"/>
      <c r="O798" s="20"/>
      <c r="P798" s="124"/>
      <c r="Q798" s="127"/>
      <c r="R798" s="20"/>
      <c r="S798" s="20"/>
      <c r="T798" s="20"/>
      <c r="U798" s="124"/>
      <c r="V798" s="127"/>
      <c r="W798" s="20"/>
      <c r="X798" s="20"/>
      <c r="Y798" s="20"/>
      <c r="Z798" s="20"/>
      <c r="AA798" s="20"/>
      <c r="AB798" s="20"/>
      <c r="AC798" s="20"/>
      <c r="AD798" s="20"/>
      <c r="AE798" s="20"/>
      <c r="AF798" s="20"/>
    </row>
    <row r="799" spans="1:32" ht="19.5">
      <c r="A799" s="20"/>
      <c r="B799" s="20"/>
      <c r="C799" s="20"/>
      <c r="D799" s="20"/>
      <c r="E799" s="20"/>
      <c r="F799" s="20"/>
      <c r="G799" s="124"/>
      <c r="H799" s="20"/>
      <c r="I799" s="20"/>
      <c r="J799" s="20"/>
      <c r="K799" s="124"/>
      <c r="L799" s="127"/>
      <c r="M799" s="20"/>
      <c r="N799" s="20"/>
      <c r="O799" s="20"/>
      <c r="P799" s="124"/>
      <c r="Q799" s="127"/>
      <c r="R799" s="20"/>
      <c r="S799" s="20"/>
      <c r="T799" s="20"/>
      <c r="U799" s="124"/>
      <c r="V799" s="127"/>
      <c r="W799" s="20"/>
      <c r="X799" s="20"/>
      <c r="Y799" s="20"/>
      <c r="Z799" s="20"/>
      <c r="AA799" s="20"/>
      <c r="AB799" s="20"/>
      <c r="AC799" s="20"/>
      <c r="AD799" s="20"/>
      <c r="AE799" s="20"/>
      <c r="AF799" s="20"/>
    </row>
    <row r="800" spans="1:32" ht="19.5">
      <c r="A800" s="20"/>
      <c r="B800" s="20"/>
      <c r="C800" s="20"/>
      <c r="D800" s="20"/>
      <c r="E800" s="20"/>
      <c r="F800" s="20"/>
      <c r="G800" s="124"/>
      <c r="H800" s="20"/>
      <c r="I800" s="20"/>
      <c r="J800" s="20"/>
      <c r="K800" s="124"/>
      <c r="L800" s="127"/>
      <c r="M800" s="20"/>
      <c r="N800" s="20"/>
      <c r="O800" s="20"/>
      <c r="P800" s="124"/>
      <c r="Q800" s="127"/>
      <c r="R800" s="20"/>
      <c r="S800" s="20"/>
      <c r="T800" s="20"/>
      <c r="U800" s="124"/>
      <c r="V800" s="127"/>
      <c r="W800" s="20"/>
      <c r="X800" s="20"/>
      <c r="Y800" s="20"/>
      <c r="Z800" s="20"/>
      <c r="AA800" s="20"/>
      <c r="AB800" s="20"/>
      <c r="AC800" s="20"/>
      <c r="AD800" s="20"/>
      <c r="AE800" s="20"/>
      <c r="AF800" s="20"/>
    </row>
    <row r="801" spans="1:32" ht="19.5">
      <c r="A801" s="20"/>
      <c r="B801" s="20"/>
      <c r="C801" s="20"/>
      <c r="D801" s="20"/>
      <c r="E801" s="20"/>
      <c r="F801" s="20"/>
      <c r="G801" s="124"/>
      <c r="H801" s="20"/>
      <c r="I801" s="20"/>
      <c r="J801" s="20"/>
      <c r="K801" s="124"/>
      <c r="L801" s="127"/>
      <c r="M801" s="20"/>
      <c r="N801" s="20"/>
      <c r="O801" s="20"/>
      <c r="P801" s="124"/>
      <c r="Q801" s="127"/>
      <c r="R801" s="20"/>
      <c r="S801" s="20"/>
      <c r="T801" s="20"/>
      <c r="U801" s="124"/>
      <c r="V801" s="127"/>
      <c r="W801" s="20"/>
      <c r="X801" s="20"/>
      <c r="Y801" s="20"/>
      <c r="Z801" s="20"/>
      <c r="AA801" s="20"/>
      <c r="AB801" s="20"/>
      <c r="AC801" s="20"/>
      <c r="AD801" s="20"/>
      <c r="AE801" s="20"/>
      <c r="AF801" s="20"/>
    </row>
    <row r="802" spans="1:32" ht="19.5">
      <c r="A802" s="20"/>
      <c r="B802" s="20"/>
      <c r="C802" s="20"/>
      <c r="D802" s="20"/>
      <c r="E802" s="20"/>
      <c r="F802" s="20"/>
      <c r="G802" s="124"/>
      <c r="H802" s="20"/>
      <c r="I802" s="20"/>
      <c r="J802" s="20"/>
      <c r="K802" s="124"/>
      <c r="L802" s="127"/>
      <c r="M802" s="20"/>
      <c r="N802" s="20"/>
      <c r="O802" s="20"/>
      <c r="P802" s="124"/>
      <c r="Q802" s="127"/>
      <c r="R802" s="20"/>
      <c r="S802" s="20"/>
      <c r="T802" s="20"/>
      <c r="U802" s="124"/>
      <c r="V802" s="127"/>
      <c r="W802" s="20"/>
      <c r="X802" s="20"/>
      <c r="Y802" s="20"/>
      <c r="Z802" s="20"/>
      <c r="AA802" s="20"/>
      <c r="AB802" s="20"/>
      <c r="AC802" s="20"/>
      <c r="AD802" s="20"/>
      <c r="AE802" s="20"/>
      <c r="AF802" s="20"/>
    </row>
    <row r="803" spans="1:32" ht="19.5">
      <c r="A803" s="20"/>
      <c r="B803" s="20"/>
      <c r="C803" s="20"/>
      <c r="D803" s="20"/>
      <c r="E803" s="20"/>
      <c r="F803" s="20"/>
      <c r="G803" s="124"/>
      <c r="H803" s="20"/>
      <c r="I803" s="20"/>
      <c r="J803" s="20"/>
      <c r="K803" s="124"/>
      <c r="L803" s="127"/>
      <c r="M803" s="20"/>
      <c r="N803" s="20"/>
      <c r="O803" s="20"/>
      <c r="P803" s="124"/>
      <c r="Q803" s="127"/>
      <c r="R803" s="20"/>
      <c r="S803" s="20"/>
      <c r="T803" s="20"/>
      <c r="U803" s="124"/>
      <c r="V803" s="127"/>
      <c r="W803" s="20"/>
      <c r="X803" s="20"/>
      <c r="Y803" s="20"/>
      <c r="Z803" s="20"/>
      <c r="AA803" s="20"/>
      <c r="AB803" s="20"/>
      <c r="AC803" s="20"/>
      <c r="AD803" s="20"/>
      <c r="AE803" s="20"/>
      <c r="AF803" s="20"/>
    </row>
    <row r="804" spans="1:32" ht="19.5">
      <c r="A804" s="20"/>
      <c r="B804" s="20"/>
      <c r="C804" s="20"/>
      <c r="D804" s="20"/>
      <c r="E804" s="20"/>
      <c r="F804" s="20"/>
      <c r="G804" s="124"/>
      <c r="H804" s="20"/>
      <c r="I804" s="20"/>
      <c r="J804" s="20"/>
      <c r="K804" s="124"/>
      <c r="L804" s="127"/>
      <c r="M804" s="20"/>
      <c r="N804" s="20"/>
      <c r="O804" s="20"/>
      <c r="P804" s="124"/>
      <c r="Q804" s="127"/>
      <c r="R804" s="20"/>
      <c r="S804" s="20"/>
      <c r="T804" s="20"/>
      <c r="U804" s="124"/>
      <c r="V804" s="127"/>
      <c r="W804" s="20"/>
      <c r="X804" s="20"/>
      <c r="Y804" s="20"/>
      <c r="Z804" s="20"/>
      <c r="AA804" s="20"/>
      <c r="AB804" s="20"/>
      <c r="AC804" s="20"/>
      <c r="AD804" s="20"/>
      <c r="AE804" s="20"/>
      <c r="AF804" s="20"/>
    </row>
    <row r="805" spans="1:32" ht="19.5">
      <c r="A805" s="20"/>
      <c r="B805" s="20"/>
      <c r="C805" s="20"/>
      <c r="D805" s="20"/>
      <c r="E805" s="20"/>
      <c r="F805" s="20"/>
      <c r="G805" s="124"/>
      <c r="H805" s="20"/>
      <c r="I805" s="20"/>
      <c r="J805" s="20"/>
      <c r="K805" s="124"/>
      <c r="L805" s="127"/>
      <c r="M805" s="20"/>
      <c r="N805" s="20"/>
      <c r="O805" s="20"/>
      <c r="P805" s="124"/>
      <c r="Q805" s="127"/>
      <c r="R805" s="20"/>
      <c r="S805" s="20"/>
      <c r="T805" s="20"/>
      <c r="U805" s="124"/>
      <c r="V805" s="127"/>
      <c r="W805" s="20"/>
      <c r="X805" s="20"/>
      <c r="Y805" s="20"/>
      <c r="Z805" s="20"/>
      <c r="AA805" s="20"/>
      <c r="AB805" s="20"/>
      <c r="AC805" s="20"/>
      <c r="AD805" s="20"/>
      <c r="AE805" s="20"/>
      <c r="AF805" s="20"/>
    </row>
    <row r="806" spans="1:32" ht="19.5">
      <c r="A806" s="20"/>
      <c r="B806" s="20"/>
      <c r="C806" s="20"/>
      <c r="D806" s="20"/>
      <c r="E806" s="20"/>
      <c r="F806" s="20"/>
      <c r="G806" s="124"/>
      <c r="H806" s="20"/>
      <c r="I806" s="20"/>
      <c r="J806" s="20"/>
      <c r="K806" s="124"/>
      <c r="L806" s="127"/>
      <c r="M806" s="20"/>
      <c r="N806" s="20"/>
      <c r="O806" s="20"/>
      <c r="P806" s="124"/>
      <c r="Q806" s="127"/>
      <c r="R806" s="20"/>
      <c r="S806" s="20"/>
      <c r="T806" s="20"/>
      <c r="U806" s="124"/>
      <c r="V806" s="127"/>
      <c r="W806" s="20"/>
      <c r="X806" s="20"/>
      <c r="Y806" s="20"/>
      <c r="Z806" s="20"/>
      <c r="AA806" s="20"/>
      <c r="AB806" s="20"/>
      <c r="AC806" s="20"/>
      <c r="AD806" s="20"/>
      <c r="AE806" s="20"/>
      <c r="AF806" s="20"/>
    </row>
    <row r="807" spans="1:32" ht="19.5">
      <c r="A807" s="20"/>
      <c r="B807" s="20"/>
      <c r="C807" s="20"/>
      <c r="D807" s="20"/>
      <c r="E807" s="20"/>
      <c r="F807" s="20"/>
      <c r="G807" s="124"/>
      <c r="H807" s="20"/>
      <c r="I807" s="20"/>
      <c r="J807" s="20"/>
      <c r="K807" s="124"/>
      <c r="L807" s="127"/>
      <c r="M807" s="20"/>
      <c r="N807" s="20"/>
      <c r="O807" s="20"/>
      <c r="P807" s="124"/>
      <c r="Q807" s="127"/>
      <c r="R807" s="20"/>
      <c r="S807" s="20"/>
      <c r="T807" s="20"/>
      <c r="U807" s="124"/>
      <c r="V807" s="127"/>
      <c r="W807" s="20"/>
      <c r="X807" s="20"/>
      <c r="Y807" s="20"/>
      <c r="Z807" s="20"/>
      <c r="AA807" s="20"/>
      <c r="AB807" s="20"/>
      <c r="AC807" s="20"/>
      <c r="AD807" s="20"/>
      <c r="AE807" s="20"/>
      <c r="AF807" s="20"/>
    </row>
    <row r="808" spans="1:32" ht="19.5">
      <c r="A808" s="20"/>
      <c r="B808" s="20"/>
      <c r="C808" s="20"/>
      <c r="D808" s="20"/>
      <c r="E808" s="20"/>
      <c r="F808" s="20"/>
      <c r="G808" s="124"/>
      <c r="H808" s="20"/>
      <c r="I808" s="20"/>
      <c r="J808" s="20"/>
      <c r="K808" s="124"/>
      <c r="L808" s="127"/>
      <c r="M808" s="20"/>
      <c r="N808" s="20"/>
      <c r="O808" s="20"/>
      <c r="P808" s="124"/>
      <c r="Q808" s="127"/>
      <c r="R808" s="20"/>
      <c r="S808" s="20"/>
      <c r="T808" s="20"/>
      <c r="U808" s="124"/>
      <c r="V808" s="127"/>
      <c r="W808" s="20"/>
      <c r="X808" s="20"/>
      <c r="Y808" s="20"/>
      <c r="Z808" s="20"/>
      <c r="AA808" s="20"/>
      <c r="AB808" s="20"/>
      <c r="AC808" s="20"/>
      <c r="AD808" s="20"/>
      <c r="AE808" s="20"/>
      <c r="AF808" s="20"/>
    </row>
    <row r="809" spans="1:32" ht="19.5">
      <c r="A809" s="20"/>
      <c r="B809" s="20"/>
      <c r="C809" s="20"/>
      <c r="D809" s="20"/>
      <c r="E809" s="20"/>
      <c r="F809" s="20"/>
      <c r="G809" s="124"/>
      <c r="H809" s="20"/>
      <c r="I809" s="20"/>
      <c r="J809" s="20"/>
      <c r="K809" s="124"/>
      <c r="L809" s="127"/>
      <c r="M809" s="20"/>
      <c r="N809" s="20"/>
      <c r="O809" s="20"/>
      <c r="P809" s="124"/>
      <c r="Q809" s="127"/>
      <c r="R809" s="20"/>
      <c r="S809" s="20"/>
      <c r="T809" s="20"/>
      <c r="U809" s="124"/>
      <c r="V809" s="127"/>
      <c r="W809" s="20"/>
      <c r="X809" s="20"/>
      <c r="Y809" s="20"/>
      <c r="Z809" s="20"/>
      <c r="AA809" s="20"/>
      <c r="AB809" s="20"/>
      <c r="AC809" s="20"/>
      <c r="AD809" s="20"/>
      <c r="AE809" s="20"/>
      <c r="AF809" s="20"/>
    </row>
    <row r="810" spans="1:32" ht="19.5">
      <c r="A810" s="20"/>
      <c r="B810" s="20"/>
      <c r="C810" s="20"/>
      <c r="D810" s="20"/>
      <c r="E810" s="20"/>
      <c r="F810" s="20"/>
      <c r="G810" s="124"/>
      <c r="H810" s="20"/>
      <c r="I810" s="20"/>
      <c r="J810" s="20"/>
      <c r="K810" s="124"/>
      <c r="L810" s="127"/>
      <c r="M810" s="20"/>
      <c r="N810" s="20"/>
      <c r="O810" s="20"/>
      <c r="P810" s="124"/>
      <c r="Q810" s="127"/>
      <c r="R810" s="20"/>
      <c r="S810" s="20"/>
      <c r="T810" s="20"/>
      <c r="U810" s="124"/>
      <c r="V810" s="127"/>
      <c r="W810" s="20"/>
      <c r="X810" s="20"/>
      <c r="Y810" s="20"/>
      <c r="Z810" s="20"/>
      <c r="AA810" s="20"/>
      <c r="AB810" s="20"/>
      <c r="AC810" s="20"/>
      <c r="AD810" s="20"/>
      <c r="AE810" s="20"/>
      <c r="AF810" s="20"/>
    </row>
    <row r="811" spans="1:32" ht="19.5">
      <c r="A811" s="20"/>
      <c r="B811" s="20"/>
      <c r="C811" s="20"/>
      <c r="D811" s="20"/>
      <c r="E811" s="20"/>
      <c r="F811" s="20"/>
      <c r="G811" s="124"/>
      <c r="H811" s="20"/>
      <c r="I811" s="20"/>
      <c r="J811" s="20"/>
      <c r="K811" s="124"/>
      <c r="L811" s="127"/>
      <c r="M811" s="20"/>
      <c r="N811" s="20"/>
      <c r="O811" s="20"/>
      <c r="P811" s="124"/>
      <c r="Q811" s="127"/>
      <c r="R811" s="20"/>
      <c r="S811" s="20"/>
      <c r="T811" s="20"/>
      <c r="U811" s="124"/>
      <c r="V811" s="127"/>
      <c r="W811" s="20"/>
      <c r="X811" s="20"/>
      <c r="Y811" s="20"/>
      <c r="Z811" s="20"/>
      <c r="AA811" s="20"/>
      <c r="AB811" s="20"/>
      <c r="AC811" s="20"/>
      <c r="AD811" s="20"/>
      <c r="AE811" s="20"/>
      <c r="AF811" s="20"/>
    </row>
    <row r="812" spans="1:32" ht="19.5">
      <c r="A812" s="20"/>
      <c r="B812" s="20"/>
      <c r="C812" s="20"/>
      <c r="D812" s="20"/>
      <c r="E812" s="20"/>
      <c r="F812" s="20"/>
      <c r="G812" s="124"/>
      <c r="H812" s="20"/>
      <c r="I812" s="20"/>
      <c r="J812" s="20"/>
      <c r="K812" s="124"/>
      <c r="L812" s="127"/>
      <c r="M812" s="20"/>
      <c r="N812" s="20"/>
      <c r="O812" s="20"/>
      <c r="P812" s="124"/>
      <c r="Q812" s="127"/>
      <c r="R812" s="20"/>
      <c r="S812" s="20"/>
      <c r="T812" s="20"/>
      <c r="U812" s="124"/>
      <c r="V812" s="127"/>
      <c r="W812" s="20"/>
      <c r="X812" s="20"/>
      <c r="Y812" s="20"/>
      <c r="Z812" s="20"/>
      <c r="AA812" s="20"/>
      <c r="AB812" s="20"/>
      <c r="AC812" s="20"/>
      <c r="AD812" s="20"/>
      <c r="AE812" s="20"/>
      <c r="AF812" s="20"/>
    </row>
    <row r="813" spans="1:32" ht="19.5">
      <c r="A813" s="20"/>
      <c r="B813" s="20"/>
      <c r="C813" s="20"/>
      <c r="D813" s="20"/>
      <c r="E813" s="20"/>
      <c r="F813" s="20"/>
      <c r="G813" s="124"/>
      <c r="H813" s="20"/>
      <c r="I813" s="20"/>
      <c r="J813" s="20"/>
      <c r="K813" s="124"/>
      <c r="L813" s="127"/>
      <c r="M813" s="20"/>
      <c r="N813" s="20"/>
      <c r="O813" s="20"/>
      <c r="P813" s="124"/>
      <c r="Q813" s="127"/>
      <c r="R813" s="20"/>
      <c r="S813" s="20"/>
      <c r="T813" s="20"/>
      <c r="U813" s="124"/>
      <c r="V813" s="127"/>
      <c r="W813" s="20"/>
      <c r="X813" s="20"/>
      <c r="Y813" s="20"/>
      <c r="Z813" s="20"/>
      <c r="AA813" s="20"/>
      <c r="AB813" s="20"/>
      <c r="AC813" s="20"/>
      <c r="AD813" s="20"/>
      <c r="AE813" s="20"/>
      <c r="AF813" s="20"/>
    </row>
    <row r="814" spans="1:32" ht="19.5">
      <c r="A814" s="20"/>
      <c r="B814" s="20"/>
      <c r="C814" s="20"/>
      <c r="D814" s="20"/>
      <c r="E814" s="20"/>
      <c r="F814" s="20"/>
      <c r="G814" s="124"/>
      <c r="H814" s="20"/>
      <c r="I814" s="20"/>
      <c r="J814" s="20"/>
      <c r="K814" s="124"/>
      <c r="L814" s="127"/>
      <c r="M814" s="20"/>
      <c r="N814" s="20"/>
      <c r="O814" s="20"/>
      <c r="P814" s="124"/>
      <c r="Q814" s="127"/>
      <c r="R814" s="20"/>
      <c r="S814" s="20"/>
      <c r="T814" s="20"/>
      <c r="U814" s="124"/>
      <c r="V814" s="127"/>
      <c r="W814" s="20"/>
      <c r="X814" s="20"/>
      <c r="Y814" s="20"/>
      <c r="Z814" s="20"/>
      <c r="AA814" s="20"/>
      <c r="AB814" s="20"/>
      <c r="AC814" s="20"/>
      <c r="AD814" s="20"/>
      <c r="AE814" s="20"/>
      <c r="AF814" s="20"/>
    </row>
    <row r="815" spans="1:32" ht="19.5">
      <c r="A815" s="20"/>
      <c r="B815" s="20"/>
      <c r="C815" s="20"/>
      <c r="D815" s="20"/>
      <c r="E815" s="20"/>
      <c r="F815" s="20"/>
      <c r="G815" s="124"/>
      <c r="H815" s="20"/>
      <c r="I815" s="20"/>
      <c r="J815" s="20"/>
      <c r="K815" s="124"/>
      <c r="L815" s="127"/>
      <c r="M815" s="20"/>
      <c r="N815" s="20"/>
      <c r="O815" s="20"/>
      <c r="P815" s="124"/>
      <c r="Q815" s="127"/>
      <c r="R815" s="20"/>
      <c r="S815" s="20"/>
      <c r="T815" s="20"/>
      <c r="U815" s="124"/>
      <c r="V815" s="127"/>
      <c r="W815" s="20"/>
      <c r="X815" s="20"/>
      <c r="Y815" s="20"/>
      <c r="Z815" s="20"/>
      <c r="AA815" s="20"/>
      <c r="AB815" s="20"/>
      <c r="AC815" s="20"/>
      <c r="AD815" s="20"/>
      <c r="AE815" s="20"/>
      <c r="AF815" s="20"/>
    </row>
    <row r="816" spans="1:32" ht="19.5">
      <c r="A816" s="20"/>
      <c r="B816" s="20"/>
      <c r="C816" s="20"/>
      <c r="D816" s="20"/>
      <c r="E816" s="20"/>
      <c r="F816" s="20"/>
      <c r="G816" s="124"/>
      <c r="H816" s="20"/>
      <c r="I816" s="20"/>
      <c r="J816" s="20"/>
      <c r="K816" s="124"/>
      <c r="L816" s="127"/>
      <c r="M816" s="20"/>
      <c r="N816" s="20"/>
      <c r="O816" s="20"/>
      <c r="P816" s="124"/>
      <c r="Q816" s="127"/>
      <c r="R816" s="20"/>
      <c r="S816" s="20"/>
      <c r="T816" s="20"/>
      <c r="U816" s="124"/>
      <c r="V816" s="127"/>
      <c r="W816" s="20"/>
      <c r="X816" s="20"/>
      <c r="Y816" s="20"/>
      <c r="Z816" s="20"/>
      <c r="AA816" s="20"/>
      <c r="AB816" s="20"/>
      <c r="AC816" s="20"/>
      <c r="AD816" s="20"/>
      <c r="AE816" s="20"/>
      <c r="AF816" s="20"/>
    </row>
    <row r="817" spans="1:32" ht="19.5">
      <c r="A817" s="20"/>
      <c r="B817" s="20"/>
      <c r="C817" s="20"/>
      <c r="D817" s="20"/>
      <c r="E817" s="20"/>
      <c r="F817" s="20"/>
      <c r="G817" s="124"/>
      <c r="H817" s="20"/>
      <c r="I817" s="20"/>
      <c r="J817" s="20"/>
      <c r="K817" s="124"/>
      <c r="L817" s="127"/>
      <c r="M817" s="20"/>
      <c r="N817" s="20"/>
      <c r="O817" s="20"/>
      <c r="P817" s="124"/>
      <c r="Q817" s="127"/>
      <c r="R817" s="20"/>
      <c r="S817" s="20"/>
      <c r="T817" s="20"/>
      <c r="U817" s="124"/>
      <c r="V817" s="127"/>
      <c r="W817" s="20"/>
      <c r="X817" s="20"/>
      <c r="Y817" s="20"/>
      <c r="Z817" s="20"/>
      <c r="AA817" s="20"/>
      <c r="AB817" s="20"/>
      <c r="AC817" s="20"/>
      <c r="AD817" s="20"/>
      <c r="AE817" s="20"/>
      <c r="AF817" s="20"/>
    </row>
    <row r="818" spans="1:32" ht="19.5">
      <c r="A818" s="20"/>
      <c r="B818" s="20"/>
      <c r="C818" s="20"/>
      <c r="D818" s="20"/>
      <c r="E818" s="20"/>
      <c r="F818" s="20"/>
      <c r="G818" s="124"/>
      <c r="H818" s="20"/>
      <c r="I818" s="20"/>
      <c r="J818" s="20"/>
      <c r="K818" s="124"/>
      <c r="L818" s="127"/>
      <c r="M818" s="20"/>
      <c r="N818" s="20"/>
      <c r="O818" s="20"/>
      <c r="P818" s="124"/>
      <c r="Q818" s="127"/>
      <c r="R818" s="20"/>
      <c r="S818" s="20"/>
      <c r="T818" s="20"/>
      <c r="U818" s="124"/>
      <c r="V818" s="127"/>
      <c r="W818" s="20"/>
      <c r="X818" s="20"/>
      <c r="Y818" s="20"/>
      <c r="Z818" s="20"/>
      <c r="AA818" s="20"/>
      <c r="AB818" s="20"/>
      <c r="AC818" s="20"/>
      <c r="AD818" s="20"/>
      <c r="AE818" s="20"/>
      <c r="AF818" s="20"/>
    </row>
    <row r="819" spans="1:32" ht="19.5">
      <c r="A819" s="20"/>
      <c r="B819" s="20"/>
      <c r="C819" s="20"/>
      <c r="D819" s="20"/>
      <c r="E819" s="20"/>
      <c r="F819" s="20"/>
      <c r="G819" s="124"/>
      <c r="H819" s="20"/>
      <c r="I819" s="20"/>
      <c r="J819" s="20"/>
      <c r="K819" s="124"/>
      <c r="L819" s="127"/>
      <c r="M819" s="20"/>
      <c r="N819" s="20"/>
      <c r="O819" s="20"/>
      <c r="P819" s="124"/>
      <c r="Q819" s="127"/>
      <c r="R819" s="20"/>
      <c r="S819" s="20"/>
      <c r="T819" s="20"/>
      <c r="U819" s="124"/>
      <c r="V819" s="127"/>
      <c r="W819" s="20"/>
      <c r="X819" s="20"/>
      <c r="Y819" s="20"/>
      <c r="Z819" s="20"/>
      <c r="AA819" s="20"/>
      <c r="AB819" s="20"/>
      <c r="AC819" s="20"/>
      <c r="AD819" s="20"/>
      <c r="AE819" s="20"/>
      <c r="AF819" s="20"/>
    </row>
    <row r="820" spans="1:32" ht="19.5">
      <c r="A820" s="20"/>
      <c r="B820" s="20"/>
      <c r="C820" s="20"/>
      <c r="D820" s="20"/>
      <c r="E820" s="20"/>
      <c r="F820" s="20"/>
      <c r="G820" s="124"/>
      <c r="H820" s="20"/>
      <c r="I820" s="20"/>
      <c r="J820" s="20"/>
      <c r="K820" s="124"/>
      <c r="L820" s="127"/>
      <c r="M820" s="20"/>
      <c r="N820" s="20"/>
      <c r="O820" s="20"/>
      <c r="P820" s="124"/>
      <c r="Q820" s="127"/>
      <c r="R820" s="20"/>
      <c r="S820" s="20"/>
      <c r="T820" s="20"/>
      <c r="U820" s="124"/>
      <c r="V820" s="127"/>
      <c r="W820" s="20"/>
      <c r="X820" s="20"/>
      <c r="Y820" s="20"/>
      <c r="Z820" s="20"/>
      <c r="AA820" s="20"/>
      <c r="AB820" s="20"/>
      <c r="AC820" s="20"/>
      <c r="AD820" s="20"/>
      <c r="AE820" s="20"/>
      <c r="AF820" s="20"/>
    </row>
    <row r="821" spans="1:32" ht="19.5">
      <c r="A821" s="20"/>
      <c r="B821" s="20"/>
      <c r="C821" s="20"/>
      <c r="D821" s="20"/>
      <c r="E821" s="20"/>
      <c r="F821" s="20"/>
      <c r="G821" s="124"/>
      <c r="H821" s="20"/>
      <c r="I821" s="20"/>
      <c r="J821" s="20"/>
      <c r="K821" s="124"/>
      <c r="L821" s="127"/>
      <c r="M821" s="20"/>
      <c r="N821" s="20"/>
      <c r="O821" s="20"/>
      <c r="P821" s="124"/>
      <c r="Q821" s="127"/>
      <c r="R821" s="20"/>
      <c r="S821" s="20"/>
      <c r="T821" s="20"/>
      <c r="U821" s="124"/>
      <c r="V821" s="127"/>
      <c r="W821" s="20"/>
      <c r="X821" s="20"/>
      <c r="Y821" s="20"/>
      <c r="Z821" s="20"/>
      <c r="AA821" s="20"/>
      <c r="AB821" s="20"/>
      <c r="AC821" s="20"/>
      <c r="AD821" s="20"/>
      <c r="AE821" s="20"/>
      <c r="AF821" s="20"/>
    </row>
    <row r="822" spans="1:32" ht="19.5">
      <c r="A822" s="20"/>
      <c r="B822" s="20"/>
      <c r="C822" s="20"/>
      <c r="D822" s="20"/>
      <c r="E822" s="20"/>
      <c r="F822" s="20"/>
      <c r="G822" s="124"/>
      <c r="H822" s="20"/>
      <c r="I822" s="20"/>
      <c r="J822" s="20"/>
      <c r="K822" s="124"/>
      <c r="L822" s="127"/>
      <c r="M822" s="20"/>
      <c r="N822" s="20"/>
      <c r="O822" s="20"/>
      <c r="P822" s="124"/>
      <c r="Q822" s="127"/>
      <c r="R822" s="20"/>
      <c r="S822" s="20"/>
      <c r="T822" s="20"/>
      <c r="U822" s="124"/>
      <c r="V822" s="127"/>
      <c r="W822" s="20"/>
      <c r="X822" s="20"/>
      <c r="Y822" s="20"/>
      <c r="Z822" s="20"/>
      <c r="AA822" s="20"/>
      <c r="AB822" s="20"/>
      <c r="AC822" s="20"/>
      <c r="AD822" s="20"/>
      <c r="AE822" s="20"/>
      <c r="AF822" s="20"/>
    </row>
    <row r="823" spans="1:32" ht="19.5">
      <c r="A823" s="20"/>
      <c r="B823" s="20"/>
      <c r="C823" s="20"/>
      <c r="D823" s="20"/>
      <c r="E823" s="20"/>
      <c r="F823" s="20"/>
      <c r="G823" s="124"/>
      <c r="H823" s="20"/>
      <c r="I823" s="20"/>
      <c r="J823" s="20"/>
      <c r="K823" s="124"/>
      <c r="L823" s="127"/>
      <c r="M823" s="20"/>
      <c r="N823" s="20"/>
      <c r="O823" s="20"/>
      <c r="P823" s="124"/>
      <c r="Q823" s="127"/>
      <c r="R823" s="20"/>
      <c r="S823" s="20"/>
      <c r="T823" s="20"/>
      <c r="U823" s="124"/>
      <c r="V823" s="127"/>
      <c r="W823" s="20"/>
      <c r="X823" s="20"/>
      <c r="Y823" s="20"/>
      <c r="Z823" s="20"/>
      <c r="AA823" s="20"/>
      <c r="AB823" s="20"/>
      <c r="AC823" s="20"/>
      <c r="AD823" s="20"/>
      <c r="AE823" s="20"/>
      <c r="AF823" s="20"/>
    </row>
    <row r="824" spans="1:32" ht="19.5">
      <c r="A824" s="20"/>
      <c r="B824" s="20"/>
      <c r="C824" s="20"/>
      <c r="D824" s="20"/>
      <c r="E824" s="20"/>
      <c r="F824" s="20"/>
      <c r="G824" s="124"/>
      <c r="H824" s="20"/>
      <c r="I824" s="20"/>
      <c r="J824" s="20"/>
      <c r="K824" s="124"/>
      <c r="L824" s="127"/>
      <c r="M824" s="20"/>
      <c r="N824" s="20"/>
      <c r="O824" s="20"/>
      <c r="P824" s="124"/>
      <c r="Q824" s="127"/>
      <c r="R824" s="20"/>
      <c r="S824" s="20"/>
      <c r="T824" s="20"/>
      <c r="U824" s="124"/>
      <c r="V824" s="127"/>
      <c r="W824" s="20"/>
      <c r="X824" s="20"/>
      <c r="Y824" s="20"/>
      <c r="Z824" s="20"/>
      <c r="AA824" s="20"/>
      <c r="AB824" s="20"/>
      <c r="AC824" s="20"/>
      <c r="AD824" s="20"/>
      <c r="AE824" s="20"/>
      <c r="AF824" s="20"/>
    </row>
    <row r="825" spans="1:32" ht="19.5">
      <c r="A825" s="20"/>
      <c r="B825" s="20"/>
      <c r="C825" s="20"/>
      <c r="D825" s="20"/>
      <c r="E825" s="20"/>
      <c r="F825" s="20"/>
      <c r="G825" s="124"/>
      <c r="H825" s="20"/>
      <c r="I825" s="20"/>
      <c r="J825" s="20"/>
      <c r="K825" s="124"/>
      <c r="L825" s="127"/>
      <c r="M825" s="20"/>
      <c r="N825" s="20"/>
      <c r="O825" s="20"/>
      <c r="P825" s="124"/>
      <c r="Q825" s="127"/>
      <c r="R825" s="20"/>
      <c r="S825" s="20"/>
      <c r="T825" s="20"/>
      <c r="U825" s="124"/>
      <c r="V825" s="127"/>
      <c r="W825" s="20"/>
      <c r="X825" s="20"/>
      <c r="Y825" s="20"/>
      <c r="Z825" s="20"/>
      <c r="AA825" s="20"/>
      <c r="AB825" s="20"/>
      <c r="AC825" s="20"/>
      <c r="AD825" s="20"/>
      <c r="AE825" s="20"/>
      <c r="AF825" s="20"/>
    </row>
    <row r="826" spans="1:32" ht="19.5">
      <c r="A826" s="20"/>
      <c r="B826" s="20"/>
      <c r="C826" s="20"/>
      <c r="D826" s="20"/>
      <c r="E826" s="20"/>
      <c r="F826" s="20"/>
      <c r="G826" s="124"/>
      <c r="H826" s="20"/>
      <c r="I826" s="20"/>
      <c r="J826" s="20"/>
      <c r="K826" s="124"/>
      <c r="L826" s="127"/>
      <c r="M826" s="20"/>
      <c r="N826" s="20"/>
      <c r="O826" s="20"/>
      <c r="P826" s="124"/>
      <c r="Q826" s="127"/>
      <c r="R826" s="20"/>
      <c r="S826" s="20"/>
      <c r="T826" s="20"/>
      <c r="U826" s="124"/>
      <c r="V826" s="127"/>
      <c r="W826" s="20"/>
      <c r="X826" s="20"/>
      <c r="Y826" s="20"/>
      <c r="Z826" s="20"/>
      <c r="AA826" s="20"/>
      <c r="AB826" s="20"/>
      <c r="AC826" s="20"/>
      <c r="AD826" s="20"/>
      <c r="AE826" s="20"/>
      <c r="AF826" s="20"/>
    </row>
    <row r="827" spans="1:32" ht="19.5">
      <c r="A827" s="20"/>
      <c r="B827" s="20"/>
      <c r="C827" s="20"/>
      <c r="D827" s="20"/>
      <c r="E827" s="20"/>
      <c r="F827" s="20"/>
      <c r="G827" s="124"/>
      <c r="H827" s="20"/>
      <c r="I827" s="20"/>
      <c r="J827" s="20"/>
      <c r="K827" s="124"/>
      <c r="L827" s="127"/>
      <c r="M827" s="20"/>
      <c r="N827" s="20"/>
      <c r="O827" s="20"/>
      <c r="P827" s="124"/>
      <c r="Q827" s="127"/>
      <c r="R827" s="20"/>
      <c r="S827" s="20"/>
      <c r="T827" s="20"/>
      <c r="U827" s="124"/>
      <c r="V827" s="127"/>
      <c r="W827" s="20"/>
      <c r="X827" s="20"/>
      <c r="Y827" s="20"/>
      <c r="Z827" s="20"/>
      <c r="AA827" s="20"/>
      <c r="AB827" s="20"/>
      <c r="AC827" s="20"/>
      <c r="AD827" s="20"/>
      <c r="AE827" s="20"/>
      <c r="AF827" s="20"/>
    </row>
    <row r="828" spans="1:32" ht="19.5">
      <c r="A828" s="20"/>
      <c r="B828" s="20"/>
      <c r="C828" s="20"/>
      <c r="D828" s="20"/>
      <c r="E828" s="20"/>
      <c r="F828" s="20"/>
      <c r="G828" s="124"/>
      <c r="H828" s="20"/>
      <c r="I828" s="20"/>
      <c r="J828" s="20"/>
      <c r="K828" s="124"/>
      <c r="L828" s="127"/>
      <c r="M828" s="20"/>
      <c r="N828" s="20"/>
      <c r="O828" s="20"/>
      <c r="P828" s="124"/>
      <c r="Q828" s="127"/>
      <c r="R828" s="20"/>
      <c r="S828" s="20"/>
      <c r="T828" s="20"/>
      <c r="U828" s="124"/>
      <c r="V828" s="127"/>
      <c r="W828" s="20"/>
      <c r="X828" s="20"/>
      <c r="Y828" s="20"/>
      <c r="Z828" s="20"/>
      <c r="AA828" s="20"/>
      <c r="AB828" s="20"/>
      <c r="AC828" s="20"/>
      <c r="AD828" s="20"/>
      <c r="AE828" s="20"/>
      <c r="AF828" s="20"/>
    </row>
    <row r="829" spans="1:32" ht="19.5">
      <c r="A829" s="20"/>
      <c r="B829" s="20"/>
      <c r="C829" s="20"/>
      <c r="D829" s="20"/>
      <c r="E829" s="20"/>
      <c r="F829" s="20"/>
      <c r="G829" s="124"/>
      <c r="H829" s="20"/>
      <c r="I829" s="20"/>
      <c r="J829" s="20"/>
      <c r="K829" s="124"/>
      <c r="L829" s="127"/>
      <c r="M829" s="20"/>
      <c r="N829" s="20"/>
      <c r="O829" s="20"/>
      <c r="P829" s="124"/>
      <c r="Q829" s="127"/>
      <c r="R829" s="20"/>
      <c r="S829" s="20"/>
      <c r="T829" s="20"/>
      <c r="U829" s="124"/>
      <c r="V829" s="127"/>
      <c r="W829" s="20"/>
      <c r="X829" s="20"/>
      <c r="Y829" s="20"/>
      <c r="Z829" s="20"/>
      <c r="AA829" s="20"/>
      <c r="AB829" s="20"/>
      <c r="AC829" s="20"/>
      <c r="AD829" s="20"/>
      <c r="AE829" s="20"/>
      <c r="AF829" s="20"/>
    </row>
    <row r="830" spans="1:32" ht="19.5">
      <c r="A830" s="20"/>
      <c r="B830" s="20"/>
      <c r="C830" s="20"/>
      <c r="D830" s="20"/>
      <c r="E830" s="20"/>
      <c r="F830" s="20"/>
      <c r="G830" s="124"/>
      <c r="H830" s="20"/>
      <c r="I830" s="20"/>
      <c r="J830" s="20"/>
      <c r="K830" s="124"/>
      <c r="L830" s="127"/>
      <c r="M830" s="20"/>
      <c r="N830" s="20"/>
      <c r="O830" s="20"/>
      <c r="P830" s="124"/>
      <c r="Q830" s="127"/>
      <c r="R830" s="20"/>
      <c r="S830" s="20"/>
      <c r="T830" s="20"/>
      <c r="U830" s="124"/>
      <c r="V830" s="127"/>
      <c r="W830" s="20"/>
      <c r="X830" s="20"/>
      <c r="Y830" s="20"/>
      <c r="Z830" s="20"/>
      <c r="AA830" s="20"/>
      <c r="AB830" s="20"/>
      <c r="AC830" s="20"/>
      <c r="AD830" s="20"/>
      <c r="AE830" s="20"/>
      <c r="AF830" s="20"/>
    </row>
    <row r="831" spans="1:32" ht="19.5">
      <c r="A831" s="20"/>
      <c r="B831" s="20"/>
      <c r="C831" s="20"/>
      <c r="D831" s="20"/>
      <c r="E831" s="20"/>
      <c r="F831" s="20"/>
      <c r="G831" s="124"/>
      <c r="H831" s="20"/>
      <c r="I831" s="20"/>
      <c r="J831" s="20"/>
      <c r="K831" s="124"/>
      <c r="L831" s="127"/>
      <c r="M831" s="20"/>
      <c r="N831" s="20"/>
      <c r="O831" s="20"/>
      <c r="P831" s="124"/>
      <c r="Q831" s="127"/>
      <c r="R831" s="20"/>
      <c r="S831" s="20"/>
      <c r="T831" s="20"/>
      <c r="U831" s="124"/>
      <c r="V831" s="127"/>
      <c r="W831" s="20"/>
      <c r="X831" s="20"/>
      <c r="Y831" s="20"/>
      <c r="Z831" s="20"/>
      <c r="AA831" s="20"/>
      <c r="AB831" s="20"/>
      <c r="AC831" s="20"/>
      <c r="AD831" s="20"/>
      <c r="AE831" s="20"/>
      <c r="AF831" s="20"/>
    </row>
    <row r="832" spans="1:32" ht="19.5">
      <c r="A832" s="20"/>
      <c r="B832" s="20"/>
      <c r="C832" s="20"/>
      <c r="D832" s="20"/>
      <c r="E832" s="20"/>
      <c r="F832" s="20"/>
      <c r="G832" s="124"/>
      <c r="H832" s="20"/>
      <c r="I832" s="20"/>
      <c r="J832" s="20"/>
      <c r="K832" s="124"/>
      <c r="L832" s="127"/>
      <c r="M832" s="20"/>
      <c r="N832" s="20"/>
      <c r="O832" s="20"/>
      <c r="P832" s="124"/>
      <c r="Q832" s="127"/>
      <c r="R832" s="20"/>
      <c r="S832" s="20"/>
      <c r="T832" s="20"/>
      <c r="U832" s="124"/>
      <c r="V832" s="127"/>
      <c r="W832" s="20"/>
      <c r="X832" s="20"/>
      <c r="Y832" s="20"/>
      <c r="Z832" s="20"/>
      <c r="AA832" s="20"/>
      <c r="AB832" s="20"/>
      <c r="AC832" s="20"/>
      <c r="AD832" s="20"/>
      <c r="AE832" s="20"/>
      <c r="AF832" s="20"/>
    </row>
    <row r="833" spans="1:32" ht="19.5">
      <c r="A833" s="20"/>
      <c r="B833" s="20"/>
      <c r="C833" s="20"/>
      <c r="D833" s="20"/>
      <c r="E833" s="20"/>
      <c r="F833" s="20"/>
      <c r="G833" s="124"/>
      <c r="H833" s="20"/>
      <c r="I833" s="20"/>
      <c r="J833" s="20"/>
      <c r="K833" s="124"/>
      <c r="L833" s="127"/>
      <c r="M833" s="20"/>
      <c r="N833" s="20"/>
      <c r="O833" s="20"/>
      <c r="P833" s="124"/>
      <c r="Q833" s="127"/>
      <c r="R833" s="20"/>
      <c r="S833" s="20"/>
      <c r="T833" s="20"/>
      <c r="U833" s="124"/>
      <c r="V833" s="127"/>
      <c r="W833" s="20"/>
      <c r="X833" s="20"/>
      <c r="Y833" s="20"/>
      <c r="Z833" s="20"/>
      <c r="AA833" s="20"/>
      <c r="AB833" s="20"/>
      <c r="AC833" s="20"/>
      <c r="AD833" s="20"/>
      <c r="AE833" s="20"/>
      <c r="AF833" s="20"/>
    </row>
    <row r="834" spans="1:32" ht="19.5">
      <c r="A834" s="20"/>
      <c r="B834" s="20"/>
      <c r="C834" s="20"/>
      <c r="D834" s="20"/>
      <c r="E834" s="20"/>
      <c r="F834" s="20"/>
      <c r="G834" s="124"/>
      <c r="H834" s="20"/>
      <c r="I834" s="20"/>
      <c r="J834" s="20"/>
      <c r="K834" s="124"/>
      <c r="L834" s="127"/>
      <c r="M834" s="20"/>
      <c r="N834" s="20"/>
      <c r="O834" s="20"/>
      <c r="P834" s="124"/>
      <c r="Q834" s="127"/>
      <c r="R834" s="20"/>
      <c r="S834" s="20"/>
      <c r="T834" s="20"/>
      <c r="U834" s="124"/>
      <c r="V834" s="127"/>
      <c r="W834" s="20"/>
      <c r="X834" s="20"/>
      <c r="Y834" s="20"/>
      <c r="Z834" s="20"/>
      <c r="AA834" s="20"/>
      <c r="AB834" s="20"/>
      <c r="AC834" s="20"/>
      <c r="AD834" s="20"/>
      <c r="AE834" s="20"/>
      <c r="AF834" s="20"/>
    </row>
    <row r="835" spans="1:32" ht="19.5">
      <c r="A835" s="20"/>
      <c r="B835" s="20"/>
      <c r="C835" s="20"/>
      <c r="D835" s="20"/>
      <c r="E835" s="20"/>
      <c r="F835" s="20"/>
      <c r="G835" s="124"/>
      <c r="H835" s="20"/>
      <c r="I835" s="20"/>
      <c r="J835" s="20"/>
      <c r="K835" s="124"/>
      <c r="L835" s="127"/>
      <c r="M835" s="20"/>
      <c r="N835" s="20"/>
      <c r="O835" s="20"/>
      <c r="P835" s="124"/>
      <c r="Q835" s="127"/>
      <c r="R835" s="20"/>
      <c r="S835" s="20"/>
      <c r="T835" s="20"/>
      <c r="U835" s="124"/>
      <c r="V835" s="127"/>
      <c r="W835" s="20"/>
      <c r="X835" s="20"/>
      <c r="Y835" s="20"/>
      <c r="Z835" s="20"/>
      <c r="AA835" s="20"/>
      <c r="AB835" s="20"/>
      <c r="AC835" s="20"/>
      <c r="AD835" s="20"/>
      <c r="AE835" s="20"/>
      <c r="AF835" s="20"/>
    </row>
    <row r="836" spans="1:32" ht="19.5">
      <c r="A836" s="20"/>
      <c r="B836" s="20"/>
      <c r="C836" s="20"/>
      <c r="D836" s="20"/>
      <c r="E836" s="20"/>
      <c r="F836" s="20"/>
      <c r="G836" s="124"/>
      <c r="H836" s="20"/>
      <c r="I836" s="20"/>
      <c r="J836" s="20"/>
      <c r="K836" s="124"/>
      <c r="L836" s="127"/>
      <c r="M836" s="20"/>
      <c r="N836" s="20"/>
      <c r="O836" s="20"/>
      <c r="P836" s="124"/>
      <c r="Q836" s="127"/>
      <c r="R836" s="20"/>
      <c r="S836" s="20"/>
      <c r="T836" s="20"/>
      <c r="U836" s="124"/>
      <c r="V836" s="127"/>
      <c r="W836" s="20"/>
      <c r="X836" s="20"/>
      <c r="Y836" s="20"/>
      <c r="Z836" s="20"/>
      <c r="AA836" s="20"/>
      <c r="AB836" s="20"/>
      <c r="AC836" s="20"/>
      <c r="AD836" s="20"/>
      <c r="AE836" s="20"/>
      <c r="AF836" s="20"/>
    </row>
    <row r="837" spans="1:32" ht="19.5">
      <c r="A837" s="20"/>
      <c r="B837" s="20"/>
      <c r="C837" s="20"/>
      <c r="D837" s="20"/>
      <c r="E837" s="20"/>
      <c r="F837" s="20"/>
      <c r="G837" s="124"/>
      <c r="H837" s="20"/>
      <c r="I837" s="20"/>
      <c r="J837" s="20"/>
      <c r="K837" s="124"/>
      <c r="L837" s="127"/>
      <c r="M837" s="20"/>
      <c r="N837" s="20"/>
      <c r="O837" s="20"/>
      <c r="P837" s="124"/>
      <c r="Q837" s="127"/>
      <c r="R837" s="20"/>
      <c r="S837" s="20"/>
      <c r="T837" s="20"/>
      <c r="U837" s="124"/>
      <c r="V837" s="127"/>
      <c r="W837" s="20"/>
      <c r="X837" s="20"/>
      <c r="Y837" s="20"/>
      <c r="Z837" s="20"/>
      <c r="AA837" s="20"/>
      <c r="AB837" s="20"/>
      <c r="AC837" s="20"/>
      <c r="AD837" s="20"/>
      <c r="AE837" s="20"/>
      <c r="AF837" s="20"/>
    </row>
    <row r="838" spans="1:32" ht="19.5">
      <c r="A838" s="20"/>
      <c r="B838" s="20"/>
      <c r="C838" s="20"/>
      <c r="D838" s="20"/>
      <c r="E838" s="20"/>
      <c r="F838" s="20"/>
      <c r="G838" s="124"/>
      <c r="H838" s="20"/>
      <c r="I838" s="20"/>
      <c r="J838" s="20"/>
      <c r="K838" s="124"/>
      <c r="L838" s="127"/>
      <c r="M838" s="20"/>
      <c r="N838" s="20"/>
      <c r="O838" s="20"/>
      <c r="P838" s="124"/>
      <c r="Q838" s="127"/>
      <c r="R838" s="20"/>
      <c r="S838" s="20"/>
      <c r="T838" s="20"/>
      <c r="U838" s="124"/>
      <c r="V838" s="127"/>
      <c r="W838" s="20"/>
      <c r="X838" s="20"/>
      <c r="Y838" s="20"/>
      <c r="Z838" s="20"/>
      <c r="AA838" s="20"/>
      <c r="AB838" s="20"/>
      <c r="AC838" s="20"/>
      <c r="AD838" s="20"/>
      <c r="AE838" s="20"/>
      <c r="AF838" s="20"/>
    </row>
    <row r="839" spans="1:32" ht="19.5">
      <c r="A839" s="20"/>
      <c r="B839" s="20"/>
      <c r="C839" s="20"/>
      <c r="D839" s="20"/>
      <c r="E839" s="20"/>
      <c r="F839" s="20"/>
      <c r="G839" s="124"/>
      <c r="H839" s="20"/>
      <c r="I839" s="20"/>
      <c r="J839" s="20"/>
      <c r="K839" s="124"/>
      <c r="L839" s="127"/>
      <c r="M839" s="20"/>
      <c r="N839" s="20"/>
      <c r="O839" s="20"/>
      <c r="P839" s="124"/>
      <c r="Q839" s="127"/>
      <c r="R839" s="20"/>
      <c r="S839" s="20"/>
      <c r="T839" s="20"/>
      <c r="U839" s="124"/>
      <c r="V839" s="127"/>
      <c r="W839" s="20"/>
      <c r="X839" s="20"/>
      <c r="Y839" s="20"/>
      <c r="Z839" s="20"/>
      <c r="AA839" s="20"/>
      <c r="AB839" s="20"/>
      <c r="AC839" s="20"/>
      <c r="AD839" s="20"/>
      <c r="AE839" s="20"/>
      <c r="AF839" s="20"/>
    </row>
    <row r="840" spans="1:32" ht="19.5">
      <c r="A840" s="20"/>
      <c r="B840" s="20"/>
      <c r="C840" s="20"/>
      <c r="D840" s="20"/>
      <c r="E840" s="20"/>
      <c r="F840" s="20"/>
      <c r="G840" s="124"/>
      <c r="H840" s="20"/>
      <c r="I840" s="20"/>
      <c r="J840" s="20"/>
      <c r="K840" s="124"/>
      <c r="L840" s="127"/>
      <c r="M840" s="20"/>
      <c r="N840" s="20"/>
      <c r="O840" s="20"/>
      <c r="P840" s="124"/>
      <c r="Q840" s="127"/>
      <c r="R840" s="20"/>
      <c r="S840" s="20"/>
      <c r="T840" s="20"/>
      <c r="U840" s="124"/>
      <c r="V840" s="127"/>
      <c r="W840" s="20"/>
      <c r="X840" s="20"/>
      <c r="Y840" s="20"/>
      <c r="Z840" s="20"/>
      <c r="AA840" s="20"/>
      <c r="AB840" s="20"/>
      <c r="AC840" s="20"/>
      <c r="AD840" s="20"/>
      <c r="AE840" s="20"/>
      <c r="AF840" s="20"/>
    </row>
    <row r="841" spans="1:32" ht="19.5">
      <c r="A841" s="20"/>
      <c r="B841" s="20"/>
      <c r="C841" s="20"/>
      <c r="D841" s="20"/>
      <c r="E841" s="20"/>
      <c r="F841" s="20"/>
      <c r="G841" s="124"/>
      <c r="H841" s="20"/>
      <c r="I841" s="20"/>
      <c r="J841" s="20"/>
      <c r="K841" s="124"/>
      <c r="L841" s="127"/>
      <c r="M841" s="20"/>
      <c r="N841" s="20"/>
      <c r="O841" s="20"/>
      <c r="P841" s="124"/>
      <c r="Q841" s="127"/>
      <c r="R841" s="20"/>
      <c r="S841" s="20"/>
      <c r="T841" s="20"/>
      <c r="U841" s="124"/>
      <c r="V841" s="127"/>
      <c r="W841" s="20"/>
      <c r="X841" s="20"/>
      <c r="Y841" s="20"/>
      <c r="Z841" s="20"/>
      <c r="AA841" s="20"/>
      <c r="AB841" s="20"/>
      <c r="AC841" s="20"/>
      <c r="AD841" s="20"/>
      <c r="AE841" s="20"/>
      <c r="AF841" s="20"/>
    </row>
    <row r="842" spans="1:32" ht="19.5">
      <c r="A842" s="20"/>
      <c r="B842" s="20"/>
      <c r="C842" s="20"/>
      <c r="D842" s="20"/>
      <c r="E842" s="20"/>
      <c r="F842" s="20"/>
      <c r="G842" s="124"/>
      <c r="H842" s="20"/>
      <c r="I842" s="20"/>
      <c r="J842" s="20"/>
      <c r="K842" s="124"/>
      <c r="L842" s="127"/>
      <c r="M842" s="20"/>
      <c r="N842" s="20"/>
      <c r="O842" s="20"/>
      <c r="P842" s="124"/>
      <c r="Q842" s="127"/>
      <c r="R842" s="20"/>
      <c r="S842" s="20"/>
      <c r="T842" s="20"/>
      <c r="U842" s="124"/>
      <c r="V842" s="127"/>
      <c r="W842" s="20"/>
      <c r="X842" s="20"/>
      <c r="Y842" s="20"/>
      <c r="Z842" s="20"/>
      <c r="AA842" s="20"/>
      <c r="AB842" s="20"/>
      <c r="AC842" s="20"/>
      <c r="AD842" s="20"/>
      <c r="AE842" s="20"/>
      <c r="AF842" s="20"/>
    </row>
    <row r="843" spans="1:32" ht="19.5">
      <c r="A843" s="20"/>
      <c r="B843" s="20"/>
      <c r="C843" s="20"/>
      <c r="D843" s="20"/>
      <c r="E843" s="20"/>
      <c r="F843" s="20"/>
      <c r="G843" s="124"/>
      <c r="H843" s="20"/>
      <c r="I843" s="20"/>
      <c r="J843" s="20"/>
      <c r="K843" s="124"/>
      <c r="L843" s="127"/>
      <c r="M843" s="20"/>
      <c r="N843" s="20"/>
      <c r="O843" s="20"/>
      <c r="P843" s="124"/>
      <c r="Q843" s="127"/>
      <c r="R843" s="20"/>
      <c r="S843" s="20"/>
      <c r="T843" s="20"/>
      <c r="U843" s="124"/>
      <c r="V843" s="127"/>
      <c r="W843" s="20"/>
      <c r="X843" s="20"/>
      <c r="Y843" s="20"/>
      <c r="Z843" s="20"/>
      <c r="AA843" s="20"/>
      <c r="AB843" s="20"/>
      <c r="AC843" s="20"/>
      <c r="AD843" s="20"/>
      <c r="AE843" s="20"/>
      <c r="AF843" s="20"/>
    </row>
    <row r="844" spans="1:32" ht="19.5">
      <c r="A844" s="20"/>
      <c r="B844" s="20"/>
      <c r="C844" s="20"/>
      <c r="D844" s="20"/>
      <c r="E844" s="20"/>
      <c r="F844" s="20"/>
      <c r="G844" s="124"/>
      <c r="H844" s="20"/>
      <c r="I844" s="20"/>
      <c r="J844" s="20"/>
      <c r="K844" s="124"/>
      <c r="L844" s="127"/>
      <c r="M844" s="20"/>
      <c r="N844" s="20"/>
      <c r="O844" s="20"/>
      <c r="P844" s="124"/>
      <c r="Q844" s="127"/>
      <c r="R844" s="20"/>
      <c r="S844" s="20"/>
      <c r="T844" s="20"/>
      <c r="U844" s="124"/>
      <c r="V844" s="127"/>
      <c r="W844" s="20"/>
      <c r="X844" s="20"/>
      <c r="Y844" s="20"/>
      <c r="Z844" s="20"/>
      <c r="AA844" s="20"/>
      <c r="AB844" s="20"/>
      <c r="AC844" s="20"/>
      <c r="AD844" s="20"/>
      <c r="AE844" s="20"/>
      <c r="AF844" s="20"/>
    </row>
    <row r="845" spans="1:32" ht="19.5">
      <c r="A845" s="20"/>
      <c r="B845" s="20"/>
      <c r="C845" s="20"/>
      <c r="D845" s="20"/>
      <c r="E845" s="20"/>
      <c r="F845" s="20"/>
      <c r="G845" s="124"/>
      <c r="H845" s="20"/>
      <c r="I845" s="20"/>
      <c r="J845" s="20"/>
      <c r="K845" s="124"/>
      <c r="L845" s="127"/>
      <c r="M845" s="20"/>
      <c r="N845" s="20"/>
      <c r="O845" s="20"/>
      <c r="P845" s="124"/>
      <c r="Q845" s="127"/>
      <c r="R845" s="20"/>
      <c r="S845" s="20"/>
      <c r="T845" s="20"/>
      <c r="U845" s="124"/>
      <c r="V845" s="127"/>
      <c r="W845" s="20"/>
      <c r="X845" s="20"/>
      <c r="Y845" s="20"/>
      <c r="Z845" s="20"/>
      <c r="AA845" s="20"/>
      <c r="AB845" s="20"/>
      <c r="AC845" s="20"/>
      <c r="AD845" s="20"/>
      <c r="AE845" s="20"/>
      <c r="AF845" s="20"/>
    </row>
    <row r="846" spans="1:32" ht="19.5">
      <c r="A846" s="20"/>
      <c r="B846" s="20"/>
      <c r="C846" s="20"/>
      <c r="D846" s="20"/>
      <c r="E846" s="20"/>
      <c r="F846" s="20"/>
      <c r="G846" s="124"/>
      <c r="H846" s="20"/>
      <c r="I846" s="20"/>
      <c r="J846" s="20"/>
      <c r="K846" s="124"/>
      <c r="L846" s="127"/>
      <c r="M846" s="20"/>
      <c r="N846" s="20"/>
      <c r="O846" s="20"/>
      <c r="P846" s="124"/>
      <c r="Q846" s="127"/>
      <c r="R846" s="20"/>
      <c r="S846" s="20"/>
      <c r="T846" s="20"/>
      <c r="U846" s="124"/>
      <c r="V846" s="127"/>
      <c r="W846" s="20"/>
      <c r="X846" s="20"/>
      <c r="Y846" s="20"/>
      <c r="Z846" s="20"/>
      <c r="AA846" s="20"/>
      <c r="AB846" s="20"/>
      <c r="AC846" s="20"/>
      <c r="AD846" s="20"/>
      <c r="AE846" s="20"/>
      <c r="AF846" s="20"/>
    </row>
    <row r="847" spans="1:32" ht="19.5">
      <c r="A847" s="20"/>
      <c r="B847" s="20"/>
      <c r="C847" s="20"/>
      <c r="D847" s="20"/>
      <c r="E847" s="20"/>
      <c r="F847" s="20"/>
      <c r="G847" s="124"/>
      <c r="H847" s="20"/>
      <c r="I847" s="20"/>
      <c r="J847" s="20"/>
      <c r="K847" s="124"/>
      <c r="L847" s="127"/>
      <c r="M847" s="20"/>
      <c r="N847" s="20"/>
      <c r="O847" s="20"/>
      <c r="P847" s="124"/>
      <c r="Q847" s="127"/>
      <c r="R847" s="20"/>
      <c r="S847" s="20"/>
      <c r="T847" s="20"/>
      <c r="U847" s="124"/>
      <c r="V847" s="127"/>
      <c r="W847" s="20"/>
      <c r="X847" s="20"/>
      <c r="Y847" s="20"/>
      <c r="Z847" s="20"/>
      <c r="AA847" s="20"/>
      <c r="AB847" s="20"/>
      <c r="AC847" s="20"/>
      <c r="AD847" s="20"/>
      <c r="AE847" s="20"/>
      <c r="AF847" s="20"/>
    </row>
    <row r="848" spans="1:32" ht="19.5">
      <c r="A848" s="20"/>
      <c r="B848" s="20"/>
      <c r="C848" s="20"/>
      <c r="D848" s="20"/>
      <c r="E848" s="20"/>
      <c r="F848" s="20"/>
      <c r="G848" s="124"/>
      <c r="H848" s="20"/>
      <c r="I848" s="20"/>
      <c r="J848" s="20"/>
      <c r="K848" s="124"/>
      <c r="L848" s="127"/>
      <c r="M848" s="20"/>
      <c r="N848" s="20"/>
      <c r="O848" s="20"/>
      <c r="P848" s="124"/>
      <c r="Q848" s="127"/>
      <c r="R848" s="20"/>
      <c r="S848" s="20"/>
      <c r="T848" s="20"/>
      <c r="U848" s="124"/>
      <c r="V848" s="127"/>
      <c r="W848" s="20"/>
      <c r="X848" s="20"/>
      <c r="Y848" s="20"/>
      <c r="Z848" s="20"/>
      <c r="AA848" s="20"/>
      <c r="AB848" s="20"/>
      <c r="AC848" s="20"/>
      <c r="AD848" s="20"/>
      <c r="AE848" s="20"/>
      <c r="AF848" s="20"/>
    </row>
    <row r="849" spans="1:32" ht="19.5">
      <c r="A849" s="20"/>
      <c r="B849" s="20"/>
      <c r="C849" s="20"/>
      <c r="D849" s="20"/>
      <c r="E849" s="20"/>
      <c r="F849" s="20"/>
      <c r="G849" s="124"/>
      <c r="H849" s="20"/>
      <c r="I849" s="20"/>
      <c r="J849" s="20"/>
      <c r="K849" s="124"/>
      <c r="L849" s="127"/>
      <c r="M849" s="20"/>
      <c r="N849" s="20"/>
      <c r="O849" s="20"/>
      <c r="P849" s="124"/>
      <c r="Q849" s="127"/>
      <c r="R849" s="20"/>
      <c r="S849" s="20"/>
      <c r="T849" s="20"/>
      <c r="U849" s="124"/>
      <c r="V849" s="127"/>
      <c r="W849" s="20"/>
      <c r="X849" s="20"/>
      <c r="Y849" s="20"/>
      <c r="Z849" s="20"/>
      <c r="AA849" s="20"/>
      <c r="AB849" s="20"/>
      <c r="AC849" s="20"/>
      <c r="AD849" s="20"/>
      <c r="AE849" s="20"/>
      <c r="AF849" s="20"/>
    </row>
    <row r="850" spans="1:32" ht="19.5">
      <c r="A850" s="20"/>
      <c r="B850" s="20"/>
      <c r="C850" s="20"/>
      <c r="D850" s="20"/>
      <c r="E850" s="20"/>
      <c r="F850" s="20"/>
      <c r="G850" s="124"/>
      <c r="H850" s="20"/>
      <c r="I850" s="20"/>
      <c r="J850" s="20"/>
      <c r="K850" s="124"/>
      <c r="L850" s="127"/>
      <c r="M850" s="20"/>
      <c r="N850" s="20"/>
      <c r="O850" s="20"/>
      <c r="P850" s="124"/>
      <c r="Q850" s="127"/>
      <c r="R850" s="20"/>
      <c r="S850" s="20"/>
      <c r="T850" s="20"/>
      <c r="U850" s="124"/>
      <c r="V850" s="127"/>
      <c r="W850" s="20"/>
      <c r="X850" s="20"/>
      <c r="Y850" s="20"/>
      <c r="Z850" s="20"/>
      <c r="AA850" s="20"/>
      <c r="AB850" s="20"/>
      <c r="AC850" s="20"/>
      <c r="AD850" s="20"/>
      <c r="AE850" s="20"/>
      <c r="AF850" s="20"/>
    </row>
    <row r="851" spans="1:32" ht="19.5">
      <c r="A851" s="20"/>
      <c r="B851" s="20"/>
      <c r="C851" s="20"/>
      <c r="D851" s="20"/>
      <c r="E851" s="20"/>
      <c r="F851" s="20"/>
      <c r="G851" s="124"/>
      <c r="H851" s="20"/>
      <c r="I851" s="20"/>
      <c r="J851" s="20"/>
      <c r="K851" s="124"/>
      <c r="L851" s="127"/>
      <c r="M851" s="20"/>
      <c r="N851" s="20"/>
      <c r="O851" s="20"/>
      <c r="P851" s="124"/>
      <c r="Q851" s="127"/>
      <c r="R851" s="20"/>
      <c r="S851" s="20"/>
      <c r="T851" s="20"/>
      <c r="U851" s="124"/>
      <c r="V851" s="127"/>
      <c r="W851" s="20"/>
      <c r="X851" s="20"/>
      <c r="Y851" s="20"/>
      <c r="Z851" s="20"/>
      <c r="AA851" s="20"/>
      <c r="AB851" s="20"/>
      <c r="AC851" s="20"/>
      <c r="AD851" s="20"/>
      <c r="AE851" s="20"/>
      <c r="AF851" s="20"/>
    </row>
    <row r="852" spans="1:32" ht="19.5">
      <c r="A852" s="20"/>
      <c r="B852" s="20"/>
      <c r="C852" s="20"/>
      <c r="D852" s="20"/>
      <c r="E852" s="20"/>
      <c r="F852" s="20"/>
      <c r="G852" s="124"/>
      <c r="H852" s="20"/>
      <c r="I852" s="20"/>
      <c r="J852" s="20"/>
      <c r="K852" s="124"/>
      <c r="L852" s="127"/>
      <c r="M852" s="20"/>
      <c r="N852" s="20"/>
      <c r="O852" s="20"/>
      <c r="P852" s="124"/>
      <c r="Q852" s="127"/>
      <c r="R852" s="20"/>
      <c r="S852" s="20"/>
      <c r="T852" s="20"/>
      <c r="U852" s="124"/>
      <c r="V852" s="127"/>
      <c r="W852" s="20"/>
      <c r="X852" s="20"/>
      <c r="Y852" s="20"/>
      <c r="Z852" s="20"/>
      <c r="AA852" s="20"/>
      <c r="AB852" s="20"/>
      <c r="AC852" s="20"/>
      <c r="AD852" s="20"/>
      <c r="AE852" s="20"/>
      <c r="AF852" s="20"/>
    </row>
    <row r="853" spans="1:32" ht="19.5">
      <c r="A853" s="20"/>
      <c r="B853" s="20"/>
      <c r="C853" s="20"/>
      <c r="D853" s="20"/>
      <c r="E853" s="20"/>
      <c r="F853" s="20"/>
      <c r="G853" s="124"/>
      <c r="H853" s="20"/>
      <c r="I853" s="20"/>
      <c r="J853" s="20"/>
      <c r="K853" s="124"/>
      <c r="L853" s="127"/>
      <c r="M853" s="20"/>
      <c r="N853" s="20"/>
      <c r="O853" s="20"/>
      <c r="P853" s="124"/>
      <c r="Q853" s="127"/>
      <c r="R853" s="20"/>
      <c r="S853" s="20"/>
      <c r="T853" s="20"/>
      <c r="U853" s="124"/>
      <c r="V853" s="127"/>
      <c r="W853" s="20"/>
      <c r="X853" s="20"/>
      <c r="Y853" s="20"/>
      <c r="Z853" s="20"/>
      <c r="AA853" s="20"/>
      <c r="AB853" s="20"/>
      <c r="AC853" s="20"/>
      <c r="AD853" s="20"/>
      <c r="AE853" s="20"/>
      <c r="AF853" s="20"/>
    </row>
    <row r="854" spans="1:32" ht="19.5">
      <c r="A854" s="20"/>
      <c r="B854" s="20"/>
      <c r="C854" s="20"/>
      <c r="D854" s="20"/>
      <c r="E854" s="20"/>
      <c r="F854" s="20"/>
      <c r="G854" s="124"/>
      <c r="H854" s="20"/>
      <c r="I854" s="20"/>
      <c r="J854" s="20"/>
      <c r="K854" s="124"/>
      <c r="L854" s="127"/>
      <c r="M854" s="20"/>
      <c r="N854" s="20"/>
      <c r="O854" s="20"/>
      <c r="P854" s="124"/>
      <c r="Q854" s="127"/>
      <c r="R854" s="20"/>
      <c r="S854" s="20"/>
      <c r="T854" s="20"/>
      <c r="U854" s="124"/>
      <c r="V854" s="127"/>
      <c r="W854" s="20"/>
      <c r="X854" s="20"/>
      <c r="Y854" s="20"/>
      <c r="Z854" s="20"/>
      <c r="AA854" s="20"/>
      <c r="AB854" s="20"/>
      <c r="AC854" s="20"/>
      <c r="AD854" s="20"/>
      <c r="AE854" s="20"/>
      <c r="AF854" s="20"/>
    </row>
    <row r="855" spans="1:32" ht="19.5">
      <c r="A855" s="20"/>
      <c r="B855" s="20"/>
      <c r="C855" s="20"/>
      <c r="D855" s="20"/>
      <c r="E855" s="20"/>
      <c r="F855" s="20"/>
      <c r="G855" s="124"/>
      <c r="H855" s="20"/>
      <c r="I855" s="20"/>
      <c r="J855" s="20"/>
      <c r="K855" s="124"/>
      <c r="L855" s="127"/>
      <c r="M855" s="20"/>
      <c r="N855" s="20"/>
      <c r="O855" s="20"/>
      <c r="P855" s="124"/>
      <c r="Q855" s="127"/>
      <c r="R855" s="20"/>
      <c r="S855" s="20"/>
      <c r="T855" s="20"/>
      <c r="U855" s="124"/>
      <c r="V855" s="127"/>
      <c r="W855" s="20"/>
      <c r="X855" s="20"/>
      <c r="Y855" s="20"/>
      <c r="Z855" s="20"/>
      <c r="AA855" s="20"/>
      <c r="AB855" s="20"/>
      <c r="AC855" s="20"/>
      <c r="AD855" s="20"/>
      <c r="AE855" s="20"/>
      <c r="AF855" s="20"/>
    </row>
    <row r="856" spans="1:32" ht="19.5">
      <c r="A856" s="20"/>
      <c r="B856" s="20"/>
      <c r="C856" s="20"/>
      <c r="D856" s="20"/>
      <c r="E856" s="20"/>
      <c r="F856" s="20"/>
      <c r="G856" s="124"/>
      <c r="H856" s="20"/>
      <c r="I856" s="20"/>
      <c r="J856" s="20"/>
      <c r="K856" s="124"/>
      <c r="L856" s="127"/>
      <c r="M856" s="20"/>
      <c r="N856" s="20"/>
      <c r="O856" s="20"/>
      <c r="P856" s="124"/>
      <c r="Q856" s="127"/>
      <c r="R856" s="20"/>
      <c r="S856" s="20"/>
      <c r="T856" s="20"/>
      <c r="U856" s="124"/>
      <c r="V856" s="127"/>
      <c r="W856" s="20"/>
      <c r="X856" s="20"/>
      <c r="Y856" s="20"/>
      <c r="Z856" s="20"/>
      <c r="AA856" s="20"/>
      <c r="AB856" s="20"/>
      <c r="AC856" s="20"/>
      <c r="AD856" s="20"/>
      <c r="AE856" s="20"/>
      <c r="AF856" s="20"/>
    </row>
    <row r="857" spans="1:32" ht="19.5">
      <c r="A857" s="20"/>
      <c r="B857" s="20"/>
      <c r="C857" s="20"/>
      <c r="D857" s="20"/>
      <c r="E857" s="20"/>
      <c r="F857" s="20"/>
      <c r="G857" s="124"/>
      <c r="H857" s="20"/>
      <c r="I857" s="20"/>
      <c r="J857" s="20"/>
      <c r="K857" s="124"/>
      <c r="L857" s="127"/>
      <c r="M857" s="20"/>
      <c r="N857" s="20"/>
      <c r="O857" s="20"/>
      <c r="P857" s="124"/>
      <c r="Q857" s="127"/>
      <c r="R857" s="20"/>
      <c r="S857" s="20"/>
      <c r="T857" s="20"/>
      <c r="U857" s="124"/>
      <c r="V857" s="127"/>
      <c r="W857" s="20"/>
      <c r="X857" s="20"/>
      <c r="Y857" s="20"/>
      <c r="Z857" s="20"/>
      <c r="AA857" s="20"/>
      <c r="AB857" s="20"/>
      <c r="AC857" s="20"/>
      <c r="AD857" s="20"/>
      <c r="AE857" s="20"/>
      <c r="AF857" s="20"/>
    </row>
    <row r="858" spans="1:32" ht="19.5">
      <c r="A858" s="20"/>
      <c r="B858" s="20"/>
      <c r="C858" s="20"/>
      <c r="D858" s="20"/>
      <c r="E858" s="20"/>
      <c r="F858" s="20"/>
      <c r="G858" s="124"/>
      <c r="H858" s="20"/>
      <c r="I858" s="20"/>
      <c r="J858" s="20"/>
      <c r="K858" s="124"/>
      <c r="L858" s="127"/>
      <c r="M858" s="20"/>
      <c r="N858" s="20"/>
      <c r="O858" s="20"/>
      <c r="P858" s="124"/>
      <c r="Q858" s="127"/>
      <c r="R858" s="20"/>
      <c r="S858" s="20"/>
      <c r="T858" s="20"/>
      <c r="U858" s="124"/>
      <c r="V858" s="127"/>
      <c r="W858" s="20"/>
      <c r="X858" s="20"/>
      <c r="Y858" s="20"/>
      <c r="Z858" s="20"/>
      <c r="AA858" s="20"/>
      <c r="AB858" s="20"/>
      <c r="AC858" s="20"/>
      <c r="AD858" s="20"/>
      <c r="AE858" s="20"/>
      <c r="AF858" s="20"/>
    </row>
    <row r="859" spans="1:32" ht="19.5">
      <c r="A859" s="20"/>
      <c r="B859" s="20"/>
      <c r="C859" s="20"/>
      <c r="D859" s="20"/>
      <c r="E859" s="20"/>
      <c r="F859" s="20"/>
      <c r="G859" s="124"/>
      <c r="H859" s="20"/>
      <c r="I859" s="20"/>
      <c r="J859" s="20"/>
      <c r="K859" s="124"/>
      <c r="L859" s="127"/>
      <c r="M859" s="20"/>
      <c r="N859" s="20"/>
      <c r="O859" s="20"/>
      <c r="P859" s="124"/>
      <c r="Q859" s="127"/>
      <c r="R859" s="20"/>
      <c r="S859" s="20"/>
      <c r="T859" s="20"/>
      <c r="U859" s="124"/>
      <c r="V859" s="127"/>
      <c r="W859" s="20"/>
      <c r="X859" s="20"/>
      <c r="Y859" s="20"/>
      <c r="Z859" s="20"/>
      <c r="AA859" s="20"/>
      <c r="AB859" s="20"/>
      <c r="AC859" s="20"/>
      <c r="AD859" s="20"/>
      <c r="AE859" s="20"/>
      <c r="AF859" s="20"/>
    </row>
    <row r="860" spans="1:32" ht="19.5">
      <c r="A860" s="20"/>
      <c r="B860" s="20"/>
      <c r="C860" s="20"/>
      <c r="D860" s="20"/>
      <c r="E860" s="20"/>
      <c r="F860" s="20"/>
      <c r="G860" s="124"/>
      <c r="H860" s="20"/>
      <c r="I860" s="20"/>
      <c r="J860" s="20"/>
      <c r="K860" s="124"/>
      <c r="L860" s="127"/>
      <c r="M860" s="20"/>
      <c r="N860" s="20"/>
      <c r="O860" s="20"/>
      <c r="P860" s="124"/>
      <c r="Q860" s="127"/>
      <c r="R860" s="20"/>
      <c r="S860" s="20"/>
      <c r="T860" s="20"/>
      <c r="U860" s="124"/>
      <c r="V860" s="127"/>
      <c r="W860" s="20"/>
      <c r="X860" s="20"/>
      <c r="Y860" s="20"/>
      <c r="Z860" s="20"/>
      <c r="AA860" s="20"/>
      <c r="AB860" s="20"/>
      <c r="AC860" s="20"/>
      <c r="AD860" s="20"/>
      <c r="AE860" s="20"/>
      <c r="AF860" s="20"/>
    </row>
    <row r="861" spans="1:32" ht="19.5">
      <c r="A861" s="20"/>
      <c r="B861" s="20"/>
      <c r="C861" s="20"/>
      <c r="D861" s="20"/>
      <c r="E861" s="20"/>
      <c r="F861" s="20"/>
      <c r="G861" s="124"/>
      <c r="H861" s="20"/>
      <c r="I861" s="20"/>
      <c r="J861" s="20"/>
      <c r="K861" s="124"/>
      <c r="L861" s="127"/>
      <c r="M861" s="20"/>
      <c r="N861" s="20"/>
      <c r="O861" s="20"/>
      <c r="P861" s="124"/>
      <c r="Q861" s="127"/>
      <c r="R861" s="20"/>
      <c r="S861" s="20"/>
      <c r="T861" s="20"/>
      <c r="U861" s="124"/>
      <c r="V861" s="127"/>
      <c r="W861" s="20"/>
      <c r="X861" s="20"/>
      <c r="Y861" s="20"/>
      <c r="Z861" s="20"/>
      <c r="AA861" s="20"/>
      <c r="AB861" s="20"/>
      <c r="AC861" s="20"/>
      <c r="AD861" s="20"/>
      <c r="AE861" s="20"/>
      <c r="AF861" s="20"/>
    </row>
    <row r="862" spans="1:32" ht="19.5">
      <c r="A862" s="20"/>
      <c r="B862" s="20"/>
      <c r="C862" s="20"/>
      <c r="D862" s="20"/>
      <c r="E862" s="20"/>
      <c r="F862" s="20"/>
      <c r="G862" s="124"/>
      <c r="H862" s="20"/>
      <c r="I862" s="20"/>
      <c r="J862" s="20"/>
      <c r="K862" s="124"/>
      <c r="L862" s="127"/>
      <c r="M862" s="20"/>
      <c r="N862" s="20"/>
      <c r="O862" s="20"/>
      <c r="P862" s="124"/>
      <c r="Q862" s="127"/>
      <c r="R862" s="20"/>
      <c r="S862" s="20"/>
      <c r="T862" s="20"/>
      <c r="U862" s="124"/>
      <c r="V862" s="127"/>
      <c r="W862" s="20"/>
      <c r="X862" s="20"/>
      <c r="Y862" s="20"/>
      <c r="Z862" s="20"/>
      <c r="AA862" s="20"/>
      <c r="AB862" s="20"/>
      <c r="AC862" s="20"/>
      <c r="AD862" s="20"/>
      <c r="AE862" s="20"/>
      <c r="AF862" s="20"/>
    </row>
    <row r="863" spans="1:32" ht="19.5">
      <c r="A863" s="20"/>
      <c r="B863" s="20"/>
      <c r="C863" s="20"/>
      <c r="D863" s="20"/>
      <c r="E863" s="20"/>
      <c r="F863" s="20"/>
      <c r="G863" s="124"/>
      <c r="H863" s="20"/>
      <c r="I863" s="20"/>
      <c r="J863" s="20"/>
      <c r="K863" s="124"/>
      <c r="L863" s="127"/>
      <c r="M863" s="20"/>
      <c r="N863" s="20"/>
      <c r="O863" s="20"/>
      <c r="P863" s="124"/>
      <c r="Q863" s="127"/>
      <c r="R863" s="20"/>
      <c r="S863" s="20"/>
      <c r="T863" s="20"/>
      <c r="U863" s="124"/>
      <c r="V863" s="127"/>
      <c r="W863" s="20"/>
      <c r="X863" s="20"/>
      <c r="Y863" s="20"/>
      <c r="Z863" s="20"/>
      <c r="AA863" s="20"/>
      <c r="AB863" s="20"/>
      <c r="AC863" s="20"/>
      <c r="AD863" s="20"/>
      <c r="AE863" s="20"/>
      <c r="AF863" s="20"/>
    </row>
    <row r="864" spans="1:32" ht="19.5">
      <c r="A864" s="20"/>
      <c r="B864" s="20"/>
      <c r="C864" s="20"/>
      <c r="D864" s="20"/>
      <c r="E864" s="20"/>
      <c r="F864" s="20"/>
      <c r="G864" s="124"/>
      <c r="H864" s="20"/>
      <c r="I864" s="20"/>
      <c r="J864" s="20"/>
      <c r="K864" s="124"/>
      <c r="L864" s="127"/>
      <c r="M864" s="20"/>
      <c r="N864" s="20"/>
      <c r="O864" s="20"/>
      <c r="P864" s="124"/>
      <c r="Q864" s="127"/>
      <c r="R864" s="20"/>
      <c r="S864" s="20"/>
      <c r="T864" s="20"/>
      <c r="U864" s="124"/>
      <c r="V864" s="127"/>
      <c r="W864" s="20"/>
      <c r="X864" s="20"/>
      <c r="Y864" s="20"/>
      <c r="Z864" s="20"/>
      <c r="AA864" s="20"/>
      <c r="AB864" s="20"/>
      <c r="AC864" s="20"/>
      <c r="AD864" s="20"/>
      <c r="AE864" s="20"/>
      <c r="AF864" s="20"/>
    </row>
    <row r="865" spans="1:32" ht="19.5">
      <c r="A865" s="20"/>
      <c r="B865" s="20"/>
      <c r="C865" s="20"/>
      <c r="D865" s="20"/>
      <c r="E865" s="20"/>
      <c r="F865" s="20"/>
      <c r="G865" s="124"/>
      <c r="H865" s="20"/>
      <c r="I865" s="20"/>
      <c r="J865" s="20"/>
      <c r="K865" s="124"/>
      <c r="L865" s="127"/>
      <c r="M865" s="20"/>
      <c r="N865" s="20"/>
      <c r="O865" s="20"/>
      <c r="P865" s="124"/>
      <c r="Q865" s="127"/>
      <c r="R865" s="20"/>
      <c r="S865" s="20"/>
      <c r="T865" s="20"/>
      <c r="U865" s="124"/>
      <c r="V865" s="127"/>
      <c r="W865" s="20"/>
      <c r="X865" s="20"/>
      <c r="Y865" s="20"/>
      <c r="Z865" s="20"/>
      <c r="AA865" s="20"/>
      <c r="AB865" s="20"/>
      <c r="AC865" s="20"/>
      <c r="AD865" s="20"/>
      <c r="AE865" s="20"/>
      <c r="AF865" s="20"/>
    </row>
    <row r="866" spans="1:32" ht="19.5">
      <c r="A866" s="20"/>
      <c r="B866" s="20"/>
      <c r="C866" s="20"/>
      <c r="D866" s="20"/>
      <c r="E866" s="20"/>
      <c r="F866" s="20"/>
      <c r="G866" s="124"/>
      <c r="H866" s="20"/>
      <c r="I866" s="20"/>
      <c r="J866" s="20"/>
      <c r="K866" s="124"/>
      <c r="L866" s="127"/>
      <c r="M866" s="20"/>
      <c r="N866" s="20"/>
      <c r="O866" s="20"/>
      <c r="P866" s="124"/>
      <c r="Q866" s="127"/>
      <c r="R866" s="20"/>
      <c r="S866" s="20"/>
      <c r="T866" s="20"/>
      <c r="U866" s="124"/>
      <c r="V866" s="127"/>
      <c r="W866" s="20"/>
      <c r="X866" s="20"/>
      <c r="Y866" s="20"/>
      <c r="Z866" s="20"/>
      <c r="AA866" s="20"/>
      <c r="AB866" s="20"/>
      <c r="AC866" s="20"/>
      <c r="AD866" s="20"/>
      <c r="AE866" s="20"/>
      <c r="AF866" s="20"/>
    </row>
    <row r="867" spans="1:32" ht="19.5">
      <c r="A867" s="20"/>
      <c r="B867" s="20"/>
      <c r="C867" s="20"/>
      <c r="D867" s="20"/>
      <c r="E867" s="20"/>
      <c r="F867" s="20"/>
      <c r="G867" s="124"/>
      <c r="H867" s="20"/>
      <c r="I867" s="20"/>
      <c r="J867" s="20"/>
      <c r="K867" s="124"/>
      <c r="L867" s="127"/>
      <c r="M867" s="20"/>
      <c r="N867" s="20"/>
      <c r="O867" s="20"/>
      <c r="P867" s="124"/>
      <c r="Q867" s="127"/>
      <c r="R867" s="20"/>
      <c r="S867" s="20"/>
      <c r="T867" s="20"/>
      <c r="U867" s="124"/>
      <c r="V867" s="127"/>
      <c r="W867" s="20"/>
      <c r="X867" s="20"/>
      <c r="Y867" s="20"/>
      <c r="Z867" s="20"/>
      <c r="AA867" s="20"/>
      <c r="AB867" s="20"/>
      <c r="AC867" s="20"/>
      <c r="AD867" s="20"/>
      <c r="AE867" s="20"/>
      <c r="AF867" s="20"/>
    </row>
    <row r="868" spans="1:32" ht="19.5">
      <c r="A868" s="20"/>
      <c r="B868" s="20"/>
      <c r="C868" s="20"/>
      <c r="D868" s="20"/>
      <c r="E868" s="20"/>
      <c r="F868" s="20"/>
      <c r="G868" s="124"/>
      <c r="H868" s="20"/>
      <c r="I868" s="20"/>
      <c r="J868" s="20"/>
      <c r="K868" s="124"/>
      <c r="L868" s="127"/>
      <c r="M868" s="20"/>
      <c r="N868" s="20"/>
      <c r="O868" s="20"/>
      <c r="P868" s="124"/>
      <c r="Q868" s="127"/>
      <c r="R868" s="20"/>
      <c r="S868" s="20"/>
      <c r="T868" s="20"/>
      <c r="U868" s="124"/>
      <c r="V868" s="127"/>
      <c r="W868" s="20"/>
      <c r="X868" s="20"/>
      <c r="Y868" s="20"/>
      <c r="Z868" s="20"/>
      <c r="AA868" s="20"/>
      <c r="AB868" s="20"/>
      <c r="AC868" s="20"/>
      <c r="AD868" s="20"/>
      <c r="AE868" s="20"/>
      <c r="AF868" s="20"/>
    </row>
    <row r="869" spans="1:32" ht="19.5">
      <c r="A869" s="20"/>
      <c r="B869" s="20"/>
      <c r="C869" s="20"/>
      <c r="D869" s="20"/>
      <c r="E869" s="20"/>
      <c r="F869" s="20"/>
      <c r="G869" s="124"/>
      <c r="H869" s="20"/>
      <c r="I869" s="20"/>
      <c r="J869" s="20"/>
      <c r="K869" s="124"/>
      <c r="L869" s="127"/>
      <c r="M869" s="20"/>
      <c r="N869" s="20"/>
      <c r="O869" s="20"/>
      <c r="P869" s="124"/>
      <c r="Q869" s="127"/>
      <c r="R869" s="20"/>
      <c r="S869" s="20"/>
      <c r="T869" s="20"/>
      <c r="U869" s="124"/>
      <c r="V869" s="127"/>
      <c r="W869" s="20"/>
      <c r="X869" s="20"/>
      <c r="Y869" s="20"/>
      <c r="Z869" s="20"/>
      <c r="AA869" s="20"/>
      <c r="AB869" s="20"/>
      <c r="AC869" s="20"/>
      <c r="AD869" s="20"/>
      <c r="AE869" s="20"/>
      <c r="AF869" s="20"/>
    </row>
    <row r="870" spans="1:32" ht="19.5">
      <c r="A870" s="20"/>
      <c r="B870" s="20"/>
      <c r="C870" s="20"/>
      <c r="D870" s="20"/>
      <c r="E870" s="20"/>
      <c r="F870" s="20"/>
      <c r="G870" s="124"/>
      <c r="H870" s="20"/>
      <c r="I870" s="20"/>
      <c r="J870" s="20"/>
      <c r="K870" s="124"/>
      <c r="L870" s="127"/>
      <c r="M870" s="20"/>
      <c r="N870" s="20"/>
      <c r="O870" s="20"/>
      <c r="P870" s="124"/>
      <c r="Q870" s="127"/>
      <c r="R870" s="20"/>
      <c r="S870" s="20"/>
      <c r="T870" s="20"/>
      <c r="U870" s="124"/>
      <c r="V870" s="127"/>
      <c r="W870" s="20"/>
      <c r="X870" s="20"/>
      <c r="Y870" s="20"/>
      <c r="Z870" s="20"/>
      <c r="AA870" s="20"/>
      <c r="AB870" s="20"/>
      <c r="AC870" s="20"/>
      <c r="AD870" s="20"/>
      <c r="AE870" s="20"/>
      <c r="AF870" s="20"/>
    </row>
    <row r="871" spans="1:32" ht="19.5">
      <c r="A871" s="20"/>
      <c r="B871" s="20"/>
      <c r="C871" s="20"/>
      <c r="D871" s="20"/>
      <c r="E871" s="20"/>
      <c r="F871" s="20"/>
      <c r="G871" s="124"/>
      <c r="H871" s="20"/>
      <c r="I871" s="20"/>
      <c r="J871" s="20"/>
      <c r="K871" s="124"/>
      <c r="L871" s="127"/>
      <c r="M871" s="20"/>
      <c r="N871" s="20"/>
      <c r="O871" s="20"/>
      <c r="P871" s="124"/>
      <c r="Q871" s="127"/>
      <c r="R871" s="20"/>
      <c r="S871" s="20"/>
      <c r="T871" s="20"/>
      <c r="U871" s="124"/>
      <c r="V871" s="127"/>
      <c r="W871" s="20"/>
      <c r="X871" s="20"/>
      <c r="Y871" s="20"/>
      <c r="Z871" s="20"/>
      <c r="AA871" s="20"/>
      <c r="AB871" s="20"/>
      <c r="AC871" s="20"/>
      <c r="AD871" s="20"/>
      <c r="AE871" s="20"/>
      <c r="AF871" s="20"/>
    </row>
    <row r="872" spans="1:32" ht="19.5">
      <c r="A872" s="20"/>
      <c r="B872" s="20"/>
      <c r="C872" s="20"/>
      <c r="D872" s="20"/>
      <c r="E872" s="20"/>
      <c r="F872" s="20"/>
      <c r="G872" s="124"/>
      <c r="H872" s="20"/>
      <c r="I872" s="20"/>
      <c r="J872" s="20"/>
      <c r="K872" s="124"/>
      <c r="L872" s="127"/>
      <c r="M872" s="20"/>
      <c r="N872" s="20"/>
      <c r="O872" s="20"/>
      <c r="P872" s="124"/>
      <c r="Q872" s="127"/>
      <c r="R872" s="20"/>
      <c r="S872" s="20"/>
      <c r="T872" s="20"/>
      <c r="U872" s="124"/>
      <c r="V872" s="127"/>
      <c r="W872" s="20"/>
      <c r="X872" s="20"/>
      <c r="Y872" s="20"/>
      <c r="Z872" s="20"/>
      <c r="AA872" s="20"/>
      <c r="AB872" s="20"/>
      <c r="AC872" s="20"/>
      <c r="AD872" s="20"/>
      <c r="AE872" s="20"/>
      <c r="AF872" s="20"/>
    </row>
    <row r="873" spans="1:32" ht="19.5">
      <c r="A873" s="20"/>
      <c r="B873" s="20"/>
      <c r="C873" s="20"/>
      <c r="D873" s="20"/>
      <c r="E873" s="20"/>
      <c r="F873" s="20"/>
      <c r="G873" s="124"/>
      <c r="H873" s="20"/>
      <c r="I873" s="20"/>
      <c r="J873" s="20"/>
      <c r="K873" s="124"/>
      <c r="L873" s="127"/>
      <c r="M873" s="20"/>
      <c r="N873" s="20"/>
      <c r="O873" s="20"/>
      <c r="P873" s="124"/>
      <c r="Q873" s="127"/>
      <c r="R873" s="20"/>
      <c r="S873" s="20"/>
      <c r="T873" s="20"/>
      <c r="U873" s="124"/>
      <c r="V873" s="127"/>
      <c r="W873" s="20"/>
      <c r="X873" s="20"/>
      <c r="Y873" s="20"/>
      <c r="Z873" s="20"/>
      <c r="AA873" s="20"/>
      <c r="AB873" s="20"/>
      <c r="AC873" s="20"/>
      <c r="AD873" s="20"/>
      <c r="AE873" s="20"/>
      <c r="AF873" s="20"/>
    </row>
    <row r="874" spans="1:32" ht="19.5">
      <c r="A874" s="20"/>
      <c r="B874" s="20"/>
      <c r="C874" s="20"/>
      <c r="D874" s="20"/>
      <c r="E874" s="20"/>
      <c r="F874" s="20"/>
      <c r="G874" s="124"/>
      <c r="H874" s="20"/>
      <c r="I874" s="20"/>
      <c r="J874" s="20"/>
      <c r="K874" s="124"/>
      <c r="L874" s="127"/>
      <c r="M874" s="20"/>
      <c r="N874" s="20"/>
      <c r="O874" s="20"/>
      <c r="P874" s="124"/>
      <c r="Q874" s="127"/>
      <c r="R874" s="20"/>
      <c r="S874" s="20"/>
      <c r="T874" s="20"/>
      <c r="U874" s="124"/>
      <c r="V874" s="127"/>
      <c r="W874" s="20"/>
      <c r="X874" s="20"/>
      <c r="Y874" s="20"/>
      <c r="Z874" s="20"/>
      <c r="AA874" s="20"/>
      <c r="AB874" s="20"/>
      <c r="AC874" s="20"/>
      <c r="AD874" s="20"/>
      <c r="AE874" s="20"/>
      <c r="AF874" s="20"/>
    </row>
    <row r="875" spans="1:32" ht="19.5">
      <c r="A875" s="20"/>
      <c r="B875" s="20"/>
      <c r="C875" s="20"/>
      <c r="D875" s="20"/>
      <c r="E875" s="20"/>
      <c r="F875" s="20"/>
      <c r="G875" s="124"/>
      <c r="H875" s="20"/>
      <c r="I875" s="20"/>
      <c r="J875" s="20"/>
      <c r="K875" s="124"/>
      <c r="L875" s="127"/>
      <c r="M875" s="20"/>
      <c r="N875" s="20"/>
      <c r="O875" s="20"/>
      <c r="P875" s="124"/>
      <c r="Q875" s="127"/>
      <c r="R875" s="20"/>
      <c r="S875" s="20"/>
      <c r="T875" s="20"/>
      <c r="U875" s="124"/>
      <c r="V875" s="127"/>
      <c r="W875" s="20"/>
      <c r="X875" s="20"/>
      <c r="Y875" s="20"/>
      <c r="Z875" s="20"/>
      <c r="AA875" s="20"/>
      <c r="AB875" s="20"/>
      <c r="AC875" s="20"/>
      <c r="AD875" s="20"/>
      <c r="AE875" s="20"/>
      <c r="AF875" s="20"/>
    </row>
    <row r="876" spans="1:32" ht="19.5">
      <c r="A876" s="20"/>
      <c r="B876" s="20"/>
      <c r="C876" s="20"/>
      <c r="D876" s="20"/>
      <c r="E876" s="20"/>
      <c r="F876" s="20"/>
      <c r="G876" s="124"/>
      <c r="H876" s="20"/>
      <c r="I876" s="20"/>
      <c r="J876" s="20"/>
      <c r="K876" s="124"/>
      <c r="L876" s="127"/>
      <c r="M876" s="20"/>
      <c r="N876" s="20"/>
      <c r="O876" s="20"/>
      <c r="P876" s="124"/>
      <c r="Q876" s="127"/>
      <c r="R876" s="20"/>
      <c r="S876" s="20"/>
      <c r="T876" s="20"/>
      <c r="U876" s="124"/>
      <c r="V876" s="127"/>
      <c r="W876" s="20"/>
      <c r="X876" s="20"/>
      <c r="Y876" s="20"/>
      <c r="Z876" s="20"/>
      <c r="AA876" s="20"/>
      <c r="AB876" s="20"/>
      <c r="AC876" s="20"/>
      <c r="AD876" s="20"/>
      <c r="AE876" s="20"/>
      <c r="AF876" s="20"/>
    </row>
    <row r="877" spans="1:32" ht="19.5">
      <c r="A877" s="20"/>
      <c r="B877" s="20"/>
      <c r="C877" s="20"/>
      <c r="D877" s="20"/>
      <c r="E877" s="20"/>
      <c r="F877" s="20"/>
      <c r="G877" s="124"/>
      <c r="H877" s="20"/>
      <c r="I877" s="20"/>
      <c r="J877" s="20"/>
      <c r="K877" s="124"/>
      <c r="L877" s="127"/>
      <c r="M877" s="20"/>
      <c r="N877" s="20"/>
      <c r="O877" s="20"/>
      <c r="P877" s="124"/>
      <c r="Q877" s="127"/>
      <c r="R877" s="20"/>
      <c r="S877" s="20"/>
      <c r="T877" s="20"/>
      <c r="U877" s="124"/>
      <c r="V877" s="127"/>
      <c r="W877" s="20"/>
      <c r="X877" s="20"/>
      <c r="Y877" s="20"/>
      <c r="Z877" s="20"/>
      <c r="AA877" s="20"/>
      <c r="AB877" s="20"/>
      <c r="AC877" s="20"/>
      <c r="AD877" s="20"/>
      <c r="AE877" s="20"/>
      <c r="AF877" s="20"/>
    </row>
    <row r="878" spans="1:32" ht="19.5">
      <c r="A878" s="20"/>
      <c r="B878" s="20"/>
      <c r="C878" s="20"/>
      <c r="D878" s="20"/>
      <c r="E878" s="20"/>
      <c r="F878" s="20"/>
      <c r="G878" s="124"/>
      <c r="H878" s="20"/>
      <c r="I878" s="20"/>
      <c r="J878" s="20"/>
      <c r="K878" s="124"/>
      <c r="L878" s="127"/>
      <c r="M878" s="20"/>
      <c r="N878" s="20"/>
      <c r="O878" s="20"/>
      <c r="P878" s="124"/>
      <c r="Q878" s="127"/>
      <c r="R878" s="20"/>
      <c r="S878" s="20"/>
      <c r="T878" s="20"/>
      <c r="U878" s="124"/>
      <c r="V878" s="127"/>
      <c r="W878" s="20"/>
      <c r="X878" s="20"/>
      <c r="Y878" s="20"/>
      <c r="Z878" s="20"/>
      <c r="AA878" s="20"/>
      <c r="AB878" s="20"/>
      <c r="AC878" s="20"/>
      <c r="AD878" s="20"/>
      <c r="AE878" s="20"/>
      <c r="AF878" s="20"/>
    </row>
    <row r="879" spans="1:32" ht="19.5">
      <c r="A879" s="20"/>
      <c r="B879" s="20"/>
      <c r="C879" s="20"/>
      <c r="D879" s="20"/>
      <c r="E879" s="20"/>
      <c r="F879" s="20"/>
      <c r="G879" s="124"/>
      <c r="H879" s="20"/>
      <c r="I879" s="20"/>
      <c r="J879" s="20"/>
      <c r="K879" s="124"/>
      <c r="L879" s="127"/>
      <c r="M879" s="20"/>
      <c r="N879" s="20"/>
      <c r="O879" s="20"/>
      <c r="P879" s="124"/>
      <c r="Q879" s="127"/>
      <c r="R879" s="20"/>
      <c r="S879" s="20"/>
      <c r="T879" s="20"/>
      <c r="U879" s="124"/>
      <c r="V879" s="127"/>
      <c r="W879" s="20"/>
      <c r="X879" s="20"/>
      <c r="Y879" s="20"/>
      <c r="Z879" s="20"/>
      <c r="AA879" s="20"/>
      <c r="AB879" s="20"/>
      <c r="AC879" s="20"/>
      <c r="AD879" s="20"/>
      <c r="AE879" s="20"/>
      <c r="AF879" s="20"/>
    </row>
    <row r="880" spans="1:32" ht="19.5">
      <c r="A880" s="20"/>
      <c r="B880" s="20"/>
      <c r="C880" s="20"/>
      <c r="D880" s="20"/>
      <c r="E880" s="20"/>
      <c r="F880" s="20"/>
      <c r="G880" s="124"/>
      <c r="H880" s="20"/>
      <c r="I880" s="20"/>
      <c r="J880" s="20"/>
      <c r="K880" s="124"/>
      <c r="L880" s="127"/>
      <c r="M880" s="20"/>
      <c r="N880" s="20"/>
      <c r="O880" s="20"/>
      <c r="P880" s="124"/>
      <c r="Q880" s="127"/>
      <c r="R880" s="20"/>
      <c r="S880" s="20"/>
      <c r="T880" s="20"/>
      <c r="U880" s="124"/>
      <c r="V880" s="127"/>
      <c r="W880" s="20"/>
      <c r="X880" s="20"/>
      <c r="Y880" s="20"/>
      <c r="Z880" s="20"/>
      <c r="AA880" s="20"/>
      <c r="AB880" s="20"/>
      <c r="AC880" s="20"/>
      <c r="AD880" s="20"/>
      <c r="AE880" s="20"/>
      <c r="AF880" s="20"/>
    </row>
    <row r="881" spans="1:32" ht="19.5">
      <c r="A881" s="20"/>
      <c r="B881" s="20"/>
      <c r="C881" s="20"/>
      <c r="D881" s="20"/>
      <c r="E881" s="20"/>
      <c r="F881" s="20"/>
      <c r="G881" s="124"/>
      <c r="H881" s="20"/>
      <c r="I881" s="20"/>
      <c r="J881" s="20"/>
      <c r="K881" s="124"/>
      <c r="L881" s="127"/>
      <c r="M881" s="20"/>
      <c r="N881" s="20"/>
      <c r="O881" s="20"/>
      <c r="P881" s="124"/>
      <c r="Q881" s="127"/>
      <c r="R881" s="20"/>
      <c r="S881" s="20"/>
      <c r="T881" s="20"/>
      <c r="U881" s="124"/>
      <c r="V881" s="127"/>
      <c r="W881" s="20"/>
      <c r="X881" s="20"/>
      <c r="Y881" s="20"/>
      <c r="Z881" s="20"/>
      <c r="AA881" s="20"/>
      <c r="AB881" s="20"/>
      <c r="AC881" s="20"/>
      <c r="AD881" s="20"/>
      <c r="AE881" s="20"/>
      <c r="AF881" s="20"/>
    </row>
    <row r="882" spans="1:32" ht="19.5">
      <c r="A882" s="20"/>
      <c r="B882" s="20"/>
      <c r="C882" s="20"/>
      <c r="D882" s="20"/>
      <c r="E882" s="20"/>
      <c r="F882" s="20"/>
      <c r="G882" s="124"/>
      <c r="H882" s="20"/>
      <c r="I882" s="20"/>
      <c r="J882" s="20"/>
      <c r="K882" s="124"/>
      <c r="L882" s="127"/>
      <c r="M882" s="20"/>
      <c r="N882" s="20"/>
      <c r="O882" s="20"/>
      <c r="P882" s="124"/>
      <c r="Q882" s="127"/>
      <c r="R882" s="20"/>
      <c r="S882" s="20"/>
      <c r="T882" s="20"/>
      <c r="U882" s="124"/>
      <c r="V882" s="127"/>
      <c r="W882" s="20"/>
      <c r="X882" s="20"/>
      <c r="Y882" s="20"/>
      <c r="Z882" s="20"/>
      <c r="AA882" s="20"/>
      <c r="AB882" s="20"/>
      <c r="AC882" s="20"/>
      <c r="AD882" s="20"/>
      <c r="AE882" s="20"/>
      <c r="AF882" s="20"/>
    </row>
    <row r="883" spans="1:32" ht="19.5">
      <c r="A883" s="20"/>
      <c r="B883" s="20"/>
      <c r="C883" s="20"/>
      <c r="D883" s="20"/>
      <c r="E883" s="20"/>
      <c r="F883" s="20"/>
      <c r="G883" s="124"/>
      <c r="H883" s="20"/>
      <c r="I883" s="20"/>
      <c r="J883" s="20"/>
      <c r="K883" s="124"/>
      <c r="L883" s="127"/>
      <c r="M883" s="20"/>
      <c r="N883" s="20"/>
      <c r="O883" s="20"/>
      <c r="P883" s="124"/>
      <c r="Q883" s="127"/>
      <c r="R883" s="20"/>
      <c r="S883" s="20"/>
      <c r="T883" s="20"/>
      <c r="U883" s="124"/>
      <c r="V883" s="127"/>
      <c r="W883" s="20"/>
      <c r="X883" s="20"/>
      <c r="Y883" s="20"/>
      <c r="Z883" s="20"/>
      <c r="AA883" s="20"/>
      <c r="AB883" s="20"/>
      <c r="AC883" s="20"/>
      <c r="AD883" s="20"/>
      <c r="AE883" s="20"/>
      <c r="AF883" s="20"/>
    </row>
    <row r="884" spans="1:32" ht="19.5">
      <c r="A884" s="20"/>
      <c r="B884" s="20"/>
      <c r="C884" s="20"/>
      <c r="D884" s="20"/>
      <c r="E884" s="20"/>
      <c r="F884" s="20"/>
      <c r="G884" s="124"/>
      <c r="H884" s="20"/>
      <c r="I884" s="20"/>
      <c r="J884" s="20"/>
      <c r="K884" s="124"/>
      <c r="L884" s="127"/>
      <c r="M884" s="20"/>
      <c r="N884" s="20"/>
      <c r="O884" s="20"/>
      <c r="P884" s="124"/>
      <c r="Q884" s="127"/>
      <c r="R884" s="20"/>
      <c r="S884" s="20"/>
      <c r="T884" s="20"/>
      <c r="U884" s="124"/>
      <c r="V884" s="127"/>
      <c r="W884" s="20"/>
      <c r="X884" s="20"/>
      <c r="Y884" s="20"/>
      <c r="Z884" s="20"/>
      <c r="AA884" s="20"/>
      <c r="AB884" s="20"/>
      <c r="AC884" s="20"/>
      <c r="AD884" s="20"/>
      <c r="AE884" s="20"/>
      <c r="AF884" s="20"/>
    </row>
    <row r="885" spans="1:32" ht="19.5">
      <c r="A885" s="20"/>
      <c r="B885" s="20"/>
      <c r="C885" s="20"/>
      <c r="D885" s="20"/>
      <c r="E885" s="20"/>
      <c r="F885" s="20"/>
      <c r="G885" s="124"/>
      <c r="H885" s="20"/>
      <c r="I885" s="20"/>
      <c r="J885" s="20"/>
      <c r="K885" s="124"/>
      <c r="L885" s="127"/>
      <c r="M885" s="20"/>
      <c r="N885" s="20"/>
      <c r="O885" s="20"/>
      <c r="P885" s="124"/>
      <c r="Q885" s="127"/>
      <c r="R885" s="20"/>
      <c r="S885" s="20"/>
      <c r="T885" s="20"/>
      <c r="U885" s="124"/>
      <c r="V885" s="127"/>
      <c r="W885" s="20"/>
      <c r="X885" s="20"/>
      <c r="Y885" s="20"/>
      <c r="Z885" s="20"/>
      <c r="AA885" s="20"/>
      <c r="AB885" s="20"/>
      <c r="AC885" s="20"/>
      <c r="AD885" s="20"/>
      <c r="AE885" s="20"/>
      <c r="AF885" s="20"/>
    </row>
    <row r="886" spans="1:32" ht="19.5">
      <c r="A886" s="20"/>
      <c r="B886" s="20"/>
      <c r="C886" s="20"/>
      <c r="D886" s="20"/>
      <c r="E886" s="20"/>
      <c r="F886" s="20"/>
      <c r="G886" s="124"/>
      <c r="H886" s="20"/>
      <c r="I886" s="20"/>
      <c r="J886" s="20"/>
      <c r="K886" s="124"/>
      <c r="L886" s="127"/>
      <c r="M886" s="20"/>
      <c r="N886" s="20"/>
      <c r="O886" s="20"/>
      <c r="P886" s="124"/>
      <c r="Q886" s="127"/>
      <c r="R886" s="20"/>
      <c r="S886" s="20"/>
      <c r="T886" s="20"/>
      <c r="U886" s="124"/>
      <c r="V886" s="127"/>
      <c r="W886" s="20"/>
      <c r="X886" s="20"/>
      <c r="Y886" s="20"/>
      <c r="Z886" s="20"/>
      <c r="AA886" s="20"/>
      <c r="AB886" s="20"/>
      <c r="AC886" s="20"/>
      <c r="AD886" s="20"/>
      <c r="AE886" s="20"/>
      <c r="AF886" s="20"/>
    </row>
    <row r="887" spans="1:32" ht="19.5">
      <c r="A887" s="20"/>
      <c r="B887" s="20"/>
      <c r="C887" s="20"/>
      <c r="D887" s="20"/>
      <c r="E887" s="20"/>
      <c r="F887" s="20"/>
      <c r="G887" s="124"/>
      <c r="H887" s="20"/>
      <c r="I887" s="20"/>
      <c r="J887" s="20"/>
      <c r="K887" s="124"/>
      <c r="L887" s="127"/>
      <c r="M887" s="20"/>
      <c r="N887" s="20"/>
      <c r="O887" s="20"/>
      <c r="P887" s="124"/>
      <c r="Q887" s="127"/>
      <c r="R887" s="20"/>
      <c r="S887" s="20"/>
      <c r="T887" s="20"/>
      <c r="U887" s="124"/>
      <c r="V887" s="127"/>
      <c r="W887" s="20"/>
      <c r="X887" s="20"/>
      <c r="Y887" s="20"/>
      <c r="Z887" s="20"/>
      <c r="AA887" s="20"/>
      <c r="AB887" s="20"/>
      <c r="AC887" s="20"/>
      <c r="AD887" s="20"/>
      <c r="AE887" s="20"/>
      <c r="AF887" s="20"/>
    </row>
    <row r="888" spans="1:32" ht="19.5">
      <c r="A888" s="20"/>
      <c r="B888" s="20"/>
      <c r="C888" s="20"/>
      <c r="D888" s="20"/>
      <c r="E888" s="20"/>
      <c r="F888" s="20"/>
      <c r="G888" s="124"/>
      <c r="H888" s="20"/>
      <c r="I888" s="20"/>
      <c r="J888" s="20"/>
      <c r="K888" s="124"/>
      <c r="L888" s="127"/>
      <c r="M888" s="20"/>
      <c r="N888" s="20"/>
      <c r="O888" s="20"/>
      <c r="P888" s="124"/>
      <c r="Q888" s="127"/>
      <c r="R888" s="20"/>
      <c r="S888" s="20"/>
      <c r="T888" s="20"/>
      <c r="U888" s="124"/>
      <c r="V888" s="127"/>
      <c r="W888" s="20"/>
      <c r="X888" s="20"/>
      <c r="Y888" s="20"/>
      <c r="Z888" s="20"/>
      <c r="AA888" s="20"/>
      <c r="AB888" s="20"/>
      <c r="AC888" s="20"/>
      <c r="AD888" s="20"/>
      <c r="AE888" s="20"/>
      <c r="AF888" s="20"/>
    </row>
    <row r="889" spans="1:32" ht="19.5">
      <c r="A889" s="20"/>
      <c r="B889" s="20"/>
      <c r="C889" s="20"/>
      <c r="D889" s="20"/>
      <c r="E889" s="20"/>
      <c r="F889" s="20"/>
      <c r="G889" s="124"/>
      <c r="H889" s="20"/>
      <c r="I889" s="20"/>
      <c r="J889" s="20"/>
      <c r="K889" s="124"/>
      <c r="L889" s="127"/>
      <c r="M889" s="20"/>
      <c r="N889" s="20"/>
      <c r="O889" s="20"/>
      <c r="P889" s="124"/>
      <c r="Q889" s="127"/>
      <c r="R889" s="20"/>
      <c r="S889" s="20"/>
      <c r="T889" s="20"/>
      <c r="U889" s="124"/>
      <c r="V889" s="127"/>
      <c r="W889" s="20"/>
      <c r="X889" s="20"/>
      <c r="Y889" s="20"/>
      <c r="Z889" s="20"/>
      <c r="AA889" s="20"/>
      <c r="AB889" s="20"/>
      <c r="AC889" s="20"/>
      <c r="AD889" s="20"/>
      <c r="AE889" s="20"/>
      <c r="AF889" s="20"/>
    </row>
    <row r="890" spans="1:32" ht="19.5">
      <c r="A890" s="20"/>
      <c r="B890" s="20"/>
      <c r="C890" s="20"/>
      <c r="D890" s="20"/>
      <c r="E890" s="20"/>
      <c r="F890" s="20"/>
      <c r="G890" s="124"/>
      <c r="H890" s="20"/>
      <c r="I890" s="20"/>
      <c r="J890" s="20"/>
      <c r="K890" s="124"/>
      <c r="L890" s="127"/>
      <c r="M890" s="20"/>
      <c r="N890" s="20"/>
      <c r="O890" s="20"/>
      <c r="P890" s="124"/>
      <c r="Q890" s="127"/>
      <c r="R890" s="20"/>
      <c r="S890" s="20"/>
      <c r="T890" s="20"/>
      <c r="U890" s="124"/>
      <c r="V890" s="127"/>
      <c r="W890" s="20"/>
      <c r="X890" s="20"/>
      <c r="Y890" s="20"/>
      <c r="Z890" s="20"/>
      <c r="AA890" s="20"/>
      <c r="AB890" s="20"/>
      <c r="AC890" s="20"/>
      <c r="AD890" s="20"/>
      <c r="AE890" s="20"/>
      <c r="AF890" s="20"/>
    </row>
    <row r="891" spans="1:32" ht="19.5">
      <c r="A891" s="20"/>
      <c r="B891" s="20"/>
      <c r="C891" s="20"/>
      <c r="D891" s="20"/>
      <c r="E891" s="20"/>
      <c r="F891" s="20"/>
      <c r="G891" s="124"/>
      <c r="H891" s="20"/>
      <c r="I891" s="20"/>
      <c r="J891" s="20"/>
      <c r="K891" s="124"/>
      <c r="L891" s="127"/>
      <c r="M891" s="20"/>
      <c r="N891" s="20"/>
      <c r="O891" s="20"/>
      <c r="P891" s="124"/>
      <c r="Q891" s="127"/>
      <c r="R891" s="20"/>
      <c r="S891" s="20"/>
      <c r="T891" s="20"/>
      <c r="U891" s="124"/>
      <c r="V891" s="127"/>
      <c r="W891" s="20"/>
      <c r="X891" s="20"/>
      <c r="Y891" s="20"/>
      <c r="Z891" s="20"/>
      <c r="AA891" s="20"/>
      <c r="AB891" s="20"/>
      <c r="AC891" s="20"/>
      <c r="AD891" s="20"/>
      <c r="AE891" s="20"/>
      <c r="AF891" s="20"/>
    </row>
    <row r="892" spans="1:32" ht="19.5">
      <c r="A892" s="20"/>
      <c r="B892" s="20"/>
      <c r="C892" s="20"/>
      <c r="D892" s="20"/>
      <c r="E892" s="20"/>
      <c r="F892" s="20"/>
      <c r="G892" s="124"/>
      <c r="H892" s="20"/>
      <c r="I892" s="20"/>
      <c r="J892" s="20"/>
      <c r="K892" s="124"/>
      <c r="L892" s="127"/>
      <c r="M892" s="20"/>
      <c r="N892" s="20"/>
      <c r="O892" s="20"/>
      <c r="P892" s="124"/>
      <c r="Q892" s="127"/>
      <c r="R892" s="20"/>
      <c r="S892" s="20"/>
      <c r="T892" s="20"/>
      <c r="U892" s="124"/>
      <c r="V892" s="127"/>
      <c r="W892" s="20"/>
      <c r="X892" s="20"/>
      <c r="Y892" s="20"/>
      <c r="Z892" s="20"/>
      <c r="AA892" s="20"/>
      <c r="AB892" s="20"/>
      <c r="AC892" s="20"/>
      <c r="AD892" s="20"/>
      <c r="AE892" s="20"/>
      <c r="AF892" s="20"/>
    </row>
    <row r="893" spans="1:32" ht="19.5">
      <c r="A893" s="20"/>
      <c r="B893" s="20"/>
      <c r="C893" s="20"/>
      <c r="D893" s="20"/>
      <c r="E893" s="20"/>
      <c r="F893" s="20"/>
      <c r="G893" s="124"/>
      <c r="H893" s="20"/>
      <c r="I893" s="20"/>
      <c r="J893" s="20"/>
      <c r="K893" s="124"/>
      <c r="L893" s="127"/>
      <c r="M893" s="20"/>
      <c r="N893" s="20"/>
      <c r="O893" s="20"/>
      <c r="P893" s="124"/>
      <c r="Q893" s="127"/>
      <c r="R893" s="20"/>
      <c r="S893" s="20"/>
      <c r="T893" s="20"/>
      <c r="U893" s="124"/>
      <c r="V893" s="127"/>
      <c r="W893" s="20"/>
      <c r="X893" s="20"/>
      <c r="Y893" s="20"/>
      <c r="Z893" s="20"/>
      <c r="AA893" s="20"/>
      <c r="AB893" s="20"/>
      <c r="AC893" s="20"/>
      <c r="AD893" s="20"/>
      <c r="AE893" s="20"/>
      <c r="AF893" s="20"/>
    </row>
    <row r="894" spans="1:32" ht="19.5">
      <c r="A894" s="20"/>
      <c r="B894" s="20"/>
      <c r="C894" s="20"/>
      <c r="D894" s="20"/>
      <c r="E894" s="20"/>
      <c r="F894" s="20"/>
      <c r="G894" s="124"/>
      <c r="H894" s="20"/>
      <c r="I894" s="20"/>
      <c r="J894" s="20"/>
      <c r="K894" s="124"/>
      <c r="L894" s="127"/>
      <c r="M894" s="20"/>
      <c r="N894" s="20"/>
      <c r="O894" s="20"/>
      <c r="P894" s="124"/>
      <c r="Q894" s="127"/>
      <c r="R894" s="20"/>
      <c r="S894" s="20"/>
      <c r="T894" s="20"/>
      <c r="U894" s="124"/>
      <c r="V894" s="127"/>
      <c r="W894" s="20"/>
      <c r="X894" s="20"/>
      <c r="Y894" s="20"/>
      <c r="Z894" s="20"/>
      <c r="AA894" s="20"/>
      <c r="AB894" s="20"/>
      <c r="AC894" s="20"/>
      <c r="AD894" s="20"/>
      <c r="AE894" s="20"/>
      <c r="AF894" s="20"/>
    </row>
    <row r="895" spans="1:32" ht="19.5">
      <c r="A895" s="20"/>
      <c r="B895" s="20"/>
      <c r="C895" s="20"/>
      <c r="D895" s="20"/>
      <c r="E895" s="20"/>
      <c r="F895" s="20"/>
      <c r="G895" s="124"/>
      <c r="H895" s="20"/>
      <c r="I895" s="20"/>
      <c r="J895" s="20"/>
      <c r="K895" s="124"/>
      <c r="L895" s="127"/>
      <c r="M895" s="20"/>
      <c r="N895" s="20"/>
      <c r="O895" s="20"/>
      <c r="P895" s="124"/>
      <c r="Q895" s="127"/>
      <c r="R895" s="20"/>
      <c r="S895" s="20"/>
      <c r="T895" s="20"/>
      <c r="U895" s="124"/>
      <c r="V895" s="127"/>
      <c r="W895" s="20"/>
      <c r="X895" s="20"/>
      <c r="Y895" s="20"/>
      <c r="Z895" s="20"/>
      <c r="AA895" s="20"/>
      <c r="AB895" s="20"/>
      <c r="AC895" s="20"/>
      <c r="AD895" s="20"/>
      <c r="AE895" s="20"/>
      <c r="AF895" s="20"/>
    </row>
    <row r="896" spans="1:32" ht="19.5">
      <c r="A896" s="20"/>
      <c r="B896" s="20"/>
      <c r="C896" s="20"/>
      <c r="D896" s="20"/>
      <c r="E896" s="20"/>
      <c r="F896" s="20"/>
      <c r="G896" s="124"/>
      <c r="H896" s="20"/>
      <c r="I896" s="20"/>
      <c r="J896" s="20"/>
      <c r="K896" s="124"/>
      <c r="L896" s="127"/>
      <c r="M896" s="20"/>
      <c r="N896" s="20"/>
      <c r="O896" s="20"/>
      <c r="P896" s="124"/>
      <c r="Q896" s="127"/>
      <c r="R896" s="20"/>
      <c r="S896" s="20"/>
      <c r="T896" s="20"/>
      <c r="U896" s="124"/>
      <c r="V896" s="127"/>
      <c r="W896" s="20"/>
      <c r="X896" s="20"/>
      <c r="Y896" s="20"/>
      <c r="Z896" s="20"/>
      <c r="AA896" s="20"/>
      <c r="AB896" s="20"/>
      <c r="AC896" s="20"/>
      <c r="AD896" s="20"/>
      <c r="AE896" s="20"/>
      <c r="AF896" s="20"/>
    </row>
    <row r="897" spans="1:32" ht="19.5">
      <c r="A897" s="20"/>
      <c r="B897" s="20"/>
      <c r="C897" s="20"/>
      <c r="D897" s="20"/>
      <c r="E897" s="20"/>
      <c r="F897" s="20"/>
      <c r="G897" s="124"/>
      <c r="H897" s="20"/>
      <c r="I897" s="20"/>
      <c r="J897" s="20"/>
      <c r="K897" s="124"/>
      <c r="L897" s="127"/>
      <c r="M897" s="20"/>
      <c r="N897" s="20"/>
      <c r="O897" s="20"/>
      <c r="P897" s="124"/>
      <c r="Q897" s="127"/>
      <c r="R897" s="20"/>
      <c r="S897" s="20"/>
      <c r="T897" s="20"/>
      <c r="U897" s="124"/>
      <c r="V897" s="127"/>
      <c r="W897" s="20"/>
      <c r="X897" s="20"/>
      <c r="Y897" s="20"/>
      <c r="Z897" s="20"/>
      <c r="AA897" s="20"/>
      <c r="AB897" s="20"/>
      <c r="AC897" s="20"/>
      <c r="AD897" s="20"/>
      <c r="AE897" s="20"/>
      <c r="AF897" s="20"/>
    </row>
    <row r="898" spans="1:32" ht="19.5">
      <c r="A898" s="20"/>
      <c r="B898" s="20"/>
      <c r="C898" s="20"/>
      <c r="D898" s="20"/>
      <c r="E898" s="20"/>
      <c r="F898" s="20"/>
      <c r="G898" s="124"/>
      <c r="H898" s="20"/>
      <c r="I898" s="20"/>
      <c r="J898" s="20"/>
      <c r="K898" s="124"/>
      <c r="L898" s="127"/>
      <c r="M898" s="20"/>
      <c r="N898" s="20"/>
      <c r="O898" s="20"/>
      <c r="P898" s="124"/>
      <c r="Q898" s="127"/>
      <c r="R898" s="20"/>
      <c r="S898" s="20"/>
      <c r="T898" s="20"/>
      <c r="U898" s="124"/>
      <c r="V898" s="127"/>
      <c r="W898" s="20"/>
      <c r="X898" s="20"/>
      <c r="Y898" s="20"/>
      <c r="Z898" s="20"/>
      <c r="AA898" s="20"/>
      <c r="AB898" s="20"/>
      <c r="AC898" s="20"/>
      <c r="AD898" s="20"/>
      <c r="AE898" s="20"/>
      <c r="AF898" s="20"/>
    </row>
    <row r="899" spans="1:32" ht="19.5">
      <c r="A899" s="20"/>
      <c r="B899" s="20"/>
      <c r="C899" s="20"/>
      <c r="D899" s="20"/>
      <c r="E899" s="20"/>
      <c r="F899" s="20"/>
      <c r="G899" s="124"/>
      <c r="H899" s="20"/>
      <c r="I899" s="20"/>
      <c r="J899" s="20"/>
      <c r="K899" s="124"/>
      <c r="L899" s="127"/>
      <c r="M899" s="20"/>
      <c r="N899" s="20"/>
      <c r="O899" s="20"/>
      <c r="P899" s="124"/>
      <c r="Q899" s="127"/>
      <c r="R899" s="20"/>
      <c r="S899" s="20"/>
      <c r="T899" s="20"/>
      <c r="U899" s="124"/>
      <c r="V899" s="127"/>
      <c r="W899" s="20"/>
      <c r="X899" s="20"/>
      <c r="Y899" s="20"/>
      <c r="Z899" s="20"/>
      <c r="AA899" s="20"/>
      <c r="AB899" s="20"/>
      <c r="AC899" s="20"/>
      <c r="AD899" s="20"/>
      <c r="AE899" s="20"/>
      <c r="AF899" s="20"/>
    </row>
    <row r="900" spans="1:32" ht="19.5">
      <c r="A900" s="20"/>
      <c r="B900" s="20"/>
      <c r="C900" s="20"/>
      <c r="D900" s="20"/>
      <c r="E900" s="20"/>
      <c r="F900" s="20"/>
      <c r="G900" s="124"/>
      <c r="H900" s="20"/>
      <c r="I900" s="20"/>
      <c r="J900" s="20"/>
      <c r="K900" s="124"/>
      <c r="L900" s="127"/>
      <c r="M900" s="20"/>
      <c r="N900" s="20"/>
      <c r="O900" s="20"/>
      <c r="P900" s="124"/>
      <c r="Q900" s="127"/>
      <c r="R900" s="20"/>
      <c r="S900" s="20"/>
      <c r="T900" s="20"/>
      <c r="U900" s="124"/>
      <c r="V900" s="127"/>
      <c r="W900" s="20"/>
      <c r="X900" s="20"/>
      <c r="Y900" s="20"/>
      <c r="Z900" s="20"/>
      <c r="AA900" s="20"/>
      <c r="AB900" s="20"/>
      <c r="AC900" s="20"/>
      <c r="AD900" s="20"/>
      <c r="AE900" s="20"/>
      <c r="AF900" s="20"/>
    </row>
    <row r="901" spans="1:32" ht="19.5">
      <c r="A901" s="20"/>
      <c r="B901" s="20"/>
      <c r="C901" s="20"/>
      <c r="D901" s="20"/>
      <c r="E901" s="20"/>
      <c r="F901" s="20"/>
      <c r="G901" s="124"/>
      <c r="H901" s="20"/>
      <c r="I901" s="20"/>
      <c r="J901" s="20"/>
      <c r="K901" s="124"/>
      <c r="L901" s="127"/>
      <c r="M901" s="20"/>
      <c r="N901" s="20"/>
      <c r="O901" s="20"/>
      <c r="P901" s="124"/>
      <c r="Q901" s="127"/>
      <c r="R901" s="20"/>
      <c r="S901" s="20"/>
      <c r="T901" s="20"/>
      <c r="U901" s="124"/>
      <c r="V901" s="127"/>
      <c r="W901" s="20"/>
      <c r="X901" s="20"/>
      <c r="Y901" s="20"/>
      <c r="Z901" s="20"/>
      <c r="AA901" s="20"/>
      <c r="AB901" s="20"/>
      <c r="AC901" s="20"/>
      <c r="AD901" s="20"/>
      <c r="AE901" s="20"/>
      <c r="AF901" s="20"/>
    </row>
    <row r="902" spans="1:32" ht="19.5">
      <c r="A902" s="20"/>
      <c r="B902" s="20"/>
      <c r="C902" s="20"/>
      <c r="D902" s="20"/>
      <c r="E902" s="20"/>
      <c r="F902" s="20"/>
      <c r="G902" s="124"/>
      <c r="H902" s="20"/>
      <c r="I902" s="20"/>
      <c r="J902" s="20"/>
      <c r="K902" s="124"/>
      <c r="L902" s="127"/>
      <c r="M902" s="20"/>
      <c r="N902" s="20"/>
      <c r="O902" s="20"/>
      <c r="P902" s="124"/>
      <c r="Q902" s="127"/>
      <c r="R902" s="20"/>
      <c r="S902" s="20"/>
      <c r="T902" s="20"/>
      <c r="U902" s="124"/>
      <c r="V902" s="127"/>
      <c r="W902" s="20"/>
      <c r="X902" s="20"/>
      <c r="Y902" s="20"/>
      <c r="Z902" s="20"/>
      <c r="AA902" s="20"/>
      <c r="AB902" s="20"/>
      <c r="AC902" s="20"/>
      <c r="AD902" s="20"/>
      <c r="AE902" s="20"/>
      <c r="AF902" s="20"/>
    </row>
    <row r="903" spans="1:32" ht="19.5">
      <c r="A903" s="20"/>
      <c r="B903" s="20"/>
      <c r="C903" s="20"/>
      <c r="D903" s="20"/>
      <c r="E903" s="20"/>
      <c r="F903" s="20"/>
      <c r="G903" s="124"/>
      <c r="H903" s="20"/>
      <c r="I903" s="20"/>
      <c r="J903" s="20"/>
      <c r="K903" s="124"/>
      <c r="L903" s="127"/>
      <c r="M903" s="20"/>
      <c r="N903" s="20"/>
      <c r="O903" s="20"/>
      <c r="P903" s="124"/>
      <c r="Q903" s="127"/>
      <c r="R903" s="20"/>
      <c r="S903" s="20"/>
      <c r="T903" s="20"/>
      <c r="U903" s="124"/>
      <c r="V903" s="127"/>
      <c r="W903" s="20"/>
      <c r="X903" s="20"/>
      <c r="Y903" s="20"/>
      <c r="Z903" s="20"/>
      <c r="AA903" s="20"/>
      <c r="AB903" s="20"/>
      <c r="AC903" s="20"/>
      <c r="AD903" s="20"/>
      <c r="AE903" s="20"/>
      <c r="AF903" s="20"/>
    </row>
    <row r="904" spans="1:32" ht="19.5">
      <c r="A904" s="20"/>
      <c r="B904" s="20"/>
      <c r="C904" s="20"/>
      <c r="D904" s="20"/>
      <c r="E904" s="20"/>
      <c r="F904" s="20"/>
      <c r="G904" s="124"/>
      <c r="H904" s="20"/>
      <c r="I904" s="20"/>
      <c r="J904" s="20"/>
      <c r="K904" s="124"/>
      <c r="L904" s="127"/>
      <c r="M904" s="20"/>
      <c r="N904" s="20"/>
      <c r="O904" s="20"/>
      <c r="P904" s="124"/>
      <c r="Q904" s="127"/>
      <c r="R904" s="20"/>
      <c r="S904" s="20"/>
      <c r="T904" s="20"/>
      <c r="U904" s="124"/>
      <c r="V904" s="127"/>
      <c r="W904" s="20"/>
      <c r="X904" s="20"/>
      <c r="Y904" s="20"/>
      <c r="Z904" s="20"/>
      <c r="AA904" s="20"/>
      <c r="AB904" s="20"/>
      <c r="AC904" s="20"/>
      <c r="AD904" s="20"/>
      <c r="AE904" s="20"/>
      <c r="AF904" s="20"/>
    </row>
    <row r="905" spans="1:32" ht="19.5">
      <c r="A905" s="20"/>
      <c r="B905" s="20"/>
      <c r="C905" s="20"/>
      <c r="D905" s="20"/>
      <c r="E905" s="20"/>
      <c r="F905" s="20"/>
      <c r="G905" s="124"/>
      <c r="H905" s="20"/>
      <c r="I905" s="20"/>
      <c r="J905" s="20"/>
      <c r="K905" s="124"/>
      <c r="L905" s="127"/>
      <c r="M905" s="20"/>
      <c r="N905" s="20"/>
      <c r="O905" s="20"/>
      <c r="P905" s="124"/>
      <c r="Q905" s="127"/>
      <c r="R905" s="20"/>
      <c r="S905" s="20"/>
      <c r="T905" s="20"/>
      <c r="U905" s="124"/>
      <c r="V905" s="127"/>
      <c r="W905" s="20"/>
      <c r="X905" s="20"/>
      <c r="Y905" s="20"/>
      <c r="Z905" s="20"/>
      <c r="AA905" s="20"/>
      <c r="AB905" s="20"/>
      <c r="AC905" s="20"/>
      <c r="AD905" s="20"/>
      <c r="AE905" s="20"/>
      <c r="AF905" s="20"/>
    </row>
    <row r="906" spans="1:32" ht="19.5">
      <c r="A906" s="20"/>
      <c r="B906" s="20"/>
      <c r="C906" s="20"/>
      <c r="D906" s="20"/>
      <c r="E906" s="20"/>
      <c r="F906" s="20"/>
      <c r="G906" s="124"/>
      <c r="H906" s="20"/>
      <c r="I906" s="20"/>
      <c r="J906" s="20"/>
      <c r="K906" s="124"/>
      <c r="L906" s="127"/>
      <c r="M906" s="20"/>
      <c r="N906" s="20"/>
      <c r="O906" s="20"/>
      <c r="P906" s="124"/>
      <c r="Q906" s="127"/>
      <c r="R906" s="20"/>
      <c r="S906" s="20"/>
      <c r="T906" s="20"/>
      <c r="U906" s="124"/>
      <c r="V906" s="127"/>
      <c r="W906" s="20"/>
      <c r="X906" s="20"/>
      <c r="Y906" s="20"/>
      <c r="Z906" s="20"/>
      <c r="AA906" s="20"/>
      <c r="AB906" s="20"/>
      <c r="AC906" s="20"/>
      <c r="AD906" s="20"/>
      <c r="AE906" s="20"/>
      <c r="AF906" s="20"/>
    </row>
    <row r="907" spans="1:32" ht="19.5">
      <c r="A907" s="20"/>
      <c r="B907" s="20"/>
      <c r="C907" s="20"/>
      <c r="D907" s="20"/>
      <c r="E907" s="20"/>
      <c r="F907" s="20"/>
      <c r="G907" s="124"/>
      <c r="H907" s="20"/>
      <c r="I907" s="20"/>
      <c r="J907" s="20"/>
      <c r="K907" s="124"/>
      <c r="L907" s="127"/>
      <c r="M907" s="20"/>
      <c r="N907" s="20"/>
      <c r="O907" s="20"/>
      <c r="P907" s="124"/>
      <c r="Q907" s="127"/>
      <c r="R907" s="20"/>
      <c r="S907" s="20"/>
      <c r="T907" s="20"/>
      <c r="U907" s="124"/>
      <c r="V907" s="127"/>
      <c r="W907" s="20"/>
      <c r="X907" s="20"/>
      <c r="Y907" s="20"/>
      <c r="Z907" s="20"/>
      <c r="AA907" s="20"/>
      <c r="AB907" s="20"/>
      <c r="AC907" s="20"/>
      <c r="AD907" s="20"/>
      <c r="AE907" s="20"/>
      <c r="AF907" s="20"/>
    </row>
    <row r="908" spans="1:32" ht="19.5">
      <c r="A908" s="20"/>
      <c r="B908" s="20"/>
      <c r="C908" s="20"/>
      <c r="D908" s="20"/>
      <c r="E908" s="20"/>
      <c r="F908" s="20"/>
      <c r="G908" s="124"/>
      <c r="H908" s="20"/>
      <c r="I908" s="20"/>
      <c r="J908" s="20"/>
      <c r="K908" s="124"/>
      <c r="L908" s="127"/>
      <c r="M908" s="20"/>
      <c r="N908" s="20"/>
      <c r="O908" s="20"/>
      <c r="P908" s="124"/>
      <c r="Q908" s="127"/>
      <c r="R908" s="20"/>
      <c r="S908" s="20"/>
      <c r="T908" s="20"/>
      <c r="U908" s="124"/>
      <c r="V908" s="127"/>
      <c r="W908" s="20"/>
      <c r="X908" s="20"/>
      <c r="Y908" s="20"/>
      <c r="Z908" s="20"/>
      <c r="AA908" s="20"/>
      <c r="AB908" s="20"/>
      <c r="AC908" s="20"/>
      <c r="AD908" s="20"/>
      <c r="AE908" s="20"/>
      <c r="AF908" s="20"/>
    </row>
    <row r="909" spans="1:32" ht="19.5">
      <c r="A909" s="20"/>
      <c r="B909" s="20"/>
      <c r="C909" s="20"/>
      <c r="D909" s="20"/>
      <c r="E909" s="20"/>
      <c r="F909" s="20"/>
      <c r="G909" s="124"/>
      <c r="H909" s="20"/>
      <c r="I909" s="20"/>
      <c r="J909" s="20"/>
      <c r="K909" s="124"/>
      <c r="L909" s="127"/>
      <c r="M909" s="20"/>
      <c r="N909" s="20"/>
      <c r="O909" s="20"/>
      <c r="P909" s="124"/>
      <c r="Q909" s="127"/>
      <c r="R909" s="20"/>
      <c r="S909" s="20"/>
      <c r="T909" s="20"/>
      <c r="U909" s="124"/>
      <c r="V909" s="127"/>
      <c r="W909" s="20"/>
      <c r="X909" s="20"/>
      <c r="Y909" s="20"/>
      <c r="Z909" s="20"/>
      <c r="AA909" s="20"/>
      <c r="AB909" s="20"/>
      <c r="AC909" s="20"/>
      <c r="AD909" s="20"/>
      <c r="AE909" s="20"/>
      <c r="AF909" s="20"/>
    </row>
    <row r="910" spans="1:32" ht="19.5">
      <c r="A910" s="20"/>
      <c r="B910" s="20"/>
      <c r="C910" s="20"/>
      <c r="D910" s="20"/>
      <c r="E910" s="20"/>
      <c r="F910" s="20"/>
      <c r="G910" s="124"/>
      <c r="H910" s="20"/>
      <c r="I910" s="20"/>
      <c r="J910" s="20"/>
      <c r="K910" s="124"/>
      <c r="L910" s="127"/>
      <c r="M910" s="20"/>
      <c r="N910" s="20"/>
      <c r="O910" s="20"/>
      <c r="P910" s="124"/>
      <c r="Q910" s="127"/>
      <c r="R910" s="20"/>
      <c r="S910" s="20"/>
      <c r="T910" s="20"/>
      <c r="U910" s="124"/>
      <c r="V910" s="127"/>
      <c r="W910" s="20"/>
      <c r="X910" s="20"/>
      <c r="Y910" s="20"/>
      <c r="Z910" s="20"/>
      <c r="AA910" s="20"/>
      <c r="AB910" s="20"/>
      <c r="AC910" s="20"/>
      <c r="AD910" s="20"/>
      <c r="AE910" s="20"/>
      <c r="AF910" s="20"/>
    </row>
    <row r="911" spans="1:32" ht="19.5">
      <c r="A911" s="20"/>
      <c r="B911" s="20"/>
      <c r="C911" s="20"/>
      <c r="D911" s="20"/>
      <c r="E911" s="20"/>
      <c r="F911" s="20"/>
      <c r="G911" s="124"/>
      <c r="H911" s="20"/>
      <c r="I911" s="20"/>
      <c r="J911" s="20"/>
      <c r="K911" s="124"/>
      <c r="L911" s="127"/>
      <c r="M911" s="20"/>
      <c r="N911" s="20"/>
      <c r="O911" s="20"/>
      <c r="P911" s="124"/>
      <c r="Q911" s="127"/>
      <c r="R911" s="20"/>
      <c r="S911" s="20"/>
      <c r="T911" s="20"/>
      <c r="U911" s="124"/>
      <c r="V911" s="127"/>
      <c r="W911" s="20"/>
      <c r="X911" s="20"/>
      <c r="Y911" s="20"/>
      <c r="Z911" s="20"/>
      <c r="AA911" s="20"/>
      <c r="AB911" s="20"/>
      <c r="AC911" s="20"/>
      <c r="AD911" s="20"/>
      <c r="AE911" s="20"/>
      <c r="AF911" s="20"/>
    </row>
    <row r="912" spans="1:32" ht="19.5">
      <c r="A912" s="20"/>
      <c r="B912" s="20"/>
      <c r="C912" s="20"/>
      <c r="D912" s="20"/>
      <c r="E912" s="20"/>
      <c r="F912" s="20"/>
      <c r="G912" s="124"/>
      <c r="H912" s="20"/>
      <c r="I912" s="20"/>
      <c r="J912" s="20"/>
      <c r="K912" s="124"/>
      <c r="L912" s="127"/>
      <c r="M912" s="20"/>
      <c r="N912" s="20"/>
      <c r="O912" s="20"/>
      <c r="P912" s="124"/>
      <c r="Q912" s="127"/>
      <c r="R912" s="20"/>
      <c r="S912" s="20"/>
      <c r="T912" s="20"/>
      <c r="U912" s="124"/>
      <c r="V912" s="127"/>
      <c r="W912" s="20"/>
      <c r="X912" s="20"/>
      <c r="Y912" s="20"/>
      <c r="Z912" s="20"/>
      <c r="AA912" s="20"/>
      <c r="AB912" s="20"/>
      <c r="AC912" s="20"/>
      <c r="AD912" s="20"/>
      <c r="AE912" s="20"/>
      <c r="AF912" s="20"/>
    </row>
    <row r="913" spans="1:32" ht="19.5">
      <c r="A913" s="20"/>
      <c r="B913" s="20"/>
      <c r="C913" s="20"/>
      <c r="D913" s="20"/>
      <c r="E913" s="20"/>
      <c r="F913" s="20"/>
      <c r="G913" s="124"/>
      <c r="H913" s="20"/>
      <c r="I913" s="20"/>
      <c r="J913" s="20"/>
      <c r="K913" s="124"/>
      <c r="L913" s="127"/>
      <c r="M913" s="20"/>
      <c r="N913" s="20"/>
      <c r="O913" s="20"/>
      <c r="P913" s="124"/>
      <c r="Q913" s="127"/>
      <c r="R913" s="20"/>
      <c r="S913" s="20"/>
      <c r="T913" s="20"/>
      <c r="U913" s="124"/>
      <c r="V913" s="127"/>
      <c r="W913" s="20"/>
      <c r="X913" s="20"/>
      <c r="Y913" s="20"/>
      <c r="Z913" s="20"/>
      <c r="AA913" s="20"/>
      <c r="AB913" s="20"/>
      <c r="AC913" s="20"/>
      <c r="AD913" s="20"/>
      <c r="AE913" s="20"/>
      <c r="AF913" s="20"/>
    </row>
    <row r="914" spans="1:32" ht="19.5">
      <c r="A914" s="20"/>
      <c r="B914" s="20"/>
      <c r="C914" s="20"/>
      <c r="D914" s="20"/>
      <c r="E914" s="20"/>
      <c r="F914" s="20"/>
      <c r="G914" s="124"/>
      <c r="H914" s="20"/>
      <c r="I914" s="20"/>
      <c r="J914" s="20"/>
      <c r="K914" s="124"/>
      <c r="L914" s="127"/>
      <c r="M914" s="20"/>
      <c r="N914" s="20"/>
      <c r="O914" s="20"/>
      <c r="P914" s="124"/>
      <c r="Q914" s="127"/>
      <c r="R914" s="20"/>
      <c r="S914" s="20"/>
      <c r="T914" s="20"/>
      <c r="U914" s="124"/>
      <c r="V914" s="127"/>
      <c r="W914" s="20"/>
      <c r="X914" s="20"/>
      <c r="Y914" s="20"/>
      <c r="Z914" s="20"/>
      <c r="AA914" s="20"/>
      <c r="AB914" s="20"/>
      <c r="AC914" s="20"/>
      <c r="AD914" s="20"/>
      <c r="AE914" s="20"/>
      <c r="AF914" s="20"/>
    </row>
    <row r="915" spans="1:32" ht="19.5">
      <c r="A915" s="20"/>
      <c r="B915" s="20"/>
      <c r="C915" s="20"/>
      <c r="D915" s="20"/>
      <c r="E915" s="20"/>
      <c r="F915" s="20"/>
      <c r="G915" s="124"/>
      <c r="H915" s="20"/>
      <c r="I915" s="20"/>
      <c r="J915" s="20"/>
      <c r="K915" s="124"/>
      <c r="L915" s="127"/>
      <c r="M915" s="20"/>
      <c r="N915" s="20"/>
      <c r="O915" s="20"/>
      <c r="P915" s="124"/>
      <c r="Q915" s="127"/>
      <c r="R915" s="20"/>
      <c r="S915" s="20"/>
      <c r="T915" s="20"/>
      <c r="U915" s="124"/>
      <c r="V915" s="127"/>
      <c r="W915" s="20"/>
      <c r="X915" s="20"/>
      <c r="Y915" s="20"/>
      <c r="Z915" s="20"/>
      <c r="AA915" s="20"/>
      <c r="AB915" s="20"/>
      <c r="AC915" s="20"/>
      <c r="AD915" s="20"/>
      <c r="AE915" s="20"/>
      <c r="AF915" s="20"/>
    </row>
    <row r="916" spans="1:32" ht="19.5">
      <c r="A916" s="20"/>
      <c r="B916" s="20"/>
      <c r="C916" s="20"/>
      <c r="D916" s="20"/>
      <c r="E916" s="20"/>
      <c r="F916" s="20"/>
      <c r="G916" s="124"/>
      <c r="H916" s="20"/>
      <c r="I916" s="20"/>
      <c r="J916" s="20"/>
      <c r="K916" s="124"/>
      <c r="L916" s="127"/>
      <c r="M916" s="20"/>
      <c r="N916" s="20"/>
      <c r="O916" s="20"/>
      <c r="P916" s="124"/>
      <c r="Q916" s="127"/>
      <c r="R916" s="20"/>
      <c r="S916" s="20"/>
      <c r="T916" s="20"/>
      <c r="U916" s="124"/>
      <c r="V916" s="127"/>
      <c r="W916" s="20"/>
      <c r="X916" s="20"/>
      <c r="Y916" s="20"/>
      <c r="Z916" s="20"/>
      <c r="AA916" s="20"/>
      <c r="AB916" s="20"/>
      <c r="AC916" s="20"/>
      <c r="AD916" s="20"/>
      <c r="AE916" s="20"/>
      <c r="AF916" s="20"/>
    </row>
    <row r="917" spans="1:32" ht="19.5">
      <c r="A917" s="20"/>
      <c r="B917" s="20"/>
      <c r="C917" s="20"/>
      <c r="D917" s="20"/>
      <c r="E917" s="20"/>
      <c r="F917" s="20"/>
      <c r="G917" s="124"/>
      <c r="H917" s="20"/>
      <c r="I917" s="20"/>
      <c r="J917" s="20"/>
      <c r="K917" s="124"/>
      <c r="L917" s="127"/>
      <c r="M917" s="20"/>
      <c r="N917" s="20"/>
      <c r="O917" s="20"/>
      <c r="P917" s="124"/>
      <c r="Q917" s="127"/>
      <c r="R917" s="20"/>
      <c r="S917" s="20"/>
      <c r="T917" s="20"/>
      <c r="U917" s="124"/>
      <c r="V917" s="127"/>
      <c r="W917" s="20"/>
      <c r="X917" s="20"/>
      <c r="Y917" s="20"/>
      <c r="Z917" s="20"/>
      <c r="AA917" s="20"/>
      <c r="AB917" s="20"/>
      <c r="AC917" s="20"/>
      <c r="AD917" s="20"/>
      <c r="AE917" s="20"/>
      <c r="AF917" s="20"/>
    </row>
    <row r="918" spans="1:32" ht="19.5">
      <c r="A918" s="20"/>
      <c r="B918" s="20"/>
      <c r="C918" s="20"/>
      <c r="D918" s="20"/>
      <c r="E918" s="20"/>
      <c r="F918" s="20"/>
      <c r="G918" s="124"/>
      <c r="H918" s="20"/>
      <c r="I918" s="20"/>
      <c r="J918" s="20"/>
      <c r="K918" s="124"/>
      <c r="L918" s="127"/>
      <c r="M918" s="20"/>
      <c r="N918" s="20"/>
      <c r="O918" s="20"/>
      <c r="P918" s="124"/>
      <c r="Q918" s="127"/>
      <c r="R918" s="20"/>
      <c r="S918" s="20"/>
      <c r="T918" s="20"/>
      <c r="U918" s="124"/>
      <c r="V918" s="127"/>
      <c r="W918" s="20"/>
      <c r="X918" s="20"/>
      <c r="Y918" s="20"/>
      <c r="Z918" s="20"/>
      <c r="AA918" s="20"/>
      <c r="AB918" s="20"/>
      <c r="AC918" s="20"/>
      <c r="AD918" s="20"/>
      <c r="AE918" s="20"/>
      <c r="AF918" s="20"/>
    </row>
    <row r="919" spans="1:32" ht="19.5">
      <c r="A919" s="20"/>
      <c r="B919" s="20"/>
      <c r="C919" s="20"/>
      <c r="D919" s="20"/>
      <c r="E919" s="20"/>
      <c r="F919" s="20"/>
      <c r="G919" s="124"/>
      <c r="H919" s="20"/>
      <c r="I919" s="20"/>
      <c r="J919" s="20"/>
      <c r="K919" s="124"/>
      <c r="L919" s="127"/>
      <c r="M919" s="20"/>
      <c r="N919" s="20"/>
      <c r="O919" s="20"/>
      <c r="P919" s="124"/>
      <c r="Q919" s="127"/>
      <c r="R919" s="20"/>
      <c r="S919" s="20"/>
      <c r="T919" s="20"/>
      <c r="U919" s="124"/>
      <c r="V919" s="127"/>
      <c r="W919" s="20"/>
      <c r="X919" s="20"/>
      <c r="Y919" s="20"/>
      <c r="Z919" s="20"/>
      <c r="AA919" s="20"/>
      <c r="AB919" s="20"/>
      <c r="AC919" s="20"/>
      <c r="AD919" s="20"/>
      <c r="AE919" s="20"/>
      <c r="AF919" s="20"/>
    </row>
    <row r="920" spans="1:32" ht="19.5">
      <c r="A920" s="20"/>
      <c r="B920" s="20"/>
      <c r="C920" s="20"/>
      <c r="D920" s="20"/>
      <c r="E920" s="20"/>
      <c r="F920" s="20"/>
      <c r="G920" s="124"/>
      <c r="H920" s="20"/>
      <c r="I920" s="20"/>
      <c r="J920" s="20"/>
      <c r="K920" s="124"/>
      <c r="L920" s="127"/>
      <c r="M920" s="20"/>
      <c r="N920" s="20"/>
      <c r="O920" s="20"/>
      <c r="P920" s="124"/>
      <c r="Q920" s="127"/>
      <c r="R920" s="20"/>
      <c r="S920" s="20"/>
      <c r="T920" s="20"/>
      <c r="U920" s="124"/>
      <c r="V920" s="127"/>
      <c r="W920" s="20"/>
      <c r="X920" s="20"/>
      <c r="Y920" s="20"/>
      <c r="Z920" s="20"/>
      <c r="AA920" s="20"/>
      <c r="AB920" s="20"/>
      <c r="AC920" s="20"/>
      <c r="AD920" s="20"/>
      <c r="AE920" s="20"/>
      <c r="AF920" s="20"/>
    </row>
    <row r="921" spans="1:32" ht="19.5">
      <c r="A921" s="20"/>
      <c r="B921" s="20"/>
      <c r="C921" s="20"/>
      <c r="D921" s="20"/>
      <c r="E921" s="20"/>
      <c r="F921" s="20"/>
      <c r="G921" s="124"/>
      <c r="H921" s="20"/>
      <c r="I921" s="20"/>
      <c r="J921" s="20"/>
      <c r="K921" s="124"/>
      <c r="L921" s="127"/>
      <c r="M921" s="20"/>
      <c r="N921" s="20"/>
      <c r="O921" s="20"/>
      <c r="P921" s="124"/>
      <c r="Q921" s="127"/>
      <c r="R921" s="20"/>
      <c r="S921" s="20"/>
      <c r="T921" s="20"/>
      <c r="U921" s="124"/>
      <c r="V921" s="127"/>
      <c r="W921" s="20"/>
      <c r="X921" s="20"/>
      <c r="Y921" s="20"/>
      <c r="Z921" s="20"/>
      <c r="AA921" s="20"/>
      <c r="AB921" s="20"/>
      <c r="AC921" s="20"/>
      <c r="AD921" s="20"/>
      <c r="AE921" s="20"/>
      <c r="AF921" s="20"/>
    </row>
    <row r="922" spans="1:32" ht="19.5">
      <c r="A922" s="20"/>
      <c r="B922" s="20"/>
      <c r="C922" s="20"/>
      <c r="D922" s="20"/>
      <c r="E922" s="20"/>
      <c r="F922" s="20"/>
      <c r="G922" s="124"/>
      <c r="H922" s="20"/>
      <c r="I922" s="20"/>
      <c r="J922" s="20"/>
      <c r="K922" s="124"/>
      <c r="L922" s="127"/>
      <c r="M922" s="20"/>
      <c r="N922" s="20"/>
      <c r="O922" s="20"/>
      <c r="P922" s="124"/>
      <c r="Q922" s="127"/>
      <c r="R922" s="20"/>
      <c r="S922" s="20"/>
      <c r="T922" s="20"/>
      <c r="U922" s="124"/>
      <c r="V922" s="127"/>
      <c r="W922" s="20"/>
      <c r="X922" s="20"/>
      <c r="Y922" s="20"/>
      <c r="Z922" s="20"/>
      <c r="AA922" s="20"/>
      <c r="AB922" s="20"/>
      <c r="AC922" s="20"/>
      <c r="AD922" s="20"/>
      <c r="AE922" s="20"/>
      <c r="AF922" s="20"/>
    </row>
    <row r="923" spans="1:32" ht="19.5">
      <c r="A923" s="20"/>
      <c r="B923" s="20"/>
      <c r="C923" s="20"/>
      <c r="D923" s="20"/>
      <c r="E923" s="20"/>
      <c r="F923" s="20"/>
      <c r="G923" s="124"/>
      <c r="H923" s="20"/>
      <c r="I923" s="20"/>
      <c r="J923" s="20"/>
      <c r="K923" s="124"/>
      <c r="L923" s="127"/>
      <c r="M923" s="20"/>
      <c r="N923" s="20"/>
      <c r="O923" s="20"/>
      <c r="P923" s="124"/>
      <c r="Q923" s="127"/>
      <c r="R923" s="20"/>
      <c r="S923" s="20"/>
      <c r="T923" s="20"/>
      <c r="U923" s="124"/>
      <c r="V923" s="127"/>
      <c r="W923" s="20"/>
      <c r="X923" s="20"/>
      <c r="Y923" s="20"/>
      <c r="Z923" s="20"/>
      <c r="AA923" s="20"/>
      <c r="AB923" s="20"/>
      <c r="AC923" s="20"/>
      <c r="AD923" s="20"/>
      <c r="AE923" s="20"/>
      <c r="AF923" s="20"/>
    </row>
    <row r="924" spans="1:32" ht="19.5">
      <c r="A924" s="20"/>
      <c r="B924" s="20"/>
      <c r="C924" s="20"/>
      <c r="D924" s="20"/>
      <c r="E924" s="20"/>
      <c r="F924" s="20"/>
      <c r="G924" s="124"/>
      <c r="H924" s="20"/>
      <c r="I924" s="20"/>
      <c r="J924" s="20"/>
      <c r="K924" s="124"/>
      <c r="L924" s="127"/>
      <c r="M924" s="20"/>
      <c r="N924" s="20"/>
      <c r="O924" s="20"/>
      <c r="P924" s="124"/>
      <c r="Q924" s="127"/>
      <c r="R924" s="20"/>
      <c r="S924" s="20"/>
      <c r="T924" s="20"/>
      <c r="U924" s="124"/>
      <c r="V924" s="127"/>
      <c r="W924" s="20"/>
      <c r="X924" s="20"/>
      <c r="Y924" s="20"/>
      <c r="Z924" s="20"/>
      <c r="AA924" s="20"/>
      <c r="AB924" s="20"/>
      <c r="AC924" s="20"/>
      <c r="AD924" s="20"/>
      <c r="AE924" s="20"/>
      <c r="AF924" s="20"/>
    </row>
    <row r="925" spans="1:32" ht="19.5">
      <c r="A925" s="20"/>
      <c r="B925" s="20"/>
      <c r="C925" s="20"/>
      <c r="D925" s="20"/>
      <c r="E925" s="20"/>
      <c r="F925" s="20"/>
      <c r="G925" s="124"/>
      <c r="H925" s="20"/>
      <c r="I925" s="20"/>
      <c r="J925" s="20"/>
      <c r="K925" s="124"/>
      <c r="L925" s="127"/>
      <c r="M925" s="20"/>
      <c r="N925" s="20"/>
      <c r="O925" s="20"/>
      <c r="P925" s="124"/>
      <c r="Q925" s="127"/>
      <c r="R925" s="20"/>
      <c r="S925" s="20"/>
      <c r="T925" s="20"/>
      <c r="U925" s="124"/>
      <c r="V925" s="127"/>
      <c r="W925" s="20"/>
      <c r="X925" s="20"/>
      <c r="Y925" s="20"/>
      <c r="Z925" s="20"/>
      <c r="AA925" s="20"/>
      <c r="AB925" s="20"/>
      <c r="AC925" s="20"/>
      <c r="AD925" s="20"/>
      <c r="AE925" s="20"/>
      <c r="AF925" s="20"/>
    </row>
    <row r="926" spans="1:32" ht="19.5">
      <c r="A926" s="20"/>
      <c r="B926" s="20"/>
      <c r="C926" s="20"/>
      <c r="D926" s="20"/>
      <c r="E926" s="20"/>
      <c r="F926" s="20"/>
      <c r="G926" s="124"/>
      <c r="H926" s="20"/>
      <c r="I926" s="20"/>
      <c r="J926" s="20"/>
      <c r="K926" s="124"/>
      <c r="L926" s="127"/>
      <c r="M926" s="20"/>
      <c r="N926" s="20"/>
      <c r="O926" s="20"/>
      <c r="P926" s="124"/>
      <c r="Q926" s="127"/>
      <c r="R926" s="20"/>
      <c r="S926" s="20"/>
      <c r="T926" s="20"/>
      <c r="U926" s="124"/>
      <c r="V926" s="127"/>
      <c r="W926" s="20"/>
      <c r="X926" s="20"/>
      <c r="Y926" s="20"/>
      <c r="Z926" s="20"/>
      <c r="AA926" s="20"/>
      <c r="AB926" s="20"/>
      <c r="AC926" s="20"/>
      <c r="AD926" s="20"/>
      <c r="AE926" s="20"/>
      <c r="AF926" s="20"/>
    </row>
    <row r="927" spans="1:32" ht="19.5">
      <c r="A927" s="20"/>
      <c r="B927" s="20"/>
      <c r="C927" s="20"/>
      <c r="D927" s="20"/>
      <c r="E927" s="20"/>
      <c r="F927" s="20"/>
      <c r="G927" s="124"/>
      <c r="H927" s="20"/>
      <c r="I927" s="20"/>
      <c r="J927" s="20"/>
      <c r="K927" s="124"/>
      <c r="L927" s="127"/>
      <c r="M927" s="20"/>
      <c r="N927" s="20"/>
      <c r="O927" s="20"/>
      <c r="P927" s="124"/>
      <c r="Q927" s="127"/>
      <c r="R927" s="20"/>
      <c r="S927" s="20"/>
      <c r="T927" s="20"/>
      <c r="U927" s="124"/>
      <c r="V927" s="127"/>
      <c r="W927" s="20"/>
      <c r="X927" s="20"/>
      <c r="Y927" s="20"/>
      <c r="Z927" s="20"/>
      <c r="AA927" s="20"/>
      <c r="AB927" s="20"/>
      <c r="AC927" s="20"/>
      <c r="AD927" s="20"/>
      <c r="AE927" s="20"/>
      <c r="AF927" s="20"/>
    </row>
    <row r="928" spans="1:32" ht="19.5">
      <c r="A928" s="20"/>
      <c r="B928" s="20"/>
      <c r="C928" s="20"/>
      <c r="D928" s="20"/>
      <c r="E928" s="20"/>
      <c r="F928" s="20"/>
      <c r="G928" s="124"/>
      <c r="H928" s="20"/>
      <c r="I928" s="20"/>
      <c r="J928" s="20"/>
      <c r="K928" s="124"/>
      <c r="L928" s="127"/>
      <c r="M928" s="20"/>
      <c r="N928" s="20"/>
      <c r="O928" s="20"/>
      <c r="P928" s="124"/>
      <c r="Q928" s="127"/>
      <c r="R928" s="20"/>
      <c r="S928" s="20"/>
      <c r="T928" s="20"/>
      <c r="U928" s="124"/>
      <c r="V928" s="127"/>
      <c r="W928" s="20"/>
      <c r="X928" s="20"/>
      <c r="Y928" s="20"/>
      <c r="Z928" s="20"/>
      <c r="AA928" s="20"/>
      <c r="AB928" s="20"/>
      <c r="AC928" s="20"/>
      <c r="AD928" s="20"/>
      <c r="AE928" s="20"/>
      <c r="AF928" s="20"/>
    </row>
    <row r="929" spans="1:32" ht="19.5">
      <c r="A929" s="20"/>
      <c r="B929" s="20"/>
      <c r="C929" s="20"/>
      <c r="D929" s="20"/>
      <c r="E929" s="20"/>
      <c r="F929" s="20"/>
      <c r="G929" s="124"/>
      <c r="H929" s="20"/>
      <c r="I929" s="20"/>
      <c r="J929" s="20"/>
      <c r="K929" s="124"/>
      <c r="L929" s="127"/>
      <c r="M929" s="20"/>
      <c r="N929" s="20"/>
      <c r="O929" s="20"/>
      <c r="P929" s="124"/>
      <c r="Q929" s="127"/>
      <c r="R929" s="20"/>
      <c r="S929" s="20"/>
      <c r="T929" s="20"/>
      <c r="U929" s="124"/>
      <c r="V929" s="127"/>
      <c r="W929" s="20"/>
      <c r="X929" s="20"/>
      <c r="Y929" s="20"/>
      <c r="Z929" s="20"/>
      <c r="AA929" s="20"/>
      <c r="AB929" s="20"/>
      <c r="AC929" s="20"/>
      <c r="AD929" s="20"/>
      <c r="AE929" s="20"/>
      <c r="AF929" s="20"/>
    </row>
    <row r="930" spans="1:32" ht="19.5">
      <c r="A930" s="20"/>
      <c r="B930" s="20"/>
      <c r="C930" s="20"/>
      <c r="D930" s="20"/>
      <c r="E930" s="20"/>
      <c r="F930" s="20"/>
      <c r="G930" s="124"/>
      <c r="H930" s="20"/>
      <c r="I930" s="20"/>
      <c r="J930" s="20"/>
      <c r="K930" s="124"/>
      <c r="L930" s="127"/>
      <c r="M930" s="20"/>
      <c r="N930" s="20"/>
      <c r="O930" s="20"/>
      <c r="P930" s="124"/>
      <c r="Q930" s="127"/>
      <c r="R930" s="20"/>
      <c r="S930" s="20"/>
      <c r="T930" s="20"/>
      <c r="U930" s="124"/>
      <c r="V930" s="127"/>
      <c r="W930" s="20"/>
      <c r="X930" s="20"/>
      <c r="Y930" s="20"/>
      <c r="Z930" s="20"/>
      <c r="AA930" s="20"/>
      <c r="AB930" s="20"/>
      <c r="AC930" s="20"/>
      <c r="AD930" s="20"/>
      <c r="AE930" s="20"/>
      <c r="AF930" s="20"/>
    </row>
    <row r="931" spans="1:32" ht="19.5">
      <c r="A931" s="20"/>
      <c r="B931" s="20"/>
      <c r="C931" s="20"/>
      <c r="D931" s="20"/>
      <c r="E931" s="20"/>
      <c r="F931" s="20"/>
      <c r="G931" s="124"/>
      <c r="H931" s="20"/>
      <c r="I931" s="20"/>
      <c r="J931" s="20"/>
      <c r="K931" s="124"/>
      <c r="L931" s="127"/>
      <c r="M931" s="20"/>
      <c r="N931" s="20"/>
      <c r="O931" s="20"/>
      <c r="P931" s="124"/>
      <c r="Q931" s="127"/>
      <c r="R931" s="20"/>
      <c r="S931" s="20"/>
      <c r="T931" s="20"/>
      <c r="U931" s="124"/>
      <c r="V931" s="127"/>
      <c r="W931" s="20"/>
      <c r="X931" s="20"/>
      <c r="Y931" s="20"/>
      <c r="Z931" s="20"/>
      <c r="AA931" s="20"/>
      <c r="AB931" s="20"/>
      <c r="AC931" s="20"/>
      <c r="AD931" s="20"/>
      <c r="AE931" s="20"/>
      <c r="AF931" s="20"/>
    </row>
    <row r="932" spans="1:32" ht="19.5">
      <c r="A932" s="20"/>
      <c r="B932" s="20"/>
      <c r="C932" s="20"/>
      <c r="D932" s="20"/>
      <c r="E932" s="20"/>
      <c r="F932" s="20"/>
      <c r="G932" s="124"/>
      <c r="H932" s="20"/>
      <c r="I932" s="20"/>
      <c r="J932" s="20"/>
      <c r="K932" s="124"/>
      <c r="L932" s="127"/>
      <c r="M932" s="20"/>
      <c r="N932" s="20"/>
      <c r="O932" s="20"/>
      <c r="P932" s="124"/>
      <c r="Q932" s="127"/>
      <c r="R932" s="20"/>
      <c r="S932" s="20"/>
      <c r="T932" s="20"/>
      <c r="U932" s="124"/>
      <c r="V932" s="127"/>
      <c r="W932" s="20"/>
      <c r="X932" s="20"/>
      <c r="Y932" s="20"/>
      <c r="Z932" s="20"/>
      <c r="AA932" s="20"/>
      <c r="AB932" s="20"/>
      <c r="AC932" s="20"/>
      <c r="AD932" s="20"/>
      <c r="AE932" s="20"/>
      <c r="AF932" s="20"/>
    </row>
    <row r="933" spans="1:32" ht="19.5">
      <c r="A933" s="20"/>
      <c r="B933" s="20"/>
      <c r="C933" s="20"/>
      <c r="D933" s="20"/>
      <c r="E933" s="20"/>
      <c r="F933" s="20"/>
      <c r="G933" s="124"/>
      <c r="H933" s="20"/>
      <c r="I933" s="20"/>
      <c r="J933" s="20"/>
      <c r="K933" s="124"/>
      <c r="L933" s="127"/>
      <c r="M933" s="20"/>
      <c r="N933" s="20"/>
      <c r="O933" s="20"/>
      <c r="P933" s="124"/>
      <c r="Q933" s="127"/>
      <c r="R933" s="20"/>
      <c r="S933" s="20"/>
      <c r="T933" s="20"/>
      <c r="U933" s="124"/>
      <c r="V933" s="127"/>
      <c r="W933" s="20"/>
      <c r="X933" s="20"/>
      <c r="Y933" s="20"/>
      <c r="Z933" s="20"/>
      <c r="AA933" s="20"/>
      <c r="AB933" s="20"/>
      <c r="AC933" s="20"/>
      <c r="AD933" s="20"/>
      <c r="AE933" s="20"/>
      <c r="AF933" s="20"/>
    </row>
    <row r="934" spans="1:32" ht="19.5">
      <c r="A934" s="20"/>
      <c r="B934" s="20"/>
      <c r="C934" s="20"/>
      <c r="D934" s="20"/>
      <c r="E934" s="20"/>
      <c r="F934" s="20"/>
      <c r="G934" s="124"/>
      <c r="H934" s="20"/>
      <c r="I934" s="20"/>
      <c r="J934" s="20"/>
      <c r="K934" s="124"/>
      <c r="L934" s="127"/>
      <c r="M934" s="20"/>
      <c r="N934" s="20"/>
      <c r="O934" s="20"/>
      <c r="P934" s="124"/>
      <c r="Q934" s="127"/>
      <c r="R934" s="20"/>
      <c r="S934" s="20"/>
      <c r="T934" s="20"/>
      <c r="U934" s="124"/>
      <c r="V934" s="127"/>
      <c r="W934" s="20"/>
      <c r="X934" s="20"/>
      <c r="Y934" s="20"/>
      <c r="Z934" s="20"/>
      <c r="AA934" s="20"/>
      <c r="AB934" s="20"/>
      <c r="AC934" s="20"/>
      <c r="AD934" s="20"/>
      <c r="AE934" s="20"/>
      <c r="AF934" s="20"/>
    </row>
    <row r="935" spans="1:32" ht="19.5">
      <c r="A935" s="20"/>
      <c r="B935" s="20"/>
      <c r="C935" s="20"/>
      <c r="D935" s="20"/>
      <c r="E935" s="20"/>
      <c r="F935" s="20"/>
      <c r="G935" s="124"/>
      <c r="H935" s="20"/>
      <c r="I935" s="20"/>
      <c r="J935" s="20"/>
      <c r="K935" s="124"/>
      <c r="L935" s="127"/>
      <c r="M935" s="20"/>
      <c r="N935" s="20"/>
      <c r="O935" s="20"/>
      <c r="P935" s="124"/>
      <c r="Q935" s="127"/>
      <c r="R935" s="20"/>
      <c r="S935" s="20"/>
      <c r="T935" s="20"/>
      <c r="U935" s="124"/>
      <c r="V935" s="127"/>
      <c r="W935" s="20"/>
      <c r="X935" s="20"/>
      <c r="Y935" s="20"/>
      <c r="Z935" s="20"/>
      <c r="AA935" s="20"/>
      <c r="AB935" s="20"/>
      <c r="AC935" s="20"/>
      <c r="AD935" s="20"/>
      <c r="AE935" s="20"/>
      <c r="AF935" s="20"/>
    </row>
    <row r="936" spans="1:32" ht="19.5">
      <c r="A936" s="20"/>
      <c r="B936" s="20"/>
      <c r="C936" s="20"/>
      <c r="D936" s="20"/>
      <c r="E936" s="20"/>
      <c r="F936" s="20"/>
      <c r="G936" s="124"/>
      <c r="H936" s="20"/>
      <c r="I936" s="20"/>
      <c r="J936" s="20"/>
      <c r="K936" s="124"/>
      <c r="L936" s="127"/>
      <c r="M936" s="20"/>
      <c r="N936" s="20"/>
      <c r="O936" s="20"/>
      <c r="P936" s="124"/>
      <c r="Q936" s="127"/>
      <c r="R936" s="20"/>
      <c r="S936" s="20"/>
      <c r="T936" s="20"/>
      <c r="U936" s="124"/>
      <c r="V936" s="127"/>
      <c r="W936" s="20"/>
      <c r="X936" s="20"/>
      <c r="Y936" s="20"/>
      <c r="Z936" s="20"/>
      <c r="AA936" s="20"/>
      <c r="AB936" s="20"/>
      <c r="AC936" s="20"/>
      <c r="AD936" s="20"/>
      <c r="AE936" s="20"/>
      <c r="AF936" s="20"/>
    </row>
    <row r="937" spans="1:32" ht="19.5">
      <c r="A937" s="20"/>
      <c r="B937" s="20"/>
      <c r="C937" s="20"/>
      <c r="D937" s="20"/>
      <c r="E937" s="20"/>
      <c r="F937" s="20"/>
      <c r="G937" s="124"/>
      <c r="H937" s="20"/>
      <c r="I937" s="20"/>
      <c r="J937" s="20"/>
      <c r="K937" s="124"/>
      <c r="L937" s="127"/>
      <c r="M937" s="20"/>
      <c r="N937" s="20"/>
      <c r="O937" s="20"/>
      <c r="P937" s="124"/>
      <c r="Q937" s="127"/>
      <c r="R937" s="20"/>
      <c r="S937" s="20"/>
      <c r="T937" s="20"/>
      <c r="U937" s="124"/>
      <c r="V937" s="127"/>
      <c r="W937" s="20"/>
      <c r="X937" s="20"/>
      <c r="Y937" s="20"/>
      <c r="Z937" s="20"/>
      <c r="AA937" s="20"/>
      <c r="AB937" s="20"/>
      <c r="AC937" s="20"/>
      <c r="AD937" s="20"/>
      <c r="AE937" s="20"/>
      <c r="AF937" s="20"/>
    </row>
    <row r="938" spans="1:32" ht="19.5">
      <c r="A938" s="20"/>
      <c r="B938" s="20"/>
      <c r="C938" s="20"/>
      <c r="D938" s="20"/>
      <c r="E938" s="20"/>
      <c r="F938" s="20"/>
      <c r="G938" s="124"/>
      <c r="H938" s="20"/>
      <c r="I938" s="20"/>
      <c r="J938" s="20"/>
      <c r="K938" s="124"/>
      <c r="L938" s="127"/>
      <c r="M938" s="20"/>
      <c r="N938" s="20"/>
      <c r="O938" s="20"/>
      <c r="P938" s="124"/>
      <c r="Q938" s="127"/>
      <c r="R938" s="20"/>
      <c r="S938" s="20"/>
      <c r="T938" s="20"/>
      <c r="U938" s="124"/>
      <c r="V938" s="127"/>
      <c r="W938" s="20"/>
      <c r="X938" s="20"/>
      <c r="Y938" s="20"/>
      <c r="Z938" s="20"/>
      <c r="AA938" s="20"/>
      <c r="AB938" s="20"/>
      <c r="AC938" s="20"/>
      <c r="AD938" s="20"/>
      <c r="AE938" s="20"/>
      <c r="AF938" s="20"/>
    </row>
    <row r="939" spans="1:32" ht="19.5">
      <c r="A939" s="20"/>
      <c r="B939" s="20"/>
      <c r="C939" s="20"/>
      <c r="D939" s="20"/>
      <c r="E939" s="20"/>
      <c r="F939" s="20"/>
      <c r="G939" s="124"/>
      <c r="H939" s="20"/>
      <c r="I939" s="20"/>
      <c r="J939" s="20"/>
      <c r="K939" s="124"/>
      <c r="L939" s="127"/>
      <c r="M939" s="20"/>
      <c r="N939" s="20"/>
      <c r="O939" s="20"/>
      <c r="P939" s="124"/>
      <c r="Q939" s="127"/>
      <c r="R939" s="20"/>
      <c r="S939" s="20"/>
      <c r="T939" s="20"/>
      <c r="U939" s="124"/>
      <c r="V939" s="127"/>
      <c r="W939" s="20"/>
      <c r="X939" s="20"/>
      <c r="Y939" s="20"/>
      <c r="Z939" s="20"/>
      <c r="AA939" s="20"/>
      <c r="AB939" s="20"/>
      <c r="AC939" s="20"/>
      <c r="AD939" s="20"/>
      <c r="AE939" s="20"/>
      <c r="AF939" s="20"/>
    </row>
    <row r="940" spans="1:32" ht="19.5">
      <c r="A940" s="20"/>
      <c r="B940" s="20"/>
      <c r="C940" s="20"/>
      <c r="D940" s="20"/>
      <c r="E940" s="20"/>
      <c r="F940" s="20"/>
      <c r="G940" s="124"/>
      <c r="H940" s="20"/>
      <c r="I940" s="20"/>
      <c r="J940" s="20"/>
      <c r="K940" s="124"/>
      <c r="L940" s="127"/>
      <c r="M940" s="20"/>
      <c r="N940" s="20"/>
      <c r="O940" s="20"/>
      <c r="P940" s="124"/>
      <c r="Q940" s="127"/>
      <c r="R940" s="20"/>
      <c r="S940" s="20"/>
      <c r="T940" s="20"/>
      <c r="U940" s="124"/>
      <c r="V940" s="127"/>
      <c r="W940" s="20"/>
      <c r="X940" s="20"/>
      <c r="Y940" s="20"/>
      <c r="Z940" s="20"/>
      <c r="AA940" s="20"/>
      <c r="AB940" s="20"/>
      <c r="AC940" s="20"/>
      <c r="AD940" s="20"/>
      <c r="AE940" s="20"/>
      <c r="AF940" s="20"/>
    </row>
    <row r="941" spans="1:32" ht="19.5">
      <c r="A941" s="20"/>
      <c r="B941" s="20"/>
      <c r="C941" s="20"/>
      <c r="D941" s="20"/>
      <c r="E941" s="20"/>
      <c r="F941" s="20"/>
      <c r="G941" s="124"/>
      <c r="H941" s="20"/>
      <c r="I941" s="20"/>
      <c r="J941" s="20"/>
      <c r="K941" s="124"/>
      <c r="L941" s="127"/>
      <c r="M941" s="20"/>
      <c r="N941" s="20"/>
      <c r="O941" s="20"/>
      <c r="P941" s="124"/>
      <c r="Q941" s="127"/>
      <c r="R941" s="20"/>
      <c r="S941" s="20"/>
      <c r="T941" s="20"/>
      <c r="U941" s="124"/>
      <c r="V941" s="127"/>
      <c r="W941" s="20"/>
      <c r="X941" s="20"/>
      <c r="Y941" s="20"/>
      <c r="Z941" s="20"/>
      <c r="AA941" s="20"/>
      <c r="AB941" s="20"/>
      <c r="AC941" s="20"/>
      <c r="AD941" s="20"/>
      <c r="AE941" s="20"/>
      <c r="AF941" s="20"/>
    </row>
    <row r="942" spans="1:32" ht="19.5">
      <c r="A942" s="20"/>
      <c r="B942" s="20"/>
      <c r="C942" s="20"/>
      <c r="D942" s="20"/>
      <c r="E942" s="20"/>
      <c r="F942" s="20"/>
      <c r="G942" s="124"/>
      <c r="H942" s="20"/>
      <c r="I942" s="20"/>
      <c r="J942" s="20"/>
      <c r="K942" s="124"/>
      <c r="L942" s="127"/>
      <c r="M942" s="20"/>
      <c r="N942" s="20"/>
      <c r="O942" s="20"/>
      <c r="P942" s="124"/>
      <c r="Q942" s="127"/>
      <c r="R942" s="20"/>
      <c r="S942" s="20"/>
      <c r="T942" s="20"/>
      <c r="U942" s="124"/>
      <c r="V942" s="127"/>
      <c r="W942" s="20"/>
      <c r="X942" s="20"/>
      <c r="Y942" s="20"/>
      <c r="Z942" s="20"/>
      <c r="AA942" s="20"/>
      <c r="AB942" s="20"/>
      <c r="AC942" s="20"/>
      <c r="AD942" s="20"/>
      <c r="AE942" s="20"/>
      <c r="AF942" s="20"/>
    </row>
    <row r="943" spans="1:32" ht="19.5">
      <c r="A943" s="20"/>
      <c r="B943" s="20"/>
      <c r="C943" s="20"/>
      <c r="D943" s="20"/>
      <c r="E943" s="20"/>
      <c r="F943" s="20"/>
      <c r="G943" s="124"/>
      <c r="H943" s="20"/>
      <c r="I943" s="20"/>
      <c r="J943" s="20"/>
      <c r="K943" s="124"/>
      <c r="L943" s="127"/>
      <c r="M943" s="20"/>
      <c r="N943" s="20"/>
      <c r="O943" s="20"/>
      <c r="P943" s="124"/>
      <c r="Q943" s="127"/>
      <c r="R943" s="20"/>
      <c r="S943" s="20"/>
      <c r="T943" s="20"/>
      <c r="U943" s="124"/>
      <c r="V943" s="127"/>
      <c r="W943" s="20"/>
      <c r="X943" s="20"/>
      <c r="Y943" s="20"/>
      <c r="Z943" s="20"/>
      <c r="AA943" s="20"/>
      <c r="AB943" s="20"/>
      <c r="AC943" s="20"/>
      <c r="AD943" s="20"/>
      <c r="AE943" s="20"/>
      <c r="AF943" s="20"/>
    </row>
    <row r="944" spans="1:32" ht="19.5">
      <c r="A944" s="20"/>
      <c r="B944" s="20"/>
      <c r="C944" s="20"/>
      <c r="D944" s="20"/>
      <c r="E944" s="20"/>
      <c r="F944" s="20"/>
      <c r="G944" s="124"/>
      <c r="H944" s="20"/>
      <c r="I944" s="20"/>
      <c r="J944" s="20"/>
      <c r="K944" s="124"/>
      <c r="L944" s="127"/>
      <c r="M944" s="20"/>
      <c r="N944" s="20"/>
      <c r="O944" s="20"/>
      <c r="P944" s="124"/>
      <c r="Q944" s="127"/>
      <c r="R944" s="20"/>
      <c r="S944" s="20"/>
      <c r="T944" s="20"/>
      <c r="U944" s="124"/>
      <c r="V944" s="127"/>
      <c r="W944" s="20"/>
      <c r="X944" s="20"/>
      <c r="Y944" s="20"/>
      <c r="Z944" s="20"/>
      <c r="AA944" s="20"/>
      <c r="AB944" s="20"/>
      <c r="AC944" s="20"/>
      <c r="AD944" s="20"/>
      <c r="AE944" s="20"/>
      <c r="AF944" s="20"/>
    </row>
    <row r="945" spans="1:32" ht="19.5">
      <c r="A945" s="20"/>
      <c r="B945" s="20"/>
      <c r="C945" s="20"/>
      <c r="D945" s="20"/>
      <c r="E945" s="20"/>
      <c r="F945" s="20"/>
      <c r="G945" s="124"/>
      <c r="H945" s="20"/>
      <c r="I945" s="20"/>
      <c r="J945" s="20"/>
      <c r="K945" s="124"/>
      <c r="L945" s="127"/>
      <c r="M945" s="20"/>
      <c r="N945" s="20"/>
      <c r="O945" s="20"/>
      <c r="P945" s="124"/>
      <c r="Q945" s="127"/>
      <c r="R945" s="20"/>
      <c r="S945" s="20"/>
      <c r="T945" s="20"/>
      <c r="U945" s="124"/>
      <c r="V945" s="127"/>
      <c r="W945" s="20"/>
      <c r="X945" s="20"/>
      <c r="Y945" s="20"/>
      <c r="Z945" s="20"/>
      <c r="AA945" s="20"/>
      <c r="AB945" s="20"/>
      <c r="AC945" s="20"/>
      <c r="AD945" s="20"/>
      <c r="AE945" s="20"/>
      <c r="AF945" s="20"/>
    </row>
    <row r="946" spans="1:32" ht="19.5">
      <c r="A946" s="20"/>
      <c r="B946" s="20"/>
      <c r="C946" s="20"/>
      <c r="D946" s="20"/>
      <c r="E946" s="20"/>
      <c r="F946" s="20"/>
      <c r="G946" s="124"/>
      <c r="H946" s="20"/>
      <c r="I946" s="20"/>
      <c r="J946" s="20"/>
      <c r="K946" s="124"/>
      <c r="L946" s="127"/>
      <c r="M946" s="20"/>
      <c r="N946" s="20"/>
      <c r="O946" s="20"/>
      <c r="P946" s="124"/>
      <c r="Q946" s="127"/>
      <c r="R946" s="20"/>
      <c r="S946" s="20"/>
      <c r="T946" s="20"/>
      <c r="U946" s="124"/>
      <c r="V946" s="127"/>
      <c r="W946" s="20"/>
      <c r="X946" s="20"/>
      <c r="Y946" s="20"/>
      <c r="Z946" s="20"/>
      <c r="AA946" s="20"/>
      <c r="AB946" s="20"/>
      <c r="AC946" s="20"/>
      <c r="AD946" s="20"/>
      <c r="AE946" s="20"/>
      <c r="AF946" s="20"/>
    </row>
    <row r="947" spans="1:32" ht="19.5">
      <c r="A947" s="20"/>
      <c r="B947" s="20"/>
      <c r="C947" s="20"/>
      <c r="D947" s="20"/>
      <c r="E947" s="20"/>
      <c r="F947" s="20"/>
      <c r="G947" s="124"/>
      <c r="H947" s="20"/>
      <c r="I947" s="20"/>
      <c r="J947" s="20"/>
      <c r="K947" s="124"/>
      <c r="L947" s="127"/>
      <c r="M947" s="20"/>
      <c r="N947" s="20"/>
      <c r="O947" s="20"/>
      <c r="P947" s="124"/>
      <c r="Q947" s="127"/>
      <c r="R947" s="20"/>
      <c r="S947" s="20"/>
      <c r="T947" s="20"/>
      <c r="U947" s="124"/>
      <c r="V947" s="127"/>
      <c r="W947" s="20"/>
      <c r="X947" s="20"/>
      <c r="Y947" s="20"/>
      <c r="Z947" s="20"/>
      <c r="AA947" s="20"/>
      <c r="AB947" s="20"/>
      <c r="AC947" s="20"/>
      <c r="AD947" s="20"/>
      <c r="AE947" s="20"/>
      <c r="AF947" s="20"/>
    </row>
    <row r="948" spans="1:32" ht="19.5">
      <c r="A948" s="20"/>
      <c r="B948" s="20"/>
      <c r="C948" s="20"/>
      <c r="D948" s="20"/>
      <c r="E948" s="20"/>
      <c r="F948" s="20"/>
      <c r="G948" s="124"/>
      <c r="H948" s="20"/>
      <c r="I948" s="20"/>
      <c r="J948" s="20"/>
      <c r="K948" s="124"/>
      <c r="L948" s="127"/>
      <c r="M948" s="20"/>
      <c r="N948" s="20"/>
      <c r="O948" s="20"/>
      <c r="P948" s="124"/>
      <c r="Q948" s="127"/>
      <c r="R948" s="20"/>
      <c r="S948" s="20"/>
      <c r="T948" s="20"/>
      <c r="U948" s="124"/>
      <c r="V948" s="127"/>
      <c r="W948" s="20"/>
      <c r="X948" s="20"/>
      <c r="Y948" s="20"/>
      <c r="Z948" s="20"/>
      <c r="AA948" s="20"/>
      <c r="AB948" s="20"/>
      <c r="AC948" s="20"/>
      <c r="AD948" s="20"/>
      <c r="AE948" s="20"/>
      <c r="AF948" s="20"/>
    </row>
    <row r="949" spans="1:32" ht="19.5">
      <c r="A949" s="20"/>
      <c r="B949" s="20"/>
      <c r="C949" s="20"/>
      <c r="D949" s="20"/>
      <c r="E949" s="20"/>
      <c r="F949" s="20"/>
      <c r="G949" s="124"/>
      <c r="H949" s="20"/>
      <c r="I949" s="20"/>
      <c r="J949" s="20"/>
      <c r="K949" s="124"/>
      <c r="L949" s="127"/>
      <c r="M949" s="20"/>
      <c r="N949" s="20"/>
      <c r="O949" s="20"/>
      <c r="P949" s="124"/>
      <c r="Q949" s="127"/>
      <c r="R949" s="20"/>
      <c r="S949" s="20"/>
      <c r="T949" s="20"/>
      <c r="U949" s="124"/>
      <c r="V949" s="127"/>
      <c r="W949" s="20"/>
      <c r="X949" s="20"/>
      <c r="Y949" s="20"/>
      <c r="Z949" s="20"/>
      <c r="AA949" s="20"/>
      <c r="AB949" s="20"/>
      <c r="AC949" s="20"/>
      <c r="AD949" s="20"/>
      <c r="AE949" s="20"/>
      <c r="AF949" s="20"/>
    </row>
    <row r="950" spans="1:32" ht="19.5">
      <c r="A950" s="20"/>
      <c r="B950" s="20"/>
      <c r="C950" s="20"/>
      <c r="D950" s="20"/>
      <c r="E950" s="20"/>
      <c r="F950" s="20"/>
      <c r="G950" s="124"/>
      <c r="H950" s="20"/>
      <c r="I950" s="20"/>
      <c r="J950" s="20"/>
      <c r="K950" s="124"/>
      <c r="L950" s="127"/>
      <c r="M950" s="20"/>
      <c r="N950" s="20"/>
      <c r="O950" s="20"/>
      <c r="P950" s="124"/>
      <c r="Q950" s="127"/>
      <c r="R950" s="20"/>
      <c r="S950" s="20"/>
      <c r="T950" s="20"/>
      <c r="U950" s="124"/>
      <c r="V950" s="127"/>
      <c r="W950" s="20"/>
      <c r="X950" s="20"/>
      <c r="Y950" s="20"/>
      <c r="Z950" s="20"/>
      <c r="AA950" s="20"/>
      <c r="AB950" s="20"/>
      <c r="AC950" s="20"/>
      <c r="AD950" s="20"/>
      <c r="AE950" s="20"/>
      <c r="AF950" s="20"/>
    </row>
    <row r="951" spans="1:32" ht="19.5">
      <c r="A951" s="20"/>
      <c r="B951" s="20"/>
      <c r="C951" s="20"/>
      <c r="D951" s="20"/>
      <c r="E951" s="20"/>
      <c r="F951" s="20"/>
      <c r="G951" s="124"/>
      <c r="H951" s="20"/>
      <c r="I951" s="20"/>
      <c r="J951" s="20"/>
      <c r="K951" s="124"/>
      <c r="L951" s="127"/>
      <c r="M951" s="20"/>
      <c r="N951" s="20"/>
      <c r="O951" s="20"/>
      <c r="P951" s="124"/>
      <c r="Q951" s="127"/>
      <c r="R951" s="20"/>
      <c r="S951" s="20"/>
      <c r="T951" s="20"/>
      <c r="U951" s="124"/>
      <c r="V951" s="127"/>
      <c r="W951" s="20"/>
      <c r="X951" s="20"/>
      <c r="Y951" s="20"/>
      <c r="Z951" s="20"/>
      <c r="AA951" s="20"/>
      <c r="AB951" s="20"/>
      <c r="AC951" s="20"/>
      <c r="AD951" s="20"/>
      <c r="AE951" s="20"/>
      <c r="AF951" s="20"/>
    </row>
    <row r="952" spans="1:32" ht="19.5">
      <c r="A952" s="20"/>
      <c r="B952" s="20"/>
      <c r="C952" s="20"/>
      <c r="D952" s="20"/>
      <c r="E952" s="20"/>
      <c r="F952" s="20"/>
      <c r="G952" s="124"/>
      <c r="H952" s="20"/>
      <c r="I952" s="20"/>
      <c r="J952" s="20"/>
      <c r="K952" s="124"/>
      <c r="L952" s="127"/>
      <c r="M952" s="20"/>
      <c r="N952" s="20"/>
      <c r="O952" s="20"/>
      <c r="P952" s="124"/>
      <c r="Q952" s="127"/>
      <c r="R952" s="20"/>
      <c r="S952" s="20"/>
      <c r="T952" s="20"/>
      <c r="U952" s="124"/>
      <c r="V952" s="127"/>
      <c r="W952" s="20"/>
      <c r="X952" s="20"/>
      <c r="Y952" s="20"/>
      <c r="Z952" s="20"/>
      <c r="AA952" s="20"/>
      <c r="AB952" s="20"/>
      <c r="AC952" s="20"/>
      <c r="AD952" s="20"/>
      <c r="AE952" s="20"/>
      <c r="AF952" s="20"/>
    </row>
    <row r="953" spans="1:32" ht="19.5">
      <c r="A953" s="20"/>
      <c r="B953" s="20"/>
      <c r="C953" s="20"/>
      <c r="D953" s="20"/>
      <c r="E953" s="20"/>
      <c r="F953" s="20"/>
      <c r="G953" s="124"/>
      <c r="H953" s="20"/>
      <c r="I953" s="20"/>
      <c r="J953" s="20"/>
      <c r="K953" s="124"/>
      <c r="L953" s="127"/>
      <c r="M953" s="20"/>
      <c r="N953" s="20"/>
      <c r="O953" s="20"/>
      <c r="P953" s="124"/>
      <c r="Q953" s="127"/>
      <c r="R953" s="20"/>
      <c r="S953" s="20"/>
      <c r="T953" s="20"/>
      <c r="U953" s="124"/>
      <c r="V953" s="127"/>
      <c r="W953" s="20"/>
      <c r="X953" s="20"/>
      <c r="Y953" s="20"/>
      <c r="Z953" s="20"/>
      <c r="AA953" s="20"/>
      <c r="AB953" s="20"/>
      <c r="AC953" s="20"/>
      <c r="AD953" s="20"/>
      <c r="AE953" s="20"/>
      <c r="AF953" s="20"/>
    </row>
    <row r="954" spans="1:32" ht="19.5">
      <c r="A954" s="20"/>
      <c r="B954" s="20"/>
      <c r="C954" s="20"/>
      <c r="D954" s="20"/>
      <c r="E954" s="20"/>
      <c r="F954" s="20"/>
      <c r="G954" s="124"/>
      <c r="H954" s="20"/>
      <c r="I954" s="20"/>
      <c r="J954" s="20"/>
      <c r="K954" s="124"/>
      <c r="L954" s="127"/>
      <c r="M954" s="20"/>
      <c r="N954" s="20"/>
      <c r="O954" s="20"/>
      <c r="P954" s="124"/>
      <c r="Q954" s="127"/>
      <c r="R954" s="20"/>
      <c r="S954" s="20"/>
      <c r="T954" s="20"/>
      <c r="U954" s="124"/>
      <c r="V954" s="127"/>
      <c r="W954" s="20"/>
      <c r="X954" s="20"/>
      <c r="Y954" s="20"/>
      <c r="Z954" s="20"/>
      <c r="AA954" s="20"/>
      <c r="AB954" s="20"/>
      <c r="AC954" s="20"/>
      <c r="AD954" s="20"/>
      <c r="AE954" s="20"/>
      <c r="AF954" s="20"/>
    </row>
    <row r="955" spans="1:32" ht="19.5">
      <c r="A955" s="20"/>
      <c r="B955" s="20"/>
      <c r="C955" s="20"/>
      <c r="D955" s="20"/>
      <c r="E955" s="20"/>
      <c r="F955" s="20"/>
      <c r="G955" s="124"/>
      <c r="H955" s="20"/>
      <c r="I955" s="20"/>
      <c r="J955" s="20"/>
      <c r="K955" s="124"/>
      <c r="L955" s="127"/>
      <c r="M955" s="20"/>
      <c r="N955" s="20"/>
      <c r="O955" s="20"/>
      <c r="P955" s="124"/>
      <c r="Q955" s="127"/>
      <c r="R955" s="20"/>
      <c r="S955" s="20"/>
      <c r="T955" s="20"/>
      <c r="U955" s="124"/>
      <c r="V955" s="127"/>
      <c r="W955" s="20"/>
      <c r="X955" s="20"/>
      <c r="Y955" s="20"/>
      <c r="Z955" s="20"/>
      <c r="AA955" s="20"/>
      <c r="AB955" s="20"/>
      <c r="AC955" s="20"/>
      <c r="AD955" s="20"/>
      <c r="AE955" s="20"/>
      <c r="AF955" s="20"/>
    </row>
    <row r="956" spans="1:32" ht="19.5">
      <c r="A956" s="20"/>
      <c r="B956" s="20"/>
      <c r="C956" s="20"/>
      <c r="D956" s="20"/>
      <c r="E956" s="20"/>
      <c r="F956" s="20"/>
      <c r="G956" s="124"/>
      <c r="H956" s="20"/>
      <c r="I956" s="20"/>
      <c r="J956" s="20"/>
      <c r="K956" s="124"/>
      <c r="L956" s="127"/>
      <c r="M956" s="20"/>
      <c r="N956" s="20"/>
      <c r="O956" s="20"/>
      <c r="P956" s="124"/>
      <c r="Q956" s="127"/>
      <c r="R956" s="20"/>
      <c r="S956" s="20"/>
      <c r="T956" s="20"/>
      <c r="U956" s="124"/>
      <c r="V956" s="127"/>
      <c r="W956" s="20"/>
      <c r="X956" s="20"/>
      <c r="Y956" s="20"/>
      <c r="Z956" s="20"/>
      <c r="AA956" s="20"/>
      <c r="AB956" s="20"/>
      <c r="AC956" s="20"/>
      <c r="AD956" s="20"/>
      <c r="AE956" s="20"/>
      <c r="AF956" s="20"/>
    </row>
    <row r="957" spans="1:32" ht="19.5">
      <c r="A957" s="20"/>
      <c r="B957" s="20"/>
      <c r="C957" s="20"/>
      <c r="D957" s="20"/>
      <c r="E957" s="20"/>
      <c r="F957" s="20"/>
      <c r="G957" s="124"/>
      <c r="H957" s="20"/>
      <c r="I957" s="20"/>
      <c r="J957" s="20"/>
      <c r="K957" s="124"/>
      <c r="L957" s="127"/>
      <c r="M957" s="20"/>
      <c r="N957" s="20"/>
      <c r="O957" s="20"/>
      <c r="P957" s="124"/>
      <c r="Q957" s="127"/>
      <c r="R957" s="20"/>
      <c r="S957" s="20"/>
      <c r="T957" s="20"/>
      <c r="U957" s="124"/>
      <c r="V957" s="127"/>
      <c r="W957" s="20"/>
      <c r="X957" s="20"/>
      <c r="Y957" s="20"/>
      <c r="Z957" s="20"/>
      <c r="AA957" s="20"/>
      <c r="AB957" s="20"/>
      <c r="AC957" s="20"/>
      <c r="AD957" s="20"/>
      <c r="AE957" s="20"/>
      <c r="AF957" s="20"/>
    </row>
    <row r="958" spans="1:32" ht="19.5">
      <c r="A958" s="20"/>
      <c r="B958" s="20"/>
      <c r="C958" s="20"/>
      <c r="D958" s="20"/>
      <c r="E958" s="20"/>
      <c r="F958" s="20"/>
      <c r="G958" s="124"/>
      <c r="H958" s="20"/>
      <c r="I958" s="20"/>
      <c r="J958" s="20"/>
      <c r="K958" s="124"/>
      <c r="L958" s="127"/>
      <c r="M958" s="20"/>
      <c r="N958" s="20"/>
      <c r="O958" s="20"/>
      <c r="P958" s="124"/>
      <c r="Q958" s="127"/>
      <c r="R958" s="20"/>
      <c r="S958" s="20"/>
      <c r="T958" s="20"/>
      <c r="U958" s="124"/>
      <c r="V958" s="127"/>
      <c r="W958" s="20"/>
      <c r="X958" s="20"/>
      <c r="Y958" s="20"/>
      <c r="Z958" s="20"/>
      <c r="AA958" s="20"/>
      <c r="AB958" s="20"/>
      <c r="AC958" s="20"/>
      <c r="AD958" s="20"/>
      <c r="AE958" s="20"/>
      <c r="AF958" s="20"/>
    </row>
    <row r="959" spans="1:32" ht="19.5">
      <c r="A959" s="20"/>
      <c r="B959" s="20"/>
      <c r="C959" s="20"/>
      <c r="D959" s="20"/>
      <c r="E959" s="20"/>
      <c r="F959" s="20"/>
      <c r="G959" s="124"/>
      <c r="H959" s="20"/>
      <c r="I959" s="20"/>
      <c r="J959" s="20"/>
      <c r="K959" s="124"/>
      <c r="L959" s="127"/>
      <c r="M959" s="20"/>
      <c r="N959" s="20"/>
      <c r="O959" s="20"/>
      <c r="P959" s="124"/>
      <c r="Q959" s="127"/>
      <c r="R959" s="20"/>
      <c r="S959" s="20"/>
      <c r="T959" s="20"/>
      <c r="U959" s="124"/>
      <c r="V959" s="127"/>
      <c r="W959" s="20"/>
      <c r="X959" s="20"/>
      <c r="Y959" s="20"/>
      <c r="Z959" s="20"/>
      <c r="AA959" s="20"/>
      <c r="AB959" s="20"/>
      <c r="AC959" s="20"/>
      <c r="AD959" s="20"/>
      <c r="AE959" s="20"/>
      <c r="AF959" s="20"/>
    </row>
    <row r="960" spans="1:32" ht="19.5">
      <c r="A960" s="20"/>
      <c r="B960" s="20"/>
      <c r="C960" s="20"/>
      <c r="D960" s="20"/>
      <c r="E960" s="20"/>
      <c r="F960" s="20"/>
      <c r="G960" s="124"/>
      <c r="H960" s="20"/>
      <c r="I960" s="20"/>
      <c r="J960" s="20"/>
      <c r="K960" s="124"/>
      <c r="L960" s="127"/>
      <c r="M960" s="20"/>
      <c r="N960" s="20"/>
      <c r="O960" s="20"/>
      <c r="P960" s="124"/>
      <c r="Q960" s="127"/>
      <c r="R960" s="20"/>
      <c r="S960" s="20"/>
      <c r="T960" s="20"/>
      <c r="U960" s="124"/>
      <c r="V960" s="127"/>
      <c r="W960" s="20"/>
      <c r="X960" s="20"/>
      <c r="Y960" s="20"/>
      <c r="Z960" s="20"/>
      <c r="AA960" s="20"/>
      <c r="AB960" s="20"/>
      <c r="AC960" s="20"/>
      <c r="AD960" s="20"/>
      <c r="AE960" s="20"/>
      <c r="AF960" s="20"/>
    </row>
    <row r="961" spans="1:32" ht="19.5">
      <c r="A961" s="20"/>
      <c r="B961" s="20"/>
      <c r="C961" s="20"/>
      <c r="D961" s="20"/>
      <c r="E961" s="20"/>
      <c r="F961" s="20"/>
      <c r="G961" s="124"/>
      <c r="H961" s="20"/>
      <c r="I961" s="20"/>
      <c r="J961" s="20"/>
      <c r="K961" s="124"/>
      <c r="L961" s="127"/>
      <c r="M961" s="20"/>
      <c r="N961" s="20"/>
      <c r="O961" s="20"/>
      <c r="P961" s="124"/>
      <c r="Q961" s="127"/>
      <c r="R961" s="20"/>
      <c r="S961" s="20"/>
      <c r="T961" s="20"/>
      <c r="U961" s="124"/>
      <c r="V961" s="127"/>
      <c r="W961" s="20"/>
      <c r="X961" s="20"/>
      <c r="Y961" s="20"/>
      <c r="Z961" s="20"/>
      <c r="AA961" s="20"/>
      <c r="AB961" s="20"/>
      <c r="AC961" s="20"/>
      <c r="AD961" s="20"/>
      <c r="AE961" s="20"/>
      <c r="AF961" s="20"/>
    </row>
    <row r="962" spans="1:32" ht="19.5">
      <c r="A962" s="20"/>
      <c r="B962" s="20"/>
      <c r="C962" s="20"/>
      <c r="D962" s="20"/>
      <c r="E962" s="20"/>
      <c r="F962" s="20"/>
      <c r="G962" s="124"/>
      <c r="H962" s="20"/>
      <c r="I962" s="20"/>
      <c r="J962" s="20"/>
      <c r="K962" s="124"/>
      <c r="L962" s="127"/>
      <c r="M962" s="20"/>
      <c r="N962" s="20"/>
      <c r="O962" s="20"/>
      <c r="P962" s="124"/>
      <c r="Q962" s="127"/>
      <c r="R962" s="20"/>
      <c r="S962" s="20"/>
      <c r="T962" s="20"/>
      <c r="U962" s="124"/>
      <c r="V962" s="127"/>
      <c r="W962" s="20"/>
      <c r="X962" s="20"/>
      <c r="Y962" s="20"/>
      <c r="Z962" s="20"/>
      <c r="AA962" s="20"/>
      <c r="AB962" s="20"/>
      <c r="AC962" s="20"/>
      <c r="AD962" s="20"/>
      <c r="AE962" s="20"/>
      <c r="AF962" s="20"/>
    </row>
    <row r="963" spans="1:32" ht="19.5">
      <c r="A963" s="20"/>
      <c r="B963" s="20"/>
      <c r="C963" s="20"/>
      <c r="D963" s="20"/>
      <c r="E963" s="20"/>
      <c r="F963" s="20"/>
      <c r="G963" s="124"/>
      <c r="H963" s="20"/>
      <c r="I963" s="20"/>
      <c r="J963" s="20"/>
      <c r="K963" s="124"/>
      <c r="L963" s="127"/>
      <c r="M963" s="20"/>
      <c r="N963" s="20"/>
      <c r="O963" s="20"/>
      <c r="P963" s="124"/>
      <c r="Q963" s="127"/>
      <c r="R963" s="20"/>
      <c r="S963" s="20"/>
      <c r="T963" s="20"/>
      <c r="U963" s="124"/>
      <c r="V963" s="127"/>
      <c r="W963" s="20"/>
      <c r="X963" s="20"/>
      <c r="Y963" s="20"/>
      <c r="Z963" s="20"/>
      <c r="AA963" s="20"/>
      <c r="AB963" s="20"/>
      <c r="AC963" s="20"/>
      <c r="AD963" s="20"/>
      <c r="AE963" s="20"/>
      <c r="AF963" s="20"/>
    </row>
    <row r="964" spans="1:32" ht="19.5">
      <c r="A964" s="20"/>
      <c r="B964" s="20"/>
      <c r="C964" s="20"/>
      <c r="D964" s="20"/>
      <c r="E964" s="20"/>
      <c r="F964" s="20"/>
      <c r="G964" s="124"/>
      <c r="H964" s="20"/>
      <c r="I964" s="20"/>
      <c r="J964" s="20"/>
      <c r="K964" s="124"/>
      <c r="L964" s="127"/>
      <c r="M964" s="20"/>
      <c r="N964" s="20"/>
      <c r="O964" s="20"/>
      <c r="P964" s="124"/>
      <c r="Q964" s="127"/>
      <c r="R964" s="20"/>
      <c r="S964" s="20"/>
      <c r="T964" s="20"/>
      <c r="U964" s="124"/>
      <c r="V964" s="127"/>
      <c r="W964" s="20"/>
      <c r="X964" s="20"/>
      <c r="Y964" s="20"/>
      <c r="Z964" s="20"/>
      <c r="AA964" s="20"/>
      <c r="AB964" s="20"/>
      <c r="AC964" s="20"/>
      <c r="AD964" s="20"/>
      <c r="AE964" s="20"/>
      <c r="AF964" s="20"/>
    </row>
    <row r="965" spans="1:32" ht="19.5">
      <c r="A965" s="20"/>
      <c r="B965" s="20"/>
      <c r="C965" s="20"/>
      <c r="D965" s="20"/>
      <c r="E965" s="20"/>
      <c r="F965" s="20"/>
      <c r="G965" s="124"/>
      <c r="H965" s="20"/>
      <c r="I965" s="20"/>
      <c r="J965" s="20"/>
      <c r="K965" s="124"/>
      <c r="L965" s="127"/>
      <c r="M965" s="20"/>
      <c r="N965" s="20"/>
      <c r="O965" s="20"/>
      <c r="P965" s="124"/>
      <c r="Q965" s="127"/>
      <c r="R965" s="20"/>
      <c r="S965" s="20"/>
      <c r="T965" s="20"/>
      <c r="U965" s="124"/>
      <c r="V965" s="127"/>
      <c r="W965" s="20"/>
      <c r="X965" s="20"/>
      <c r="Y965" s="20"/>
      <c r="Z965" s="20"/>
      <c r="AA965" s="20"/>
      <c r="AB965" s="20"/>
      <c r="AC965" s="20"/>
      <c r="AD965" s="20"/>
      <c r="AE965" s="20"/>
      <c r="AF965" s="20"/>
    </row>
    <row r="966" spans="1:32" ht="19.5">
      <c r="A966" s="20"/>
      <c r="B966" s="20"/>
      <c r="C966" s="20"/>
      <c r="D966" s="20"/>
      <c r="E966" s="20"/>
      <c r="F966" s="20"/>
      <c r="G966" s="124"/>
      <c r="H966" s="20"/>
      <c r="I966" s="20"/>
      <c r="J966" s="20"/>
      <c r="K966" s="124"/>
      <c r="L966" s="127"/>
      <c r="M966" s="20"/>
      <c r="N966" s="20"/>
      <c r="O966" s="20"/>
      <c r="P966" s="124"/>
      <c r="Q966" s="127"/>
      <c r="R966" s="20"/>
      <c r="S966" s="20"/>
      <c r="T966" s="20"/>
      <c r="U966" s="124"/>
      <c r="V966" s="127"/>
      <c r="W966" s="20"/>
      <c r="X966" s="20"/>
      <c r="Y966" s="20"/>
      <c r="Z966" s="20"/>
      <c r="AA966" s="20"/>
      <c r="AB966" s="20"/>
      <c r="AC966" s="20"/>
      <c r="AD966" s="20"/>
      <c r="AE966" s="20"/>
      <c r="AF966" s="20"/>
    </row>
    <row r="967" spans="1:32" ht="19.5">
      <c r="A967" s="20"/>
      <c r="B967" s="20"/>
      <c r="C967" s="20"/>
      <c r="D967" s="20"/>
      <c r="E967" s="20"/>
      <c r="F967" s="20"/>
      <c r="G967" s="124"/>
      <c r="H967" s="20"/>
      <c r="I967" s="20"/>
      <c r="J967" s="20"/>
      <c r="K967" s="124"/>
      <c r="L967" s="127"/>
      <c r="M967" s="20"/>
      <c r="N967" s="20"/>
      <c r="O967" s="20"/>
      <c r="P967" s="124"/>
      <c r="Q967" s="127"/>
      <c r="R967" s="20"/>
      <c r="S967" s="20"/>
      <c r="T967" s="20"/>
      <c r="U967" s="124"/>
      <c r="V967" s="127"/>
      <c r="W967" s="20"/>
      <c r="X967" s="20"/>
      <c r="Y967" s="20"/>
      <c r="Z967" s="20"/>
      <c r="AA967" s="20"/>
      <c r="AB967" s="20"/>
      <c r="AC967" s="20"/>
      <c r="AD967" s="20"/>
      <c r="AE967" s="20"/>
      <c r="AF967" s="20"/>
    </row>
    <row r="968" spans="1:32" ht="19.5">
      <c r="A968" s="20"/>
      <c r="B968" s="20"/>
      <c r="C968" s="20"/>
      <c r="D968" s="20"/>
      <c r="E968" s="20"/>
      <c r="F968" s="20"/>
      <c r="G968" s="124"/>
      <c r="H968" s="20"/>
      <c r="I968" s="20"/>
      <c r="J968" s="20"/>
      <c r="K968" s="124"/>
      <c r="L968" s="127"/>
      <c r="M968" s="20"/>
      <c r="N968" s="20"/>
      <c r="O968" s="20"/>
      <c r="P968" s="124"/>
      <c r="Q968" s="127"/>
      <c r="R968" s="20"/>
      <c r="S968" s="20"/>
      <c r="T968" s="20"/>
      <c r="U968" s="124"/>
      <c r="V968" s="127"/>
      <c r="W968" s="20"/>
      <c r="X968" s="20"/>
      <c r="Y968" s="20"/>
      <c r="Z968" s="20"/>
      <c r="AA968" s="20"/>
      <c r="AB968" s="20"/>
      <c r="AC968" s="20"/>
      <c r="AD968" s="20"/>
      <c r="AE968" s="20"/>
      <c r="AF968" s="20"/>
    </row>
    <row r="969" spans="1:32" ht="19.5">
      <c r="A969" s="20"/>
      <c r="B969" s="20"/>
      <c r="C969" s="20"/>
      <c r="D969" s="20"/>
      <c r="E969" s="20"/>
      <c r="F969" s="20"/>
      <c r="G969" s="124"/>
      <c r="H969" s="20"/>
      <c r="I969" s="20"/>
      <c r="J969" s="20"/>
      <c r="K969" s="124"/>
      <c r="L969" s="127"/>
      <c r="M969" s="20"/>
      <c r="N969" s="20"/>
      <c r="O969" s="20"/>
      <c r="P969" s="124"/>
      <c r="Q969" s="127"/>
      <c r="R969" s="20"/>
      <c r="S969" s="20"/>
      <c r="T969" s="20"/>
      <c r="U969" s="124"/>
      <c r="V969" s="127"/>
      <c r="W969" s="20"/>
      <c r="X969" s="20"/>
      <c r="Y969" s="20"/>
      <c r="Z969" s="20"/>
      <c r="AA969" s="20"/>
      <c r="AB969" s="20"/>
      <c r="AC969" s="20"/>
      <c r="AD969" s="20"/>
      <c r="AE969" s="20"/>
      <c r="AF969" s="20"/>
    </row>
    <row r="970" spans="1:32" ht="19.5">
      <c r="A970" s="20"/>
      <c r="B970" s="20"/>
      <c r="C970" s="20"/>
      <c r="D970" s="20"/>
      <c r="E970" s="20"/>
      <c r="F970" s="20"/>
      <c r="G970" s="124"/>
      <c r="H970" s="20"/>
      <c r="I970" s="20"/>
      <c r="J970" s="20"/>
      <c r="K970" s="124"/>
      <c r="L970" s="127"/>
      <c r="M970" s="20"/>
      <c r="N970" s="20"/>
      <c r="O970" s="20"/>
      <c r="P970" s="124"/>
      <c r="Q970" s="127"/>
      <c r="R970" s="20"/>
      <c r="S970" s="20"/>
      <c r="T970" s="20"/>
      <c r="U970" s="124"/>
      <c r="V970" s="127"/>
      <c r="W970" s="20"/>
      <c r="X970" s="20"/>
      <c r="Y970" s="20"/>
      <c r="Z970" s="20"/>
      <c r="AA970" s="20"/>
      <c r="AB970" s="20"/>
      <c r="AC970" s="20"/>
      <c r="AD970" s="20"/>
      <c r="AE970" s="20"/>
      <c r="AF970" s="20"/>
    </row>
    <row r="971" spans="1:32" ht="19.5">
      <c r="A971" s="20"/>
      <c r="B971" s="20"/>
      <c r="C971" s="20"/>
      <c r="D971" s="20"/>
      <c r="E971" s="20"/>
      <c r="F971" s="20"/>
      <c r="G971" s="124"/>
      <c r="H971" s="20"/>
      <c r="I971" s="20"/>
      <c r="J971" s="20"/>
      <c r="K971" s="124"/>
      <c r="L971" s="127"/>
      <c r="M971" s="20"/>
      <c r="N971" s="20"/>
      <c r="O971" s="20"/>
      <c r="P971" s="124"/>
      <c r="Q971" s="127"/>
      <c r="R971" s="20"/>
      <c r="S971" s="20"/>
      <c r="T971" s="20"/>
      <c r="U971" s="124"/>
      <c r="V971" s="127"/>
      <c r="W971" s="20"/>
      <c r="X971" s="20"/>
      <c r="Y971" s="20"/>
      <c r="Z971" s="20"/>
      <c r="AA971" s="20"/>
      <c r="AB971" s="20"/>
      <c r="AC971" s="20"/>
      <c r="AD971" s="20"/>
      <c r="AE971" s="20"/>
      <c r="AF971" s="20"/>
    </row>
    <row r="972" spans="1:32" ht="19.5">
      <c r="A972" s="20"/>
      <c r="B972" s="20"/>
      <c r="C972" s="20"/>
      <c r="D972" s="20"/>
      <c r="E972" s="20"/>
      <c r="F972" s="20"/>
      <c r="G972" s="124"/>
      <c r="H972" s="20"/>
      <c r="I972" s="20"/>
      <c r="J972" s="20"/>
      <c r="K972" s="124"/>
      <c r="L972" s="127"/>
      <c r="M972" s="20"/>
      <c r="N972" s="20"/>
      <c r="O972" s="20"/>
      <c r="P972" s="124"/>
      <c r="Q972" s="127"/>
      <c r="R972" s="20"/>
      <c r="S972" s="20"/>
      <c r="T972" s="20"/>
      <c r="U972" s="124"/>
      <c r="V972" s="127"/>
      <c r="W972" s="20"/>
      <c r="X972" s="20"/>
      <c r="Y972" s="20"/>
      <c r="Z972" s="20"/>
      <c r="AA972" s="20"/>
      <c r="AB972" s="20"/>
      <c r="AC972" s="20"/>
      <c r="AD972" s="20"/>
      <c r="AE972" s="20"/>
      <c r="AF972" s="20"/>
    </row>
    <row r="973" spans="1:32" ht="19.5">
      <c r="A973" s="20"/>
      <c r="B973" s="20"/>
      <c r="C973" s="20"/>
      <c r="D973" s="20"/>
      <c r="E973" s="20"/>
      <c r="F973" s="20"/>
      <c r="G973" s="124"/>
      <c r="H973" s="20"/>
      <c r="I973" s="20"/>
      <c r="J973" s="20"/>
      <c r="K973" s="124"/>
      <c r="L973" s="127"/>
      <c r="M973" s="20"/>
      <c r="N973" s="20"/>
      <c r="O973" s="20"/>
      <c r="P973" s="124"/>
      <c r="Q973" s="127"/>
      <c r="R973" s="20"/>
      <c r="S973" s="20"/>
      <c r="T973" s="20"/>
      <c r="U973" s="124"/>
      <c r="V973" s="127"/>
      <c r="W973" s="20"/>
      <c r="X973" s="20"/>
      <c r="Y973" s="20"/>
      <c r="Z973" s="20"/>
      <c r="AA973" s="20"/>
      <c r="AB973" s="20"/>
      <c r="AC973" s="20"/>
      <c r="AD973" s="20"/>
      <c r="AE973" s="20"/>
      <c r="AF973" s="20"/>
    </row>
    <row r="974" spans="1:32" ht="19.5">
      <c r="A974" s="20"/>
      <c r="B974" s="20"/>
      <c r="C974" s="20"/>
      <c r="D974" s="20"/>
      <c r="E974" s="20"/>
      <c r="F974" s="20"/>
      <c r="G974" s="124"/>
      <c r="H974" s="20"/>
      <c r="I974" s="20"/>
      <c r="J974" s="20"/>
      <c r="K974" s="124"/>
      <c r="L974" s="127"/>
      <c r="M974" s="20"/>
      <c r="N974" s="20"/>
      <c r="O974" s="20"/>
      <c r="P974" s="124"/>
      <c r="Q974" s="127"/>
      <c r="R974" s="20"/>
      <c r="S974" s="20"/>
      <c r="T974" s="20"/>
      <c r="U974" s="124"/>
      <c r="V974" s="127"/>
      <c r="W974" s="20"/>
      <c r="X974" s="20"/>
      <c r="Y974" s="20"/>
      <c r="Z974" s="20"/>
      <c r="AA974" s="20"/>
      <c r="AB974" s="20"/>
      <c r="AC974" s="20"/>
      <c r="AD974" s="20"/>
      <c r="AE974" s="20"/>
      <c r="AF974" s="20"/>
    </row>
    <row r="975" spans="1:32" ht="19.5">
      <c r="A975" s="20"/>
      <c r="B975" s="20"/>
      <c r="C975" s="20"/>
      <c r="D975" s="20"/>
      <c r="E975" s="20"/>
      <c r="F975" s="20"/>
      <c r="G975" s="124"/>
      <c r="H975" s="20"/>
      <c r="I975" s="20"/>
      <c r="J975" s="20"/>
      <c r="K975" s="124"/>
      <c r="L975" s="127"/>
      <c r="M975" s="20"/>
      <c r="N975" s="20"/>
      <c r="O975" s="20"/>
      <c r="P975" s="124"/>
      <c r="Q975" s="127"/>
      <c r="R975" s="20"/>
      <c r="S975" s="20"/>
      <c r="T975" s="20"/>
      <c r="U975" s="124"/>
      <c r="V975" s="127"/>
      <c r="W975" s="20"/>
      <c r="X975" s="20"/>
      <c r="Y975" s="20"/>
      <c r="Z975" s="20"/>
      <c r="AA975" s="20"/>
      <c r="AB975" s="20"/>
      <c r="AC975" s="20"/>
      <c r="AD975" s="20"/>
      <c r="AE975" s="20"/>
      <c r="AF975" s="20"/>
    </row>
    <row r="976" spans="1:32" ht="19.5">
      <c r="A976" s="20"/>
      <c r="B976" s="20"/>
      <c r="C976" s="20"/>
      <c r="D976" s="20"/>
      <c r="E976" s="20"/>
      <c r="F976" s="20"/>
      <c r="G976" s="124"/>
      <c r="H976" s="20"/>
      <c r="I976" s="20"/>
      <c r="J976" s="20"/>
      <c r="K976" s="124"/>
      <c r="L976" s="127"/>
      <c r="M976" s="20"/>
      <c r="N976" s="20"/>
      <c r="O976" s="20"/>
      <c r="P976" s="124"/>
      <c r="Q976" s="127"/>
      <c r="R976" s="20"/>
      <c r="S976" s="20"/>
      <c r="T976" s="20"/>
      <c r="U976" s="124"/>
      <c r="V976" s="127"/>
      <c r="W976" s="20"/>
      <c r="X976" s="20"/>
      <c r="Y976" s="20"/>
      <c r="Z976" s="20"/>
      <c r="AA976" s="20"/>
      <c r="AB976" s="20"/>
      <c r="AC976" s="20"/>
      <c r="AD976" s="20"/>
      <c r="AE976" s="20"/>
      <c r="AF976" s="20"/>
    </row>
    <row r="977" spans="1:32" ht="19.5">
      <c r="A977" s="20"/>
      <c r="B977" s="20"/>
      <c r="C977" s="20"/>
      <c r="D977" s="20"/>
      <c r="E977" s="20"/>
      <c r="F977" s="20"/>
      <c r="G977" s="124"/>
      <c r="H977" s="20"/>
      <c r="I977" s="20"/>
      <c r="J977" s="20"/>
      <c r="K977" s="124"/>
      <c r="L977" s="127"/>
      <c r="M977" s="20"/>
      <c r="N977" s="20"/>
      <c r="O977" s="20"/>
      <c r="P977" s="124"/>
      <c r="Q977" s="127"/>
      <c r="R977" s="20"/>
      <c r="S977" s="20"/>
      <c r="T977" s="20"/>
      <c r="U977" s="124"/>
      <c r="V977" s="127"/>
      <c r="W977" s="20"/>
      <c r="X977" s="20"/>
      <c r="Y977" s="20"/>
      <c r="Z977" s="20"/>
      <c r="AA977" s="20"/>
      <c r="AB977" s="20"/>
      <c r="AC977" s="20"/>
      <c r="AD977" s="20"/>
      <c r="AE977" s="20"/>
      <c r="AF977" s="20"/>
    </row>
    <row r="978" spans="1:32" ht="19.5">
      <c r="A978" s="20"/>
      <c r="B978" s="20"/>
      <c r="C978" s="20"/>
      <c r="D978" s="20"/>
      <c r="E978" s="20"/>
      <c r="F978" s="20"/>
      <c r="G978" s="124"/>
      <c r="H978" s="20"/>
      <c r="I978" s="20"/>
      <c r="J978" s="20"/>
      <c r="K978" s="124"/>
      <c r="L978" s="127"/>
      <c r="M978" s="20"/>
      <c r="N978" s="20"/>
      <c r="O978" s="20"/>
      <c r="P978" s="124"/>
      <c r="Q978" s="127"/>
      <c r="R978" s="20"/>
      <c r="S978" s="20"/>
      <c r="T978" s="20"/>
      <c r="U978" s="124"/>
      <c r="V978" s="127"/>
      <c r="W978" s="20"/>
      <c r="X978" s="20"/>
      <c r="Y978" s="20"/>
      <c r="Z978" s="20"/>
      <c r="AA978" s="20"/>
      <c r="AB978" s="20"/>
      <c r="AC978" s="20"/>
      <c r="AD978" s="20"/>
      <c r="AE978" s="20"/>
      <c r="AF978" s="20"/>
    </row>
    <row r="979" spans="1:32" ht="19.5">
      <c r="A979" s="20"/>
      <c r="B979" s="20"/>
      <c r="C979" s="20"/>
      <c r="D979" s="20"/>
      <c r="E979" s="20"/>
      <c r="F979" s="20"/>
      <c r="G979" s="124"/>
      <c r="H979" s="20"/>
      <c r="I979" s="20"/>
      <c r="J979" s="20"/>
      <c r="K979" s="124"/>
      <c r="L979" s="127"/>
      <c r="M979" s="20"/>
      <c r="N979" s="20"/>
      <c r="O979" s="20"/>
      <c r="P979" s="124"/>
      <c r="Q979" s="127"/>
      <c r="R979" s="20"/>
      <c r="S979" s="20"/>
      <c r="T979" s="20"/>
      <c r="U979" s="124"/>
      <c r="V979" s="127"/>
      <c r="W979" s="20"/>
      <c r="X979" s="20"/>
      <c r="Y979" s="20"/>
      <c r="Z979" s="20"/>
      <c r="AA979" s="20"/>
      <c r="AB979" s="20"/>
      <c r="AC979" s="20"/>
      <c r="AD979" s="20"/>
      <c r="AE979" s="20"/>
      <c r="AF979" s="20"/>
    </row>
    <row r="980" spans="1:32" ht="19.5">
      <c r="A980" s="20"/>
      <c r="B980" s="20"/>
      <c r="C980" s="20"/>
      <c r="D980" s="20"/>
      <c r="E980" s="20"/>
      <c r="F980" s="20"/>
      <c r="G980" s="124"/>
      <c r="H980" s="20"/>
      <c r="I980" s="20"/>
      <c r="J980" s="20"/>
      <c r="K980" s="124"/>
      <c r="L980" s="127"/>
      <c r="M980" s="20"/>
      <c r="N980" s="20"/>
      <c r="O980" s="20"/>
      <c r="P980" s="124"/>
      <c r="Q980" s="127"/>
      <c r="R980" s="20"/>
      <c r="S980" s="20"/>
      <c r="T980" s="20"/>
      <c r="U980" s="124"/>
      <c r="V980" s="127"/>
      <c r="W980" s="20"/>
      <c r="X980" s="20"/>
      <c r="Y980" s="20"/>
      <c r="Z980" s="20"/>
      <c r="AA980" s="20"/>
      <c r="AB980" s="20"/>
      <c r="AC980" s="20"/>
      <c r="AD980" s="20"/>
      <c r="AE980" s="20"/>
      <c r="AF980" s="20"/>
    </row>
    <row r="981" spans="1:32" ht="19.5">
      <c r="A981" s="20"/>
      <c r="B981" s="20"/>
      <c r="C981" s="20"/>
      <c r="D981" s="20"/>
      <c r="E981" s="20"/>
      <c r="F981" s="20"/>
      <c r="G981" s="124"/>
      <c r="H981" s="20"/>
      <c r="I981" s="20"/>
      <c r="J981" s="20"/>
      <c r="K981" s="124"/>
      <c r="L981" s="127"/>
      <c r="M981" s="20"/>
      <c r="N981" s="20"/>
      <c r="O981" s="20"/>
      <c r="P981" s="124"/>
      <c r="Q981" s="127"/>
      <c r="R981" s="20"/>
      <c r="S981" s="20"/>
      <c r="T981" s="20"/>
      <c r="U981" s="124"/>
      <c r="V981" s="127"/>
      <c r="W981" s="20"/>
      <c r="X981" s="20"/>
      <c r="Y981" s="20"/>
      <c r="Z981" s="20"/>
      <c r="AA981" s="20"/>
      <c r="AB981" s="20"/>
      <c r="AC981" s="20"/>
      <c r="AD981" s="20"/>
      <c r="AE981" s="20"/>
      <c r="AF981" s="20"/>
    </row>
    <row r="982" spans="1:32" ht="19.5">
      <c r="A982" s="20"/>
      <c r="B982" s="20"/>
      <c r="C982" s="20"/>
      <c r="D982" s="20"/>
      <c r="E982" s="20"/>
      <c r="F982" s="20"/>
      <c r="G982" s="124"/>
      <c r="H982" s="20"/>
      <c r="I982" s="20"/>
      <c r="J982" s="20"/>
      <c r="K982" s="124"/>
      <c r="L982" s="127"/>
      <c r="M982" s="20"/>
      <c r="N982" s="20"/>
      <c r="O982" s="20"/>
      <c r="P982" s="124"/>
      <c r="Q982" s="127"/>
      <c r="R982" s="20"/>
      <c r="S982" s="20"/>
      <c r="T982" s="20"/>
      <c r="U982" s="124"/>
      <c r="V982" s="127"/>
      <c r="W982" s="20"/>
      <c r="X982" s="20"/>
      <c r="Y982" s="20"/>
      <c r="Z982" s="20"/>
      <c r="AA982" s="20"/>
      <c r="AB982" s="20"/>
      <c r="AC982" s="20"/>
      <c r="AD982" s="20"/>
      <c r="AE982" s="20"/>
      <c r="AF982" s="20"/>
    </row>
    <row r="983" spans="1:32" ht="19.5">
      <c r="A983" s="20"/>
      <c r="B983" s="20"/>
      <c r="C983" s="20"/>
      <c r="D983" s="20"/>
      <c r="E983" s="20"/>
      <c r="F983" s="20"/>
      <c r="G983" s="124"/>
      <c r="H983" s="20"/>
      <c r="I983" s="20"/>
      <c r="J983" s="20"/>
      <c r="K983" s="124"/>
      <c r="L983" s="127"/>
      <c r="M983" s="20"/>
      <c r="N983" s="20"/>
      <c r="O983" s="20"/>
      <c r="P983" s="124"/>
      <c r="Q983" s="127"/>
      <c r="R983" s="20"/>
      <c r="S983" s="20"/>
      <c r="T983" s="20"/>
      <c r="U983" s="124"/>
      <c r="V983" s="127"/>
      <c r="W983" s="20"/>
      <c r="X983" s="20"/>
      <c r="Y983" s="20"/>
      <c r="Z983" s="20"/>
      <c r="AA983" s="20"/>
      <c r="AB983" s="20"/>
      <c r="AC983" s="20"/>
      <c r="AD983" s="20"/>
      <c r="AE983" s="20"/>
      <c r="AF983" s="20"/>
    </row>
    <row r="984" spans="1:32" ht="19.5">
      <c r="A984" s="20"/>
      <c r="B984" s="20"/>
      <c r="C984" s="20"/>
      <c r="D984" s="20"/>
      <c r="E984" s="20"/>
      <c r="F984" s="20"/>
      <c r="G984" s="124"/>
      <c r="H984" s="20"/>
      <c r="I984" s="20"/>
      <c r="J984" s="20"/>
      <c r="K984" s="124"/>
      <c r="L984" s="127"/>
      <c r="M984" s="20"/>
      <c r="N984" s="20"/>
      <c r="O984" s="20"/>
      <c r="P984" s="124"/>
      <c r="Q984" s="127"/>
      <c r="R984" s="20"/>
      <c r="S984" s="20"/>
      <c r="T984" s="20"/>
      <c r="U984" s="124"/>
      <c r="V984" s="127"/>
      <c r="W984" s="20"/>
      <c r="X984" s="20"/>
      <c r="Y984" s="20"/>
      <c r="Z984" s="20"/>
      <c r="AA984" s="20"/>
      <c r="AB984" s="20"/>
      <c r="AC984" s="20"/>
      <c r="AD984" s="20"/>
      <c r="AE984" s="20"/>
      <c r="AF984" s="20"/>
    </row>
    <row r="985" spans="1:32" ht="19.5">
      <c r="A985" s="20"/>
      <c r="B985" s="20"/>
      <c r="C985" s="20"/>
      <c r="D985" s="20"/>
      <c r="E985" s="20"/>
      <c r="F985" s="20"/>
      <c r="G985" s="124"/>
      <c r="H985" s="20"/>
      <c r="I985" s="20"/>
      <c r="J985" s="20"/>
      <c r="K985" s="124"/>
      <c r="L985" s="127"/>
      <c r="M985" s="20"/>
      <c r="N985" s="20"/>
      <c r="O985" s="20"/>
      <c r="P985" s="124"/>
      <c r="Q985" s="127"/>
      <c r="R985" s="20"/>
      <c r="S985" s="20"/>
      <c r="T985" s="20"/>
      <c r="U985" s="124"/>
      <c r="V985" s="127"/>
      <c r="W985" s="20"/>
      <c r="X985" s="20"/>
      <c r="Y985" s="20"/>
      <c r="Z985" s="20"/>
      <c r="AA985" s="20"/>
      <c r="AB985" s="20"/>
      <c r="AC985" s="20"/>
      <c r="AD985" s="20"/>
      <c r="AE985" s="20"/>
      <c r="AF985" s="20"/>
    </row>
    <row r="986" spans="1:32" ht="19.5">
      <c r="A986" s="20"/>
      <c r="B986" s="20"/>
      <c r="C986" s="20"/>
      <c r="D986" s="20"/>
      <c r="E986" s="20"/>
      <c r="F986" s="20"/>
      <c r="G986" s="124"/>
      <c r="H986" s="20"/>
      <c r="I986" s="20"/>
      <c r="J986" s="20"/>
      <c r="K986" s="124"/>
      <c r="L986" s="127"/>
      <c r="M986" s="20"/>
      <c r="N986" s="20"/>
      <c r="O986" s="20"/>
      <c r="P986" s="124"/>
      <c r="Q986" s="127"/>
      <c r="R986" s="20"/>
      <c r="S986" s="20"/>
      <c r="T986" s="20"/>
      <c r="U986" s="124"/>
      <c r="V986" s="127"/>
      <c r="W986" s="20"/>
      <c r="X986" s="20"/>
      <c r="Y986" s="20"/>
      <c r="Z986" s="20"/>
      <c r="AA986" s="20"/>
      <c r="AB986" s="20"/>
      <c r="AC986" s="20"/>
      <c r="AD986" s="20"/>
      <c r="AE986" s="20"/>
      <c r="AF986" s="20"/>
    </row>
    <row r="987" spans="1:32" ht="19.5">
      <c r="A987" s="20"/>
      <c r="B987" s="20"/>
      <c r="C987" s="20"/>
      <c r="D987" s="20"/>
      <c r="E987" s="20"/>
      <c r="F987" s="20"/>
      <c r="G987" s="124"/>
      <c r="H987" s="20"/>
      <c r="I987" s="20"/>
      <c r="J987" s="20"/>
      <c r="K987" s="124"/>
      <c r="L987" s="127"/>
      <c r="M987" s="20"/>
      <c r="N987" s="20"/>
      <c r="O987" s="20"/>
      <c r="P987" s="124"/>
      <c r="Q987" s="127"/>
      <c r="R987" s="20"/>
      <c r="S987" s="20"/>
      <c r="T987" s="20"/>
      <c r="U987" s="124"/>
      <c r="V987" s="127"/>
      <c r="W987" s="20"/>
      <c r="X987" s="20"/>
      <c r="Y987" s="20"/>
      <c r="Z987" s="20"/>
      <c r="AA987" s="20"/>
      <c r="AB987" s="20"/>
      <c r="AC987" s="20"/>
      <c r="AD987" s="20"/>
      <c r="AE987" s="20"/>
      <c r="AF987" s="20"/>
    </row>
    <row r="988" spans="1:32" ht="19.5">
      <c r="A988" s="20"/>
      <c r="B988" s="20"/>
      <c r="C988" s="20"/>
      <c r="D988" s="20"/>
      <c r="E988" s="20"/>
      <c r="F988" s="20"/>
      <c r="G988" s="124"/>
      <c r="H988" s="20"/>
      <c r="I988" s="20"/>
      <c r="J988" s="20"/>
      <c r="K988" s="124"/>
      <c r="L988" s="127"/>
      <c r="M988" s="20"/>
      <c r="N988" s="20"/>
      <c r="O988" s="20"/>
      <c r="P988" s="124"/>
      <c r="Q988" s="127"/>
      <c r="R988" s="20"/>
      <c r="S988" s="20"/>
      <c r="T988" s="20"/>
      <c r="U988" s="124"/>
      <c r="V988" s="127"/>
      <c r="W988" s="20"/>
      <c r="X988" s="20"/>
      <c r="Y988" s="20"/>
      <c r="Z988" s="20"/>
      <c r="AA988" s="20"/>
      <c r="AB988" s="20"/>
      <c r="AC988" s="20"/>
      <c r="AD988" s="20"/>
      <c r="AE988" s="20"/>
      <c r="AF988" s="20"/>
    </row>
    <row r="989" spans="1:32" ht="19.5">
      <c r="A989" s="20"/>
      <c r="B989" s="20"/>
      <c r="C989" s="20"/>
      <c r="D989" s="20"/>
      <c r="E989" s="20"/>
      <c r="F989" s="20"/>
      <c r="G989" s="124"/>
      <c r="H989" s="20"/>
      <c r="I989" s="20"/>
      <c r="J989" s="20"/>
      <c r="K989" s="124"/>
      <c r="L989" s="127"/>
      <c r="M989" s="20"/>
      <c r="N989" s="20"/>
      <c r="O989" s="20"/>
      <c r="P989" s="124"/>
      <c r="Q989" s="127"/>
      <c r="R989" s="20"/>
      <c r="S989" s="20"/>
      <c r="T989" s="20"/>
      <c r="U989" s="124"/>
      <c r="V989" s="127"/>
      <c r="W989" s="20"/>
      <c r="X989" s="20"/>
      <c r="Y989" s="20"/>
      <c r="Z989" s="20"/>
      <c r="AA989" s="20"/>
      <c r="AB989" s="20"/>
      <c r="AC989" s="20"/>
      <c r="AD989" s="20"/>
      <c r="AE989" s="20"/>
      <c r="AF989" s="20"/>
    </row>
    <row r="990" spans="1:32" ht="19.5">
      <c r="A990" s="20"/>
      <c r="B990" s="20"/>
      <c r="C990" s="20"/>
      <c r="D990" s="20"/>
      <c r="E990" s="20"/>
      <c r="F990" s="20"/>
      <c r="G990" s="124"/>
      <c r="H990" s="20"/>
      <c r="I990" s="20"/>
      <c r="J990" s="20"/>
      <c r="K990" s="124"/>
      <c r="L990" s="127"/>
      <c r="M990" s="20"/>
      <c r="N990" s="20"/>
      <c r="O990" s="20"/>
      <c r="P990" s="124"/>
      <c r="Q990" s="127"/>
      <c r="R990" s="20"/>
      <c r="S990" s="20"/>
      <c r="T990" s="20"/>
      <c r="U990" s="124"/>
      <c r="V990" s="127"/>
      <c r="W990" s="20"/>
      <c r="X990" s="20"/>
      <c r="Y990" s="20"/>
      <c r="Z990" s="20"/>
      <c r="AA990" s="20"/>
      <c r="AB990" s="20"/>
      <c r="AC990" s="20"/>
      <c r="AD990" s="20"/>
      <c r="AE990" s="20"/>
      <c r="AF990" s="20"/>
    </row>
    <row r="991" spans="1:32" ht="19.5">
      <c r="A991" s="20"/>
      <c r="B991" s="20"/>
      <c r="C991" s="20"/>
      <c r="D991" s="20"/>
      <c r="E991" s="20"/>
      <c r="F991" s="20"/>
      <c r="G991" s="124"/>
      <c r="H991" s="20"/>
      <c r="I991" s="20"/>
      <c r="J991" s="20"/>
      <c r="K991" s="124"/>
      <c r="L991" s="127"/>
      <c r="M991" s="20"/>
      <c r="N991" s="20"/>
      <c r="O991" s="20"/>
      <c r="P991" s="124"/>
      <c r="Q991" s="127"/>
      <c r="R991" s="20"/>
      <c r="S991" s="20"/>
      <c r="T991" s="20"/>
      <c r="U991" s="124"/>
      <c r="V991" s="127"/>
      <c r="W991" s="20"/>
      <c r="X991" s="20"/>
      <c r="Y991" s="20"/>
      <c r="Z991" s="20"/>
      <c r="AA991" s="20"/>
      <c r="AB991" s="20"/>
      <c r="AC991" s="20"/>
      <c r="AD991" s="20"/>
      <c r="AE991" s="20"/>
      <c r="AF991" s="20"/>
    </row>
    <row r="992" spans="1:32" ht="19.5">
      <c r="A992" s="20"/>
      <c r="B992" s="20"/>
      <c r="C992" s="20"/>
      <c r="D992" s="20"/>
      <c r="E992" s="20"/>
      <c r="F992" s="20"/>
      <c r="G992" s="124"/>
      <c r="H992" s="20"/>
      <c r="I992" s="20"/>
      <c r="J992" s="20"/>
      <c r="K992" s="124"/>
      <c r="L992" s="127"/>
      <c r="M992" s="20"/>
      <c r="N992" s="20"/>
      <c r="O992" s="20"/>
      <c r="P992" s="124"/>
      <c r="Q992" s="127"/>
      <c r="R992" s="20"/>
      <c r="S992" s="20"/>
      <c r="T992" s="20"/>
      <c r="U992" s="124"/>
      <c r="V992" s="127"/>
      <c r="W992" s="20"/>
      <c r="X992" s="20"/>
      <c r="Y992" s="20"/>
      <c r="Z992" s="20"/>
      <c r="AA992" s="20"/>
      <c r="AB992" s="20"/>
      <c r="AC992" s="20"/>
      <c r="AD992" s="20"/>
      <c r="AE992" s="20"/>
      <c r="AF992" s="20"/>
    </row>
    <row r="993" spans="1:32" ht="19.5">
      <c r="A993" s="20"/>
      <c r="B993" s="20"/>
      <c r="C993" s="20"/>
      <c r="D993" s="20"/>
      <c r="E993" s="20"/>
      <c r="F993" s="20"/>
      <c r="G993" s="124"/>
      <c r="H993" s="20"/>
      <c r="I993" s="20"/>
      <c r="J993" s="20"/>
      <c r="K993" s="124"/>
      <c r="L993" s="127"/>
      <c r="M993" s="20"/>
      <c r="N993" s="20"/>
      <c r="O993" s="20"/>
      <c r="P993" s="124"/>
      <c r="Q993" s="127"/>
      <c r="R993" s="20"/>
      <c r="S993" s="20"/>
      <c r="T993" s="20"/>
      <c r="U993" s="124"/>
      <c r="V993" s="127"/>
      <c r="W993" s="20"/>
      <c r="X993" s="20"/>
      <c r="Y993" s="20"/>
      <c r="Z993" s="20"/>
      <c r="AA993" s="20"/>
      <c r="AB993" s="20"/>
      <c r="AC993" s="20"/>
      <c r="AD993" s="20"/>
      <c r="AE993" s="20"/>
      <c r="AF993" s="20"/>
    </row>
    <row r="994" spans="1:32" ht="19.5">
      <c r="A994" s="20"/>
      <c r="B994" s="20"/>
      <c r="C994" s="20"/>
      <c r="D994" s="20"/>
      <c r="E994" s="20"/>
      <c r="F994" s="20"/>
      <c r="G994" s="124"/>
      <c r="H994" s="20"/>
      <c r="I994" s="20"/>
      <c r="J994" s="20"/>
      <c r="K994" s="124"/>
      <c r="L994" s="127"/>
      <c r="M994" s="20"/>
      <c r="N994" s="20"/>
      <c r="O994" s="20"/>
      <c r="P994" s="124"/>
      <c r="Q994" s="127"/>
      <c r="R994" s="20"/>
      <c r="S994" s="20"/>
      <c r="T994" s="20"/>
      <c r="U994" s="124"/>
      <c r="V994" s="127"/>
      <c r="W994" s="20"/>
      <c r="X994" s="20"/>
      <c r="Y994" s="20"/>
      <c r="Z994" s="20"/>
      <c r="AA994" s="20"/>
      <c r="AB994" s="20"/>
      <c r="AC994" s="20"/>
      <c r="AD994" s="20"/>
      <c r="AE994" s="20"/>
      <c r="AF994" s="20"/>
    </row>
    <row r="995" spans="1:32" ht="19.5">
      <c r="A995" s="20"/>
      <c r="B995" s="20"/>
      <c r="C995" s="20"/>
      <c r="D995" s="20"/>
      <c r="E995" s="20"/>
      <c r="F995" s="20"/>
      <c r="G995" s="124"/>
      <c r="H995" s="20"/>
      <c r="I995" s="20"/>
      <c r="J995" s="20"/>
      <c r="K995" s="124"/>
      <c r="L995" s="127"/>
      <c r="M995" s="20"/>
      <c r="N995" s="20"/>
      <c r="O995" s="20"/>
      <c r="P995" s="124"/>
      <c r="Q995" s="127"/>
      <c r="R995" s="20"/>
      <c r="S995" s="20"/>
      <c r="T995" s="20"/>
      <c r="U995" s="124"/>
      <c r="V995" s="127"/>
      <c r="W995" s="20"/>
      <c r="X995" s="20"/>
      <c r="Y995" s="20"/>
      <c r="Z995" s="20"/>
      <c r="AA995" s="20"/>
      <c r="AB995" s="20"/>
      <c r="AC995" s="20"/>
      <c r="AD995" s="20"/>
      <c r="AE995" s="20"/>
      <c r="AF995" s="20"/>
    </row>
    <row r="996" spans="1:32" ht="19.5">
      <c r="A996" s="20"/>
      <c r="B996" s="20"/>
      <c r="C996" s="20"/>
      <c r="D996" s="20"/>
      <c r="E996" s="20"/>
      <c r="F996" s="20"/>
      <c r="G996" s="124"/>
      <c r="H996" s="20"/>
      <c r="I996" s="20"/>
      <c r="J996" s="20"/>
      <c r="K996" s="124"/>
      <c r="L996" s="127"/>
      <c r="M996" s="20"/>
      <c r="N996" s="20"/>
      <c r="O996" s="20"/>
      <c r="P996" s="124"/>
      <c r="Q996" s="127"/>
      <c r="R996" s="20"/>
      <c r="S996" s="20"/>
      <c r="T996" s="20"/>
      <c r="U996" s="124"/>
      <c r="V996" s="127"/>
      <c r="W996" s="20"/>
      <c r="X996" s="20"/>
      <c r="Y996" s="20"/>
      <c r="Z996" s="20"/>
      <c r="AA996" s="20"/>
      <c r="AB996" s="20"/>
      <c r="AC996" s="20"/>
      <c r="AD996" s="20"/>
      <c r="AE996" s="20"/>
      <c r="AF996" s="20"/>
    </row>
    <row r="997" spans="1:32" ht="19.5">
      <c r="A997" s="20"/>
      <c r="B997" s="20"/>
      <c r="C997" s="20"/>
      <c r="D997" s="20"/>
      <c r="E997" s="20"/>
      <c r="F997" s="20"/>
      <c r="G997" s="124"/>
      <c r="H997" s="20"/>
      <c r="I997" s="20"/>
      <c r="J997" s="20"/>
      <c r="K997" s="124"/>
      <c r="L997" s="127"/>
      <c r="M997" s="20"/>
      <c r="N997" s="20"/>
      <c r="O997" s="20"/>
      <c r="P997" s="124"/>
      <c r="Q997" s="127"/>
      <c r="R997" s="20"/>
      <c r="S997" s="20"/>
      <c r="T997" s="20"/>
      <c r="U997" s="124"/>
      <c r="V997" s="127"/>
      <c r="W997" s="20"/>
      <c r="X997" s="20"/>
      <c r="Y997" s="20"/>
      <c r="Z997" s="20"/>
      <c r="AA997" s="20"/>
      <c r="AB997" s="20"/>
      <c r="AC997" s="20"/>
      <c r="AD997" s="20"/>
      <c r="AE997" s="20"/>
      <c r="AF997" s="20"/>
    </row>
    <row r="998" spans="1:32" ht="19.5">
      <c r="A998" s="20"/>
      <c r="B998" s="20"/>
      <c r="C998" s="20"/>
      <c r="D998" s="20"/>
      <c r="E998" s="20"/>
      <c r="F998" s="20"/>
      <c r="G998" s="124"/>
      <c r="H998" s="20"/>
      <c r="I998" s="20"/>
      <c r="J998" s="20"/>
      <c r="K998" s="124"/>
      <c r="L998" s="127"/>
      <c r="M998" s="20"/>
      <c r="N998" s="20"/>
      <c r="O998" s="20"/>
      <c r="P998" s="124"/>
      <c r="Q998" s="127"/>
      <c r="R998" s="20"/>
      <c r="S998" s="20"/>
      <c r="T998" s="20"/>
      <c r="U998" s="124"/>
      <c r="V998" s="127"/>
      <c r="W998" s="20"/>
      <c r="X998" s="20"/>
      <c r="Y998" s="20"/>
      <c r="Z998" s="20"/>
      <c r="AA998" s="20"/>
      <c r="AB998" s="20"/>
      <c r="AC998" s="20"/>
      <c r="AD998" s="20"/>
      <c r="AE998" s="20"/>
      <c r="AF998" s="20"/>
    </row>
    <row r="999" spans="1:32" ht="19.5">
      <c r="A999" s="20"/>
      <c r="B999" s="20"/>
      <c r="C999" s="20"/>
      <c r="D999" s="20"/>
      <c r="E999" s="20"/>
      <c r="F999" s="20"/>
      <c r="G999" s="124"/>
      <c r="H999" s="20"/>
      <c r="I999" s="20"/>
      <c r="J999" s="20"/>
      <c r="K999" s="124"/>
      <c r="L999" s="127"/>
      <c r="M999" s="20"/>
      <c r="N999" s="20"/>
      <c r="O999" s="20"/>
      <c r="P999" s="124"/>
      <c r="Q999" s="127"/>
      <c r="R999" s="20"/>
      <c r="S999" s="20"/>
      <c r="T999" s="20"/>
      <c r="U999" s="124"/>
      <c r="V999" s="127"/>
      <c r="W999" s="20"/>
      <c r="X999" s="20"/>
      <c r="Y999" s="20"/>
      <c r="Z999" s="20"/>
      <c r="AA999" s="20"/>
      <c r="AB999" s="20"/>
      <c r="AC999" s="20"/>
      <c r="AD999" s="20"/>
      <c r="AE999" s="20"/>
      <c r="AF999" s="20"/>
    </row>
    <row r="1000" spans="1:32" ht="19.5">
      <c r="A1000" s="20"/>
      <c r="B1000" s="20"/>
      <c r="C1000" s="20"/>
      <c r="D1000" s="20"/>
      <c r="E1000" s="20"/>
      <c r="F1000" s="20"/>
      <c r="G1000" s="124"/>
      <c r="H1000" s="20"/>
      <c r="I1000" s="20"/>
      <c r="J1000" s="20"/>
      <c r="K1000" s="124"/>
      <c r="L1000" s="127"/>
      <c r="M1000" s="20"/>
      <c r="N1000" s="20"/>
      <c r="O1000" s="20"/>
      <c r="P1000" s="124"/>
      <c r="Q1000" s="127"/>
      <c r="R1000" s="20"/>
      <c r="S1000" s="20"/>
      <c r="T1000" s="20"/>
      <c r="U1000" s="124"/>
      <c r="V1000" s="127"/>
      <c r="W1000" s="20"/>
      <c r="X1000" s="20"/>
      <c r="Y1000" s="20"/>
      <c r="Z1000" s="20"/>
      <c r="AA1000" s="20"/>
      <c r="AB1000" s="20"/>
      <c r="AC1000" s="20"/>
      <c r="AD1000" s="20"/>
      <c r="AE1000" s="20"/>
      <c r="AF1000" s="20"/>
    </row>
    <row r="1001" spans="1:32" ht="19.5">
      <c r="A1001" s="20"/>
      <c r="B1001" s="20"/>
      <c r="C1001" s="20"/>
      <c r="D1001" s="20"/>
      <c r="E1001" s="20"/>
      <c r="F1001" s="20"/>
      <c r="G1001" s="124"/>
      <c r="H1001" s="20"/>
      <c r="I1001" s="20"/>
      <c r="J1001" s="20"/>
      <c r="K1001" s="124"/>
      <c r="L1001" s="127"/>
      <c r="M1001" s="20"/>
      <c r="N1001" s="20"/>
      <c r="O1001" s="20"/>
      <c r="P1001" s="124"/>
      <c r="Q1001" s="127"/>
      <c r="R1001" s="20"/>
      <c r="S1001" s="20"/>
      <c r="T1001" s="20"/>
      <c r="U1001" s="124"/>
      <c r="V1001" s="127"/>
      <c r="W1001" s="20"/>
      <c r="X1001" s="20"/>
      <c r="Y1001" s="20"/>
      <c r="Z1001" s="20"/>
      <c r="AA1001" s="20"/>
      <c r="AB1001" s="20"/>
      <c r="AC1001" s="20"/>
      <c r="AD1001" s="20"/>
      <c r="AE1001" s="20"/>
      <c r="AF1001" s="20"/>
    </row>
    <row r="1002" spans="1:32" ht="19.5">
      <c r="A1002" s="20"/>
      <c r="B1002" s="20"/>
      <c r="C1002" s="20"/>
      <c r="D1002" s="20"/>
      <c r="E1002" s="20"/>
      <c r="F1002" s="20"/>
      <c r="G1002" s="124"/>
      <c r="H1002" s="20"/>
      <c r="I1002" s="20"/>
      <c r="J1002" s="20"/>
      <c r="K1002" s="124"/>
      <c r="L1002" s="127"/>
      <c r="M1002" s="20"/>
      <c r="N1002" s="20"/>
      <c r="O1002" s="20"/>
      <c r="P1002" s="124"/>
      <c r="Q1002" s="127"/>
      <c r="R1002" s="20"/>
      <c r="S1002" s="20"/>
      <c r="T1002" s="20"/>
      <c r="U1002" s="124"/>
      <c r="V1002" s="127"/>
      <c r="W1002" s="20"/>
      <c r="X1002" s="20"/>
      <c r="Y1002" s="20"/>
      <c r="Z1002" s="20"/>
      <c r="AA1002" s="20"/>
      <c r="AB1002" s="20"/>
      <c r="AC1002" s="20"/>
      <c r="AD1002" s="20"/>
      <c r="AE1002" s="20"/>
      <c r="AF1002" s="20"/>
    </row>
    <row r="1003" spans="1:32" ht="19.5">
      <c r="A1003" s="20"/>
      <c r="B1003" s="20"/>
      <c r="C1003" s="20"/>
      <c r="D1003" s="20"/>
      <c r="E1003" s="20"/>
      <c r="F1003" s="20"/>
      <c r="G1003" s="124"/>
      <c r="H1003" s="20"/>
      <c r="I1003" s="20"/>
      <c r="J1003" s="20"/>
      <c r="K1003" s="124"/>
      <c r="L1003" s="127"/>
      <c r="M1003" s="20"/>
      <c r="N1003" s="20"/>
      <c r="O1003" s="20"/>
      <c r="P1003" s="124"/>
      <c r="Q1003" s="127"/>
      <c r="R1003" s="20"/>
      <c r="S1003" s="20"/>
      <c r="T1003" s="20"/>
      <c r="U1003" s="124"/>
      <c r="V1003" s="127"/>
      <c r="W1003" s="20"/>
      <c r="X1003" s="20"/>
      <c r="Y1003" s="20"/>
      <c r="Z1003" s="20"/>
      <c r="AA1003" s="20"/>
      <c r="AB1003" s="20"/>
      <c r="AC1003" s="20"/>
      <c r="AD1003" s="20"/>
      <c r="AE1003" s="20"/>
      <c r="AF1003" s="20"/>
    </row>
    <row r="1004" spans="1:32" ht="19.5">
      <c r="A1004" s="20"/>
      <c r="B1004" s="20"/>
      <c r="C1004" s="20"/>
      <c r="D1004" s="20"/>
      <c r="E1004" s="20"/>
      <c r="F1004" s="20"/>
      <c r="G1004" s="124"/>
      <c r="H1004" s="20"/>
      <c r="I1004" s="20"/>
      <c r="J1004" s="20"/>
      <c r="K1004" s="124"/>
      <c r="L1004" s="127"/>
      <c r="M1004" s="20"/>
      <c r="N1004" s="20"/>
      <c r="O1004" s="20"/>
      <c r="P1004" s="124"/>
      <c r="Q1004" s="127"/>
      <c r="R1004" s="20"/>
      <c r="S1004" s="20"/>
      <c r="T1004" s="20"/>
      <c r="U1004" s="124"/>
      <c r="V1004" s="127"/>
      <c r="W1004" s="20"/>
      <c r="X1004" s="20"/>
      <c r="Y1004" s="20"/>
      <c r="Z1004" s="20"/>
      <c r="AA1004" s="20"/>
      <c r="AB1004" s="20"/>
      <c r="AC1004" s="20"/>
      <c r="AD1004" s="20"/>
      <c r="AE1004" s="20"/>
      <c r="AF1004" s="20"/>
    </row>
    <row r="1005" spans="1:32" ht="19.5">
      <c r="A1005" s="20"/>
      <c r="B1005" s="20"/>
      <c r="C1005" s="20"/>
      <c r="D1005" s="20"/>
      <c r="E1005" s="20"/>
      <c r="F1005" s="20"/>
      <c r="G1005" s="124"/>
      <c r="H1005" s="20"/>
      <c r="I1005" s="20"/>
      <c r="J1005" s="20"/>
      <c r="K1005" s="124"/>
      <c r="L1005" s="127"/>
      <c r="M1005" s="20"/>
      <c r="N1005" s="20"/>
      <c r="O1005" s="20"/>
      <c r="P1005" s="124"/>
      <c r="Q1005" s="127"/>
      <c r="R1005" s="20"/>
      <c r="S1005" s="20"/>
      <c r="T1005" s="20"/>
      <c r="U1005" s="124"/>
      <c r="V1005" s="127"/>
      <c r="W1005" s="20"/>
      <c r="X1005" s="20"/>
      <c r="Y1005" s="20"/>
      <c r="Z1005" s="20"/>
      <c r="AA1005" s="20"/>
      <c r="AB1005" s="20"/>
      <c r="AC1005" s="20"/>
      <c r="AD1005" s="20"/>
      <c r="AE1005" s="20"/>
      <c r="AF1005" s="20"/>
    </row>
    <row r="1006" spans="1:32" ht="19.5">
      <c r="A1006" s="20"/>
      <c r="B1006" s="20"/>
      <c r="C1006" s="20"/>
      <c r="D1006" s="20"/>
      <c r="E1006" s="20"/>
      <c r="F1006" s="20"/>
      <c r="G1006" s="124"/>
      <c r="H1006" s="20"/>
      <c r="I1006" s="20"/>
      <c r="J1006" s="20"/>
      <c r="K1006" s="124"/>
      <c r="L1006" s="127"/>
      <c r="M1006" s="20"/>
      <c r="N1006" s="20"/>
      <c r="O1006" s="20"/>
      <c r="P1006" s="124"/>
      <c r="Q1006" s="127"/>
      <c r="R1006" s="20"/>
      <c r="S1006" s="20"/>
      <c r="T1006" s="20"/>
      <c r="U1006" s="124"/>
      <c r="V1006" s="127"/>
      <c r="W1006" s="20"/>
      <c r="X1006" s="20"/>
      <c r="Y1006" s="20"/>
      <c r="Z1006" s="20"/>
      <c r="AA1006" s="20"/>
      <c r="AB1006" s="20"/>
      <c r="AC1006" s="20"/>
      <c r="AD1006" s="20"/>
      <c r="AE1006" s="20"/>
      <c r="AF1006" s="20"/>
    </row>
    <row r="1007" spans="1:32" ht="19.5">
      <c r="A1007" s="20"/>
      <c r="B1007" s="20"/>
      <c r="C1007" s="20"/>
      <c r="D1007" s="20"/>
      <c r="E1007" s="20"/>
      <c r="F1007" s="20"/>
      <c r="G1007" s="124"/>
      <c r="H1007" s="20"/>
      <c r="I1007" s="20"/>
      <c r="J1007" s="20"/>
      <c r="K1007" s="124"/>
      <c r="L1007" s="127"/>
      <c r="M1007" s="20"/>
      <c r="N1007" s="20"/>
      <c r="O1007" s="20"/>
      <c r="P1007" s="124"/>
      <c r="Q1007" s="127"/>
      <c r="R1007" s="20"/>
      <c r="S1007" s="20"/>
      <c r="T1007" s="20"/>
      <c r="U1007" s="124"/>
      <c r="V1007" s="127"/>
      <c r="W1007" s="20"/>
      <c r="X1007" s="20"/>
      <c r="Y1007" s="20"/>
      <c r="Z1007" s="20"/>
      <c r="AA1007" s="20"/>
      <c r="AB1007" s="20"/>
      <c r="AC1007" s="20"/>
      <c r="AD1007" s="20"/>
      <c r="AE1007" s="20"/>
      <c r="AF1007" s="20"/>
    </row>
    <row r="1008" spans="1:32" ht="19.5">
      <c r="A1008" s="20"/>
      <c r="B1008" s="20"/>
      <c r="C1008" s="20"/>
      <c r="D1008" s="20"/>
      <c r="E1008" s="20"/>
      <c r="F1008" s="20"/>
      <c r="G1008" s="124"/>
      <c r="H1008" s="20"/>
      <c r="I1008" s="20"/>
      <c r="J1008" s="20"/>
      <c r="K1008" s="124"/>
      <c r="L1008" s="127"/>
      <c r="M1008" s="20"/>
      <c r="N1008" s="20"/>
      <c r="O1008" s="20"/>
      <c r="P1008" s="124"/>
      <c r="Q1008" s="127"/>
      <c r="R1008" s="20"/>
      <c r="S1008" s="20"/>
      <c r="T1008" s="20"/>
      <c r="U1008" s="124"/>
      <c r="V1008" s="127"/>
      <c r="W1008" s="20"/>
      <c r="X1008" s="20"/>
      <c r="Y1008" s="20"/>
      <c r="Z1008" s="20"/>
      <c r="AA1008" s="20"/>
      <c r="AB1008" s="20"/>
      <c r="AC1008" s="20"/>
      <c r="AD1008" s="20"/>
      <c r="AE1008" s="20"/>
      <c r="AF1008" s="20"/>
    </row>
    <row r="1009" spans="1:32" ht="19.5">
      <c r="A1009" s="20"/>
      <c r="B1009" s="20"/>
      <c r="C1009" s="20"/>
      <c r="D1009" s="20"/>
      <c r="E1009" s="20"/>
      <c r="F1009" s="20"/>
      <c r="G1009" s="124"/>
      <c r="H1009" s="20"/>
      <c r="I1009" s="20"/>
      <c r="J1009" s="20"/>
      <c r="K1009" s="124"/>
      <c r="L1009" s="127"/>
      <c r="M1009" s="20"/>
      <c r="N1009" s="20"/>
      <c r="O1009" s="20"/>
      <c r="P1009" s="124"/>
      <c r="Q1009" s="127"/>
      <c r="R1009" s="20"/>
      <c r="S1009" s="20"/>
      <c r="T1009" s="20"/>
      <c r="U1009" s="124"/>
      <c r="V1009" s="127"/>
      <c r="W1009" s="20"/>
      <c r="X1009" s="20"/>
      <c r="Y1009" s="20"/>
      <c r="Z1009" s="20"/>
      <c r="AA1009" s="20"/>
      <c r="AB1009" s="20"/>
      <c r="AC1009" s="20"/>
      <c r="AD1009" s="20"/>
      <c r="AE1009" s="20"/>
      <c r="AF1009" s="20"/>
    </row>
    <row r="1010" spans="1:32" ht="19.5">
      <c r="A1010" s="20"/>
      <c r="B1010" s="20"/>
      <c r="C1010" s="20"/>
      <c r="D1010" s="20"/>
      <c r="E1010" s="20"/>
      <c r="F1010" s="20"/>
      <c r="G1010" s="124"/>
      <c r="H1010" s="20"/>
      <c r="I1010" s="20"/>
      <c r="J1010" s="20"/>
      <c r="K1010" s="124"/>
      <c r="L1010" s="127"/>
      <c r="M1010" s="20"/>
      <c r="N1010" s="20"/>
      <c r="O1010" s="20"/>
      <c r="P1010" s="124"/>
      <c r="Q1010" s="127"/>
      <c r="R1010" s="20"/>
      <c r="S1010" s="20"/>
      <c r="T1010" s="20"/>
      <c r="U1010" s="124"/>
      <c r="V1010" s="127"/>
      <c r="W1010" s="20"/>
      <c r="X1010" s="20"/>
      <c r="Y1010" s="20"/>
      <c r="Z1010" s="20"/>
      <c r="AA1010" s="20"/>
      <c r="AB1010" s="20"/>
      <c r="AC1010" s="20"/>
      <c r="AD1010" s="20"/>
      <c r="AE1010" s="20"/>
      <c r="AF1010" s="20"/>
    </row>
    <row r="1011" spans="1:32" ht="19.5">
      <c r="A1011" s="20"/>
      <c r="B1011" s="20"/>
      <c r="C1011" s="20"/>
      <c r="D1011" s="20"/>
      <c r="E1011" s="20"/>
      <c r="F1011" s="20"/>
      <c r="G1011" s="124"/>
      <c r="H1011" s="20"/>
      <c r="I1011" s="20"/>
      <c r="J1011" s="20"/>
      <c r="K1011" s="124"/>
      <c r="L1011" s="127"/>
      <c r="M1011" s="20"/>
      <c r="N1011" s="20"/>
      <c r="O1011" s="20"/>
      <c r="P1011" s="124"/>
      <c r="Q1011" s="127"/>
      <c r="R1011" s="20"/>
      <c r="S1011" s="20"/>
      <c r="T1011" s="20"/>
      <c r="U1011" s="124"/>
      <c r="V1011" s="127"/>
      <c r="W1011" s="20"/>
      <c r="X1011" s="20"/>
      <c r="Y1011" s="20"/>
      <c r="Z1011" s="20"/>
      <c r="AA1011" s="20"/>
      <c r="AB1011" s="20"/>
      <c r="AC1011" s="20"/>
      <c r="AD1011" s="20"/>
      <c r="AE1011" s="20"/>
      <c r="AF1011" s="20"/>
    </row>
    <row r="1012" spans="1:32" ht="19.5">
      <c r="A1012" s="20"/>
      <c r="B1012" s="20"/>
      <c r="C1012" s="20"/>
      <c r="D1012" s="20"/>
      <c r="E1012" s="20"/>
      <c r="F1012" s="20"/>
      <c r="G1012" s="124"/>
      <c r="H1012" s="20"/>
      <c r="I1012" s="20"/>
      <c r="J1012" s="20"/>
      <c r="K1012" s="124"/>
      <c r="L1012" s="127"/>
      <c r="M1012" s="20"/>
      <c r="N1012" s="20"/>
      <c r="O1012" s="20"/>
      <c r="P1012" s="124"/>
      <c r="Q1012" s="127"/>
      <c r="R1012" s="20"/>
      <c r="S1012" s="20"/>
      <c r="T1012" s="20"/>
      <c r="U1012" s="124"/>
      <c r="V1012" s="127"/>
      <c r="W1012" s="20"/>
      <c r="X1012" s="20"/>
      <c r="Y1012" s="20"/>
      <c r="Z1012" s="20"/>
      <c r="AA1012" s="20"/>
      <c r="AB1012" s="20"/>
      <c r="AC1012" s="20"/>
      <c r="AD1012" s="20"/>
      <c r="AE1012" s="20"/>
      <c r="AF1012" s="20"/>
    </row>
    <row r="1013" spans="1:32" ht="19.5">
      <c r="A1013" s="20"/>
      <c r="B1013" s="20"/>
      <c r="C1013" s="20"/>
      <c r="D1013" s="20"/>
      <c r="E1013" s="20"/>
      <c r="F1013" s="20"/>
      <c r="G1013" s="124"/>
      <c r="H1013" s="20"/>
      <c r="I1013" s="20"/>
      <c r="J1013" s="20"/>
      <c r="K1013" s="124"/>
      <c r="L1013" s="127"/>
      <c r="M1013" s="20"/>
      <c r="N1013" s="20"/>
      <c r="O1013" s="20"/>
      <c r="P1013" s="124"/>
      <c r="Q1013" s="127"/>
      <c r="R1013" s="20"/>
      <c r="S1013" s="20"/>
      <c r="T1013" s="20"/>
      <c r="U1013" s="124"/>
      <c r="V1013" s="127"/>
      <c r="W1013" s="20"/>
      <c r="X1013" s="20"/>
      <c r="Y1013" s="20"/>
      <c r="Z1013" s="20"/>
      <c r="AA1013" s="20"/>
      <c r="AB1013" s="20"/>
      <c r="AC1013" s="20"/>
      <c r="AD1013" s="20"/>
      <c r="AE1013" s="20"/>
      <c r="AF1013" s="20"/>
    </row>
    <row r="1014" spans="1:32" ht="19.5">
      <c r="A1014" s="20"/>
      <c r="B1014" s="20"/>
      <c r="C1014" s="20"/>
      <c r="D1014" s="20"/>
      <c r="E1014" s="20"/>
      <c r="F1014" s="20"/>
      <c r="G1014" s="124"/>
      <c r="H1014" s="20"/>
      <c r="I1014" s="20"/>
      <c r="J1014" s="20"/>
      <c r="K1014" s="124"/>
      <c r="L1014" s="127"/>
      <c r="M1014" s="20"/>
      <c r="N1014" s="20"/>
      <c r="O1014" s="20"/>
      <c r="P1014" s="124"/>
      <c r="Q1014" s="127"/>
      <c r="R1014" s="20"/>
      <c r="S1014" s="20"/>
      <c r="T1014" s="20"/>
      <c r="U1014" s="124"/>
      <c r="V1014" s="127"/>
      <c r="W1014" s="20"/>
      <c r="X1014" s="20"/>
      <c r="Y1014" s="20"/>
      <c r="Z1014" s="20"/>
      <c r="AA1014" s="20"/>
      <c r="AB1014" s="20"/>
      <c r="AC1014" s="20"/>
      <c r="AD1014" s="20"/>
      <c r="AE1014" s="20"/>
      <c r="AF1014" s="20"/>
    </row>
    <row r="1015" spans="1:32" ht="19.5">
      <c r="A1015" s="20"/>
      <c r="B1015" s="20"/>
      <c r="C1015" s="20"/>
      <c r="D1015" s="20"/>
      <c r="E1015" s="20"/>
      <c r="F1015" s="20"/>
      <c r="G1015" s="124"/>
      <c r="H1015" s="20"/>
      <c r="I1015" s="20"/>
      <c r="J1015" s="20"/>
      <c r="K1015" s="124"/>
      <c r="L1015" s="127"/>
      <c r="M1015" s="20"/>
      <c r="N1015" s="20"/>
      <c r="O1015" s="20"/>
      <c r="P1015" s="124"/>
      <c r="Q1015" s="127"/>
      <c r="R1015" s="20"/>
      <c r="S1015" s="20"/>
      <c r="T1015" s="20"/>
      <c r="U1015" s="124"/>
      <c r="V1015" s="127"/>
      <c r="W1015" s="20"/>
      <c r="X1015" s="20"/>
      <c r="Y1015" s="20"/>
      <c r="Z1015" s="20"/>
      <c r="AA1015" s="20"/>
      <c r="AB1015" s="20"/>
      <c r="AC1015" s="20"/>
      <c r="AD1015" s="20"/>
      <c r="AE1015" s="20"/>
      <c r="AF1015" s="20"/>
    </row>
    <row r="1016" spans="1:32" ht="19.5">
      <c r="A1016" s="20"/>
      <c r="B1016" s="20"/>
      <c r="C1016" s="20"/>
      <c r="D1016" s="20"/>
      <c r="E1016" s="20"/>
      <c r="F1016" s="20"/>
      <c r="G1016" s="124"/>
      <c r="H1016" s="20"/>
      <c r="I1016" s="20"/>
      <c r="J1016" s="20"/>
      <c r="K1016" s="124"/>
      <c r="L1016" s="127"/>
      <c r="M1016" s="20"/>
      <c r="N1016" s="20"/>
      <c r="O1016" s="20"/>
      <c r="P1016" s="124"/>
      <c r="Q1016" s="127"/>
      <c r="R1016" s="20"/>
      <c r="S1016" s="20"/>
      <c r="T1016" s="20"/>
      <c r="U1016" s="124"/>
      <c r="V1016" s="127"/>
      <c r="W1016" s="20"/>
      <c r="X1016" s="20"/>
      <c r="Y1016" s="20"/>
      <c r="Z1016" s="20"/>
      <c r="AA1016" s="20"/>
      <c r="AB1016" s="20"/>
      <c r="AC1016" s="20"/>
      <c r="AD1016" s="20"/>
      <c r="AE1016" s="20"/>
      <c r="AF1016" s="20"/>
    </row>
    <row r="1017" spans="1:32" ht="19.5">
      <c r="A1017" s="20"/>
      <c r="B1017" s="20"/>
      <c r="C1017" s="20"/>
      <c r="D1017" s="20"/>
      <c r="E1017" s="20"/>
      <c r="F1017" s="20"/>
      <c r="G1017" s="124"/>
      <c r="H1017" s="20"/>
      <c r="I1017" s="20"/>
      <c r="J1017" s="20"/>
      <c r="K1017" s="124"/>
      <c r="L1017" s="127"/>
      <c r="M1017" s="20"/>
      <c r="N1017" s="20"/>
      <c r="O1017" s="20"/>
      <c r="P1017" s="124"/>
      <c r="Q1017" s="127"/>
      <c r="R1017" s="20"/>
      <c r="S1017" s="20"/>
      <c r="T1017" s="20"/>
      <c r="U1017" s="124"/>
      <c r="V1017" s="127"/>
      <c r="W1017" s="20"/>
      <c r="X1017" s="20"/>
      <c r="Y1017" s="20"/>
      <c r="Z1017" s="20"/>
      <c r="AA1017" s="20"/>
      <c r="AB1017" s="20"/>
      <c r="AC1017" s="20"/>
      <c r="AD1017" s="20"/>
      <c r="AE1017" s="20"/>
      <c r="AF1017" s="20"/>
    </row>
    <row r="1018" spans="1:32" ht="19.5">
      <c r="A1018" s="20"/>
      <c r="B1018" s="20"/>
      <c r="C1018" s="20"/>
      <c r="D1018" s="20"/>
      <c r="E1018" s="20"/>
      <c r="F1018" s="20"/>
      <c r="G1018" s="124"/>
      <c r="H1018" s="20"/>
      <c r="I1018" s="20"/>
      <c r="J1018" s="20"/>
      <c r="K1018" s="124"/>
      <c r="L1018" s="127"/>
      <c r="M1018" s="20"/>
      <c r="N1018" s="20"/>
      <c r="O1018" s="20"/>
      <c r="P1018" s="124"/>
      <c r="Q1018" s="127"/>
      <c r="R1018" s="20"/>
      <c r="S1018" s="20"/>
      <c r="T1018" s="20"/>
      <c r="U1018" s="124"/>
      <c r="V1018" s="127"/>
      <c r="W1018" s="20"/>
      <c r="X1018" s="20"/>
      <c r="Y1018" s="20"/>
      <c r="Z1018" s="20"/>
      <c r="AA1018" s="20"/>
      <c r="AB1018" s="20"/>
      <c r="AC1018" s="20"/>
      <c r="AD1018" s="20"/>
      <c r="AE1018" s="20"/>
      <c r="AF1018" s="20"/>
    </row>
    <row r="1019" spans="1:32" ht="14.25" customHeight="1"/>
    <row r="1020" spans="1:32" ht="14.25" customHeight="1"/>
    <row r="1021" spans="1:32" ht="14.25" customHeight="1"/>
    <row r="1022" spans="1:32" ht="14.25" customHeight="1"/>
    <row r="1023" spans="1:32" ht="14.25" customHeight="1"/>
    <row r="1024" spans="1:32" ht="14.25" customHeight="1"/>
    <row r="1025" ht="14.25" customHeight="1"/>
    <row r="1026" ht="14.25" customHeight="1"/>
    <row r="1027" ht="14.25" customHeight="1"/>
    <row r="1028" ht="14.25" customHeight="1"/>
    <row r="1029" ht="14.25" customHeight="1"/>
    <row r="1030" ht="14.25" customHeight="1"/>
    <row r="1031" ht="14.25" customHeight="1"/>
    <row r="1032" ht="14.25" customHeight="1"/>
    <row r="1033" ht="14.25" customHeight="1"/>
    <row r="1034" ht="14.25" customHeight="1"/>
    <row r="1035" ht="14.25" customHeight="1"/>
    <row r="1036" ht="14.25" customHeight="1"/>
    <row r="1037" ht="14.25" customHeight="1"/>
    <row r="1038" ht="14.25" customHeight="1"/>
    <row r="1039" ht="14.25" customHeight="1"/>
    <row r="1040" ht="14.25" customHeight="1"/>
    <row r="1041" ht="14.25" customHeight="1"/>
    <row r="1042" ht="14.25" customHeight="1"/>
    <row r="1043" ht="14.25" customHeight="1"/>
    <row r="1044" ht="14.25" customHeight="1"/>
    <row r="1045" ht="14.25" customHeight="1"/>
    <row r="1046" ht="14.25" customHeight="1"/>
    <row r="1047" ht="14.25" customHeight="1"/>
    <row r="1048" ht="14.25" customHeight="1"/>
  </sheetData>
  <mergeCells count="1">
    <mergeCell ref="C60:D60"/>
  </mergeCells>
  <conditionalFormatting sqref="E7:X8">
    <cfRule type="colorScale" priority="8">
      <colorScale>
        <cfvo type="min"/>
        <cfvo type="formula" val="0"/>
        <cfvo type="max"/>
        <color rgb="FFE67C73"/>
        <color rgb="FFFFFFFF"/>
        <color rgb="FF57BB8A"/>
      </colorScale>
    </cfRule>
  </conditionalFormatting>
  <conditionalFormatting sqref="I24:W24">
    <cfRule type="colorScale" priority="11">
      <colorScale>
        <cfvo type="min"/>
        <cfvo type="formula" val="0"/>
        <cfvo type="max"/>
        <color rgb="FFE67C73"/>
        <color rgb="FFFFFFFF"/>
        <color rgb="FF57BB8A"/>
      </colorScale>
    </cfRule>
  </conditionalFormatting>
  <conditionalFormatting sqref="R17:AA18 I18:Q18">
    <cfRule type="colorScale" priority="10">
      <colorScale>
        <cfvo type="min"/>
        <cfvo type="formula" val="0"/>
        <color rgb="FFFFFFFF"/>
        <color rgb="FFE67C73"/>
      </colorScale>
    </cfRule>
  </conditionalFormatting>
  <conditionalFormatting sqref="R17:AF18 AG18 I18:Q18">
    <cfRule type="colorScale" priority="9">
      <colorScale>
        <cfvo type="min"/>
        <cfvo type="formula" val="0"/>
        <cfvo type="max"/>
        <color rgb="FFE67C73"/>
        <color rgb="FFFFFFFF"/>
        <color rgb="FF57BB8A"/>
      </colorScale>
    </cfRule>
  </conditionalFormatting>
  <conditionalFormatting sqref="AA1:AG1">
    <cfRule type="containsText" dxfId="3" priority="6" operator="containsText" text="bull">
      <formula>NOT(ISERROR(SEARCH("bull",AA1)))</formula>
    </cfRule>
    <cfRule type="containsText" dxfId="2" priority="7" operator="containsText" text="bear">
      <formula>NOT(ISERROR(SEARCH("bear",AA1)))</formula>
    </cfRule>
  </conditionalFormatting>
  <conditionalFormatting sqref="AC13">
    <cfRule type="colorScale" priority="5">
      <colorScale>
        <cfvo type="min"/>
        <cfvo type="formula" val="0"/>
        <cfvo type="max"/>
        <color rgb="FFE67C73"/>
        <color rgb="FFFFFFFF"/>
        <color rgb="FF57BB8A"/>
      </colorScale>
    </cfRule>
  </conditionalFormatting>
  <conditionalFormatting sqref="AD13">
    <cfRule type="colorScale" priority="4">
      <colorScale>
        <cfvo type="min"/>
        <cfvo type="formula" val="0"/>
        <cfvo type="max"/>
        <color rgb="FFE67C73"/>
        <color rgb="FFFFFFFF"/>
        <color rgb="FF57BB8A"/>
      </colorScale>
    </cfRule>
  </conditionalFormatting>
  <conditionalFormatting sqref="AE13">
    <cfRule type="colorScale" priority="3">
      <colorScale>
        <cfvo type="min"/>
        <cfvo type="formula" val="0"/>
        <cfvo type="max"/>
        <color rgb="FFE67C73"/>
        <color rgb="FFFFFFFF"/>
        <color rgb="FF57BB8A"/>
      </colorScale>
    </cfRule>
  </conditionalFormatting>
  <conditionalFormatting sqref="AF13">
    <cfRule type="colorScale" priority="2">
      <colorScale>
        <cfvo type="min"/>
        <cfvo type="formula" val="0"/>
        <cfvo type="max"/>
        <color rgb="FFE67C73"/>
        <color rgb="FFFFFFFF"/>
        <color rgb="FF57BB8A"/>
      </colorScale>
    </cfRule>
  </conditionalFormatting>
  <conditionalFormatting sqref="AG13">
    <cfRule type="colorScale" priority="1">
      <colorScale>
        <cfvo type="min"/>
        <cfvo type="formula" val="0"/>
        <cfvo type="max"/>
        <color rgb="FFE67C73"/>
        <color rgb="FFFFFFFF"/>
        <color rgb="FF57BB8A"/>
      </colorScale>
    </cfRule>
  </conditionalFormatting>
  <conditionalFormatting sqref="I13:AB13">
    <cfRule type="colorScale" priority="52">
      <colorScale>
        <cfvo type="min"/>
        <cfvo type="formula" val="0"/>
        <cfvo type="max"/>
        <color rgb="FFE67C73"/>
        <color rgb="FFFFFFFF"/>
        <color rgb="FF57BB8A"/>
      </colorScale>
    </cfRule>
  </conditionalFormatting>
  <conditionalFormatting sqref="Y7:AF7 Y8:AG8">
    <cfRule type="colorScale" priority="59">
      <colorScale>
        <cfvo type="min"/>
        <cfvo type="formula" val="0"/>
        <cfvo type="max"/>
        <color rgb="FFE67C73"/>
        <color rgb="FFFFFFFF"/>
        <color rgb="FF57BB8A"/>
      </colorScale>
    </cfRule>
  </conditionalFormatting>
  <hyperlinks>
    <hyperlink ref="A31" r:id="rId1" xr:uid="{40AC35A0-87A9-4C9E-952B-C71E938BF8AE}"/>
    <hyperlink ref="A34" r:id="rId2" xr:uid="{882C0D51-8712-43B8-8A38-7A560B49DDEA}"/>
  </hyperlinks>
  <pageMargins left="0.7" right="0.7" top="0.75" bottom="0.75" header="0.3" footer="0.3"/>
  <drawing r:id="rId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50EDF1-9CED-406E-9E1E-AF7C166A0A41}">
  <sheetPr>
    <tabColor rgb="FF002060"/>
  </sheetPr>
  <dimension ref="A1:N39"/>
  <sheetViews>
    <sheetView workbookViewId="0">
      <selection activeCell="A43" sqref="A1:XFD1048576"/>
    </sheetView>
  </sheetViews>
  <sheetFormatPr defaultColWidth="8.85546875" defaultRowHeight="15"/>
  <cols>
    <col min="1" max="1" width="50.5703125" style="405" bestFit="1" customWidth="1"/>
    <col min="2" max="6" width="17.85546875" style="405" bestFit="1" customWidth="1"/>
    <col min="7" max="7" width="18.85546875" style="405" bestFit="1" customWidth="1"/>
    <col min="8" max="8" width="19.140625" style="405" bestFit="1" customWidth="1"/>
    <col min="9" max="14" width="18.85546875" style="405" bestFit="1" customWidth="1"/>
    <col min="15" max="16384" width="8.85546875" style="405"/>
  </cols>
  <sheetData>
    <row r="1" spans="1:14">
      <c r="B1" s="405" t="s">
        <v>1</v>
      </c>
      <c r="C1" s="405" t="s">
        <v>2</v>
      </c>
      <c r="D1" s="405" t="s">
        <v>3</v>
      </c>
      <c r="E1" s="405" t="s">
        <v>4</v>
      </c>
      <c r="F1" s="405" t="s">
        <v>5</v>
      </c>
      <c r="G1" s="405" t="s">
        <v>6</v>
      </c>
      <c r="H1" s="405" t="s">
        <v>7</v>
      </c>
      <c r="I1" s="405" t="s">
        <v>8</v>
      </c>
      <c r="J1" s="405" t="s">
        <v>9</v>
      </c>
      <c r="K1" s="405" t="s">
        <v>10</v>
      </c>
      <c r="L1" s="405" t="s">
        <v>11</v>
      </c>
      <c r="M1" s="405" t="s">
        <v>12</v>
      </c>
      <c r="N1" s="405" t="s">
        <v>13</v>
      </c>
    </row>
    <row r="2" spans="1:14">
      <c r="A2" s="405" t="s">
        <v>14</v>
      </c>
      <c r="B2" s="405">
        <v>33884892008435</v>
      </c>
      <c r="C2" s="405">
        <v>46854825722466</v>
      </c>
      <c r="D2" s="405">
        <v>56580423695083</v>
      </c>
      <c r="E2" s="405">
        <v>64677906575644</v>
      </c>
      <c r="F2" s="405">
        <v>91279041771826</v>
      </c>
      <c r="G2" s="405">
        <v>150865359967200</v>
      </c>
      <c r="H2" s="405">
        <v>142770810676858</v>
      </c>
      <c r="I2" s="405">
        <v>120355231616139</v>
      </c>
      <c r="J2" s="405">
        <v>131024089150366.58</v>
      </c>
      <c r="K2" s="405">
        <v>171046974897808.38</v>
      </c>
      <c r="L2" s="405">
        <v>214055837876513.16</v>
      </c>
      <c r="M2" s="405">
        <v>245944830806571.91</v>
      </c>
      <c r="N2" s="405">
        <v>247106807549111.41</v>
      </c>
    </row>
    <row r="3" spans="1:14">
      <c r="A3" s="405" t="s">
        <v>16</v>
      </c>
      <c r="B3" s="405">
        <v>29818704967422.801</v>
      </c>
      <c r="C3" s="405">
        <v>41232246635770.078</v>
      </c>
      <c r="D3" s="405">
        <v>48659164377771.383</v>
      </c>
      <c r="E3" s="405">
        <v>53682662457784.516</v>
      </c>
      <c r="F3" s="405">
        <v>76674395088333.844</v>
      </c>
      <c r="G3" s="405">
        <v>141813438369168</v>
      </c>
      <c r="H3" s="405">
        <v>134204562036246.52</v>
      </c>
      <c r="I3" s="405">
        <v>113133917719170.66</v>
      </c>
      <c r="J3" s="405">
        <v>122744261105162.64</v>
      </c>
      <c r="K3" s="405">
        <v>163024511370213.78</v>
      </c>
      <c r="L3" s="405">
        <v>206214636053257.53</v>
      </c>
      <c r="M3" s="405">
        <v>237896999674553.84</v>
      </c>
      <c r="N3" s="405">
        <v>239136308721488.66</v>
      </c>
    </row>
    <row r="4" spans="1:14">
      <c r="A4" s="405" t="s">
        <v>17</v>
      </c>
      <c r="B4" s="405">
        <v>1355395680337.4001</v>
      </c>
      <c r="C4" s="405">
        <v>2811289543347.96</v>
      </c>
      <c r="D4" s="405">
        <v>4526433895606.6396</v>
      </c>
      <c r="E4" s="405">
        <v>7761348789077.2793</v>
      </c>
      <c r="F4" s="405">
        <v>10953485012619.119</v>
      </c>
      <c r="G4" s="405">
        <v>7543267998360</v>
      </c>
      <c r="H4" s="405">
        <v>7138540533842.9004</v>
      </c>
      <c r="I4" s="405">
        <v>6017761580806.9502</v>
      </c>
      <c r="J4" s="405">
        <v>6899856704336.6172</v>
      </c>
      <c r="K4" s="405">
        <v>6685386272995.4893</v>
      </c>
      <c r="L4" s="405">
        <v>6534334852713.0186</v>
      </c>
      <c r="M4" s="405">
        <v>6706525943348.375</v>
      </c>
      <c r="N4" s="405">
        <v>6642082356352.2939</v>
      </c>
    </row>
    <row r="5" spans="1:14">
      <c r="A5" s="405" t="s">
        <v>18</v>
      </c>
      <c r="B5" s="405">
        <v>2710791360674.8003</v>
      </c>
      <c r="C5" s="405">
        <v>2811289543347.96</v>
      </c>
      <c r="D5" s="405">
        <v>3394825421704.98</v>
      </c>
      <c r="E5" s="405">
        <v>3233895328782.2002</v>
      </c>
      <c r="F5" s="405">
        <v>3651161670873.04</v>
      </c>
      <c r="G5" s="405">
        <v>1508653599672</v>
      </c>
      <c r="H5" s="405">
        <v>1427708106768.5801</v>
      </c>
      <c r="I5" s="405">
        <v>1203552316161.3901</v>
      </c>
      <c r="J5" s="405">
        <v>1379971340867.3235</v>
      </c>
      <c r="K5" s="405">
        <v>1337077254599.0979</v>
      </c>
      <c r="L5" s="405">
        <v>1306866970542.6038</v>
      </c>
      <c r="M5" s="405">
        <v>1341305188669.675</v>
      </c>
      <c r="N5" s="405">
        <v>1328416471270.459</v>
      </c>
    </row>
    <row r="6" spans="1:14">
      <c r="A6" s="405" t="s">
        <v>19</v>
      </c>
      <c r="B6" s="405">
        <v>601681848448</v>
      </c>
      <c r="C6" s="405">
        <v>693134108162</v>
      </c>
      <c r="D6" s="405">
        <v>743965315324</v>
      </c>
      <c r="E6" s="405">
        <v>1019713901853</v>
      </c>
      <c r="F6" s="405">
        <v>1160538345109</v>
      </c>
      <c r="G6" s="405">
        <v>1185569987855</v>
      </c>
      <c r="H6" s="405">
        <v>1361536216226</v>
      </c>
      <c r="I6" s="405">
        <v>1402203722485</v>
      </c>
      <c r="J6" s="405">
        <v>1367881823892.4399</v>
      </c>
      <c r="K6" s="405">
        <v>1688466657686.3867</v>
      </c>
      <c r="L6" s="405">
        <v>2220740887619.5254</v>
      </c>
      <c r="M6" s="405">
        <v>2603105774369.2173</v>
      </c>
      <c r="N6" s="405">
        <v>2549523240630.3867</v>
      </c>
    </row>
    <row r="7" spans="1:14">
      <c r="A7" s="405" t="s">
        <v>544</v>
      </c>
      <c r="B7" s="405">
        <v>33283210159987</v>
      </c>
      <c r="C7" s="405">
        <v>46161691614304</v>
      </c>
      <c r="D7" s="405">
        <v>55836458379759</v>
      </c>
      <c r="E7" s="405">
        <v>63658192673791</v>
      </c>
      <c r="F7" s="405">
        <v>90118503426717</v>
      </c>
      <c r="G7" s="405">
        <v>149679789979345</v>
      </c>
      <c r="H7" s="405">
        <v>141409274460632</v>
      </c>
      <c r="I7" s="405">
        <v>118953027893654</v>
      </c>
      <c r="J7" s="405">
        <v>129656207326474.14</v>
      </c>
      <c r="K7" s="405">
        <v>169358508240122</v>
      </c>
      <c r="L7" s="405">
        <v>211835096988893.63</v>
      </c>
      <c r="M7" s="405">
        <v>243341725032202.69</v>
      </c>
      <c r="N7" s="405">
        <v>244557284308481.03</v>
      </c>
    </row>
    <row r="8" spans="1:14">
      <c r="A8" s="405" t="s">
        <v>21</v>
      </c>
      <c r="B8" s="405">
        <v>24532650438985</v>
      </c>
      <c r="C8" s="405">
        <v>35536120578221</v>
      </c>
      <c r="D8" s="405">
        <v>44165626148685</v>
      </c>
      <c r="E8" s="405">
        <v>52472820451654</v>
      </c>
      <c r="F8" s="405">
        <v>71214453522563</v>
      </c>
      <c r="G8" s="405">
        <v>108571380446353</v>
      </c>
      <c r="H8" s="405">
        <v>124645848221080</v>
      </c>
      <c r="I8" s="405">
        <v>106015187198082</v>
      </c>
      <c r="J8" s="405">
        <v>105865374875793.33</v>
      </c>
      <c r="K8" s="405">
        <v>131878217418575.48</v>
      </c>
      <c r="L8" s="405">
        <v>167517889647327.38</v>
      </c>
      <c r="M8" s="405">
        <v>197608114086012.31</v>
      </c>
      <c r="N8" s="405">
        <v>191662480193337.63</v>
      </c>
    </row>
    <row r="9" spans="1:14">
      <c r="A9" s="405" t="s">
        <v>545</v>
      </c>
      <c r="B9" s="405">
        <v>8750559721002</v>
      </c>
      <c r="C9" s="405">
        <v>10625571036083</v>
      </c>
      <c r="D9" s="405">
        <v>11670832231074</v>
      </c>
      <c r="E9" s="405">
        <v>11185372222137</v>
      </c>
      <c r="F9" s="405">
        <v>18904049904154</v>
      </c>
      <c r="G9" s="405">
        <v>41108409532992</v>
      </c>
      <c r="H9" s="405">
        <v>16763426239552</v>
      </c>
      <c r="I9" s="405">
        <v>12937840695572</v>
      </c>
      <c r="J9" s="405">
        <v>23790832450680.813</v>
      </c>
      <c r="K9" s="405">
        <v>37480290821546.516</v>
      </c>
      <c r="L9" s="405">
        <v>44317207341566.25</v>
      </c>
      <c r="M9" s="405">
        <v>45733610946190.375</v>
      </c>
      <c r="N9" s="405">
        <v>52894804115143.406</v>
      </c>
    </row>
    <row r="10" spans="1:14">
      <c r="A10" s="405" t="s">
        <v>23</v>
      </c>
      <c r="B10" s="405">
        <v>197181167853</v>
      </c>
      <c r="C10" s="405">
        <v>186215464700</v>
      </c>
      <c r="D10" s="405">
        <v>294408270741</v>
      </c>
      <c r="E10" s="405">
        <v>471053832011</v>
      </c>
      <c r="F10" s="405">
        <v>1004789766270</v>
      </c>
      <c r="G10" s="405">
        <v>3071440640188</v>
      </c>
      <c r="H10" s="405">
        <v>3743650707331</v>
      </c>
      <c r="I10" s="405">
        <v>3173086404949</v>
      </c>
      <c r="J10" s="405">
        <v>5779770805421.1543</v>
      </c>
      <c r="K10" s="405">
        <v>2167224447688.2339</v>
      </c>
      <c r="L10" s="405">
        <v>3725216220547.2661</v>
      </c>
      <c r="M10" s="405">
        <v>6411389705952.9316</v>
      </c>
      <c r="N10" s="405">
        <v>8140106652139.71</v>
      </c>
    </row>
    <row r="11" spans="1:14">
      <c r="A11" s="405" t="s">
        <v>24</v>
      </c>
      <c r="D11" s="405">
        <v>162434005510</v>
      </c>
      <c r="E11" s="405">
        <v>276783283933</v>
      </c>
      <c r="F11" s="405">
        <v>519078206990</v>
      </c>
      <c r="G11" s="405">
        <v>1194370878477</v>
      </c>
      <c r="H11" s="405">
        <v>1822022852374</v>
      </c>
      <c r="I11" s="405">
        <v>1953143453300</v>
      </c>
      <c r="J11" s="405">
        <v>5758804637644.4473</v>
      </c>
      <c r="K11" s="405">
        <v>2136350064734.0398</v>
      </c>
      <c r="L11" s="405">
        <v>3682093768109.8232</v>
      </c>
      <c r="M11" s="405">
        <v>6374763851197.6338</v>
      </c>
      <c r="N11" s="405">
        <v>8104293563350.8096</v>
      </c>
    </row>
    <row r="12" spans="1:14">
      <c r="A12" s="405" t="s">
        <v>25</v>
      </c>
      <c r="D12" s="405">
        <v>115851955886</v>
      </c>
      <c r="E12" s="405">
        <v>177270502599</v>
      </c>
      <c r="F12" s="405">
        <v>483165239031</v>
      </c>
      <c r="G12" s="405">
        <v>1259713002137</v>
      </c>
      <c r="H12" s="405">
        <v>1886624826804</v>
      </c>
      <c r="I12" s="405">
        <v>1207078334480</v>
      </c>
      <c r="J12" s="405">
        <v>0</v>
      </c>
      <c r="K12" s="405">
        <v>0</v>
      </c>
      <c r="L12" s="405">
        <v>0</v>
      </c>
      <c r="M12" s="405">
        <v>0</v>
      </c>
      <c r="N12" s="405">
        <v>0</v>
      </c>
    </row>
    <row r="13" spans="1:14">
      <c r="A13" s="405" t="s">
        <v>26</v>
      </c>
      <c r="D13" s="405">
        <v>7311244552</v>
      </c>
      <c r="E13" s="405">
        <v>15303987880</v>
      </c>
      <c r="F13" s="405">
        <v>490877510</v>
      </c>
      <c r="G13" s="405">
        <v>46626960525</v>
      </c>
      <c r="H13" s="405">
        <v>11596235876</v>
      </c>
      <c r="I13" s="405">
        <v>3629798335</v>
      </c>
      <c r="J13" s="405">
        <v>0</v>
      </c>
      <c r="K13" s="405">
        <v>0</v>
      </c>
      <c r="L13" s="405">
        <v>0</v>
      </c>
      <c r="M13" s="405">
        <v>0</v>
      </c>
      <c r="N13" s="405">
        <v>0</v>
      </c>
    </row>
    <row r="14" spans="1:14">
      <c r="A14" s="405" t="s">
        <v>27</v>
      </c>
      <c r="D14" s="405">
        <v>3963967200</v>
      </c>
      <c r="E14" s="405">
        <v>0</v>
      </c>
      <c r="J14" s="405">
        <v>0</v>
      </c>
      <c r="K14" s="405">
        <v>0</v>
      </c>
      <c r="L14" s="405">
        <v>0</v>
      </c>
      <c r="M14" s="405">
        <v>0</v>
      </c>
      <c r="N14" s="405">
        <v>0</v>
      </c>
    </row>
    <row r="15" spans="1:14">
      <c r="A15" s="405" t="s">
        <v>28</v>
      </c>
      <c r="D15" s="405">
        <v>3847097593</v>
      </c>
      <c r="E15" s="405">
        <v>1696057599</v>
      </c>
      <c r="F15" s="405">
        <v>2055442739</v>
      </c>
      <c r="G15" s="405">
        <v>66508449795</v>
      </c>
      <c r="H15" s="405">
        <v>21677909468</v>
      </c>
      <c r="I15" s="405">
        <v>4690900408</v>
      </c>
      <c r="J15" s="405">
        <v>17829767159.207138</v>
      </c>
      <c r="K15" s="405">
        <v>27034223432.444084</v>
      </c>
      <c r="L15" s="405">
        <v>39634172367.817749</v>
      </c>
      <c r="M15" s="405">
        <v>32961634959.610096</v>
      </c>
      <c r="N15" s="405">
        <v>32236838856.24427</v>
      </c>
    </row>
    <row r="16" spans="1:14">
      <c r="A16" s="405" t="s">
        <v>29</v>
      </c>
      <c r="G16" s="405">
        <v>504221349254</v>
      </c>
      <c r="H16" s="405">
        <v>1728882809</v>
      </c>
      <c r="I16" s="405">
        <v>4543918426</v>
      </c>
      <c r="J16" s="405">
        <v>3136400617.5</v>
      </c>
      <c r="K16" s="405">
        <v>3840159521.75</v>
      </c>
      <c r="L16" s="405">
        <v>3488280069.625</v>
      </c>
      <c r="M16" s="405">
        <v>3664219795.6875</v>
      </c>
      <c r="N16" s="405">
        <v>3576249932.65625</v>
      </c>
    </row>
    <row r="17" spans="1:14">
      <c r="A17" s="405" t="s">
        <v>30</v>
      </c>
      <c r="B17" s="405">
        <v>367986756135</v>
      </c>
      <c r="C17" s="405">
        <v>555756583746</v>
      </c>
      <c r="D17" s="405">
        <v>772317161901</v>
      </c>
      <c r="E17" s="405">
        <v>1181675710916</v>
      </c>
      <c r="F17" s="405">
        <v>2837406430588</v>
      </c>
      <c r="G17" s="405">
        <v>3731542257873</v>
      </c>
      <c r="H17" s="405">
        <v>7026723285241</v>
      </c>
      <c r="I17" s="405">
        <v>5191511844389</v>
      </c>
      <c r="J17" s="405">
        <v>5359564473430.7744</v>
      </c>
      <c r="K17" s="405">
        <v>5599236031887.3887</v>
      </c>
      <c r="L17" s="405">
        <v>5343523233508.1387</v>
      </c>
      <c r="M17" s="405">
        <v>5733900086040.085</v>
      </c>
      <c r="N17" s="405">
        <v>5641881136899.6357</v>
      </c>
    </row>
    <row r="18" spans="1:14">
      <c r="A18" s="405" t="s">
        <v>31</v>
      </c>
      <c r="D18" s="405">
        <v>539861243640</v>
      </c>
      <c r="E18" s="405">
        <v>936710218359</v>
      </c>
      <c r="F18" s="405">
        <v>2191680923417</v>
      </c>
      <c r="G18" s="405">
        <v>2525823258237</v>
      </c>
      <c r="H18" s="405">
        <v>3083638131818</v>
      </c>
      <c r="I18" s="405">
        <v>3585077683881</v>
      </c>
      <c r="J18" s="405">
        <v>3027010115483.1445</v>
      </c>
      <c r="K18" s="405">
        <v>2896090511746.1768</v>
      </c>
      <c r="L18" s="405">
        <v>3039627773406.9692</v>
      </c>
      <c r="M18" s="405">
        <v>3212824228068.3911</v>
      </c>
      <c r="N18" s="405">
        <v>3095535074216.6333</v>
      </c>
    </row>
    <row r="19" spans="1:14">
      <c r="A19" s="405" t="s">
        <v>32</v>
      </c>
      <c r="D19" s="405">
        <v>13562300498</v>
      </c>
      <c r="E19" s="405">
        <v>12037994693</v>
      </c>
      <c r="F19" s="405">
        <v>10304712000</v>
      </c>
      <c r="G19" s="405">
        <v>0</v>
      </c>
      <c r="H19" s="405">
        <v>14473105</v>
      </c>
      <c r="I19" s="405">
        <v>431823526</v>
      </c>
      <c r="J19" s="405">
        <v>217897145.78279775</v>
      </c>
      <c r="K19" s="405">
        <v>201723602.34253711</v>
      </c>
      <c r="L19" s="405">
        <v>331643987.22404355</v>
      </c>
      <c r="M19" s="405">
        <v>479014894.04113895</v>
      </c>
      <c r="N19" s="405">
        <v>390155328.61322129</v>
      </c>
    </row>
    <row r="20" spans="1:14">
      <c r="A20" s="405" t="s">
        <v>33</v>
      </c>
      <c r="D20" s="405">
        <v>165195158549</v>
      </c>
      <c r="E20" s="405">
        <v>188554340708</v>
      </c>
      <c r="F20" s="405">
        <v>493877084960</v>
      </c>
      <c r="G20" s="405">
        <v>992505816602</v>
      </c>
      <c r="H20" s="405">
        <v>3411297421437</v>
      </c>
      <c r="I20" s="405">
        <v>1054356743299</v>
      </c>
      <c r="J20" s="405">
        <v>1819386660446</v>
      </c>
      <c r="K20" s="405">
        <v>2095013608394</v>
      </c>
      <c r="L20" s="405">
        <v>1656252337379.6667</v>
      </c>
      <c r="M20" s="405">
        <v>1856884202073.2224</v>
      </c>
      <c r="N20" s="405">
        <v>1869383382615.6299</v>
      </c>
    </row>
    <row r="21" spans="1:14">
      <c r="A21" s="405" t="s">
        <v>34</v>
      </c>
      <c r="D21" s="405">
        <v>37222114032</v>
      </c>
      <c r="E21" s="405">
        <v>39487502736</v>
      </c>
      <c r="F21" s="405">
        <v>52569748282</v>
      </c>
      <c r="G21" s="405">
        <v>88565791942</v>
      </c>
      <c r="H21" s="405">
        <v>345579389435</v>
      </c>
      <c r="I21" s="405">
        <v>294873550913</v>
      </c>
      <c r="J21" s="405">
        <v>243006244096.66666</v>
      </c>
      <c r="K21" s="405">
        <v>294486394814.88885</v>
      </c>
      <c r="L21" s="405">
        <v>277455396608.18512</v>
      </c>
      <c r="M21" s="405">
        <v>271649345173.24692</v>
      </c>
      <c r="N21" s="405">
        <v>281197045532.10699</v>
      </c>
    </row>
    <row r="22" spans="1:14">
      <c r="A22" s="405" t="s">
        <v>35</v>
      </c>
      <c r="D22" s="405">
        <v>16476345182</v>
      </c>
      <c r="E22" s="405">
        <v>4885654420</v>
      </c>
      <c r="F22" s="405">
        <v>88973961929</v>
      </c>
      <c r="G22" s="405">
        <v>124647391092</v>
      </c>
      <c r="H22" s="405">
        <v>186193869446</v>
      </c>
      <c r="I22" s="405">
        <v>121647098745</v>
      </c>
      <c r="J22" s="405">
        <v>134818612234.17924</v>
      </c>
      <c r="K22" s="405">
        <v>178318849304.98004</v>
      </c>
      <c r="L22" s="405">
        <v>234731138101.09317</v>
      </c>
      <c r="M22" s="405">
        <v>256938351806.18381</v>
      </c>
      <c r="N22" s="405">
        <v>260250535181.65121</v>
      </c>
    </row>
    <row r="23" spans="1:14">
      <c r="A23" s="405" t="s">
        <v>36</v>
      </c>
      <c r="H23" s="405">
        <v>0</v>
      </c>
      <c r="I23" s="405">
        <v>135124944025</v>
      </c>
      <c r="J23" s="405">
        <v>135124944025</v>
      </c>
      <c r="K23" s="405">
        <v>135124944025</v>
      </c>
      <c r="L23" s="405">
        <v>135124944025</v>
      </c>
      <c r="M23" s="405">
        <v>135124944025</v>
      </c>
      <c r="N23" s="405">
        <v>135124944025</v>
      </c>
    </row>
    <row r="24" spans="1:14">
      <c r="A24" s="405" t="s">
        <v>37</v>
      </c>
      <c r="B24" s="405">
        <v>279951879407</v>
      </c>
      <c r="C24" s="405">
        <v>479707569855</v>
      </c>
      <c r="D24" s="405">
        <v>539861243640</v>
      </c>
      <c r="E24" s="405">
        <v>936710218359</v>
      </c>
      <c r="F24" s="405">
        <v>2191680923417</v>
      </c>
      <c r="G24" s="405">
        <v>2525823258237</v>
      </c>
      <c r="H24" s="405">
        <v>3083638131818</v>
      </c>
      <c r="I24" s="405">
        <v>3585077683881</v>
      </c>
    </row>
    <row r="25" spans="1:14">
      <c r="A25" s="405" t="s">
        <v>38</v>
      </c>
      <c r="B25" s="405">
        <v>-534948182</v>
      </c>
      <c r="C25" s="405">
        <v>-159611603</v>
      </c>
      <c r="E25" s="405">
        <v>-1431313615</v>
      </c>
      <c r="F25" s="405">
        <v>1964631764</v>
      </c>
      <c r="G25" s="405">
        <v>4465302865</v>
      </c>
      <c r="H25" s="405">
        <v>-1072667584</v>
      </c>
      <c r="I25" s="405">
        <v>-1072667584</v>
      </c>
      <c r="J25" s="405">
        <v>329281837.10642058</v>
      </c>
      <c r="K25" s="405">
        <v>1272887364.6793213</v>
      </c>
      <c r="L25" s="405">
        <v>990097631.36126614</v>
      </c>
      <c r="M25" s="405">
        <v>-90774693.568871647</v>
      </c>
      <c r="N25" s="405">
        <v>261868966.18098286</v>
      </c>
    </row>
    <row r="26" spans="1:14">
      <c r="A26" s="405" t="s">
        <v>39</v>
      </c>
      <c r="B26" s="405">
        <v>489954015797</v>
      </c>
      <c r="C26" s="405">
        <v>594707868484</v>
      </c>
      <c r="D26" s="405">
        <v>676809221259</v>
      </c>
      <c r="E26" s="405">
        <v>873333584688</v>
      </c>
      <c r="F26" s="405">
        <v>1090795558423</v>
      </c>
      <c r="G26" s="405">
        <v>2120068223228</v>
      </c>
      <c r="H26" s="405">
        <v>2665806087302</v>
      </c>
      <c r="I26" s="405">
        <v>1961362129952</v>
      </c>
      <c r="J26" s="405">
        <v>2140981059516.9341</v>
      </c>
      <c r="K26" s="405">
        <v>2925401090009.1094</v>
      </c>
      <c r="L26" s="405">
        <v>3549025468734.3579</v>
      </c>
      <c r="M26" s="405">
        <v>4100980648173.2827</v>
      </c>
      <c r="N26" s="405">
        <v>4147869635710.3286</v>
      </c>
    </row>
    <row r="27" spans="1:14">
      <c r="A27" s="405" t="s">
        <v>40</v>
      </c>
      <c r="B27" s="405">
        <v>404587312609</v>
      </c>
      <c r="C27" s="405">
        <v>409038156382</v>
      </c>
      <c r="D27" s="405">
        <v>444024985823</v>
      </c>
      <c r="E27" s="405">
        <v>569005805722</v>
      </c>
      <c r="F27" s="405">
        <v>690298504185</v>
      </c>
      <c r="G27" s="405">
        <v>1324261548679</v>
      </c>
      <c r="H27" s="405">
        <v>1019444279447</v>
      </c>
      <c r="I27" s="405">
        <v>1307290336873</v>
      </c>
      <c r="J27" s="405">
        <v>1169613952402.2</v>
      </c>
      <c r="K27" s="405">
        <v>1535378444458.5669</v>
      </c>
      <c r="L27" s="405">
        <v>2052438488919.0908</v>
      </c>
      <c r="M27" s="405">
        <v>2253788990670.7134</v>
      </c>
      <c r="N27" s="405">
        <v>2283965938660.0547</v>
      </c>
    </row>
    <row r="28" spans="1:14">
      <c r="A28" s="405" t="s">
        <v>543</v>
      </c>
      <c r="B28" s="405">
        <v>7684677856132</v>
      </c>
      <c r="C28" s="405">
        <v>9252124280568</v>
      </c>
      <c r="D28" s="405">
        <v>10072089132832</v>
      </c>
      <c r="E28" s="405">
        <v>9030979639207</v>
      </c>
      <c r="F28" s="405">
        <v>15292303808992</v>
      </c>
      <c r="G28" s="405">
        <v>37008443446265</v>
      </c>
      <c r="H28" s="405">
        <v>9794030627309</v>
      </c>
      <c r="I28" s="405">
        <v>7650762789307</v>
      </c>
      <c r="J28" s="405">
        <v>20900773052589.168</v>
      </c>
      <c r="K28" s="405">
        <v>29588772590244.363</v>
      </c>
      <c r="L28" s="405">
        <v>37098426468583.281</v>
      </c>
      <c r="M28" s="405">
        <v>40056240152565.656</v>
      </c>
      <c r="N28" s="405">
        <v>48961455924979.281</v>
      </c>
    </row>
    <row r="29" spans="1:14">
      <c r="A29" s="405" t="s">
        <v>41</v>
      </c>
      <c r="B29" s="405">
        <v>434468369665</v>
      </c>
      <c r="C29" s="405">
        <v>432791811829</v>
      </c>
      <c r="D29" s="405">
        <v>488856588036</v>
      </c>
      <c r="E29" s="405">
        <v>657680931477</v>
      </c>
      <c r="F29" s="405">
        <v>654081334225</v>
      </c>
      <c r="G29" s="405">
        <v>796666105925</v>
      </c>
      <c r="H29" s="405">
        <v>872024724926</v>
      </c>
      <c r="I29" s="405">
        <v>771973465495</v>
      </c>
      <c r="J29" s="405">
        <v>817864350862.59412</v>
      </c>
      <c r="K29" s="405">
        <v>1028194299927.9808</v>
      </c>
      <c r="L29" s="405">
        <v>1325822326725.7351</v>
      </c>
      <c r="M29" s="405">
        <v>1528621666863.0422</v>
      </c>
      <c r="N29" s="405">
        <v>1523561160339.7202</v>
      </c>
    </row>
    <row r="30" spans="1:14">
      <c r="A30" s="405" t="s">
        <v>42</v>
      </c>
      <c r="B30" s="405">
        <v>417322272122</v>
      </c>
      <c r="C30" s="405">
        <v>396546349700</v>
      </c>
      <c r="D30" s="405">
        <v>489872848566</v>
      </c>
      <c r="E30" s="405">
        <v>591998447298</v>
      </c>
      <c r="F30" s="405">
        <v>589418351516</v>
      </c>
      <c r="G30" s="405">
        <v>748331838000</v>
      </c>
      <c r="H30" s="405">
        <v>743114224951</v>
      </c>
      <c r="I30" s="405">
        <v>630007511629</v>
      </c>
      <c r="J30" s="405">
        <v>715951616625.39075</v>
      </c>
      <c r="K30" s="405">
        <v>892183137661.34949</v>
      </c>
      <c r="L30" s="405">
        <v>1130204069695.1987</v>
      </c>
      <c r="M30" s="405">
        <v>1303188105111.9082</v>
      </c>
      <c r="N30" s="405">
        <v>1313307061581.4331</v>
      </c>
    </row>
    <row r="31" spans="1:14">
      <c r="A31" s="405" t="s">
        <v>43</v>
      </c>
      <c r="B31" s="405">
        <v>17146097543</v>
      </c>
      <c r="C31" s="405">
        <v>36245462129</v>
      </c>
      <c r="D31" s="405">
        <v>-1016260530</v>
      </c>
      <c r="E31" s="405">
        <v>65682484179</v>
      </c>
      <c r="F31" s="405">
        <v>64662982709</v>
      </c>
      <c r="G31" s="405">
        <v>48334267925</v>
      </c>
      <c r="H31" s="405">
        <v>128910499975</v>
      </c>
      <c r="I31" s="405">
        <v>141965953866</v>
      </c>
      <c r="J31" s="405">
        <v>101912734237.20337</v>
      </c>
      <c r="K31" s="405">
        <v>136011162266.63135</v>
      </c>
      <c r="L31" s="405">
        <v>195618257030.53638</v>
      </c>
      <c r="M31" s="405">
        <v>225433561751.13403</v>
      </c>
      <c r="N31" s="405">
        <v>210254098758.28711</v>
      </c>
    </row>
    <row r="32" spans="1:14">
      <c r="A32" s="405" t="s">
        <v>44</v>
      </c>
      <c r="B32" s="405">
        <v>7701823953675</v>
      </c>
      <c r="C32" s="405">
        <v>9288369742697</v>
      </c>
      <c r="D32" s="405">
        <v>10071072872302</v>
      </c>
      <c r="E32" s="405">
        <v>9096662123386</v>
      </c>
      <c r="F32" s="405">
        <v>15356966791701</v>
      </c>
      <c r="G32" s="405">
        <v>37056777714190</v>
      </c>
      <c r="H32" s="405">
        <v>9922941127284</v>
      </c>
      <c r="I32" s="405">
        <v>7792728743173</v>
      </c>
      <c r="J32" s="405">
        <v>21002685786826.371</v>
      </c>
      <c r="K32" s="405">
        <v>29724783752510.996</v>
      </c>
      <c r="L32" s="405">
        <v>37294044725613.82</v>
      </c>
      <c r="M32" s="405">
        <v>40281673714316.789</v>
      </c>
      <c r="N32" s="405">
        <v>49171710023737.57</v>
      </c>
    </row>
    <row r="33" spans="1:14">
      <c r="A33" s="405" t="s">
        <v>45</v>
      </c>
      <c r="B33" s="405">
        <v>1138489987447</v>
      </c>
      <c r="C33" s="405">
        <v>1317628785035</v>
      </c>
      <c r="D33" s="405">
        <v>1506320087551</v>
      </c>
      <c r="E33" s="405">
        <v>1603307926680</v>
      </c>
      <c r="F33" s="405">
        <v>1784567843866</v>
      </c>
      <c r="G33" s="405">
        <v>2855306347167</v>
      </c>
      <c r="H33" s="405">
        <v>1001020240086</v>
      </c>
      <c r="I33" s="405">
        <v>1073551888059</v>
      </c>
      <c r="J33" s="405">
        <v>2730349152287.4282</v>
      </c>
      <c r="K33" s="405">
        <v>3864221887826.4297</v>
      </c>
      <c r="L33" s="405">
        <v>4848225814329.7969</v>
      </c>
      <c r="M33" s="405">
        <v>5236617582861.1826</v>
      </c>
      <c r="N33" s="405">
        <v>6392322303085.8848</v>
      </c>
    </row>
    <row r="34" spans="1:14">
      <c r="A34" s="405" t="s">
        <v>46</v>
      </c>
      <c r="B34" s="405">
        <v>-42868760701</v>
      </c>
      <c r="C34" s="405">
        <v>-44015628386</v>
      </c>
      <c r="D34" s="405">
        <v>-35797921476</v>
      </c>
      <c r="E34" s="405">
        <v>-84894039523</v>
      </c>
      <c r="F34" s="405">
        <v>66234890928</v>
      </c>
      <c r="G34" s="405">
        <v>-319483564275</v>
      </c>
      <c r="H34" s="405">
        <v>477491832682</v>
      </c>
      <c r="I34" s="405">
        <v>-81211459967</v>
      </c>
      <c r="J34" s="405">
        <v>175320486337.84421</v>
      </c>
      <c r="K34" s="405">
        <v>278109653138.92877</v>
      </c>
      <c r="L34" s="405">
        <v>516543318324.60388</v>
      </c>
      <c r="M34" s="405">
        <v>212816118504.26364</v>
      </c>
      <c r="N34" s="405">
        <v>452839956593.25183</v>
      </c>
    </row>
    <row r="35" spans="1:14">
      <c r="A35" s="405" t="s">
        <v>47</v>
      </c>
      <c r="B35" s="405">
        <v>6606202726929</v>
      </c>
      <c r="C35" s="405">
        <v>8014756586048</v>
      </c>
      <c r="D35" s="405">
        <v>8600550706227</v>
      </c>
      <c r="E35" s="405">
        <v>7578248236229</v>
      </c>
      <c r="F35" s="405">
        <v>13506164056907</v>
      </c>
      <c r="G35" s="405">
        <v>34520954931298</v>
      </c>
      <c r="H35" s="405">
        <v>8444429054516</v>
      </c>
      <c r="I35" s="405">
        <v>6800388315081</v>
      </c>
      <c r="J35" s="405">
        <v>18272336634538.941</v>
      </c>
      <c r="K35" s="405">
        <v>25860561864684.566</v>
      </c>
      <c r="L35" s="405">
        <v>32445818911284.023</v>
      </c>
      <c r="M35" s="405">
        <v>35045056131455.605</v>
      </c>
      <c r="N35" s="405">
        <v>42779387720651.688</v>
      </c>
    </row>
    <row r="36" spans="1:14">
      <c r="A36" s="405" t="s">
        <v>48</v>
      </c>
      <c r="B36" s="405">
        <v>6602102000272</v>
      </c>
      <c r="C36" s="405">
        <v>8006672113847</v>
      </c>
      <c r="D36" s="405">
        <v>8573014210414</v>
      </c>
      <c r="E36" s="405">
        <v>7527442867874</v>
      </c>
      <c r="F36" s="405">
        <v>13450300052812</v>
      </c>
      <c r="G36" s="405">
        <v>34478143197460</v>
      </c>
      <c r="H36" s="405">
        <v>8483510554031</v>
      </c>
      <c r="I36" s="405">
        <v>6835064334356</v>
      </c>
    </row>
    <row r="37" spans="1:14">
      <c r="A37" s="405" t="s">
        <v>49</v>
      </c>
      <c r="B37" s="405">
        <v>4100726657</v>
      </c>
      <c r="C37" s="405">
        <v>8084472201</v>
      </c>
      <c r="D37" s="405">
        <v>27536495813</v>
      </c>
      <c r="E37" s="405">
        <v>50805368355</v>
      </c>
      <c r="F37" s="405">
        <v>55864004095</v>
      </c>
      <c r="G37" s="405">
        <v>42811733838</v>
      </c>
      <c r="H37" s="405">
        <v>-39081499515</v>
      </c>
      <c r="I37" s="405">
        <v>-34676019275</v>
      </c>
    </row>
    <row r="38" spans="1:14">
      <c r="A38" s="405" t="s">
        <v>50</v>
      </c>
      <c r="B38" s="405">
        <v>7162</v>
      </c>
      <c r="C38" s="405">
        <v>5895</v>
      </c>
      <c r="D38" s="405">
        <v>4037</v>
      </c>
      <c r="E38" s="405">
        <v>2726</v>
      </c>
      <c r="F38" s="405">
        <v>3846</v>
      </c>
      <c r="G38" s="405">
        <v>7166</v>
      </c>
      <c r="H38" s="405">
        <v>1452</v>
      </c>
      <c r="I38" s="405">
        <v>1117</v>
      </c>
    </row>
    <row r="39" spans="1:14">
      <c r="A39" s="405" t="s">
        <v>51</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361EA9-D645-482A-8160-6813CDA3938D}">
  <dimension ref="A1:AE1018"/>
  <sheetViews>
    <sheetView workbookViewId="0">
      <pane xSplit="1" topLeftCell="B1" activePane="topRight" state="frozen"/>
      <selection pane="topRight" activeCell="AA14" sqref="AA14"/>
    </sheetView>
  </sheetViews>
  <sheetFormatPr defaultColWidth="14.42578125" defaultRowHeight="15" customHeight="1"/>
  <cols>
    <col min="1" max="1" width="19.5703125" bestFit="1" customWidth="1"/>
    <col min="2" max="2" width="19" bestFit="1" customWidth="1"/>
    <col min="3" max="3" width="1" customWidth="1"/>
    <col min="4" max="6" width="10.5703125" hidden="1" customWidth="1"/>
    <col min="7" max="7" width="8.5703125" hidden="1" customWidth="1"/>
    <col min="8" max="9" width="12.85546875" hidden="1" customWidth="1"/>
    <col min="10" max="10" width="13.140625" hidden="1" customWidth="1"/>
    <col min="11" max="11" width="14" hidden="1" customWidth="1"/>
    <col min="12" max="12" width="12.85546875" hidden="1" customWidth="1"/>
    <col min="13" max="13" width="13.5703125" hidden="1" customWidth="1"/>
    <col min="14" max="14" width="13.42578125" hidden="1" customWidth="1"/>
    <col min="15" max="15" width="12.85546875" hidden="1" customWidth="1"/>
    <col min="16" max="16" width="14" hidden="1" customWidth="1"/>
    <col min="17" max="17" width="13.140625" hidden="1" customWidth="1"/>
    <col min="18" max="18" width="13.42578125" hidden="1" customWidth="1"/>
    <col min="19" max="19" width="12.85546875" hidden="1" customWidth="1"/>
    <col min="20" max="21" width="12.5703125" hidden="1" customWidth="1"/>
    <col min="22" max="22" width="13.140625" bestFit="1" customWidth="1"/>
    <col min="23" max="23" width="13.5703125" bestFit="1" customWidth="1"/>
    <col min="24" max="24" width="13.140625" bestFit="1" customWidth="1"/>
    <col min="25" max="25" width="12.42578125" bestFit="1" customWidth="1"/>
    <col min="26" max="26" width="13.5703125" bestFit="1" customWidth="1"/>
    <col min="27" max="31" width="15.5703125" bestFit="1" customWidth="1"/>
  </cols>
  <sheetData>
    <row r="1" spans="1:31" ht="39">
      <c r="A1" s="20" t="s">
        <v>192</v>
      </c>
      <c r="B1" s="20"/>
      <c r="C1" s="20"/>
      <c r="D1" s="21" t="str">
        <f>"Q1 /20"</f>
        <v>Q1 /20</v>
      </c>
      <c r="E1" s="21" t="str">
        <f>"Q2 /20"</f>
        <v>Q2 /20</v>
      </c>
      <c r="F1" s="21" t="str">
        <f>"Q3 /20"</f>
        <v>Q3 /20</v>
      </c>
      <c r="G1" s="22" t="str">
        <f>"Q4 /20"</f>
        <v>Q4 /20</v>
      </c>
      <c r="H1" s="21" t="str">
        <f>"Q1 /21"</f>
        <v>Q1 /21</v>
      </c>
      <c r="I1" s="21" t="str">
        <f>"Q2 /21"</f>
        <v>Q2 /21</v>
      </c>
      <c r="J1" s="21" t="str">
        <f>"Q3 /21"</f>
        <v>Q3 /21</v>
      </c>
      <c r="K1" s="22" t="str">
        <f>"Q4 /21"</f>
        <v>Q4 /21</v>
      </c>
      <c r="L1" s="23">
        <v>21</v>
      </c>
      <c r="M1" s="21" t="str">
        <f>"Q1 /22"</f>
        <v>Q1 /22</v>
      </c>
      <c r="N1" s="21" t="str">
        <f>"Q2 /22"</f>
        <v>Q2 /22</v>
      </c>
      <c r="O1" s="21" t="str">
        <f>"Q3 /22"</f>
        <v>Q3 /22</v>
      </c>
      <c r="P1" s="22" t="str">
        <f>"Q4 /22"</f>
        <v>Q4 /22</v>
      </c>
      <c r="Q1" s="24" t="s">
        <v>193</v>
      </c>
      <c r="R1" s="25" t="str">
        <f>"Q1 /23"</f>
        <v>Q1 /23</v>
      </c>
      <c r="S1" s="25" t="str">
        <f>"Q2 /23"</f>
        <v>Q2 /23</v>
      </c>
      <c r="T1" s="25" t="str">
        <f>"Q3 /23"</f>
        <v>Q3 /23</v>
      </c>
      <c r="U1" s="26" t="str">
        <f>"Q4 /23"</f>
        <v>Q4 /23</v>
      </c>
      <c r="V1" s="27" t="s">
        <v>194</v>
      </c>
      <c r="W1" s="21" t="str">
        <f>"Q1 /24"</f>
        <v>Q1 /24</v>
      </c>
      <c r="X1" s="21" t="str">
        <f>"Q2 /24"</f>
        <v>Q2 /24</v>
      </c>
      <c r="Y1" s="21" t="str">
        <f>"Q3 /24"</f>
        <v>Q3 /24</v>
      </c>
      <c r="Z1" s="21" t="str">
        <f>"Q4 /24"</f>
        <v>Q4 /24</v>
      </c>
      <c r="AA1" s="417" t="s">
        <v>805</v>
      </c>
      <c r="AB1" s="28" t="s">
        <v>807</v>
      </c>
      <c r="AC1" s="20" t="s">
        <v>809</v>
      </c>
      <c r="AD1" s="20" t="s">
        <v>811</v>
      </c>
      <c r="AE1" s="20" t="s">
        <v>813</v>
      </c>
    </row>
    <row r="2" spans="1:31" ht="19.5">
      <c r="A2" s="29" t="s">
        <v>200</v>
      </c>
      <c r="B2" s="30"/>
      <c r="C2" s="29"/>
      <c r="D2" s="29"/>
      <c r="E2" s="29"/>
      <c r="F2" s="29"/>
      <c r="G2" s="31"/>
      <c r="H2" s="32">
        <f t="shared" ref="H2:Z2" si="0">H4*H3</f>
        <v>12791488.16</v>
      </c>
      <c r="I2" s="32">
        <f t="shared" si="0"/>
        <v>17154850.699999999</v>
      </c>
      <c r="J2" s="32">
        <f t="shared" si="0"/>
        <v>15552635.870000001</v>
      </c>
      <c r="K2" s="32">
        <f t="shared" si="0"/>
        <v>20422344.800000001</v>
      </c>
      <c r="L2" s="32">
        <f t="shared" si="0"/>
        <v>0</v>
      </c>
      <c r="M2" s="32">
        <f t="shared" si="0"/>
        <v>24862602.100000001</v>
      </c>
      <c r="N2" s="32">
        <f t="shared" si="0"/>
        <v>20416195.800000001</v>
      </c>
      <c r="O2" s="32">
        <f t="shared" si="0"/>
        <v>17794534.52</v>
      </c>
      <c r="P2" s="32">
        <f t="shared" si="0"/>
        <v>13090803</v>
      </c>
      <c r="Q2" s="32">
        <f t="shared" si="0"/>
        <v>0</v>
      </c>
      <c r="R2" s="32">
        <f t="shared" si="0"/>
        <v>14983483.68</v>
      </c>
      <c r="S2" s="32">
        <f t="shared" si="0"/>
        <v>12794444.739999998</v>
      </c>
      <c r="T2" s="32">
        <f t="shared" si="0"/>
        <v>13741126.039999999</v>
      </c>
      <c r="U2" s="32">
        <f t="shared" si="0"/>
        <v>17961508.760000002</v>
      </c>
      <c r="V2" s="32">
        <f t="shared" si="0"/>
        <v>0</v>
      </c>
      <c r="W2" s="32">
        <f t="shared" si="0"/>
        <v>15053956.359999999</v>
      </c>
      <c r="X2" s="32">
        <f t="shared" si="0"/>
        <v>15465214.380000001</v>
      </c>
      <c r="Y2" s="32">
        <f t="shared" si="0"/>
        <v>16174873.568000002</v>
      </c>
      <c r="Z2" s="32">
        <f t="shared" si="0"/>
        <v>16245648.204000004</v>
      </c>
      <c r="AA2" s="33">
        <f t="shared" ref="AA2:AB2" si="1">AA4*AA3</f>
        <v>58132620.000000007</v>
      </c>
      <c r="AB2" s="33">
        <f t="shared" si="1"/>
        <v>64273809.600000001</v>
      </c>
      <c r="AC2" s="420">
        <f t="shared" ref="AC2:AE2" si="2">AC4*AC3</f>
        <v>68714545.535999998</v>
      </c>
      <c r="AD2" s="420">
        <f t="shared" si="2"/>
        <v>70146098.568000004</v>
      </c>
      <c r="AE2" s="420">
        <f t="shared" si="2"/>
        <v>69444637.58231999</v>
      </c>
    </row>
    <row r="3" spans="1:31" ht="19.5">
      <c r="A3" s="35" t="s">
        <v>201</v>
      </c>
      <c r="B3" s="35" t="s">
        <v>201</v>
      </c>
      <c r="C3" s="29"/>
      <c r="D3" s="29"/>
      <c r="E3" s="29"/>
      <c r="F3" s="29"/>
      <c r="G3" s="31"/>
      <c r="H3" s="36">
        <v>855046</v>
      </c>
      <c r="I3" s="36">
        <v>983086</v>
      </c>
      <c r="J3" s="36">
        <v>959447</v>
      </c>
      <c r="K3" s="37">
        <v>1092104</v>
      </c>
      <c r="L3" s="38">
        <f>SUM(D3:K3)</f>
        <v>3889683</v>
      </c>
      <c r="M3" s="36">
        <v>1340302</v>
      </c>
      <c r="N3" s="36">
        <v>1031121</v>
      </c>
      <c r="O3" s="36">
        <v>1077151</v>
      </c>
      <c r="P3" s="37">
        <v>820740</v>
      </c>
      <c r="Q3" s="38">
        <f>SUM(M3:P3)</f>
        <v>4269314</v>
      </c>
      <c r="R3" s="36">
        <v>869616</v>
      </c>
      <c r="S3" s="36">
        <v>784454</v>
      </c>
      <c r="T3" s="36">
        <v>920987</v>
      </c>
      <c r="U3" s="36">
        <v>1212796</v>
      </c>
      <c r="V3" s="38">
        <f>SUM(R3:U3)</f>
        <v>3787853</v>
      </c>
      <c r="W3" s="36">
        <v>956414</v>
      </c>
      <c r="X3" s="36">
        <f t="shared" ref="X3:Z3" si="3">$W$3*(1+X5)</f>
        <v>1004234.7000000001</v>
      </c>
      <c r="Y3" s="36">
        <f t="shared" si="3"/>
        <v>1071183.6800000002</v>
      </c>
      <c r="Z3" s="36">
        <f t="shared" si="3"/>
        <v>1090311.9600000002</v>
      </c>
      <c r="AA3" s="36">
        <v>3900000</v>
      </c>
      <c r="AB3" s="36">
        <v>4400000</v>
      </c>
      <c r="AC3" s="36">
        <v>4800000</v>
      </c>
      <c r="AD3" s="36">
        <v>5000000</v>
      </c>
      <c r="AE3" s="36">
        <v>5000000</v>
      </c>
    </row>
    <row r="4" spans="1:31" ht="19.5">
      <c r="A4" s="35" t="s">
        <v>202</v>
      </c>
      <c r="B4" s="35" t="s">
        <v>202</v>
      </c>
      <c r="C4" s="29"/>
      <c r="D4" s="39">
        <v>11</v>
      </c>
      <c r="E4" s="39">
        <v>12</v>
      </c>
      <c r="F4" s="39">
        <v>13</v>
      </c>
      <c r="G4" s="40">
        <v>15</v>
      </c>
      <c r="H4" s="41">
        <v>14.96</v>
      </c>
      <c r="I4" s="41">
        <v>17.45</v>
      </c>
      <c r="J4" s="41">
        <v>16.21</v>
      </c>
      <c r="K4" s="42">
        <v>18.7</v>
      </c>
      <c r="L4" s="39"/>
      <c r="M4" s="41">
        <v>18.55</v>
      </c>
      <c r="N4" s="41">
        <v>19.8</v>
      </c>
      <c r="O4" s="41">
        <v>16.52</v>
      </c>
      <c r="P4" s="42">
        <v>15.95</v>
      </c>
      <c r="Q4" s="39"/>
      <c r="R4" s="43">
        <v>17.23</v>
      </c>
      <c r="S4" s="43">
        <v>16.309999999999999</v>
      </c>
      <c r="T4" s="43">
        <v>14.92</v>
      </c>
      <c r="U4" s="44">
        <v>14.81</v>
      </c>
      <c r="V4" s="45"/>
      <c r="W4" s="41">
        <v>15.74</v>
      </c>
      <c r="X4" s="41">
        <v>15.4</v>
      </c>
      <c r="Y4" s="29">
        <v>15.1</v>
      </c>
      <c r="Z4" s="29">
        <v>14.9</v>
      </c>
      <c r="AA4" s="418">
        <f>'Base case đã fix'!Z6*(1+AA7)</f>
        <v>14.905800000000001</v>
      </c>
      <c r="AB4" s="418">
        <f>AA4*(1+AB7)</f>
        <v>14.607684000000001</v>
      </c>
      <c r="AC4" s="418">
        <f>AB4*(1+AC7)</f>
        <v>14.315530320000001</v>
      </c>
      <c r="AD4" s="418">
        <f>AC4*(1+AD7)</f>
        <v>14.0292197136</v>
      </c>
      <c r="AE4" s="418">
        <f>AD4*(1+AE7)</f>
        <v>13.888927516463999</v>
      </c>
    </row>
    <row r="5" spans="1:31" ht="19.5">
      <c r="A5" s="35" t="s">
        <v>203</v>
      </c>
      <c r="B5" s="35" t="s">
        <v>203</v>
      </c>
      <c r="C5" s="29"/>
      <c r="D5" s="29"/>
      <c r="E5" s="29"/>
      <c r="F5" s="29"/>
      <c r="G5" s="31"/>
      <c r="H5" s="34"/>
      <c r="I5" s="34">
        <f>(I3-H3)/H3</f>
        <v>0.14974632943724664</v>
      </c>
      <c r="J5" s="34">
        <f t="shared" ref="J5:K5" si="4">(J3-$H$3)/$H$3</f>
        <v>0.1220998636330677</v>
      </c>
      <c r="K5" s="34">
        <f t="shared" si="4"/>
        <v>0.27724590255962839</v>
      </c>
      <c r="L5" s="46"/>
      <c r="M5" s="34"/>
      <c r="N5" s="34">
        <f t="shared" ref="N5:P5" si="5">(N3-$M$3)/$M$3</f>
        <v>-0.23068010045497209</v>
      </c>
      <c r="O5" s="34">
        <f t="shared" si="5"/>
        <v>-0.19633709417728243</v>
      </c>
      <c r="P5" s="34">
        <f t="shared" si="5"/>
        <v>-0.38764547094610019</v>
      </c>
      <c r="Q5" s="46"/>
      <c r="R5" s="34"/>
      <c r="S5" s="34">
        <f t="shared" ref="S5:U5" si="6">(S3-$R$3)/$R$3</f>
        <v>-9.7930580854078117E-2</v>
      </c>
      <c r="T5" s="34">
        <f t="shared" si="6"/>
        <v>5.907320012511269E-2</v>
      </c>
      <c r="U5" s="34">
        <f t="shared" si="6"/>
        <v>0.39463395337712276</v>
      </c>
      <c r="V5" s="46"/>
      <c r="W5" s="34"/>
      <c r="X5" s="34">
        <v>0.05</v>
      </c>
      <c r="Y5" s="47">
        <v>0.12</v>
      </c>
      <c r="Z5" s="47">
        <v>0.14000000000000001</v>
      </c>
      <c r="AA5" s="47"/>
      <c r="AB5" s="34"/>
      <c r="AC5" s="34"/>
      <c r="AD5" s="34"/>
      <c r="AE5" s="34"/>
    </row>
    <row r="6" spans="1:31" ht="19.5">
      <c r="A6" s="35" t="s">
        <v>204</v>
      </c>
      <c r="B6" s="35" t="s">
        <v>204</v>
      </c>
      <c r="C6" s="29"/>
      <c r="D6" s="29"/>
      <c r="E6" s="29"/>
      <c r="F6" s="29"/>
      <c r="G6" s="31"/>
      <c r="H6" s="34"/>
      <c r="I6" s="34"/>
      <c r="J6" s="34"/>
      <c r="K6" s="48"/>
      <c r="L6" s="46"/>
      <c r="M6" s="34">
        <f t="shared" ref="M6:W6" si="7">(M3-H3)/H3</f>
        <v>0.56752034393471229</v>
      </c>
      <c r="N6" s="34">
        <f t="shared" si="7"/>
        <v>4.8861442437385945E-2</v>
      </c>
      <c r="O6" s="34">
        <f t="shared" si="7"/>
        <v>0.12267900154985112</v>
      </c>
      <c r="P6" s="34">
        <f t="shared" si="7"/>
        <v>-0.2484781669145063</v>
      </c>
      <c r="Q6" s="34">
        <f t="shared" si="7"/>
        <v>9.759947018818757E-2</v>
      </c>
      <c r="R6" s="34">
        <f t="shared" si="7"/>
        <v>-0.35117906262916865</v>
      </c>
      <c r="S6" s="34">
        <f t="shared" si="7"/>
        <v>-0.23922216694257997</v>
      </c>
      <c r="T6" s="34">
        <f t="shared" si="7"/>
        <v>-0.14497874485564233</v>
      </c>
      <c r="U6" s="34">
        <f t="shared" si="7"/>
        <v>0.47768599069132733</v>
      </c>
      <c r="V6" s="34">
        <f t="shared" si="7"/>
        <v>-0.11277245009385582</v>
      </c>
      <c r="W6" s="34">
        <f t="shared" si="7"/>
        <v>9.9811870986734372E-2</v>
      </c>
      <c r="X6" s="34"/>
      <c r="Y6" s="34"/>
      <c r="Z6" s="34"/>
      <c r="AA6" s="34"/>
      <c r="AB6" s="34"/>
      <c r="AC6" s="34"/>
      <c r="AD6" s="34"/>
      <c r="AE6" s="34"/>
    </row>
    <row r="7" spans="1:31" ht="19.5">
      <c r="A7" s="49" t="s">
        <v>205</v>
      </c>
      <c r="B7" s="49" t="s">
        <v>205</v>
      </c>
      <c r="C7" s="50"/>
      <c r="D7" s="50"/>
      <c r="E7" s="51">
        <f t="shared" ref="E7:K7" si="8">(E4-D4)/D4</f>
        <v>9.0909090909090912E-2</v>
      </c>
      <c r="F7" s="51">
        <f t="shared" si="8"/>
        <v>8.3333333333333329E-2</v>
      </c>
      <c r="G7" s="52">
        <f t="shared" si="8"/>
        <v>0.15384615384615385</v>
      </c>
      <c r="H7" s="51">
        <f t="shared" si="8"/>
        <v>-2.6666666666666098E-3</v>
      </c>
      <c r="I7" s="51">
        <f t="shared" si="8"/>
        <v>0.16644385026737957</v>
      </c>
      <c r="J7" s="51">
        <f t="shared" si="8"/>
        <v>-7.1060171919770682E-2</v>
      </c>
      <c r="K7" s="52">
        <f t="shared" si="8"/>
        <v>0.15360888340530526</v>
      </c>
      <c r="L7" s="46">
        <f>(K4-H4)/H4</f>
        <v>0.24999999999999989</v>
      </c>
      <c r="M7" s="51">
        <f>(M4-K4)/K4</f>
        <v>-8.0213903743314753E-3</v>
      </c>
      <c r="N7" s="51">
        <f t="shared" ref="N7:P7" si="9">(N4-M4)/M4</f>
        <v>6.7385444743935305E-2</v>
      </c>
      <c r="O7" s="51">
        <f t="shared" si="9"/>
        <v>-0.1656565656565657</v>
      </c>
      <c r="P7" s="52">
        <f t="shared" si="9"/>
        <v>-3.45036319612591E-2</v>
      </c>
      <c r="Q7" s="46">
        <f>(P4-M4)/M4</f>
        <v>-0.14016172506738553</v>
      </c>
      <c r="R7" s="51">
        <f>(R4-P4)/P4</f>
        <v>8.0250783699059636E-2</v>
      </c>
      <c r="S7" s="51">
        <f t="shared" ref="S7:U7" si="10">(S4-R4)/R4</f>
        <v>-5.3395240858967019E-2</v>
      </c>
      <c r="T7" s="51">
        <f t="shared" si="10"/>
        <v>-8.5223789086449966E-2</v>
      </c>
      <c r="U7" s="52">
        <f t="shared" si="10"/>
        <v>-7.3726541554959401E-3</v>
      </c>
      <c r="V7" s="46">
        <f>(U4-R4)/R4</f>
        <v>-0.1404526987811956</v>
      </c>
      <c r="W7" s="51">
        <f>(W4-U4)/U4</f>
        <v>6.2795408507765008E-2</v>
      </c>
      <c r="X7" s="51">
        <f t="shared" ref="X7:Z7" si="11">(X4-W4)/W4</f>
        <v>-2.1601016518424387E-2</v>
      </c>
      <c r="Y7" s="53">
        <f t="shared" si="11"/>
        <v>-1.9480519480519525E-2</v>
      </c>
      <c r="Z7" s="53">
        <f t="shared" si="11"/>
        <v>-1.3245033112582735E-2</v>
      </c>
      <c r="AA7" s="53">
        <v>-0.02</v>
      </c>
      <c r="AB7" s="51">
        <v>-0.02</v>
      </c>
      <c r="AC7" s="53">
        <v>-0.02</v>
      </c>
      <c r="AD7" s="53">
        <v>-0.02</v>
      </c>
      <c r="AE7" s="53">
        <v>-0.01</v>
      </c>
    </row>
    <row r="8" spans="1:31" ht="19.5">
      <c r="A8" s="49"/>
      <c r="B8" s="49"/>
      <c r="C8" s="50"/>
      <c r="D8" s="50"/>
      <c r="E8" s="51"/>
      <c r="F8" s="51"/>
      <c r="G8" s="52"/>
      <c r="H8" s="51"/>
      <c r="I8" s="51"/>
      <c r="J8" s="51"/>
      <c r="K8" s="426"/>
      <c r="L8" s="46"/>
      <c r="M8" s="51"/>
      <c r="N8" s="51"/>
      <c r="O8" s="51"/>
      <c r="P8" s="426"/>
      <c r="Q8" s="46"/>
      <c r="R8" s="51"/>
      <c r="S8" s="51"/>
      <c r="T8" s="51"/>
      <c r="U8" s="426"/>
      <c r="V8" s="46"/>
      <c r="W8" s="51"/>
      <c r="X8" s="51"/>
      <c r="Y8" s="53"/>
      <c r="Z8" s="53"/>
      <c r="AA8" s="476">
        <f>SUM(AA2,AA9,AA14,AA20,AA25)</f>
        <v>109803707.81246752</v>
      </c>
      <c r="AB8" s="476">
        <f t="shared" ref="AB8:AE8" si="12">SUM(AB2,AB9,AB14,AB20,AB25)</f>
        <v>142884693.32659519</v>
      </c>
      <c r="AC8" s="476">
        <f t="shared" si="12"/>
        <v>180706960.91205302</v>
      </c>
      <c r="AD8" s="476">
        <f t="shared" si="12"/>
        <v>195039046.4817661</v>
      </c>
      <c r="AE8" s="476">
        <f t="shared" si="12"/>
        <v>197785229.14983734</v>
      </c>
    </row>
    <row r="9" spans="1:31" ht="19.5">
      <c r="A9" s="54" t="s">
        <v>206</v>
      </c>
      <c r="B9" s="55"/>
      <c r="C9" s="54"/>
      <c r="D9" s="54"/>
      <c r="E9" s="54"/>
      <c r="F9" s="54"/>
      <c r="G9" s="56"/>
      <c r="H9" s="57">
        <f t="shared" ref="H9:Z9" si="13">H10*H11</f>
        <v>3588234</v>
      </c>
      <c r="I9" s="57">
        <f t="shared" si="13"/>
        <v>4608811.7</v>
      </c>
      <c r="J9" s="57">
        <f t="shared" si="13"/>
        <v>3262942.2</v>
      </c>
      <c r="K9" s="57">
        <f t="shared" si="13"/>
        <v>4773351.2</v>
      </c>
      <c r="L9" s="58">
        <f t="shared" si="13"/>
        <v>16394461.1</v>
      </c>
      <c r="M9" s="57">
        <f t="shared" si="13"/>
        <v>5488938</v>
      </c>
      <c r="N9" s="57">
        <f t="shared" si="13"/>
        <v>4265380.8</v>
      </c>
      <c r="O9" s="57">
        <f t="shared" si="13"/>
        <v>4502070</v>
      </c>
      <c r="P9" s="57">
        <f t="shared" si="13"/>
        <v>3634137.4000000004</v>
      </c>
      <c r="Q9" s="58">
        <f t="shared" si="13"/>
        <v>17908198.300000001</v>
      </c>
      <c r="R9" s="57">
        <f t="shared" si="13"/>
        <v>3457144.8000000003</v>
      </c>
      <c r="S9" s="57">
        <f t="shared" si="13"/>
        <v>3415168.8</v>
      </c>
      <c r="T9" s="57">
        <f t="shared" si="13"/>
        <v>3236695.1999999997</v>
      </c>
      <c r="U9" s="57">
        <f t="shared" si="13"/>
        <v>3567109</v>
      </c>
      <c r="V9" s="58">
        <f t="shared" si="13"/>
        <v>13741967.999999998</v>
      </c>
      <c r="W9" s="57">
        <f t="shared" si="13"/>
        <v>2476926.2000000002</v>
      </c>
      <c r="X9" s="57">
        <f t="shared" si="13"/>
        <v>3467696.68</v>
      </c>
      <c r="Y9" s="57">
        <f t="shared" si="13"/>
        <v>3519712.1301999995</v>
      </c>
      <c r="Z9" s="57">
        <f t="shared" si="13"/>
        <v>3865398.1429874995</v>
      </c>
      <c r="AA9" s="57">
        <v>13329733.1531875</v>
      </c>
      <c r="AB9" s="58">
        <v>16259556.051837178</v>
      </c>
      <c r="AC9" s="57">
        <v>18064366.773591109</v>
      </c>
      <c r="AD9" s="57">
        <v>19157260.963393372</v>
      </c>
      <c r="AE9" s="57">
        <v>19735810.244487852</v>
      </c>
    </row>
    <row r="10" spans="1:31" ht="19.5">
      <c r="A10" s="59" t="e">
        <f>#REF!/(#REF!*1000+#REF!+#REF!)</f>
        <v>#REF!</v>
      </c>
      <c r="B10" s="60" t="s">
        <v>201</v>
      </c>
      <c r="C10" s="54"/>
      <c r="D10" s="54"/>
      <c r="E10" s="54"/>
      <c r="F10" s="54"/>
      <c r="G10" s="56"/>
      <c r="H10" s="61">
        <v>184012</v>
      </c>
      <c r="I10" s="61">
        <v>191237</v>
      </c>
      <c r="J10" s="61">
        <v>122667</v>
      </c>
      <c r="K10" s="62">
        <v>177448</v>
      </c>
      <c r="L10" s="63">
        <f>SUM(H10:K10)</f>
        <v>675364</v>
      </c>
      <c r="M10" s="61">
        <v>217815</v>
      </c>
      <c r="N10" s="61">
        <v>159156</v>
      </c>
      <c r="O10" s="61">
        <v>200092</v>
      </c>
      <c r="P10" s="62">
        <v>172234</v>
      </c>
      <c r="Q10" s="63">
        <f>SUM(M10:P10)</f>
        <v>749297</v>
      </c>
      <c r="R10" s="61">
        <v>160053</v>
      </c>
      <c r="S10" s="61">
        <v>164984</v>
      </c>
      <c r="T10" s="61">
        <v>162648</v>
      </c>
      <c r="U10" s="62">
        <v>195995</v>
      </c>
      <c r="V10" s="63">
        <f>SUM(R10:U10)</f>
        <v>683680</v>
      </c>
      <c r="W10" s="61">
        <v>129682</v>
      </c>
      <c r="X10" s="57">
        <f t="shared" ref="X10:Z10" si="14">$W$10*(1+X12)</f>
        <v>181554.8</v>
      </c>
      <c r="Y10" s="57">
        <f t="shared" si="14"/>
        <v>181554.8</v>
      </c>
      <c r="Z10" s="57">
        <f t="shared" si="14"/>
        <v>194523</v>
      </c>
      <c r="AA10" s="57">
        <v>752048.00000000012</v>
      </c>
      <c r="AB10" s="57">
        <v>827252.80000000016</v>
      </c>
      <c r="AC10" s="57">
        <v>909978.08000000031</v>
      </c>
      <c r="AD10" s="57">
        <v>955476.9840000004</v>
      </c>
      <c r="AE10" s="57">
        <v>974586.52368000045</v>
      </c>
    </row>
    <row r="11" spans="1:31" ht="19.5">
      <c r="A11" s="54"/>
      <c r="B11" s="60" t="s">
        <v>202</v>
      </c>
      <c r="C11" s="54"/>
      <c r="D11" s="54"/>
      <c r="E11" s="54"/>
      <c r="F11" s="54"/>
      <c r="G11" s="56"/>
      <c r="H11" s="57">
        <v>19.5</v>
      </c>
      <c r="I11" s="54">
        <v>24.1</v>
      </c>
      <c r="J11" s="57">
        <v>26.6</v>
      </c>
      <c r="K11" s="64">
        <v>26.9</v>
      </c>
      <c r="L11" s="65">
        <f>AVERAGE(H11:K11)</f>
        <v>24.274999999999999</v>
      </c>
      <c r="M11" s="57">
        <v>25.2</v>
      </c>
      <c r="N11" s="57">
        <v>26.8</v>
      </c>
      <c r="O11" s="57">
        <v>22.5</v>
      </c>
      <c r="P11" s="56">
        <v>21.1</v>
      </c>
      <c r="Q11" s="65">
        <f>AVERAGE(M11:P11)</f>
        <v>23.9</v>
      </c>
      <c r="R11" s="57">
        <v>21.6</v>
      </c>
      <c r="S11" s="57">
        <v>20.7</v>
      </c>
      <c r="T11" s="57">
        <v>19.899999999999999</v>
      </c>
      <c r="U11" s="64">
        <v>18.2</v>
      </c>
      <c r="V11" s="65">
        <f t="shared" ref="V11:V12" si="15">AVERAGE(R11:U11)</f>
        <v>20.099999999999998</v>
      </c>
      <c r="W11" s="54">
        <v>19.100000000000001</v>
      </c>
      <c r="X11" s="54">
        <v>19.100000000000001</v>
      </c>
      <c r="Y11" s="54">
        <f t="shared" ref="Y11:Z11" si="16">X11*(1+Y13)</f>
        <v>19.386499999999998</v>
      </c>
      <c r="Z11" s="54">
        <f t="shared" si="16"/>
        <v>19.871162499999997</v>
      </c>
      <c r="AA11" s="54">
        <v>19.364415624999999</v>
      </c>
      <c r="AB11" s="54">
        <v>19.654881859374999</v>
      </c>
      <c r="AC11" s="57">
        <v>19.85143067796875</v>
      </c>
      <c r="AD11" s="57">
        <v>20.049944984748439</v>
      </c>
      <c r="AE11" s="57">
        <v>20.250444434595924</v>
      </c>
    </row>
    <row r="12" spans="1:31" ht="19.5">
      <c r="A12" s="54"/>
      <c r="B12" s="60" t="s">
        <v>203</v>
      </c>
      <c r="C12" s="54"/>
      <c r="D12" s="54"/>
      <c r="E12" s="54"/>
      <c r="F12" s="54"/>
      <c r="G12" s="56"/>
      <c r="H12" s="54"/>
      <c r="I12" s="59">
        <f t="shared" ref="I12:K12" si="17">(I10-$H$10)/$H$10</f>
        <v>3.9263743668891161E-2</v>
      </c>
      <c r="J12" s="59">
        <f t="shared" si="17"/>
        <v>-0.33337499728278591</v>
      </c>
      <c r="K12" s="59">
        <f t="shared" si="17"/>
        <v>-3.5671586635654194E-2</v>
      </c>
      <c r="L12" s="66">
        <f>AVERAGE(I12:K12)</f>
        <v>-0.1099276134165163</v>
      </c>
      <c r="M12" s="59">
        <f t="shared" ref="M12:M13" si="18">(M10-K10)/K10</f>
        <v>0.22748636220188451</v>
      </c>
      <c r="N12" s="59">
        <f t="shared" ref="N12:P12" si="19">(N10-$M$10)/$M$10</f>
        <v>-0.2693065215894222</v>
      </c>
      <c r="O12" s="59">
        <f t="shared" si="19"/>
        <v>-8.1367215297385401E-2</v>
      </c>
      <c r="P12" s="59">
        <f t="shared" si="19"/>
        <v>-0.20926474301586209</v>
      </c>
      <c r="Q12" s="66">
        <f>AVERAGE(M12:P12)</f>
        <v>-8.31130294251963E-2</v>
      </c>
      <c r="R12" s="59">
        <f t="shared" ref="R12:R13" si="20">(R10-P10)/P10</f>
        <v>-7.0723550518480671E-2</v>
      </c>
      <c r="S12" s="59">
        <f t="shared" ref="S12:U12" si="21">(S10-$R$10)/$R$10</f>
        <v>3.0808544669578202E-2</v>
      </c>
      <c r="T12" s="59">
        <f t="shared" si="21"/>
        <v>1.6213379318100879E-2</v>
      </c>
      <c r="U12" s="59">
        <f t="shared" si="21"/>
        <v>0.22456311346866351</v>
      </c>
      <c r="V12" s="66">
        <f t="shared" si="15"/>
        <v>5.0215371734465483E-2</v>
      </c>
      <c r="W12" s="59">
        <f>(W10-R10)/R10</f>
        <v>-0.18975589336032439</v>
      </c>
      <c r="X12" s="59">
        <v>0.4</v>
      </c>
      <c r="Y12" s="67">
        <v>0.4</v>
      </c>
      <c r="Z12" s="67">
        <v>0.5</v>
      </c>
      <c r="AA12" s="67">
        <v>0.1</v>
      </c>
      <c r="AB12" s="66">
        <v>0.1</v>
      </c>
      <c r="AC12" s="59">
        <v>0.1</v>
      </c>
      <c r="AD12" s="67">
        <v>0.05</v>
      </c>
      <c r="AE12" s="59">
        <v>0.02</v>
      </c>
    </row>
    <row r="13" spans="1:31" ht="19.5">
      <c r="A13" s="54"/>
      <c r="B13" s="68" t="s">
        <v>205</v>
      </c>
      <c r="C13" s="69"/>
      <c r="D13" s="69"/>
      <c r="E13" s="69"/>
      <c r="F13" s="69"/>
      <c r="G13" s="70"/>
      <c r="H13" s="69"/>
      <c r="I13" s="71">
        <f t="shared" ref="I13:K13" si="22">(I11-H11)/H11</f>
        <v>0.23589743589743598</v>
      </c>
      <c r="J13" s="71">
        <f t="shared" si="22"/>
        <v>0.10373443983402489</v>
      </c>
      <c r="K13" s="72">
        <f t="shared" si="22"/>
        <v>1.1278195488721696E-2</v>
      </c>
      <c r="L13" s="73">
        <f>(K11-H11)/H11</f>
        <v>0.37948717948717942</v>
      </c>
      <c r="M13" s="71">
        <f t="shared" si="18"/>
        <v>-6.3197026022304814E-2</v>
      </c>
      <c r="N13" s="71">
        <f t="shared" ref="N13:P13" si="23">(N11-M11)/M11</f>
        <v>6.3492063492063544E-2</v>
      </c>
      <c r="O13" s="71">
        <f t="shared" si="23"/>
        <v>-0.16044776119402987</v>
      </c>
      <c r="P13" s="72">
        <f t="shared" si="23"/>
        <v>-6.2222222222222158E-2</v>
      </c>
      <c r="Q13" s="73">
        <f>(P11-M11)/M11</f>
        <v>-0.16269841269841262</v>
      </c>
      <c r="R13" s="71">
        <f t="shared" si="20"/>
        <v>2.3696682464454975E-2</v>
      </c>
      <c r="S13" s="71">
        <f t="shared" ref="S13:U13" si="24">(S11-R11)/R11</f>
        <v>-4.1666666666666761E-2</v>
      </c>
      <c r="T13" s="71">
        <f t="shared" si="24"/>
        <v>-3.8647342995169115E-2</v>
      </c>
      <c r="U13" s="72">
        <f t="shared" si="24"/>
        <v>-8.5427135678391927E-2</v>
      </c>
      <c r="V13" s="73">
        <f>(U11-R11)/R11</f>
        <v>-0.1574074074074075</v>
      </c>
      <c r="W13" s="71">
        <f>(W11-U11)/U11</f>
        <v>4.9450549450549566E-2</v>
      </c>
      <c r="X13" s="71">
        <f>(X11-W11)/W11</f>
        <v>0</v>
      </c>
      <c r="Y13" s="71">
        <v>1.4999999999999999E-2</v>
      </c>
      <c r="Z13" s="71">
        <v>2.5000000000000001E-2</v>
      </c>
      <c r="AA13" s="71">
        <v>2.236263736263739E-2</v>
      </c>
      <c r="AB13" s="71">
        <v>1.4999999999999999E-2</v>
      </c>
      <c r="AC13" s="71">
        <v>0.01</v>
      </c>
      <c r="AD13" s="71">
        <v>0.01</v>
      </c>
      <c r="AE13" s="71">
        <v>0.01</v>
      </c>
    </row>
    <row r="14" spans="1:31" ht="39">
      <c r="A14" s="74" t="s">
        <v>207</v>
      </c>
      <c r="B14" s="75" t="s">
        <v>208</v>
      </c>
      <c r="C14" s="74"/>
      <c r="D14" s="74"/>
      <c r="E14" s="74"/>
      <c r="F14" s="74"/>
      <c r="G14" s="76"/>
      <c r="H14" s="74"/>
      <c r="I14" s="74"/>
      <c r="J14" s="74"/>
      <c r="K14" s="76"/>
      <c r="L14" s="77"/>
      <c r="M14" s="78"/>
      <c r="N14" s="78"/>
      <c r="O14" s="78"/>
      <c r="P14" s="79"/>
      <c r="Q14" s="80"/>
      <c r="R14" s="78">
        <f t="shared" ref="R14:U14" si="25">R15*R16*1000</f>
        <v>7075760</v>
      </c>
      <c r="S14" s="78">
        <f t="shared" si="25"/>
        <v>9872300</v>
      </c>
      <c r="T14" s="78">
        <f t="shared" si="25"/>
        <v>9735860</v>
      </c>
      <c r="U14" s="79">
        <f t="shared" si="25"/>
        <v>10741410</v>
      </c>
      <c r="V14" s="80">
        <f>SUM(R14:U14)</f>
        <v>37425330</v>
      </c>
      <c r="W14" s="78">
        <f t="shared" ref="W14:AE14" si="26">W15*W16*1000</f>
        <v>11202300</v>
      </c>
      <c r="X14" s="78">
        <f t="shared" si="26"/>
        <v>11197819.080000002</v>
      </c>
      <c r="Y14" s="78">
        <f t="shared" si="26"/>
        <v>11650210.970832</v>
      </c>
      <c r="Z14" s="78">
        <f t="shared" si="26"/>
        <v>12358543.797858585</v>
      </c>
      <c r="AA14" s="81">
        <f t="shared" si="26"/>
        <v>38329015.974479996</v>
      </c>
      <c r="AB14" s="81">
        <f t="shared" si="26"/>
        <v>62339406.695636399</v>
      </c>
      <c r="AC14" s="81">
        <f t="shared" si="26"/>
        <v>93915671.391469613</v>
      </c>
      <c r="AD14" s="81">
        <f t="shared" si="26"/>
        <v>105722212.93782578</v>
      </c>
      <c r="AE14" s="81">
        <f t="shared" si="26"/>
        <v>108589927.96376431</v>
      </c>
    </row>
    <row r="15" spans="1:31" ht="19.5">
      <c r="A15" s="74" t="s">
        <v>209</v>
      </c>
      <c r="B15" s="74" t="s">
        <v>209</v>
      </c>
      <c r="C15" s="74"/>
      <c r="D15" s="74"/>
      <c r="E15" s="74"/>
      <c r="F15" s="74"/>
      <c r="G15" s="76">
        <v>379147</v>
      </c>
      <c r="H15" s="78">
        <v>665272</v>
      </c>
      <c r="I15" s="78">
        <v>667572</v>
      </c>
      <c r="J15" s="78">
        <v>608294</v>
      </c>
      <c r="K15" s="79">
        <v>629281</v>
      </c>
      <c r="L15" s="80">
        <f>SUM(H15:K15)</f>
        <v>2570419</v>
      </c>
      <c r="M15" s="78">
        <v>762695</v>
      </c>
      <c r="N15" s="78">
        <v>662311</v>
      </c>
      <c r="O15" s="78">
        <v>611634</v>
      </c>
      <c r="P15" s="79">
        <v>593244</v>
      </c>
      <c r="Q15" s="80">
        <f>SUM(M15:P15)</f>
        <v>2629884</v>
      </c>
      <c r="R15" s="74">
        <v>482</v>
      </c>
      <c r="S15" s="74">
        <v>734</v>
      </c>
      <c r="T15" s="74">
        <v>766</v>
      </c>
      <c r="U15" s="76">
        <v>801</v>
      </c>
      <c r="V15" s="77">
        <f>SUM(R15:U15)</f>
        <v>2783</v>
      </c>
      <c r="W15" s="83">
        <v>810</v>
      </c>
      <c r="X15" s="74">
        <f t="shared" ref="X15:Z16" si="27">W15*(X17+1)</f>
        <v>826.2</v>
      </c>
      <c r="Y15" s="74">
        <f t="shared" si="27"/>
        <v>842.72400000000005</v>
      </c>
      <c r="Z15" s="84">
        <f t="shared" si="27"/>
        <v>876.43296000000009</v>
      </c>
      <c r="AA15" s="422">
        <v>2800</v>
      </c>
      <c r="AB15" s="423">
        <v>4600</v>
      </c>
      <c r="AC15" s="424">
        <f>(28+28+28*50%)*100</f>
        <v>7000</v>
      </c>
      <c r="AD15" s="424">
        <v>8000</v>
      </c>
      <c r="AE15" s="424">
        <v>8300</v>
      </c>
    </row>
    <row r="16" spans="1:31" ht="39">
      <c r="A16" s="75" t="s">
        <v>210</v>
      </c>
      <c r="B16" s="75" t="s">
        <v>210</v>
      </c>
      <c r="C16" s="74"/>
      <c r="D16" s="74"/>
      <c r="E16" s="74"/>
      <c r="F16" s="74"/>
      <c r="G16" s="76"/>
      <c r="H16" s="83">
        <v>17.78</v>
      </c>
      <c r="I16" s="83">
        <v>25.63</v>
      </c>
      <c r="J16" s="74">
        <v>23.85</v>
      </c>
      <c r="K16" s="76">
        <v>22.14</v>
      </c>
      <c r="L16" s="77"/>
      <c r="M16" s="74">
        <v>17.920000000000002</v>
      </c>
      <c r="N16" s="74">
        <v>17.09</v>
      </c>
      <c r="O16" s="74">
        <v>14.31</v>
      </c>
      <c r="P16" s="76">
        <v>13.54</v>
      </c>
      <c r="Q16" s="77"/>
      <c r="R16" s="74">
        <v>14.68</v>
      </c>
      <c r="S16" s="74">
        <v>13.45</v>
      </c>
      <c r="T16" s="74">
        <v>12.71</v>
      </c>
      <c r="U16" s="76">
        <v>13.41</v>
      </c>
      <c r="V16" s="77"/>
      <c r="W16" s="74">
        <v>13.83</v>
      </c>
      <c r="X16" s="74">
        <f t="shared" si="27"/>
        <v>13.5534</v>
      </c>
      <c r="Y16" s="74">
        <f t="shared" si="27"/>
        <v>13.824468</v>
      </c>
      <c r="Z16" s="74">
        <f t="shared" si="27"/>
        <v>14.100957359999999</v>
      </c>
      <c r="AA16" s="74">
        <f>'Base case đã fix'!Z24*(1+AA18)</f>
        <v>13.6889342766</v>
      </c>
      <c r="AB16" s="86">
        <f>AA16*(1+AB18)</f>
        <v>13.552044933833999</v>
      </c>
      <c r="AC16" s="86">
        <f t="shared" ref="AC16:AE16" si="28">AB16*(1+AC18)</f>
        <v>13.416524484495659</v>
      </c>
      <c r="AD16" s="86">
        <f t="shared" si="28"/>
        <v>13.215276617228223</v>
      </c>
      <c r="AE16" s="86">
        <f t="shared" si="28"/>
        <v>13.083123851055941</v>
      </c>
    </row>
    <row r="17" spans="1:31" ht="19.5">
      <c r="A17" s="75" t="s">
        <v>203</v>
      </c>
      <c r="B17" s="75" t="s">
        <v>203</v>
      </c>
      <c r="C17" s="74"/>
      <c r="D17" s="74"/>
      <c r="E17" s="74"/>
      <c r="F17" s="74"/>
      <c r="G17" s="76"/>
      <c r="H17" s="74"/>
      <c r="I17" s="74"/>
      <c r="J17" s="74"/>
      <c r="K17" s="76"/>
      <c r="L17" s="77"/>
      <c r="M17" s="74"/>
      <c r="N17" s="74"/>
      <c r="O17" s="74"/>
      <c r="P17" s="76"/>
      <c r="Q17" s="77"/>
      <c r="R17" s="82"/>
      <c r="S17" s="82">
        <f t="shared" ref="S17:U18" si="29">(S15-R15)/R15</f>
        <v>0.52282157676348551</v>
      </c>
      <c r="T17" s="82">
        <f t="shared" si="29"/>
        <v>4.3596730245231606E-2</v>
      </c>
      <c r="U17" s="87">
        <f t="shared" si="29"/>
        <v>4.5691906005221931E-2</v>
      </c>
      <c r="V17" s="88"/>
      <c r="W17" s="82">
        <f t="shared" ref="W17:W18" si="30">(W15-U15)/U15</f>
        <v>1.1235955056179775E-2</v>
      </c>
      <c r="X17" s="82">
        <v>0.02</v>
      </c>
      <c r="Y17" s="82">
        <v>0.02</v>
      </c>
      <c r="Z17" s="82">
        <v>0.04</v>
      </c>
      <c r="AA17" s="82"/>
      <c r="AB17" s="74"/>
      <c r="AC17" s="89"/>
      <c r="AD17" s="82"/>
      <c r="AE17" s="82"/>
    </row>
    <row r="18" spans="1:31" ht="19.5">
      <c r="A18" s="90" t="s">
        <v>205</v>
      </c>
      <c r="B18" s="90" t="s">
        <v>205</v>
      </c>
      <c r="C18" s="91"/>
      <c r="D18" s="91"/>
      <c r="E18" s="91"/>
      <c r="F18" s="91"/>
      <c r="G18" s="92"/>
      <c r="H18" s="91"/>
      <c r="I18" s="93">
        <f t="shared" ref="I18:K18" si="31">(I16-H16)/H16</f>
        <v>0.44150731158605161</v>
      </c>
      <c r="J18" s="93">
        <f t="shared" si="31"/>
        <v>-6.9449863441279652E-2</v>
      </c>
      <c r="K18" s="94">
        <f t="shared" si="31"/>
        <v>-7.1698113207547196E-2</v>
      </c>
      <c r="L18" s="88"/>
      <c r="M18" s="93">
        <f>(M16-K16)/K16</f>
        <v>-0.19060523938572713</v>
      </c>
      <c r="N18" s="93">
        <f t="shared" ref="N18:P18" si="32">(N16-M16)/M16</f>
        <v>-4.6316964285714385E-2</v>
      </c>
      <c r="O18" s="93">
        <f t="shared" si="32"/>
        <v>-0.16266822703335279</v>
      </c>
      <c r="P18" s="94">
        <f t="shared" si="32"/>
        <v>-5.3808525506638803E-2</v>
      </c>
      <c r="Q18" s="88"/>
      <c r="R18" s="93">
        <f>(R16-P16)/P16</f>
        <v>8.419497784342693E-2</v>
      </c>
      <c r="S18" s="93">
        <f t="shared" si="29"/>
        <v>-8.3787465940054526E-2</v>
      </c>
      <c r="T18" s="93">
        <f t="shared" si="29"/>
        <v>-5.501858736059468E-2</v>
      </c>
      <c r="U18" s="94">
        <f t="shared" si="29"/>
        <v>5.5074744295829994E-2</v>
      </c>
      <c r="V18" s="88"/>
      <c r="W18" s="93">
        <f t="shared" si="30"/>
        <v>3.1319910514541381E-2</v>
      </c>
      <c r="X18" s="93">
        <v>-0.02</v>
      </c>
      <c r="Y18" s="93">
        <v>0.02</v>
      </c>
      <c r="Z18" s="93">
        <v>0.02</v>
      </c>
      <c r="AA18" s="93">
        <v>-0.01</v>
      </c>
      <c r="AB18" s="93">
        <v>-0.01</v>
      </c>
      <c r="AC18" s="95">
        <v>-0.01</v>
      </c>
      <c r="AD18" s="95">
        <v>-1.4999999999999999E-2</v>
      </c>
      <c r="AE18" s="95">
        <v>-0.01</v>
      </c>
    </row>
    <row r="19" spans="1:31" ht="58.5">
      <c r="A19" s="96" t="s">
        <v>211</v>
      </c>
      <c r="B19" s="97"/>
      <c r="C19" s="96"/>
      <c r="D19" s="96"/>
      <c r="E19" s="96"/>
      <c r="F19" s="96"/>
      <c r="G19" s="98"/>
      <c r="H19" s="96"/>
      <c r="I19" s="96"/>
      <c r="J19" s="96"/>
      <c r="K19" s="98"/>
      <c r="L19" s="99"/>
      <c r="M19" s="96"/>
      <c r="N19" s="96"/>
      <c r="O19" s="96"/>
      <c r="P19" s="98"/>
      <c r="Q19" s="99"/>
      <c r="R19" s="96"/>
      <c r="S19" s="96"/>
      <c r="T19" s="96"/>
      <c r="U19" s="98"/>
      <c r="V19" s="99"/>
      <c r="W19" s="96"/>
      <c r="X19" s="96"/>
      <c r="Y19" s="96"/>
      <c r="Z19" s="96"/>
      <c r="AA19" s="96"/>
      <c r="AB19" s="100"/>
      <c r="AC19" s="100"/>
      <c r="AD19" s="100"/>
      <c r="AE19" s="100"/>
    </row>
    <row r="20" spans="1:31" ht="19.5">
      <c r="A20" s="96" t="s">
        <v>212</v>
      </c>
      <c r="B20" s="97"/>
      <c r="C20" s="96"/>
      <c r="D20" s="96"/>
      <c r="E20" s="96"/>
      <c r="F20" s="96"/>
      <c r="G20" s="98"/>
      <c r="H20" s="96"/>
      <c r="I20" s="96"/>
      <c r="J20" s="96"/>
      <c r="K20" s="98"/>
      <c r="L20" s="99"/>
      <c r="M20" s="96"/>
      <c r="N20" s="96"/>
      <c r="O20" s="96"/>
      <c r="P20" s="98"/>
      <c r="Q20" s="99"/>
      <c r="R20" s="96"/>
      <c r="S20" s="96"/>
      <c r="T20" s="96"/>
      <c r="U20" s="98"/>
      <c r="V20" s="99"/>
      <c r="W20" s="96"/>
      <c r="X20" s="96"/>
      <c r="Y20" s="96"/>
      <c r="Z20" s="96"/>
      <c r="AA20" s="96">
        <v>2860</v>
      </c>
      <c r="AB20" s="96">
        <v>1470</v>
      </c>
      <c r="AC20" s="96">
        <v>750</v>
      </c>
      <c r="AD20" s="96">
        <v>775</v>
      </c>
      <c r="AE20" s="96">
        <v>1450</v>
      </c>
    </row>
    <row r="21" spans="1:31" ht="19.5">
      <c r="A21" s="96"/>
      <c r="B21" s="101" t="s">
        <v>201</v>
      </c>
      <c r="C21" s="96"/>
      <c r="D21" s="96"/>
      <c r="E21" s="96"/>
      <c r="F21" s="96"/>
      <c r="G21" s="98">
        <v>393</v>
      </c>
      <c r="H21" s="96">
        <v>393</v>
      </c>
      <c r="I21" s="96">
        <v>215</v>
      </c>
      <c r="J21" s="96">
        <v>220</v>
      </c>
      <c r="K21" s="98">
        <v>479</v>
      </c>
      <c r="L21" s="4">
        <f>SUM(H21:K21)</f>
        <v>1307</v>
      </c>
      <c r="M21" s="102">
        <v>69</v>
      </c>
      <c r="N21" s="96">
        <v>116</v>
      </c>
      <c r="O21" s="96">
        <v>22</v>
      </c>
      <c r="P21" s="96">
        <v>82</v>
      </c>
      <c r="Q21" s="99">
        <f>SUM(M21:P21)</f>
        <v>289</v>
      </c>
      <c r="R21" s="98">
        <v>27</v>
      </c>
      <c r="S21" s="102">
        <v>10</v>
      </c>
      <c r="T21" s="96">
        <v>24</v>
      </c>
      <c r="U21" s="96">
        <v>79</v>
      </c>
      <c r="V21" s="99">
        <f>SUM(R21:U21)</f>
        <v>140</v>
      </c>
      <c r="W21" s="96"/>
      <c r="X21" s="96"/>
      <c r="Y21" s="96"/>
      <c r="Z21" s="96"/>
      <c r="AA21" s="96">
        <v>200</v>
      </c>
      <c r="AB21" s="96">
        <v>100</v>
      </c>
      <c r="AC21" s="96">
        <v>50</v>
      </c>
      <c r="AD21" s="96">
        <v>50</v>
      </c>
      <c r="AE21" s="96">
        <v>100</v>
      </c>
    </row>
    <row r="22" spans="1:31" ht="19.5">
      <c r="A22" s="96"/>
      <c r="B22" s="101" t="s">
        <v>202</v>
      </c>
      <c r="C22" s="96"/>
      <c r="D22" s="96"/>
      <c r="E22" s="96"/>
      <c r="F22" s="96"/>
      <c r="G22" s="98"/>
      <c r="H22" s="96">
        <v>13.7</v>
      </c>
      <c r="I22" s="96">
        <v>17.399999999999999</v>
      </c>
      <c r="J22" s="96">
        <v>15.8</v>
      </c>
      <c r="K22" s="98">
        <v>15.3</v>
      </c>
      <c r="L22" s="99"/>
      <c r="M22" s="96">
        <v>17.010000000000002</v>
      </c>
      <c r="N22" s="96">
        <v>15.5</v>
      </c>
      <c r="O22" s="96">
        <v>13.7</v>
      </c>
      <c r="P22" s="98">
        <v>13.53</v>
      </c>
      <c r="Q22" s="99"/>
      <c r="R22" s="96">
        <v>15.51</v>
      </c>
      <c r="S22" s="96">
        <v>13.42</v>
      </c>
      <c r="T22" s="96">
        <v>13.09</v>
      </c>
      <c r="U22" s="98">
        <v>13.53</v>
      </c>
      <c r="V22" s="99"/>
      <c r="W22" s="96">
        <v>14.3</v>
      </c>
      <c r="X22" s="96"/>
      <c r="Y22" s="96"/>
      <c r="Z22" s="96"/>
      <c r="AA22" s="96">
        <v>14.3</v>
      </c>
      <c r="AB22" s="96">
        <v>14.7</v>
      </c>
      <c r="AC22" s="96">
        <v>15</v>
      </c>
      <c r="AD22" s="96">
        <v>15.5</v>
      </c>
      <c r="AE22" s="96">
        <v>14.5</v>
      </c>
    </row>
    <row r="23" spans="1:31" ht="19.5">
      <c r="A23" s="96"/>
      <c r="B23" s="101" t="s">
        <v>203</v>
      </c>
      <c r="C23" s="96"/>
      <c r="D23" s="96"/>
      <c r="E23" s="96"/>
      <c r="F23" s="96"/>
      <c r="G23" s="98"/>
      <c r="H23" s="96"/>
      <c r="I23" s="96"/>
      <c r="J23" s="96"/>
      <c r="K23" s="98"/>
      <c r="L23" s="99"/>
      <c r="M23" s="96"/>
      <c r="N23" s="96"/>
      <c r="O23" s="96"/>
      <c r="P23" s="98"/>
      <c r="Q23" s="99"/>
      <c r="R23" s="96"/>
      <c r="S23" s="96"/>
      <c r="T23" s="96"/>
      <c r="U23" s="98"/>
      <c r="V23" s="99"/>
      <c r="W23" s="96"/>
      <c r="X23" s="96"/>
      <c r="Y23" s="96"/>
      <c r="Z23" s="96"/>
      <c r="AA23" s="96">
        <v>0</v>
      </c>
      <c r="AB23" s="96"/>
      <c r="AC23" s="96"/>
      <c r="AD23" s="96"/>
      <c r="AE23" s="96"/>
    </row>
    <row r="24" spans="1:31" ht="19.5">
      <c r="A24" s="96"/>
      <c r="B24" s="103" t="s">
        <v>205</v>
      </c>
      <c r="C24" s="102"/>
      <c r="D24" s="102"/>
      <c r="E24" s="102"/>
      <c r="F24" s="102"/>
      <c r="G24" s="104"/>
      <c r="H24" s="102"/>
      <c r="I24" s="105">
        <f t="shared" ref="I24:K24" si="33">(I22-H22)/H22</f>
        <v>0.27007299270072987</v>
      </c>
      <c r="J24" s="105">
        <f t="shared" si="33"/>
        <v>-9.1954022988505635E-2</v>
      </c>
      <c r="K24" s="106">
        <f t="shared" si="33"/>
        <v>-3.164556962025316E-2</v>
      </c>
      <c r="L24" s="107"/>
      <c r="M24" s="105">
        <f>(M22-K22)/K22</f>
        <v>0.11176470588235299</v>
      </c>
      <c r="N24" s="105">
        <f t="shared" ref="N24:P24" si="34">(N22-M22)/M22</f>
        <v>-8.8771310993533303E-2</v>
      </c>
      <c r="O24" s="105">
        <f t="shared" si="34"/>
        <v>-0.11612903225806456</v>
      </c>
      <c r="P24" s="106">
        <f t="shared" si="34"/>
        <v>-1.2408759124087588E-2</v>
      </c>
      <c r="Q24" s="107"/>
      <c r="R24" s="105">
        <f>(R22-P22)/P22</f>
        <v>0.14634146341463419</v>
      </c>
      <c r="S24" s="105">
        <f t="shared" ref="S24:U24" si="35">(S22-R22)/R22</f>
        <v>-0.13475177304964539</v>
      </c>
      <c r="T24" s="105">
        <f t="shared" si="35"/>
        <v>-2.4590163934426236E-2</v>
      </c>
      <c r="U24" s="106">
        <f t="shared" si="35"/>
        <v>3.3613445378151224E-2</v>
      </c>
      <c r="V24" s="107"/>
      <c r="W24" s="105">
        <f>(W22-U22)/U22</f>
        <v>5.6910569105691158E-2</v>
      </c>
      <c r="X24" s="102"/>
      <c r="Y24" s="102"/>
      <c r="Z24" s="102"/>
      <c r="AA24" s="102" t="e">
        <v>#DIV/0!</v>
      </c>
      <c r="AB24" s="102">
        <v>2.7972027972027871E-2</v>
      </c>
      <c r="AC24" s="105">
        <v>2.0408163265306173E-2</v>
      </c>
      <c r="AD24" s="105">
        <v>3.3333333333333333E-2</v>
      </c>
      <c r="AE24" s="105">
        <v>-6.4516129032258063E-2</v>
      </c>
    </row>
    <row r="25" spans="1:31" ht="19.5">
      <c r="A25" s="29" t="s">
        <v>213</v>
      </c>
      <c r="B25" s="30"/>
      <c r="C25" s="29"/>
      <c r="D25" s="29"/>
      <c r="E25" s="29"/>
      <c r="F25" s="29"/>
      <c r="G25" s="31"/>
      <c r="H25" s="29"/>
      <c r="I25" s="29"/>
      <c r="J25" s="29"/>
      <c r="K25" s="31"/>
      <c r="L25" s="108"/>
      <c r="M25" s="29"/>
      <c r="N25" s="29"/>
      <c r="O25" s="29"/>
      <c r="P25" s="31"/>
      <c r="Q25" s="108"/>
      <c r="R25" s="29"/>
      <c r="S25" s="29"/>
      <c r="T25" s="29"/>
      <c r="U25" s="31"/>
      <c r="V25" s="108"/>
      <c r="W25" s="29"/>
      <c r="X25" s="29"/>
      <c r="Y25" s="29"/>
      <c r="Z25" s="29"/>
      <c r="AA25" s="29">
        <v>9478.6847999999991</v>
      </c>
      <c r="AB25" s="29">
        <v>10450.979121599999</v>
      </c>
      <c r="AC25" s="29">
        <v>11627.210992320001</v>
      </c>
      <c r="AD25" s="29">
        <v>12699.0125469504</v>
      </c>
      <c r="AE25" s="29">
        <v>13403.359265167874</v>
      </c>
    </row>
    <row r="26" spans="1:31" ht="19.5">
      <c r="A26" s="29"/>
      <c r="B26" s="35" t="s">
        <v>201</v>
      </c>
      <c r="C26" s="29"/>
      <c r="D26" s="29"/>
      <c r="E26" s="29"/>
      <c r="F26" s="29"/>
      <c r="G26" s="31"/>
      <c r="H26" s="29">
        <v>73.748000000000005</v>
      </c>
      <c r="I26" s="29">
        <v>86.203999999999994</v>
      </c>
      <c r="J26" s="29">
        <v>113.123</v>
      </c>
      <c r="K26" s="31">
        <v>155.71</v>
      </c>
      <c r="L26" s="108">
        <f>SUM(H26:K26)</f>
        <v>428.78499999999997</v>
      </c>
      <c r="M26" s="29">
        <v>105.706</v>
      </c>
      <c r="N26" s="29">
        <v>63.527000000000001</v>
      </c>
      <c r="O26" s="32">
        <v>68.691999999999993</v>
      </c>
      <c r="P26" s="31">
        <v>79.459000000000003</v>
      </c>
      <c r="Q26" s="108">
        <f>SUM(M26:P26)</f>
        <v>317.38400000000001</v>
      </c>
      <c r="R26" s="29">
        <v>77.989000000000004</v>
      </c>
      <c r="S26" s="29">
        <v>105.908</v>
      </c>
      <c r="T26" s="29">
        <v>65.108999999999995</v>
      </c>
      <c r="U26" s="31">
        <v>88.554000000000002</v>
      </c>
      <c r="V26" s="108">
        <f>SUM(R26:U26)</f>
        <v>337.55999999999995</v>
      </c>
      <c r="W26" s="29"/>
      <c r="X26" s="29"/>
      <c r="Y26" s="29"/>
      <c r="Z26" s="29"/>
      <c r="AA26" s="29">
        <v>364.56479999999999</v>
      </c>
      <c r="AB26" s="29">
        <v>397.375632</v>
      </c>
      <c r="AC26" s="29">
        <v>437.11319520000001</v>
      </c>
      <c r="AD26" s="29">
        <v>472.08225081600006</v>
      </c>
      <c r="AE26" s="29">
        <v>490.96554084864005</v>
      </c>
    </row>
    <row r="27" spans="1:31" ht="19.5">
      <c r="A27" s="29"/>
      <c r="B27" s="35" t="s">
        <v>202</v>
      </c>
      <c r="C27" s="29"/>
      <c r="D27" s="29"/>
      <c r="E27" s="29"/>
      <c r="F27" s="29"/>
      <c r="G27" s="31"/>
      <c r="H27" s="29">
        <v>23</v>
      </c>
      <c r="I27" s="29">
        <v>31</v>
      </c>
      <c r="J27" s="29">
        <v>32.1</v>
      </c>
      <c r="K27" s="31">
        <v>33</v>
      </c>
      <c r="L27" s="108">
        <f>SUM(H27:K27)/4</f>
        <v>29.774999999999999</v>
      </c>
      <c r="M27" s="29">
        <v>31.8</v>
      </c>
      <c r="N27" s="29">
        <v>31</v>
      </c>
      <c r="O27" s="29">
        <v>30.1</v>
      </c>
      <c r="P27" s="31">
        <v>29</v>
      </c>
      <c r="Q27" s="108">
        <f>SUM(M27:P27)/4</f>
        <v>30.475000000000001</v>
      </c>
      <c r="R27" s="29">
        <v>30</v>
      </c>
      <c r="S27" s="29">
        <v>28</v>
      </c>
      <c r="T27" s="29">
        <v>27</v>
      </c>
      <c r="U27" s="31">
        <v>24.5</v>
      </c>
      <c r="V27" s="108">
        <f>SUM(R27:U27)/4</f>
        <v>27.375</v>
      </c>
      <c r="W27" s="29">
        <v>27</v>
      </c>
      <c r="X27" s="29">
        <v>25.2</v>
      </c>
      <c r="Y27" s="29"/>
      <c r="Z27" s="29"/>
      <c r="AA27" s="29">
        <v>26</v>
      </c>
      <c r="AB27" s="29">
        <v>26.3</v>
      </c>
      <c r="AC27" s="29">
        <v>26.6</v>
      </c>
      <c r="AD27" s="29">
        <v>26.9</v>
      </c>
      <c r="AE27" s="29">
        <v>27.3</v>
      </c>
    </row>
    <row r="28" spans="1:31" ht="19.5">
      <c r="A28" s="29"/>
      <c r="B28" s="35" t="s">
        <v>203</v>
      </c>
      <c r="C28" s="29"/>
      <c r="D28" s="29"/>
      <c r="E28" s="29"/>
      <c r="F28" s="29"/>
      <c r="G28" s="31"/>
      <c r="H28" s="29"/>
      <c r="I28" s="29"/>
      <c r="J28" s="29"/>
      <c r="K28" s="31"/>
      <c r="L28" s="108"/>
      <c r="M28" s="29"/>
      <c r="N28" s="29"/>
      <c r="O28" s="29"/>
      <c r="P28" s="31"/>
      <c r="Q28" s="108"/>
      <c r="R28" s="29"/>
      <c r="S28" s="29"/>
      <c r="T28" s="29"/>
      <c r="U28" s="31"/>
      <c r="V28" s="108"/>
      <c r="W28" s="29"/>
      <c r="X28" s="29"/>
      <c r="Y28" s="29"/>
      <c r="Z28" s="29"/>
      <c r="AA28" s="29">
        <v>0.08</v>
      </c>
      <c r="AB28" s="47">
        <v>0.09</v>
      </c>
      <c r="AC28" s="47">
        <v>0.1</v>
      </c>
      <c r="AD28" s="47">
        <v>0.08</v>
      </c>
      <c r="AE28" s="47">
        <v>0.04</v>
      </c>
    </row>
    <row r="29" spans="1:31" ht="19.5">
      <c r="A29" s="29"/>
      <c r="B29" s="49" t="s">
        <v>205</v>
      </c>
      <c r="C29" s="50"/>
      <c r="D29" s="50"/>
      <c r="E29" s="50"/>
      <c r="F29" s="50"/>
      <c r="G29" s="109"/>
      <c r="H29" s="50"/>
      <c r="I29" s="51">
        <f t="shared" ref="I29:K29" si="36">(I27-H27)/H27</f>
        <v>0.34782608695652173</v>
      </c>
      <c r="J29" s="51">
        <f t="shared" si="36"/>
        <v>3.5483870967741984E-2</v>
      </c>
      <c r="K29" s="51">
        <f t="shared" si="36"/>
        <v>2.8037383177570048E-2</v>
      </c>
      <c r="L29" s="51"/>
      <c r="M29" s="51">
        <f>(M27-K27)/K27</f>
        <v>-3.6363636363636341E-2</v>
      </c>
      <c r="N29" s="51">
        <f t="shared" ref="N29:P29" si="37">(N27-M27)/M27</f>
        <v>-2.5157232704402538E-2</v>
      </c>
      <c r="O29" s="51">
        <f t="shared" si="37"/>
        <v>-2.9032258064516082E-2</v>
      </c>
      <c r="P29" s="51">
        <f t="shared" si="37"/>
        <v>-3.6544850498338916E-2</v>
      </c>
      <c r="Q29" s="51"/>
      <c r="R29" s="51">
        <f>(R27-P27)/P27</f>
        <v>3.4482758620689655E-2</v>
      </c>
      <c r="S29" s="51">
        <f t="shared" ref="S29:U29" si="38">(S27-R27)/R27</f>
        <v>-6.6666666666666666E-2</v>
      </c>
      <c r="T29" s="51">
        <f t="shared" si="38"/>
        <v>-3.5714285714285712E-2</v>
      </c>
      <c r="U29" s="51">
        <f t="shared" si="38"/>
        <v>-9.2592592592592587E-2</v>
      </c>
      <c r="V29" s="51"/>
      <c r="W29" s="51">
        <f>(W27-U27)/U27</f>
        <v>0.10204081632653061</v>
      </c>
      <c r="X29" s="51">
        <f>(X27-W27)/W27</f>
        <v>-6.6666666666666693E-2</v>
      </c>
      <c r="Y29" s="50"/>
      <c r="Z29" s="50"/>
      <c r="AA29" s="50">
        <v>-5.0228310502283102E-2</v>
      </c>
      <c r="AB29" s="51">
        <v>1.1538461538461565E-2</v>
      </c>
      <c r="AC29" s="51">
        <v>1.1406844106463905E-2</v>
      </c>
      <c r="AD29" s="51">
        <v>1.1278195488721696E-2</v>
      </c>
      <c r="AE29" s="51">
        <v>1.4869888475836512E-2</v>
      </c>
    </row>
    <row r="30" spans="1:31" ht="19.5">
      <c r="A30" s="74" t="s">
        <v>214</v>
      </c>
      <c r="B30" s="110"/>
      <c r="C30" s="74"/>
      <c r="D30" s="74"/>
      <c r="E30" s="74"/>
      <c r="F30" s="74"/>
      <c r="G30" s="76"/>
      <c r="H30" s="74"/>
      <c r="I30" s="74"/>
      <c r="J30" s="74"/>
      <c r="K30" s="76"/>
      <c r="L30" s="77"/>
      <c r="M30" s="74"/>
      <c r="N30" s="74"/>
      <c r="O30" s="74"/>
      <c r="P30" s="76"/>
      <c r="Q30" s="77"/>
      <c r="R30" s="74"/>
      <c r="S30" s="74"/>
      <c r="T30" s="74"/>
      <c r="U30" s="76"/>
      <c r="V30" s="77"/>
      <c r="W30" s="74"/>
      <c r="X30" s="74"/>
      <c r="Y30" s="74"/>
      <c r="Z30" s="74"/>
      <c r="AA30" s="74"/>
      <c r="AB30" s="74"/>
      <c r="AC30" s="74"/>
      <c r="AD30" s="74"/>
      <c r="AE30" s="74"/>
    </row>
    <row r="31" spans="1:31" ht="19.5">
      <c r="A31" s="111" t="s">
        <v>215</v>
      </c>
      <c r="B31" s="75" t="s">
        <v>216</v>
      </c>
      <c r="C31" s="74"/>
      <c r="D31" s="74"/>
      <c r="E31" s="74"/>
      <c r="F31" s="74"/>
      <c r="G31" s="76">
        <v>105</v>
      </c>
      <c r="H31" s="74">
        <v>131.07</v>
      </c>
      <c r="I31" s="74">
        <v>158.44999999999999</v>
      </c>
      <c r="J31" s="74">
        <v>256.3</v>
      </c>
      <c r="K31" s="76">
        <v>304.75</v>
      </c>
      <c r="L31" s="77">
        <f>AVERAGE(H31:K31)</f>
        <v>212.64249999999998</v>
      </c>
      <c r="M31" s="74">
        <v>448.75</v>
      </c>
      <c r="N31" s="74">
        <v>413.75</v>
      </c>
      <c r="O31" s="74">
        <v>279.18</v>
      </c>
      <c r="P31" s="76">
        <v>263.70999999999998</v>
      </c>
      <c r="Q31" s="77">
        <f>AVERAGE(M31:P31)</f>
        <v>351.34750000000003</v>
      </c>
      <c r="R31" s="74">
        <v>345.8</v>
      </c>
      <c r="S31" s="74">
        <v>223.3</v>
      </c>
      <c r="T31" s="74">
        <v>270.43</v>
      </c>
      <c r="U31" s="76">
        <v>328.97</v>
      </c>
      <c r="V31" s="77">
        <f>AVERAGE(R31:U31)</f>
        <v>292.125</v>
      </c>
      <c r="W31" s="74">
        <v>304.08</v>
      </c>
      <c r="X31" s="74">
        <v>249.58</v>
      </c>
      <c r="Y31" s="74">
        <f t="shared" ref="Y31:Z31" si="39">X31*(1+Y32)</f>
        <v>284.52120000000002</v>
      </c>
      <c r="Z31" s="74">
        <f t="shared" si="39"/>
        <v>290.21162400000003</v>
      </c>
      <c r="AA31" s="74"/>
      <c r="AB31" s="74"/>
      <c r="AC31" s="74"/>
      <c r="AD31" s="74"/>
      <c r="AE31" s="74"/>
    </row>
    <row r="32" spans="1:31" ht="19.5">
      <c r="A32" s="89">
        <v>0.8</v>
      </c>
      <c r="B32" s="75" t="s">
        <v>205</v>
      </c>
      <c r="C32" s="74"/>
      <c r="D32" s="74"/>
      <c r="E32" s="74"/>
      <c r="F32" s="74"/>
      <c r="G32" s="76"/>
      <c r="H32" s="112">
        <f t="shared" ref="H32:K32" si="40">(H31-G31)/G31</f>
        <v>0.24828571428571422</v>
      </c>
      <c r="I32" s="112">
        <f t="shared" si="40"/>
        <v>0.20889600976577399</v>
      </c>
      <c r="J32" s="112">
        <f t="shared" si="40"/>
        <v>0.61754496686651961</v>
      </c>
      <c r="K32" s="112">
        <f t="shared" si="40"/>
        <v>0.18903628560280916</v>
      </c>
      <c r="L32" s="88">
        <f>(K31-H31)/H31</f>
        <v>1.3250934615091174</v>
      </c>
      <c r="M32" s="112">
        <f>(M31-K31)/K31</f>
        <v>0.47251845775225593</v>
      </c>
      <c r="N32" s="112">
        <f t="shared" ref="N32:P32" si="41">(N31-M31)/M31</f>
        <v>-7.7994428969359333E-2</v>
      </c>
      <c r="O32" s="112">
        <f t="shared" si="41"/>
        <v>-0.32524471299093655</v>
      </c>
      <c r="P32" s="112">
        <f t="shared" si="41"/>
        <v>-5.5412278816534231E-2</v>
      </c>
      <c r="Q32" s="112">
        <f>(P31-M31)/M31</f>
        <v>-0.41234540389972152</v>
      </c>
      <c r="R32" s="112">
        <f>(R31-P31)/P31</f>
        <v>0.31128891585453733</v>
      </c>
      <c r="S32" s="112">
        <f t="shared" ref="S32:U32" si="42">(S31-R31)/R31</f>
        <v>-0.354251012145749</v>
      </c>
      <c r="T32" s="112">
        <f t="shared" si="42"/>
        <v>0.21106135244066276</v>
      </c>
      <c r="U32" s="112">
        <f t="shared" si="42"/>
        <v>0.21647006619088127</v>
      </c>
      <c r="V32" s="113">
        <f>(U31-R31)/R31</f>
        <v>-4.8669751301330201E-2</v>
      </c>
      <c r="W32" s="114">
        <f>(W31-U31)/U31</f>
        <v>-7.5660394564854058E-2</v>
      </c>
      <c r="X32" s="114">
        <f>(X31-W31)/W31</f>
        <v>-0.17922915022362529</v>
      </c>
      <c r="Y32" s="114">
        <v>0.14000000000000001</v>
      </c>
      <c r="Z32" s="114">
        <v>0.02</v>
      </c>
      <c r="AA32" s="114"/>
      <c r="AB32" s="82"/>
      <c r="AC32" s="114"/>
      <c r="AD32" s="114"/>
      <c r="AE32" s="114"/>
    </row>
    <row r="33" spans="1:31" ht="19.5">
      <c r="A33" s="115" t="s">
        <v>217</v>
      </c>
      <c r="B33" s="116"/>
      <c r="C33" s="115"/>
      <c r="D33" s="115"/>
      <c r="E33" s="115"/>
      <c r="F33" s="115"/>
      <c r="G33" s="117"/>
      <c r="H33" s="115"/>
      <c r="I33" s="115"/>
      <c r="J33" s="115"/>
      <c r="K33" s="117"/>
      <c r="L33" s="118"/>
      <c r="M33" s="115"/>
      <c r="N33" s="115"/>
      <c r="O33" s="115"/>
      <c r="P33" s="117"/>
      <c r="Q33" s="118"/>
      <c r="R33" s="115"/>
      <c r="S33" s="115"/>
      <c r="T33" s="115"/>
      <c r="U33" s="117"/>
      <c r="V33" s="118"/>
      <c r="W33" s="115"/>
      <c r="X33" s="115"/>
      <c r="Y33" s="115"/>
      <c r="Z33" s="115"/>
      <c r="AA33" s="115"/>
      <c r="AB33" s="115"/>
      <c r="AC33" s="115"/>
      <c r="AD33" s="115"/>
      <c r="AE33" s="115"/>
    </row>
    <row r="34" spans="1:31" ht="19.5">
      <c r="A34" s="119" t="s">
        <v>215</v>
      </c>
      <c r="B34" s="120" t="s">
        <v>216</v>
      </c>
      <c r="C34" s="115"/>
      <c r="D34" s="115"/>
      <c r="E34" s="115"/>
      <c r="F34" s="115"/>
      <c r="G34" s="117">
        <v>124.62</v>
      </c>
      <c r="H34" s="115">
        <v>165.61</v>
      </c>
      <c r="I34" s="115">
        <v>205.73</v>
      </c>
      <c r="J34" s="115">
        <v>159.25</v>
      </c>
      <c r="K34" s="117">
        <v>94.97</v>
      </c>
      <c r="L34" s="118">
        <f>AVERAGE(H34:K34)</f>
        <v>156.39000000000001</v>
      </c>
      <c r="M34" s="115">
        <v>141.99</v>
      </c>
      <c r="N34" s="115">
        <v>150.77000000000001</v>
      </c>
      <c r="O34" s="115">
        <v>107.22</v>
      </c>
      <c r="P34" s="117">
        <v>93.25</v>
      </c>
      <c r="Q34" s="121">
        <f>AVERAGE(M34:P34)</f>
        <v>123.3075</v>
      </c>
      <c r="R34" s="115">
        <v>125.75</v>
      </c>
      <c r="S34" s="115">
        <v>105.07</v>
      </c>
      <c r="T34" s="115">
        <v>112.46</v>
      </c>
      <c r="U34" s="117">
        <v>130.46</v>
      </c>
      <c r="V34" s="118">
        <f>AVERAGE(R34:U34)</f>
        <v>118.435</v>
      </c>
      <c r="W34" s="122">
        <v>124.86</v>
      </c>
      <c r="X34" s="122">
        <v>107.69</v>
      </c>
      <c r="Y34" s="122">
        <f t="shared" ref="Y34:Z34" si="43">X34*(1+Y35)</f>
        <v>118.459</v>
      </c>
      <c r="Z34" s="122">
        <f t="shared" si="43"/>
        <v>114.90523</v>
      </c>
      <c r="AA34" s="122"/>
      <c r="AB34" s="122"/>
      <c r="AC34" s="115"/>
      <c r="AD34" s="115"/>
      <c r="AE34" s="115"/>
    </row>
    <row r="35" spans="1:31" ht="19.5">
      <c r="A35" s="114">
        <v>0.2</v>
      </c>
      <c r="B35" s="120" t="s">
        <v>205</v>
      </c>
      <c r="C35" s="115"/>
      <c r="D35" s="115"/>
      <c r="E35" s="115"/>
      <c r="F35" s="115"/>
      <c r="G35" s="117"/>
      <c r="H35" s="112">
        <f t="shared" ref="H35:K35" si="44">(H34-G34)/G34</f>
        <v>0.32891991654630082</v>
      </c>
      <c r="I35" s="112">
        <f t="shared" si="44"/>
        <v>0.2422559024213512</v>
      </c>
      <c r="J35" s="112">
        <f t="shared" si="44"/>
        <v>-0.22592718611772708</v>
      </c>
      <c r="K35" s="112">
        <f t="shared" si="44"/>
        <v>-0.40364207221350079</v>
      </c>
      <c r="L35" s="112">
        <f>(K34-H34)/H34</f>
        <v>-0.42654429080369549</v>
      </c>
      <c r="M35" s="112">
        <f>(M34-K34)/K34</f>
        <v>0.49510371696325167</v>
      </c>
      <c r="N35" s="112">
        <f t="shared" ref="N35:P35" si="45">(N34-M34)/M34</f>
        <v>6.1835340516937815E-2</v>
      </c>
      <c r="O35" s="112">
        <f t="shared" si="45"/>
        <v>-0.28885056708894347</v>
      </c>
      <c r="P35" s="112">
        <f t="shared" si="45"/>
        <v>-0.13029285581048311</v>
      </c>
      <c r="Q35" s="112">
        <f>(P34-M34)/M34</f>
        <v>-0.3432636101133883</v>
      </c>
      <c r="R35" s="112">
        <f>(R34-P34)/P34</f>
        <v>0.34852546916890081</v>
      </c>
      <c r="S35" s="112">
        <f t="shared" ref="S35:U35" si="46">(S34-R34)/R34</f>
        <v>-0.1644532803180915</v>
      </c>
      <c r="T35" s="112">
        <f t="shared" si="46"/>
        <v>7.0334063005615316E-2</v>
      </c>
      <c r="U35" s="112">
        <f t="shared" si="46"/>
        <v>0.16005690912324397</v>
      </c>
      <c r="V35" s="113">
        <f>(U34-R34)/R34</f>
        <v>3.7455268389662094E-2</v>
      </c>
      <c r="W35" s="114">
        <f>(W34-U34)/U34</f>
        <v>-4.2925034493331349E-2</v>
      </c>
      <c r="X35" s="114">
        <f>(X34-W34)/W34</f>
        <v>-0.13751401569758132</v>
      </c>
      <c r="Y35" s="114">
        <v>0.1</v>
      </c>
      <c r="Z35" s="114">
        <v>-0.03</v>
      </c>
      <c r="AA35" s="114"/>
      <c r="AB35" s="112"/>
      <c r="AC35" s="123"/>
      <c r="AD35" s="114"/>
      <c r="AE35" s="114"/>
    </row>
    <row r="36" spans="1:31" ht="39">
      <c r="A36" s="20" t="s">
        <v>218</v>
      </c>
      <c r="B36" s="20"/>
      <c r="C36" s="20"/>
      <c r="D36" s="20"/>
      <c r="E36" s="20"/>
      <c r="F36" s="20"/>
      <c r="G36" s="124"/>
      <c r="H36" s="20"/>
      <c r="I36" s="20"/>
      <c r="J36" s="20"/>
      <c r="K36" s="124"/>
      <c r="L36" s="125">
        <f t="shared" ref="L36:Z36" si="47">(L32*$A$32+L35*$A$35)</f>
        <v>0.97476591104655497</v>
      </c>
      <c r="M36" s="125">
        <f t="shared" si="47"/>
        <v>0.47703550959445506</v>
      </c>
      <c r="N36" s="125">
        <f t="shared" si="47"/>
        <v>-5.0028475072099905E-2</v>
      </c>
      <c r="O36" s="125">
        <f t="shared" si="47"/>
        <v>-0.31796588381053797</v>
      </c>
      <c r="P36" s="125">
        <f t="shared" si="47"/>
        <v>-7.0388394215324002E-2</v>
      </c>
      <c r="Q36" s="125">
        <f t="shared" si="47"/>
        <v>-0.39852904514245491</v>
      </c>
      <c r="R36" s="125">
        <f t="shared" si="47"/>
        <v>0.31873622651741002</v>
      </c>
      <c r="S36" s="125">
        <f t="shared" si="47"/>
        <v>-0.3162914657802175</v>
      </c>
      <c r="T36" s="125">
        <f t="shared" si="47"/>
        <v>0.18291589455365329</v>
      </c>
      <c r="U36" s="125">
        <f t="shared" si="47"/>
        <v>0.20518743477735382</v>
      </c>
      <c r="V36" s="125">
        <f t="shared" si="47"/>
        <v>-3.1444747363131742E-2</v>
      </c>
      <c r="W36" s="125">
        <f t="shared" si="47"/>
        <v>-6.9113322550549514E-2</v>
      </c>
      <c r="X36" s="125">
        <f t="shared" si="47"/>
        <v>-0.17088612331841652</v>
      </c>
      <c r="Y36" s="125">
        <f t="shared" si="47"/>
        <v>0.13200000000000001</v>
      </c>
      <c r="Z36" s="125">
        <f t="shared" si="47"/>
        <v>0.01</v>
      </c>
      <c r="AA36" s="125"/>
      <c r="AB36" s="126"/>
      <c r="AC36" s="126"/>
      <c r="AD36" s="126"/>
      <c r="AE36" s="126"/>
    </row>
    <row r="37" spans="1:31" ht="19.5">
      <c r="A37" s="20"/>
      <c r="B37" s="20"/>
      <c r="C37" s="20"/>
      <c r="D37" s="20"/>
      <c r="E37" s="20"/>
      <c r="F37" s="20"/>
      <c r="G37" s="124"/>
      <c r="H37" s="20"/>
      <c r="I37" s="20"/>
      <c r="J37" s="20"/>
      <c r="K37" s="124"/>
      <c r="L37" s="127"/>
      <c r="M37" s="20"/>
      <c r="N37" s="20"/>
      <c r="O37" s="20"/>
      <c r="P37" s="124"/>
      <c r="Q37" s="127"/>
      <c r="R37" s="20"/>
      <c r="S37" s="20"/>
      <c r="T37" s="20"/>
      <c r="U37" s="124"/>
      <c r="V37" s="127"/>
      <c r="W37" s="20"/>
      <c r="X37" s="20"/>
      <c r="Y37" s="20"/>
      <c r="Z37" s="20"/>
      <c r="AA37" s="20"/>
      <c r="AB37" s="20"/>
      <c r="AC37" s="20"/>
      <c r="AD37" s="20"/>
      <c r="AE37" s="20"/>
    </row>
    <row r="38" spans="1:31" ht="19.5">
      <c r="A38" s="20"/>
      <c r="B38" s="20"/>
      <c r="C38" s="20"/>
      <c r="D38" s="20"/>
      <c r="E38" s="20"/>
      <c r="F38" s="20"/>
      <c r="G38" s="124"/>
      <c r="H38" s="20"/>
      <c r="I38" s="20"/>
      <c r="J38" s="20">
        <v>2023</v>
      </c>
      <c r="K38" s="124">
        <v>1822</v>
      </c>
      <c r="L38" s="127"/>
      <c r="M38" s="20"/>
      <c r="N38" s="20"/>
      <c r="O38" s="20"/>
      <c r="P38" s="124"/>
      <c r="Q38" s="127"/>
      <c r="R38" s="20"/>
      <c r="S38" s="20"/>
      <c r="T38" s="20"/>
      <c r="U38" s="124"/>
      <c r="V38" s="127"/>
      <c r="W38" s="20"/>
      <c r="X38" s="20"/>
      <c r="Y38" s="20"/>
      <c r="Z38" s="20"/>
      <c r="AA38" s="20"/>
      <c r="AB38" s="20"/>
      <c r="AC38" s="20"/>
      <c r="AD38" s="20"/>
      <c r="AE38" s="20"/>
    </row>
    <row r="39" spans="1:31" ht="19.5">
      <c r="A39" s="20"/>
      <c r="B39" s="20"/>
      <c r="C39" s="20"/>
      <c r="D39" s="20"/>
      <c r="E39" s="20"/>
      <c r="F39" s="20"/>
      <c r="G39" s="124"/>
      <c r="H39" s="20"/>
      <c r="I39" s="20"/>
      <c r="J39" s="20">
        <v>2024</v>
      </c>
      <c r="K39" s="124">
        <v>1854</v>
      </c>
      <c r="L39" s="127"/>
      <c r="M39" s="20"/>
      <c r="N39" s="20"/>
      <c r="O39" s="20"/>
      <c r="P39" s="124"/>
      <c r="Q39" s="127"/>
      <c r="R39" s="20"/>
      <c r="S39" s="20"/>
      <c r="T39" s="20"/>
      <c r="U39" s="124"/>
      <c r="V39" s="127"/>
      <c r="W39" s="20"/>
      <c r="X39" s="20"/>
      <c r="Y39" s="20"/>
      <c r="Z39" s="20"/>
      <c r="AA39" s="20"/>
      <c r="AB39" s="20"/>
      <c r="AC39" s="20"/>
      <c r="AD39" s="20"/>
      <c r="AE39" s="20"/>
    </row>
    <row r="40" spans="1:31" ht="19.5">
      <c r="A40" s="20"/>
      <c r="B40" s="20"/>
      <c r="C40" s="20"/>
      <c r="D40" s="20"/>
      <c r="E40" s="20"/>
      <c r="F40" s="20"/>
      <c r="G40" s="124"/>
      <c r="H40" s="20"/>
      <c r="I40" s="20"/>
      <c r="J40" s="20">
        <v>2025</v>
      </c>
      <c r="K40" s="124">
        <v>1882</v>
      </c>
      <c r="L40" s="127"/>
      <c r="M40" s="20"/>
      <c r="N40" s="20"/>
      <c r="O40" s="20"/>
      <c r="P40" s="124"/>
      <c r="Q40" s="127"/>
      <c r="R40" s="20"/>
      <c r="S40" s="20"/>
      <c r="T40" s="20"/>
      <c r="U40" s="124"/>
      <c r="V40" s="127"/>
      <c r="W40" s="20"/>
      <c r="X40" s="20"/>
      <c r="Y40" s="20"/>
      <c r="Z40" s="20"/>
      <c r="AA40" s="20"/>
      <c r="AB40" s="20"/>
      <c r="AC40" s="20"/>
      <c r="AD40" s="20"/>
      <c r="AE40" s="20"/>
    </row>
    <row r="41" spans="1:31" ht="19.5">
      <c r="A41" s="20"/>
      <c r="B41" s="20"/>
      <c r="C41" s="20"/>
      <c r="D41" s="20"/>
      <c r="E41" s="20"/>
      <c r="F41" s="20"/>
      <c r="G41" s="124"/>
      <c r="H41" s="20"/>
      <c r="I41" s="20"/>
      <c r="J41" s="20">
        <v>2026</v>
      </c>
      <c r="K41" s="124">
        <v>1910</v>
      </c>
      <c r="L41" s="127"/>
      <c r="M41" s="20"/>
      <c r="N41" s="20"/>
      <c r="O41" s="20"/>
      <c r="P41" s="124"/>
      <c r="Q41" s="127"/>
      <c r="R41" s="20"/>
      <c r="S41" s="20"/>
      <c r="T41" s="20"/>
      <c r="U41" s="124"/>
      <c r="V41" s="127"/>
      <c r="W41" s="20"/>
      <c r="X41" s="20"/>
      <c r="Y41" s="20"/>
      <c r="Z41" s="20"/>
      <c r="AA41" s="20"/>
      <c r="AB41" s="20"/>
      <c r="AC41" s="20"/>
      <c r="AD41" s="20"/>
      <c r="AE41" s="20"/>
    </row>
    <row r="42" spans="1:31" ht="19.5">
      <c r="A42" s="20"/>
      <c r="B42" s="20"/>
      <c r="C42" s="20"/>
      <c r="D42" s="20"/>
      <c r="E42" s="20"/>
      <c r="F42" s="20"/>
      <c r="G42" s="124"/>
      <c r="H42" s="20"/>
      <c r="I42" s="20"/>
      <c r="J42" s="20"/>
      <c r="K42" s="124"/>
      <c r="L42" s="127"/>
      <c r="M42" s="20"/>
      <c r="N42" s="20"/>
      <c r="O42" s="20"/>
      <c r="P42" s="124"/>
      <c r="Q42" s="127"/>
      <c r="R42" s="20"/>
      <c r="S42" s="20"/>
      <c r="T42" s="20"/>
      <c r="U42" s="124"/>
      <c r="V42" s="127"/>
      <c r="W42" s="20"/>
      <c r="X42" s="20"/>
      <c r="Y42" s="20"/>
      <c r="Z42" s="20"/>
      <c r="AA42" s="20"/>
      <c r="AB42" s="20"/>
      <c r="AC42" s="20"/>
      <c r="AD42" s="20"/>
      <c r="AE42" s="20"/>
    </row>
    <row r="43" spans="1:31" ht="19.5">
      <c r="A43" s="20"/>
      <c r="B43" s="20"/>
      <c r="C43" s="20"/>
      <c r="D43" s="20"/>
      <c r="E43" s="20"/>
      <c r="F43" s="20"/>
      <c r="G43" s="124"/>
      <c r="H43" s="20"/>
      <c r="I43" s="20"/>
      <c r="J43" s="20"/>
      <c r="K43" s="124"/>
      <c r="L43" s="127"/>
      <c r="M43" s="20"/>
      <c r="N43" s="20"/>
      <c r="O43" s="20"/>
      <c r="P43" s="124"/>
      <c r="Q43" s="127"/>
      <c r="R43" s="20"/>
      <c r="S43" s="20"/>
      <c r="T43" s="20"/>
      <c r="U43" s="124"/>
      <c r="V43" s="127"/>
      <c r="W43" s="20"/>
      <c r="X43" s="20"/>
      <c r="Y43" s="20"/>
      <c r="Z43" s="20"/>
      <c r="AA43" s="20"/>
      <c r="AB43" s="20"/>
      <c r="AC43" s="20"/>
      <c r="AD43" s="20"/>
      <c r="AE43" s="20"/>
    </row>
    <row r="44" spans="1:31" ht="19.5">
      <c r="A44" s="20"/>
      <c r="B44" s="20"/>
      <c r="C44" s="20"/>
      <c r="D44" s="20"/>
      <c r="E44" s="20"/>
      <c r="F44" s="20"/>
      <c r="G44" s="124"/>
      <c r="H44" s="20"/>
      <c r="I44" s="20"/>
      <c r="J44" s="20"/>
      <c r="K44" s="124"/>
      <c r="L44" s="127"/>
      <c r="M44" s="20"/>
      <c r="N44" s="20"/>
      <c r="O44" s="20"/>
      <c r="P44" s="124"/>
      <c r="Q44" s="127"/>
      <c r="R44" s="20"/>
      <c r="S44" s="20"/>
      <c r="T44" s="20"/>
      <c r="U44" s="124"/>
      <c r="V44" s="127"/>
      <c r="W44" s="20"/>
      <c r="X44" s="20"/>
      <c r="Y44" s="20"/>
      <c r="Z44" s="20"/>
      <c r="AA44" s="20"/>
      <c r="AB44" s="20"/>
      <c r="AC44" s="20"/>
      <c r="AD44" s="20"/>
      <c r="AE44" s="20"/>
    </row>
    <row r="45" spans="1:31" ht="19.5">
      <c r="A45" s="20"/>
      <c r="B45" s="20"/>
      <c r="C45" s="20"/>
      <c r="D45" s="20"/>
      <c r="E45" s="20"/>
      <c r="F45" s="20"/>
      <c r="G45" s="124"/>
      <c r="H45" s="20"/>
      <c r="I45" s="20"/>
      <c r="J45" s="20"/>
      <c r="K45" s="124"/>
      <c r="L45" s="127"/>
      <c r="M45" s="20"/>
      <c r="N45" s="20"/>
      <c r="O45" s="20"/>
      <c r="P45" s="124"/>
      <c r="Q45" s="127"/>
      <c r="R45" s="20"/>
      <c r="S45" s="20"/>
      <c r="T45" s="20"/>
      <c r="U45" s="124"/>
      <c r="V45" s="127"/>
      <c r="W45" s="20"/>
      <c r="X45" s="20"/>
      <c r="Y45" s="20"/>
      <c r="Z45" s="20"/>
      <c r="AA45" s="20"/>
      <c r="AB45" s="20"/>
      <c r="AC45" s="20"/>
      <c r="AD45" s="20"/>
      <c r="AE45" s="20"/>
    </row>
    <row r="46" spans="1:31" ht="19.5">
      <c r="A46" s="20"/>
      <c r="B46" s="20"/>
      <c r="C46" s="20"/>
      <c r="D46" s="20"/>
      <c r="E46" s="20"/>
      <c r="F46" s="20"/>
      <c r="G46" s="124"/>
      <c r="H46" s="20"/>
      <c r="I46" s="20"/>
      <c r="J46" s="20"/>
      <c r="K46" s="124"/>
      <c r="L46" s="127"/>
      <c r="M46" s="20"/>
      <c r="N46" s="20"/>
      <c r="O46" s="20"/>
      <c r="P46" s="124"/>
      <c r="Q46" s="127"/>
      <c r="R46" s="20"/>
      <c r="S46" s="20"/>
      <c r="T46" s="20"/>
      <c r="U46" s="124"/>
      <c r="V46" s="127"/>
      <c r="W46" s="20"/>
      <c r="X46" s="20"/>
      <c r="Y46" s="20"/>
      <c r="Z46" s="20"/>
      <c r="AA46" s="20"/>
      <c r="AB46" s="20"/>
      <c r="AC46" s="20"/>
      <c r="AD46" s="20"/>
      <c r="AE46" s="20"/>
    </row>
    <row r="47" spans="1:31" ht="19.5">
      <c r="A47" s="20"/>
      <c r="B47" s="20"/>
      <c r="C47" s="20"/>
      <c r="D47" s="20"/>
      <c r="E47" s="20"/>
      <c r="F47" s="20"/>
      <c r="G47" s="124"/>
      <c r="H47" s="20"/>
      <c r="I47" s="20"/>
      <c r="J47" s="20"/>
      <c r="K47" s="124"/>
      <c r="L47" s="127"/>
      <c r="M47" s="20"/>
      <c r="N47" s="20"/>
      <c r="O47" s="20"/>
      <c r="P47" s="124"/>
      <c r="Q47" s="127"/>
      <c r="R47" s="20"/>
      <c r="S47" s="20"/>
      <c r="T47" s="20"/>
      <c r="U47" s="124"/>
      <c r="V47" s="127"/>
      <c r="W47" s="20"/>
      <c r="X47" s="20"/>
      <c r="Y47" s="20"/>
      <c r="Z47" s="20"/>
      <c r="AA47" s="20"/>
      <c r="AB47" s="20"/>
      <c r="AC47" s="20"/>
      <c r="AD47" s="20"/>
      <c r="AE47" s="20"/>
    </row>
    <row r="48" spans="1:31" ht="19.5">
      <c r="A48" s="20"/>
      <c r="B48" s="20"/>
      <c r="C48" s="20"/>
      <c r="D48" s="20"/>
      <c r="E48" s="20"/>
      <c r="F48" s="20"/>
      <c r="G48" s="124"/>
      <c r="H48" s="20"/>
      <c r="I48" s="20"/>
      <c r="J48" s="20"/>
      <c r="K48" s="124"/>
      <c r="L48" s="127"/>
      <c r="M48" s="20"/>
      <c r="N48" s="20"/>
      <c r="O48" s="20"/>
      <c r="P48" s="124"/>
      <c r="Q48" s="127"/>
      <c r="R48" s="20"/>
      <c r="S48" s="20"/>
      <c r="T48" s="20"/>
      <c r="U48" s="124"/>
      <c r="V48" s="127"/>
      <c r="W48" s="20"/>
      <c r="X48" s="20"/>
      <c r="Y48" s="20"/>
      <c r="Z48" s="20"/>
      <c r="AA48" s="20"/>
      <c r="AB48" s="20"/>
      <c r="AC48" s="20"/>
      <c r="AD48" s="20"/>
      <c r="AE48" s="20"/>
    </row>
    <row r="49" spans="1:31" ht="19.5">
      <c r="A49" s="20"/>
      <c r="B49" s="20"/>
      <c r="C49" s="20"/>
      <c r="D49" s="20"/>
      <c r="E49" s="20"/>
      <c r="F49" s="20"/>
      <c r="G49" s="124"/>
      <c r="H49" s="20"/>
      <c r="I49" s="20"/>
      <c r="J49" s="20"/>
      <c r="K49" s="124"/>
      <c r="L49" s="127"/>
      <c r="M49" s="20"/>
      <c r="N49" s="20"/>
      <c r="O49" s="20"/>
      <c r="P49" s="124"/>
      <c r="Q49" s="127"/>
      <c r="R49" s="20"/>
      <c r="S49" s="20"/>
      <c r="T49" s="20"/>
      <c r="U49" s="124"/>
      <c r="V49" s="127"/>
      <c r="W49" s="20"/>
      <c r="X49" s="20"/>
      <c r="Y49" s="20"/>
      <c r="Z49" s="20"/>
      <c r="AA49" s="20"/>
      <c r="AB49" s="20"/>
      <c r="AC49" s="20"/>
      <c r="AD49" s="20"/>
      <c r="AE49" s="20"/>
    </row>
    <row r="50" spans="1:31" ht="19.5">
      <c r="A50" s="20"/>
      <c r="B50" s="20"/>
      <c r="C50" s="20"/>
      <c r="D50" s="20"/>
      <c r="E50" s="20"/>
      <c r="F50" s="20"/>
      <c r="G50" s="124"/>
      <c r="H50" s="20"/>
      <c r="I50" s="20"/>
      <c r="J50" s="20"/>
      <c r="K50" s="124"/>
      <c r="L50" s="127"/>
      <c r="M50" s="20"/>
      <c r="N50" s="20"/>
      <c r="O50" s="20"/>
      <c r="P50" s="124"/>
      <c r="Q50" s="127"/>
      <c r="R50" s="20"/>
      <c r="S50" s="20"/>
      <c r="T50" s="20"/>
      <c r="U50" s="124"/>
      <c r="V50" s="127"/>
      <c r="W50" s="20"/>
      <c r="X50" s="20"/>
      <c r="Y50" s="20"/>
      <c r="Z50" s="20"/>
      <c r="AA50" s="20"/>
      <c r="AB50" s="20"/>
      <c r="AC50" s="20"/>
      <c r="AD50" s="20"/>
      <c r="AE50" s="20"/>
    </row>
    <row r="51" spans="1:31" ht="19.5">
      <c r="A51" s="20"/>
      <c r="B51" s="20"/>
      <c r="C51" s="20"/>
      <c r="D51" s="20"/>
      <c r="E51" s="20"/>
      <c r="F51" s="20"/>
      <c r="G51" s="124"/>
      <c r="H51" s="20"/>
      <c r="I51" s="20"/>
      <c r="J51" s="20"/>
      <c r="K51" s="124"/>
      <c r="L51" s="127"/>
      <c r="M51" s="20"/>
      <c r="N51" s="20"/>
      <c r="O51" s="20"/>
      <c r="P51" s="124"/>
      <c r="Q51" s="127"/>
      <c r="R51" s="20"/>
      <c r="S51" s="20"/>
      <c r="T51" s="20"/>
      <c r="U51" s="124"/>
      <c r="V51" s="127"/>
      <c r="W51" s="20"/>
      <c r="X51" s="20"/>
      <c r="Y51" s="20"/>
      <c r="Z51" s="20"/>
      <c r="AA51" s="20"/>
      <c r="AB51" s="20"/>
      <c r="AC51" s="20"/>
      <c r="AD51" s="20"/>
      <c r="AE51" s="20"/>
    </row>
    <row r="52" spans="1:31" ht="19.5">
      <c r="A52" s="20"/>
      <c r="B52" s="20"/>
      <c r="C52" s="20"/>
      <c r="D52" s="20"/>
      <c r="E52" s="20"/>
      <c r="F52" s="20"/>
      <c r="G52" s="124"/>
      <c r="H52" s="20"/>
      <c r="I52" s="20"/>
      <c r="J52" s="20"/>
      <c r="K52" s="124"/>
      <c r="L52" s="127"/>
      <c r="M52" s="20"/>
      <c r="N52" s="20"/>
      <c r="O52" s="20"/>
      <c r="P52" s="124"/>
      <c r="Q52" s="127"/>
      <c r="R52" s="20"/>
      <c r="S52" s="20"/>
      <c r="T52" s="20"/>
      <c r="U52" s="124"/>
      <c r="V52" s="127"/>
      <c r="W52" s="20"/>
      <c r="X52" s="20"/>
      <c r="Y52" s="20"/>
      <c r="Z52" s="20"/>
      <c r="AA52" s="20"/>
      <c r="AB52" s="20"/>
      <c r="AC52" s="20"/>
      <c r="AD52" s="20"/>
      <c r="AE52" s="20"/>
    </row>
    <row r="53" spans="1:31" ht="19.5">
      <c r="A53" s="20"/>
      <c r="B53" s="20"/>
      <c r="C53" s="20"/>
      <c r="D53" s="20"/>
      <c r="E53" s="20"/>
      <c r="F53" s="20"/>
      <c r="G53" s="124"/>
      <c r="H53" s="20"/>
      <c r="I53" s="20"/>
      <c r="J53" s="20"/>
      <c r="K53" s="124"/>
      <c r="L53" s="127"/>
      <c r="M53" s="20"/>
      <c r="N53" s="20"/>
      <c r="O53" s="20"/>
      <c r="P53" s="124"/>
      <c r="Q53" s="127"/>
      <c r="R53" s="20"/>
      <c r="S53" s="20"/>
      <c r="T53" s="20"/>
      <c r="U53" s="124"/>
      <c r="V53" s="127"/>
      <c r="W53" s="20"/>
      <c r="X53" s="20"/>
      <c r="Y53" s="20"/>
      <c r="Z53" s="20"/>
      <c r="AA53" s="20"/>
      <c r="AB53" s="20"/>
      <c r="AC53" s="20"/>
      <c r="AD53" s="20"/>
      <c r="AE53" s="20"/>
    </row>
    <row r="54" spans="1:31" ht="19.5">
      <c r="A54" s="20"/>
      <c r="B54" s="20"/>
      <c r="C54" s="20"/>
      <c r="D54" s="20"/>
      <c r="E54" s="20"/>
      <c r="F54" s="20"/>
      <c r="G54" s="124"/>
      <c r="H54" s="20"/>
      <c r="I54" s="20"/>
      <c r="J54" s="20"/>
      <c r="K54" s="124"/>
      <c r="L54" s="127"/>
      <c r="M54" s="20"/>
      <c r="N54" s="20"/>
      <c r="O54" s="20"/>
      <c r="P54" s="124"/>
      <c r="Q54" s="127"/>
      <c r="R54" s="20"/>
      <c r="S54" s="20"/>
      <c r="T54" s="20"/>
      <c r="U54" s="124"/>
      <c r="V54" s="127"/>
      <c r="W54" s="20"/>
      <c r="X54" s="20"/>
      <c r="Y54" s="20"/>
      <c r="Z54" s="20"/>
      <c r="AA54" s="20"/>
      <c r="AB54" s="20"/>
      <c r="AC54" s="20"/>
      <c r="AD54" s="20"/>
      <c r="AE54" s="20"/>
    </row>
    <row r="55" spans="1:31" ht="19.5">
      <c r="A55" s="20"/>
      <c r="B55" s="20"/>
      <c r="C55" s="20"/>
      <c r="D55" s="20"/>
      <c r="E55" s="20"/>
      <c r="F55" s="20"/>
      <c r="G55" s="124"/>
      <c r="H55" s="20"/>
      <c r="I55" s="20"/>
      <c r="J55" s="20"/>
      <c r="K55" s="124"/>
      <c r="L55" s="127"/>
      <c r="M55" s="20"/>
      <c r="N55" s="20"/>
      <c r="O55" s="20"/>
      <c r="P55" s="124"/>
      <c r="Q55" s="127"/>
      <c r="R55" s="20"/>
      <c r="S55" s="20"/>
      <c r="T55" s="20"/>
      <c r="U55" s="124"/>
      <c r="V55" s="127"/>
      <c r="W55" s="20"/>
      <c r="X55" s="20"/>
      <c r="Y55" s="20"/>
      <c r="Z55" s="20"/>
      <c r="AA55" s="20"/>
      <c r="AB55" s="20"/>
      <c r="AC55" s="20"/>
      <c r="AD55" s="20"/>
      <c r="AE55" s="20"/>
    </row>
    <row r="56" spans="1:31" ht="19.5">
      <c r="A56" s="20"/>
      <c r="B56" s="20"/>
      <c r="C56" s="20"/>
      <c r="D56" s="20"/>
      <c r="E56" s="20"/>
      <c r="F56" s="20"/>
      <c r="G56" s="124"/>
      <c r="H56" s="20"/>
      <c r="I56" s="20"/>
      <c r="J56" s="20"/>
      <c r="K56" s="124"/>
      <c r="L56" s="127"/>
      <c r="M56" s="20"/>
      <c r="N56" s="20"/>
      <c r="O56" s="20"/>
      <c r="P56" s="124"/>
      <c r="Q56" s="127"/>
      <c r="R56" s="20"/>
      <c r="S56" s="20"/>
      <c r="T56" s="20"/>
      <c r="U56" s="124"/>
      <c r="V56" s="127"/>
      <c r="W56" s="20"/>
      <c r="X56" s="20"/>
      <c r="Y56" s="20"/>
      <c r="Z56" s="20"/>
      <c r="AA56" s="20"/>
      <c r="AB56" s="20"/>
      <c r="AC56" s="20"/>
      <c r="AD56" s="20"/>
      <c r="AE56" s="20"/>
    </row>
    <row r="57" spans="1:31" ht="19.5">
      <c r="A57" s="20"/>
      <c r="B57" s="20"/>
      <c r="C57" s="20"/>
      <c r="D57" s="20"/>
      <c r="E57" s="20"/>
      <c r="F57" s="20"/>
      <c r="G57" s="124"/>
      <c r="H57" s="20"/>
      <c r="I57" s="20"/>
      <c r="J57" s="20"/>
      <c r="K57" s="124"/>
      <c r="L57" s="127"/>
      <c r="M57" s="20"/>
      <c r="N57" s="20"/>
      <c r="O57" s="20"/>
      <c r="P57" s="124"/>
      <c r="Q57" s="127"/>
      <c r="R57" s="20"/>
      <c r="S57" s="20"/>
      <c r="T57" s="20"/>
      <c r="U57" s="124"/>
      <c r="V57" s="127"/>
      <c r="W57" s="20"/>
      <c r="X57" s="20"/>
      <c r="Y57" s="20"/>
      <c r="Z57" s="20"/>
      <c r="AA57" s="20"/>
      <c r="AB57" s="20"/>
      <c r="AC57" s="20"/>
      <c r="AD57" s="20"/>
      <c r="AE57" s="20"/>
    </row>
    <row r="58" spans="1:31" ht="19.5">
      <c r="A58" s="20"/>
      <c r="B58" s="20"/>
      <c r="C58" s="20"/>
      <c r="D58" s="20"/>
      <c r="E58" s="20"/>
      <c r="F58" s="20"/>
      <c r="G58" s="124"/>
      <c r="H58" s="20"/>
      <c r="I58" s="20"/>
      <c r="J58" s="20"/>
      <c r="K58" s="124"/>
      <c r="L58" s="127"/>
      <c r="M58" s="20"/>
      <c r="N58" s="20"/>
      <c r="O58" s="20"/>
      <c r="P58" s="124"/>
      <c r="Q58" s="127"/>
      <c r="R58" s="20"/>
      <c r="S58" s="20"/>
      <c r="T58" s="20"/>
      <c r="U58" s="124"/>
      <c r="V58" s="127"/>
      <c r="W58" s="20"/>
      <c r="X58" s="20"/>
      <c r="Y58" s="20"/>
      <c r="Z58" s="20"/>
      <c r="AA58" s="20"/>
      <c r="AB58" s="20"/>
      <c r="AC58" s="20"/>
      <c r="AD58" s="20"/>
      <c r="AE58" s="20"/>
    </row>
    <row r="59" spans="1:31" ht="19.5">
      <c r="A59" s="20"/>
      <c r="B59" s="20"/>
      <c r="C59" s="20"/>
      <c r="D59" s="20"/>
      <c r="E59" s="20"/>
      <c r="F59" s="20"/>
      <c r="G59" s="124"/>
      <c r="H59" s="20"/>
      <c r="I59" s="20"/>
      <c r="J59" s="20"/>
      <c r="K59" s="124"/>
      <c r="L59" s="127"/>
      <c r="M59" s="20"/>
      <c r="N59" s="20"/>
      <c r="O59" s="20"/>
      <c r="P59" s="124"/>
      <c r="Q59" s="127"/>
      <c r="R59" s="20"/>
      <c r="S59" s="20"/>
      <c r="T59" s="20"/>
      <c r="U59" s="124"/>
      <c r="V59" s="127"/>
      <c r="W59" s="20"/>
      <c r="X59" s="20"/>
      <c r="Y59" s="20"/>
      <c r="Z59" s="20"/>
      <c r="AA59" s="20"/>
      <c r="AB59" s="20"/>
      <c r="AC59" s="20"/>
      <c r="AD59" s="20"/>
      <c r="AE59" s="20"/>
    </row>
    <row r="60" spans="1:31" ht="19.5">
      <c r="A60" s="20"/>
      <c r="B60" s="20"/>
      <c r="C60" s="624" t="s">
        <v>201</v>
      </c>
      <c r="D60" s="625"/>
      <c r="E60" s="20"/>
      <c r="F60" s="20"/>
      <c r="G60" s="124"/>
      <c r="H60" s="20"/>
      <c r="I60" s="20"/>
      <c r="J60" s="20"/>
      <c r="K60" s="124"/>
      <c r="L60" s="127"/>
      <c r="M60" s="20"/>
      <c r="N60" s="20"/>
      <c r="O60" s="20"/>
      <c r="P60" s="124"/>
      <c r="Q60" s="127"/>
      <c r="R60" s="20"/>
      <c r="S60" s="20"/>
      <c r="T60" s="20"/>
      <c r="U60" s="124"/>
      <c r="V60" s="127"/>
      <c r="W60" s="20"/>
      <c r="X60" s="20"/>
      <c r="Y60" s="20"/>
      <c r="Z60" s="20"/>
      <c r="AA60" s="20"/>
      <c r="AB60" s="20"/>
      <c r="AC60" s="20"/>
      <c r="AD60" s="20"/>
      <c r="AE60" s="20"/>
    </row>
    <row r="61" spans="1:31" ht="117">
      <c r="A61" s="20"/>
      <c r="B61" s="20"/>
      <c r="C61" s="28" t="s">
        <v>219</v>
      </c>
      <c r="D61" s="28" t="s">
        <v>220</v>
      </c>
      <c r="E61" s="28" t="s">
        <v>221</v>
      </c>
      <c r="F61" s="28">
        <v>2025</v>
      </c>
      <c r="G61" s="124"/>
      <c r="H61" s="20"/>
      <c r="I61" s="20"/>
      <c r="J61" s="20"/>
      <c r="K61" s="124"/>
      <c r="L61" s="127"/>
      <c r="M61" s="20"/>
      <c r="N61" s="20"/>
      <c r="O61" s="20"/>
      <c r="P61" s="124"/>
      <c r="Q61" s="127"/>
      <c r="R61" s="20"/>
      <c r="S61" s="20"/>
      <c r="T61" s="20"/>
      <c r="U61" s="124"/>
      <c r="V61" s="127"/>
      <c r="W61" s="20"/>
      <c r="X61" s="20"/>
      <c r="Y61" s="20"/>
      <c r="Z61" s="20"/>
      <c r="AA61" s="20"/>
      <c r="AB61" s="20"/>
      <c r="AC61" s="20"/>
      <c r="AD61" s="20"/>
      <c r="AE61" s="20"/>
    </row>
    <row r="62" spans="1:31" ht="409.5">
      <c r="A62" s="20"/>
      <c r="B62" s="20"/>
      <c r="C62" s="20" t="s">
        <v>222</v>
      </c>
      <c r="D62" s="20" t="s">
        <v>223</v>
      </c>
      <c r="E62" s="20" t="s">
        <v>224</v>
      </c>
      <c r="F62" s="20" t="s">
        <v>225</v>
      </c>
      <c r="G62" s="124"/>
      <c r="H62" s="20"/>
      <c r="I62" s="20"/>
      <c r="J62" s="20"/>
      <c r="K62" s="124"/>
      <c r="L62" s="127"/>
      <c r="M62" s="20"/>
      <c r="N62" s="20"/>
      <c r="O62" s="20"/>
      <c r="P62" s="124"/>
      <c r="Q62" s="127"/>
      <c r="R62" s="20"/>
      <c r="S62" s="20"/>
      <c r="T62" s="20"/>
      <c r="U62" s="124"/>
      <c r="V62" s="127"/>
      <c r="W62" s="20"/>
      <c r="X62" s="20"/>
      <c r="Y62" s="20"/>
      <c r="Z62" s="20"/>
      <c r="AA62" s="20"/>
      <c r="AB62" s="20"/>
      <c r="AC62" s="20"/>
      <c r="AD62" s="20"/>
      <c r="AE62" s="20"/>
    </row>
    <row r="63" spans="1:31" ht="19.5">
      <c r="A63" s="20"/>
      <c r="B63" s="20"/>
      <c r="C63" s="20"/>
      <c r="D63" s="20"/>
      <c r="E63" s="20"/>
      <c r="F63" s="20"/>
      <c r="G63" s="124"/>
      <c r="H63" s="20"/>
      <c r="I63" s="20"/>
      <c r="J63" s="20"/>
      <c r="K63" s="124"/>
      <c r="L63" s="127"/>
      <c r="M63" s="20"/>
      <c r="N63" s="20"/>
      <c r="O63" s="20"/>
      <c r="P63" s="124"/>
      <c r="Q63" s="127"/>
      <c r="R63" s="20"/>
      <c r="S63" s="20"/>
      <c r="T63" s="20"/>
      <c r="U63" s="124"/>
      <c r="V63" s="127"/>
      <c r="W63" s="20"/>
      <c r="X63" s="20"/>
      <c r="Y63" s="20"/>
      <c r="Z63" s="20"/>
      <c r="AA63" s="20"/>
      <c r="AB63" s="20"/>
      <c r="AC63" s="20"/>
      <c r="AD63" s="20"/>
      <c r="AE63" s="20"/>
    </row>
    <row r="64" spans="1:31" ht="19.5">
      <c r="A64" s="20"/>
      <c r="B64" s="20"/>
      <c r="C64" s="20"/>
      <c r="D64" s="20"/>
      <c r="E64" s="20"/>
      <c r="F64" s="20"/>
      <c r="G64" s="124"/>
      <c r="H64" s="20"/>
      <c r="I64" s="20"/>
      <c r="J64" s="20"/>
      <c r="K64" s="124"/>
      <c r="L64" s="127"/>
      <c r="M64" s="20"/>
      <c r="N64" s="20"/>
      <c r="O64" s="20"/>
      <c r="P64" s="124"/>
      <c r="Q64" s="127"/>
      <c r="R64" s="20"/>
      <c r="S64" s="20"/>
      <c r="T64" s="20"/>
      <c r="U64" s="124"/>
      <c r="V64" s="127"/>
      <c r="W64" s="20"/>
      <c r="X64" s="20"/>
      <c r="Y64" s="20"/>
      <c r="Z64" s="20"/>
      <c r="AA64" s="20"/>
      <c r="AB64" s="20"/>
      <c r="AC64" s="20"/>
      <c r="AD64" s="20"/>
      <c r="AE64" s="20"/>
    </row>
    <row r="65" spans="1:31" ht="19.5">
      <c r="A65" s="20"/>
      <c r="B65" s="20"/>
      <c r="C65" s="20"/>
      <c r="D65" s="20"/>
      <c r="E65" s="20"/>
      <c r="F65" s="20"/>
      <c r="G65" s="124"/>
      <c r="H65" s="20"/>
      <c r="I65" s="20"/>
      <c r="J65" s="20"/>
      <c r="K65" s="124"/>
      <c r="L65" s="127"/>
      <c r="M65" s="20"/>
      <c r="N65" s="20"/>
      <c r="O65" s="20"/>
      <c r="P65" s="124"/>
      <c r="Q65" s="127"/>
      <c r="R65" s="20"/>
      <c r="S65" s="20"/>
      <c r="T65" s="20"/>
      <c r="U65" s="124"/>
      <c r="V65" s="127"/>
      <c r="W65" s="20"/>
      <c r="X65" s="20"/>
      <c r="Y65" s="20"/>
      <c r="Z65" s="20"/>
      <c r="AA65" s="20"/>
      <c r="AB65" s="20"/>
      <c r="AC65" s="20"/>
      <c r="AD65" s="20"/>
      <c r="AE65" s="20"/>
    </row>
    <row r="66" spans="1:31" ht="19.5">
      <c r="A66" s="20"/>
      <c r="B66" s="20"/>
      <c r="C66" s="20"/>
      <c r="D66" s="20"/>
      <c r="E66" s="20"/>
      <c r="F66" s="20"/>
      <c r="G66" s="124"/>
      <c r="H66" s="20"/>
      <c r="I66" s="20"/>
      <c r="J66" s="20"/>
      <c r="K66" s="124"/>
      <c r="L66" s="127"/>
      <c r="M66" s="20"/>
      <c r="N66" s="20"/>
      <c r="O66" s="20"/>
      <c r="P66" s="124"/>
      <c r="Q66" s="127"/>
      <c r="R66" s="20"/>
      <c r="S66" s="20"/>
      <c r="T66" s="20"/>
      <c r="U66" s="124"/>
      <c r="V66" s="127"/>
      <c r="W66" s="20"/>
      <c r="X66" s="20"/>
      <c r="Y66" s="20"/>
      <c r="Z66" s="20"/>
      <c r="AA66" s="20"/>
      <c r="AB66" s="20"/>
      <c r="AC66" s="20"/>
      <c r="AD66" s="20"/>
      <c r="AE66" s="20"/>
    </row>
    <row r="67" spans="1:31" ht="19.5">
      <c r="A67" s="20"/>
      <c r="B67" s="20"/>
      <c r="C67" s="20"/>
      <c r="D67" s="20"/>
      <c r="E67" s="20"/>
      <c r="F67" s="20"/>
      <c r="G67" s="124"/>
      <c r="H67" s="20"/>
      <c r="I67" s="20"/>
      <c r="J67" s="20"/>
      <c r="K67" s="124"/>
      <c r="L67" s="127"/>
      <c r="M67" s="20"/>
      <c r="N67" s="20"/>
      <c r="O67" s="20"/>
      <c r="P67" s="124"/>
      <c r="Q67" s="127"/>
      <c r="R67" s="20"/>
      <c r="S67" s="20"/>
      <c r="T67" s="20"/>
      <c r="U67" s="124"/>
      <c r="V67" s="127"/>
      <c r="W67" s="20"/>
      <c r="X67" s="20"/>
      <c r="Y67" s="20"/>
      <c r="Z67" s="20"/>
      <c r="AA67" s="20"/>
      <c r="AB67" s="20"/>
      <c r="AC67" s="20"/>
      <c r="AD67" s="20"/>
      <c r="AE67" s="20"/>
    </row>
    <row r="68" spans="1:31" ht="19.5">
      <c r="A68" s="20"/>
      <c r="B68" s="20"/>
      <c r="C68" s="20"/>
      <c r="D68" s="20"/>
      <c r="E68" s="20"/>
      <c r="F68" s="20"/>
      <c r="G68" s="124"/>
      <c r="H68" s="20"/>
      <c r="I68" s="20"/>
      <c r="J68" s="20"/>
      <c r="K68" s="124"/>
      <c r="L68" s="127"/>
      <c r="M68" s="20"/>
      <c r="N68" s="20"/>
      <c r="O68" s="20"/>
      <c r="P68" s="124"/>
      <c r="Q68" s="127"/>
      <c r="R68" s="20"/>
      <c r="S68" s="20"/>
      <c r="T68" s="20"/>
      <c r="U68" s="124"/>
      <c r="V68" s="127"/>
      <c r="W68" s="20"/>
      <c r="X68" s="20"/>
      <c r="Y68" s="20"/>
      <c r="Z68" s="20"/>
      <c r="AA68" s="20"/>
      <c r="AB68" s="20"/>
      <c r="AC68" s="20"/>
      <c r="AD68" s="20"/>
      <c r="AE68" s="20"/>
    </row>
    <row r="69" spans="1:31" ht="19.5">
      <c r="A69" s="20"/>
      <c r="B69" s="20"/>
      <c r="C69" s="20"/>
      <c r="D69" s="20"/>
      <c r="E69" s="20"/>
      <c r="F69" s="20"/>
      <c r="G69" s="124"/>
      <c r="H69" s="20"/>
      <c r="I69" s="20"/>
      <c r="J69" s="20"/>
      <c r="K69" s="124"/>
      <c r="L69" s="127"/>
      <c r="M69" s="20"/>
      <c r="N69" s="20"/>
      <c r="O69" s="20"/>
      <c r="P69" s="124"/>
      <c r="Q69" s="127"/>
      <c r="R69" s="20"/>
      <c r="S69" s="20"/>
      <c r="T69" s="20"/>
      <c r="U69" s="124"/>
      <c r="V69" s="127"/>
      <c r="W69" s="20"/>
      <c r="X69" s="20"/>
      <c r="Y69" s="20"/>
      <c r="Z69" s="20"/>
      <c r="AA69" s="20"/>
      <c r="AB69" s="20"/>
      <c r="AC69" s="20"/>
      <c r="AD69" s="20"/>
      <c r="AE69" s="20"/>
    </row>
    <row r="70" spans="1:31" ht="19.5">
      <c r="A70" s="20"/>
      <c r="B70" s="20"/>
      <c r="C70" s="20"/>
      <c r="D70" s="20"/>
      <c r="E70" s="20"/>
      <c r="F70" s="20"/>
      <c r="G70" s="124"/>
      <c r="H70" s="20"/>
      <c r="I70" s="20"/>
      <c r="J70" s="20"/>
      <c r="K70" s="124"/>
      <c r="L70" s="127"/>
      <c r="M70" s="20"/>
      <c r="N70" s="20"/>
      <c r="O70" s="20"/>
      <c r="P70" s="124"/>
      <c r="Q70" s="127"/>
      <c r="R70" s="20"/>
      <c r="S70" s="20"/>
      <c r="T70" s="20"/>
      <c r="U70" s="124"/>
      <c r="V70" s="127"/>
      <c r="W70" s="20"/>
      <c r="X70" s="20"/>
      <c r="Y70" s="20"/>
      <c r="Z70" s="20"/>
      <c r="AA70" s="20"/>
      <c r="AB70" s="20"/>
      <c r="AC70" s="20"/>
      <c r="AD70" s="20"/>
      <c r="AE70" s="20"/>
    </row>
    <row r="71" spans="1:31" ht="136.5">
      <c r="A71" s="20"/>
      <c r="B71" s="20"/>
      <c r="C71" s="20" t="s">
        <v>226</v>
      </c>
      <c r="D71" s="20">
        <v>2024</v>
      </c>
      <c r="E71" s="20">
        <v>2025</v>
      </c>
      <c r="F71" s="20">
        <v>2026</v>
      </c>
      <c r="G71" s="124"/>
      <c r="H71" s="20"/>
      <c r="I71" s="20"/>
      <c r="J71" s="20"/>
      <c r="K71" s="124"/>
      <c r="L71" s="127"/>
      <c r="M71" s="20"/>
      <c r="N71" s="20"/>
      <c r="O71" s="20"/>
      <c r="P71" s="124"/>
      <c r="Q71" s="127"/>
      <c r="R71" s="20"/>
      <c r="S71" s="20"/>
      <c r="T71" s="20"/>
      <c r="U71" s="124"/>
      <c r="V71" s="127"/>
      <c r="W71" s="20"/>
      <c r="X71" s="20"/>
      <c r="Y71" s="20"/>
      <c r="Z71" s="20"/>
      <c r="AA71" s="20"/>
      <c r="AB71" s="20"/>
      <c r="AC71" s="20"/>
      <c r="AD71" s="20"/>
      <c r="AE71" s="20"/>
    </row>
    <row r="72" spans="1:31" ht="409.5">
      <c r="A72" s="20"/>
      <c r="B72" s="20"/>
      <c r="C72" s="20" t="s">
        <v>227</v>
      </c>
      <c r="D72" s="20" t="s">
        <v>228</v>
      </c>
      <c r="E72" s="20" t="s">
        <v>229</v>
      </c>
      <c r="F72" s="20" t="s">
        <v>230</v>
      </c>
      <c r="G72" s="124"/>
      <c r="H72" s="20"/>
      <c r="I72" s="20"/>
      <c r="J72" s="20"/>
      <c r="K72" s="124"/>
      <c r="L72" s="127"/>
      <c r="M72" s="20"/>
      <c r="N72" s="20"/>
      <c r="O72" s="20"/>
      <c r="P72" s="124"/>
      <c r="Q72" s="127"/>
      <c r="R72" s="20"/>
      <c r="S72" s="20"/>
      <c r="T72" s="20"/>
      <c r="U72" s="124"/>
      <c r="V72" s="127"/>
      <c r="W72" s="20"/>
      <c r="X72" s="20"/>
      <c r="Y72" s="20"/>
      <c r="Z72" s="20"/>
      <c r="AA72" s="20"/>
      <c r="AB72" s="20"/>
      <c r="AC72" s="20"/>
      <c r="AD72" s="20"/>
      <c r="AE72" s="20"/>
    </row>
    <row r="73" spans="1:31" ht="409.5">
      <c r="A73" s="20"/>
      <c r="B73" s="20"/>
      <c r="C73" s="20" t="s">
        <v>231</v>
      </c>
      <c r="D73" s="20" t="s">
        <v>232</v>
      </c>
      <c r="E73" s="20"/>
      <c r="F73" s="20"/>
      <c r="G73" s="124"/>
      <c r="H73" s="20"/>
      <c r="I73" s="20"/>
      <c r="J73" s="20"/>
      <c r="K73" s="124"/>
      <c r="L73" s="127"/>
      <c r="M73" s="20"/>
      <c r="N73" s="20"/>
      <c r="O73" s="20"/>
      <c r="P73" s="124"/>
      <c r="Q73" s="127"/>
      <c r="R73" s="20"/>
      <c r="S73" s="20"/>
      <c r="T73" s="20"/>
      <c r="U73" s="124"/>
      <c r="V73" s="127"/>
      <c r="W73" s="20"/>
      <c r="X73" s="20"/>
      <c r="Y73" s="20"/>
      <c r="Z73" s="20"/>
      <c r="AA73" s="20"/>
      <c r="AB73" s="20"/>
      <c r="AC73" s="20"/>
      <c r="AD73" s="20"/>
      <c r="AE73" s="20"/>
    </row>
    <row r="74" spans="1:31" ht="19.5">
      <c r="A74" s="20"/>
      <c r="B74" s="20"/>
      <c r="C74" s="20"/>
      <c r="D74" s="20"/>
      <c r="E74" s="20"/>
      <c r="F74" s="20"/>
      <c r="G74" s="124"/>
      <c r="H74" s="20"/>
      <c r="I74" s="20"/>
      <c r="J74" s="20"/>
      <c r="K74" s="124"/>
      <c r="L74" s="127"/>
      <c r="M74" s="20"/>
      <c r="N74" s="20"/>
      <c r="O74" s="20"/>
      <c r="P74" s="124"/>
      <c r="Q74" s="127"/>
      <c r="R74" s="20"/>
      <c r="S74" s="20"/>
      <c r="T74" s="20"/>
      <c r="U74" s="124"/>
      <c r="V74" s="127"/>
      <c r="W74" s="20"/>
      <c r="X74" s="20"/>
      <c r="Y74" s="20"/>
      <c r="Z74" s="20"/>
      <c r="AA74" s="20"/>
      <c r="AB74" s="20"/>
      <c r="AC74" s="20"/>
      <c r="AD74" s="20"/>
      <c r="AE74" s="20"/>
    </row>
    <row r="75" spans="1:31" ht="19.5">
      <c r="A75" s="20"/>
      <c r="B75" s="20"/>
      <c r="C75" s="20"/>
      <c r="D75" s="20"/>
      <c r="E75" s="20"/>
      <c r="F75" s="20"/>
      <c r="G75" s="124"/>
      <c r="H75" s="20"/>
      <c r="I75" s="20"/>
      <c r="J75" s="20"/>
      <c r="K75" s="124"/>
      <c r="L75" s="127"/>
      <c r="M75" s="20"/>
      <c r="N75" s="20"/>
      <c r="O75" s="20"/>
      <c r="P75" s="124"/>
      <c r="Q75" s="127"/>
      <c r="R75" s="20"/>
      <c r="S75" s="20"/>
      <c r="T75" s="20"/>
      <c r="U75" s="124"/>
      <c r="V75" s="127"/>
      <c r="W75" s="20"/>
      <c r="X75" s="20"/>
      <c r="Y75" s="20"/>
      <c r="Z75" s="20"/>
      <c r="AA75" s="20"/>
      <c r="AB75" s="20"/>
      <c r="AC75" s="20"/>
      <c r="AD75" s="20"/>
      <c r="AE75" s="20"/>
    </row>
    <row r="76" spans="1:31" ht="19.5">
      <c r="A76" s="20"/>
      <c r="B76" s="20"/>
      <c r="C76" s="20"/>
      <c r="D76" s="20"/>
      <c r="E76" s="20"/>
      <c r="F76" s="20"/>
      <c r="G76" s="124"/>
      <c r="H76" s="20"/>
      <c r="I76" s="20"/>
      <c r="J76" s="20"/>
      <c r="K76" s="124"/>
      <c r="L76" s="127"/>
      <c r="M76" s="20"/>
      <c r="N76" s="20"/>
      <c r="O76" s="20"/>
      <c r="P76" s="124"/>
      <c r="Q76" s="127"/>
      <c r="R76" s="20"/>
      <c r="S76" s="20"/>
      <c r="T76" s="20"/>
      <c r="U76" s="124"/>
      <c r="V76" s="127"/>
      <c r="W76" s="20"/>
      <c r="X76" s="20"/>
      <c r="Y76" s="20"/>
      <c r="Z76" s="20"/>
      <c r="AA76" s="20"/>
      <c r="AB76" s="20"/>
      <c r="AC76" s="20"/>
      <c r="AD76" s="20"/>
      <c r="AE76" s="20"/>
    </row>
    <row r="77" spans="1:31" ht="19.5">
      <c r="A77" s="20"/>
      <c r="B77" s="20"/>
      <c r="C77" s="20"/>
      <c r="D77" s="20"/>
      <c r="E77" s="20"/>
      <c r="F77" s="20"/>
      <c r="G77" s="124"/>
      <c r="H77" s="20"/>
      <c r="I77" s="20"/>
      <c r="J77" s="20"/>
      <c r="K77" s="124"/>
      <c r="L77" s="127"/>
      <c r="M77" s="20"/>
      <c r="N77" s="20"/>
      <c r="O77" s="20"/>
      <c r="P77" s="124"/>
      <c r="Q77" s="127"/>
      <c r="R77" s="20"/>
      <c r="S77" s="20"/>
      <c r="T77" s="20"/>
      <c r="U77" s="124"/>
      <c r="V77" s="127"/>
      <c r="W77" s="20"/>
      <c r="X77" s="20"/>
      <c r="Y77" s="20"/>
      <c r="Z77" s="20"/>
      <c r="AA77" s="20"/>
      <c r="AB77" s="20"/>
      <c r="AC77" s="20"/>
      <c r="AD77" s="20"/>
      <c r="AE77" s="20"/>
    </row>
    <row r="78" spans="1:31" ht="19.5">
      <c r="A78" s="20"/>
      <c r="B78" s="20"/>
      <c r="C78" s="20"/>
      <c r="D78" s="20"/>
      <c r="E78" s="20"/>
      <c r="F78" s="20"/>
      <c r="G78" s="124"/>
      <c r="H78" s="20"/>
      <c r="I78" s="20"/>
      <c r="J78" s="20"/>
      <c r="K78" s="124"/>
      <c r="L78" s="127"/>
      <c r="M78" s="20"/>
      <c r="N78" s="20"/>
      <c r="O78" s="20"/>
      <c r="P78" s="124"/>
      <c r="Q78" s="127"/>
      <c r="R78" s="20"/>
      <c r="S78" s="20"/>
      <c r="T78" s="20"/>
      <c r="U78" s="124"/>
      <c r="V78" s="127"/>
      <c r="W78" s="20"/>
      <c r="X78" s="20"/>
      <c r="Y78" s="20"/>
      <c r="Z78" s="20"/>
      <c r="AA78" s="20"/>
      <c r="AB78" s="20"/>
      <c r="AC78" s="20"/>
      <c r="AD78" s="20"/>
      <c r="AE78" s="20"/>
    </row>
    <row r="79" spans="1:31" ht="19.5">
      <c r="A79" s="20"/>
      <c r="B79" s="20"/>
      <c r="C79" s="20"/>
      <c r="D79" s="20"/>
      <c r="E79" s="20"/>
      <c r="F79" s="20"/>
      <c r="G79" s="124"/>
      <c r="H79" s="20"/>
      <c r="I79" s="20"/>
      <c r="J79" s="20"/>
      <c r="K79" s="124"/>
      <c r="L79" s="127"/>
      <c r="M79" s="20"/>
      <c r="N79" s="20"/>
      <c r="O79" s="20"/>
      <c r="P79" s="124"/>
      <c r="Q79" s="127"/>
      <c r="R79" s="20"/>
      <c r="S79" s="20"/>
      <c r="T79" s="20"/>
      <c r="U79" s="124"/>
      <c r="V79" s="127"/>
      <c r="W79" s="20"/>
      <c r="X79" s="20"/>
      <c r="Y79" s="20"/>
      <c r="Z79" s="20"/>
      <c r="AA79" s="20"/>
      <c r="AB79" s="20"/>
      <c r="AC79" s="20"/>
      <c r="AD79" s="20"/>
      <c r="AE79" s="20"/>
    </row>
    <row r="80" spans="1:31" ht="19.5">
      <c r="A80" s="20"/>
      <c r="B80" s="20"/>
      <c r="C80" s="20"/>
      <c r="D80" s="20"/>
      <c r="E80" s="20"/>
      <c r="F80" s="20"/>
      <c r="G80" s="124"/>
      <c r="H80" s="20"/>
      <c r="I80" s="20"/>
      <c r="J80" s="20"/>
      <c r="K80" s="124"/>
      <c r="L80" s="127"/>
      <c r="M80" s="20"/>
      <c r="N80" s="20"/>
      <c r="O80" s="20"/>
      <c r="P80" s="124"/>
      <c r="Q80" s="127"/>
      <c r="R80" s="20"/>
      <c r="S80" s="20"/>
      <c r="T80" s="20"/>
      <c r="U80" s="124"/>
      <c r="V80" s="127"/>
      <c r="W80" s="20"/>
      <c r="X80" s="20"/>
      <c r="Y80" s="20"/>
      <c r="Z80" s="20"/>
      <c r="AA80" s="20"/>
      <c r="AB80" s="20"/>
      <c r="AC80" s="20"/>
      <c r="AD80" s="20"/>
      <c r="AE80" s="20"/>
    </row>
    <row r="81" spans="1:31" ht="19.5">
      <c r="A81" s="20"/>
      <c r="B81" s="20"/>
      <c r="C81" s="20"/>
      <c r="D81" s="20"/>
      <c r="E81" s="20"/>
      <c r="F81" s="20"/>
      <c r="G81" s="124"/>
      <c r="H81" s="20"/>
      <c r="I81" s="20"/>
      <c r="J81" s="20"/>
      <c r="K81" s="124"/>
      <c r="L81" s="127"/>
      <c r="M81" s="20"/>
      <c r="N81" s="20"/>
      <c r="O81" s="20"/>
      <c r="P81" s="124"/>
      <c r="Q81" s="127"/>
      <c r="R81" s="20"/>
      <c r="S81" s="20"/>
      <c r="T81" s="20"/>
      <c r="U81" s="124"/>
      <c r="V81" s="127"/>
      <c r="W81" s="20"/>
      <c r="X81" s="20"/>
      <c r="Y81" s="20"/>
      <c r="Z81" s="20"/>
      <c r="AA81" s="20"/>
      <c r="AB81" s="20"/>
      <c r="AC81" s="20"/>
      <c r="AD81" s="20"/>
      <c r="AE81" s="20"/>
    </row>
    <row r="82" spans="1:31" ht="19.5">
      <c r="A82" s="20"/>
      <c r="B82" s="20"/>
      <c r="C82" s="20"/>
      <c r="D82" s="20"/>
      <c r="E82" s="20"/>
      <c r="F82" s="20"/>
      <c r="G82" s="124"/>
      <c r="H82" s="20"/>
      <c r="I82" s="20"/>
      <c r="J82" s="20"/>
      <c r="K82" s="124"/>
      <c r="L82" s="127"/>
      <c r="M82" s="20"/>
      <c r="N82" s="20"/>
      <c r="O82" s="20"/>
      <c r="P82" s="124"/>
      <c r="Q82" s="127"/>
      <c r="R82" s="20"/>
      <c r="S82" s="20"/>
      <c r="T82" s="20"/>
      <c r="U82" s="124"/>
      <c r="V82" s="127"/>
      <c r="W82" s="20"/>
      <c r="X82" s="20"/>
      <c r="Y82" s="20"/>
      <c r="Z82" s="20"/>
      <c r="AA82" s="20"/>
      <c r="AB82" s="20"/>
      <c r="AC82" s="20"/>
      <c r="AD82" s="20"/>
      <c r="AE82" s="20"/>
    </row>
    <row r="83" spans="1:31" ht="19.5">
      <c r="A83" s="20"/>
      <c r="B83" s="20"/>
      <c r="C83" s="20"/>
      <c r="D83" s="20"/>
      <c r="E83" s="20"/>
      <c r="F83" s="20"/>
      <c r="G83" s="124"/>
      <c r="H83" s="20"/>
      <c r="I83" s="20"/>
      <c r="J83" s="20"/>
      <c r="K83" s="124"/>
      <c r="L83" s="127"/>
      <c r="M83" s="20"/>
      <c r="N83" s="20"/>
      <c r="O83" s="20"/>
      <c r="P83" s="124"/>
      <c r="Q83" s="127"/>
      <c r="R83" s="20"/>
      <c r="S83" s="20"/>
      <c r="T83" s="20"/>
      <c r="U83" s="124"/>
      <c r="V83" s="127"/>
      <c r="W83" s="20"/>
      <c r="X83" s="20"/>
      <c r="Y83" s="20"/>
      <c r="Z83" s="20"/>
      <c r="AA83" s="20"/>
      <c r="AB83" s="20"/>
      <c r="AC83" s="20"/>
      <c r="AD83" s="20"/>
      <c r="AE83" s="20"/>
    </row>
    <row r="84" spans="1:31" ht="19.5">
      <c r="A84" s="20"/>
      <c r="B84" s="20"/>
      <c r="C84" s="20"/>
      <c r="D84" s="20"/>
      <c r="E84" s="20"/>
      <c r="F84" s="20"/>
      <c r="G84" s="124"/>
      <c r="H84" s="20"/>
      <c r="I84" s="20"/>
      <c r="J84" s="20"/>
      <c r="K84" s="124"/>
      <c r="L84" s="127"/>
      <c r="M84" s="20"/>
      <c r="N84" s="20"/>
      <c r="O84" s="20"/>
      <c r="P84" s="124"/>
      <c r="Q84" s="127"/>
      <c r="R84" s="20"/>
      <c r="S84" s="20"/>
      <c r="T84" s="20"/>
      <c r="U84" s="124"/>
      <c r="V84" s="127"/>
      <c r="W84" s="20"/>
      <c r="X84" s="20"/>
      <c r="Y84" s="20"/>
      <c r="Z84" s="20"/>
      <c r="AA84" s="20"/>
      <c r="AB84" s="20"/>
      <c r="AC84" s="20"/>
      <c r="AD84" s="20"/>
      <c r="AE84" s="20"/>
    </row>
    <row r="85" spans="1:31" ht="19.5">
      <c r="A85" s="20"/>
      <c r="B85" s="20"/>
      <c r="C85" s="20"/>
      <c r="D85" s="20"/>
      <c r="E85" s="20"/>
      <c r="F85" s="20"/>
      <c r="G85" s="124"/>
      <c r="H85" s="20"/>
      <c r="I85" s="20"/>
      <c r="J85" s="20"/>
      <c r="K85" s="124"/>
      <c r="L85" s="127"/>
      <c r="M85" s="20"/>
      <c r="N85" s="20"/>
      <c r="O85" s="20"/>
      <c r="P85" s="124"/>
      <c r="Q85" s="127"/>
      <c r="R85" s="20"/>
      <c r="S85" s="20"/>
      <c r="T85" s="20"/>
      <c r="U85" s="124"/>
      <c r="V85" s="127"/>
      <c r="W85" s="20"/>
      <c r="X85" s="20"/>
      <c r="Y85" s="20"/>
      <c r="Z85" s="20"/>
      <c r="AA85" s="20"/>
      <c r="AB85" s="20"/>
      <c r="AC85" s="20"/>
      <c r="AD85" s="20"/>
      <c r="AE85" s="20"/>
    </row>
    <row r="86" spans="1:31" ht="19.5">
      <c r="A86" s="20"/>
      <c r="B86" s="20"/>
      <c r="C86" s="20"/>
      <c r="D86" s="20"/>
      <c r="E86" s="20"/>
      <c r="F86" s="20"/>
      <c r="G86" s="124"/>
      <c r="H86" s="20"/>
      <c r="I86" s="20"/>
      <c r="J86" s="20"/>
      <c r="K86" s="124"/>
      <c r="L86" s="127"/>
      <c r="M86" s="20"/>
      <c r="N86" s="20"/>
      <c r="O86" s="20"/>
      <c r="P86" s="124"/>
      <c r="Q86" s="127"/>
      <c r="R86" s="20"/>
      <c r="S86" s="20"/>
      <c r="T86" s="20"/>
      <c r="U86" s="124"/>
      <c r="V86" s="127"/>
      <c r="W86" s="20"/>
      <c r="X86" s="20"/>
      <c r="Y86" s="20"/>
      <c r="Z86" s="20"/>
      <c r="AA86" s="20"/>
      <c r="AB86" s="20"/>
      <c r="AC86" s="20"/>
      <c r="AD86" s="20"/>
      <c r="AE86" s="20"/>
    </row>
    <row r="87" spans="1:31" ht="19.5">
      <c r="A87" s="20"/>
      <c r="B87" s="20"/>
      <c r="C87" s="20"/>
      <c r="D87" s="20"/>
      <c r="E87" s="20"/>
      <c r="F87" s="20"/>
      <c r="G87" s="124"/>
      <c r="H87" s="20"/>
      <c r="I87" s="20"/>
      <c r="J87" s="20"/>
      <c r="K87" s="124"/>
      <c r="L87" s="127"/>
      <c r="M87" s="20"/>
      <c r="N87" s="20"/>
      <c r="O87" s="20"/>
      <c r="P87" s="124"/>
      <c r="Q87" s="127"/>
      <c r="R87" s="20"/>
      <c r="S87" s="20"/>
      <c r="T87" s="20"/>
      <c r="U87" s="124"/>
      <c r="V87" s="127"/>
      <c r="W87" s="20"/>
      <c r="X87" s="20"/>
      <c r="Y87" s="20"/>
      <c r="Z87" s="20"/>
      <c r="AA87" s="20"/>
      <c r="AB87" s="20"/>
      <c r="AC87" s="20"/>
      <c r="AD87" s="20"/>
      <c r="AE87" s="20"/>
    </row>
    <row r="88" spans="1:31" ht="19.5">
      <c r="A88" s="20"/>
      <c r="B88" s="20"/>
      <c r="C88" s="20"/>
      <c r="D88" s="20"/>
      <c r="E88" s="20"/>
      <c r="F88" s="20"/>
      <c r="G88" s="124"/>
      <c r="H88" s="20"/>
      <c r="I88" s="20"/>
      <c r="J88" s="20"/>
      <c r="K88" s="124"/>
      <c r="L88" s="127"/>
      <c r="M88" s="20"/>
      <c r="N88" s="20"/>
      <c r="O88" s="20"/>
      <c r="P88" s="124"/>
      <c r="Q88" s="127"/>
      <c r="R88" s="20"/>
      <c r="S88" s="20"/>
      <c r="T88" s="20"/>
      <c r="U88" s="124"/>
      <c r="V88" s="127"/>
      <c r="W88" s="20"/>
      <c r="X88" s="20"/>
      <c r="Y88" s="20"/>
      <c r="Z88" s="20"/>
      <c r="AA88" s="20"/>
      <c r="AB88" s="20"/>
      <c r="AC88" s="20"/>
      <c r="AD88" s="20"/>
      <c r="AE88" s="20"/>
    </row>
    <row r="89" spans="1:31" ht="19.5">
      <c r="A89" s="20"/>
      <c r="B89" s="20"/>
      <c r="C89" s="20"/>
      <c r="D89" s="20"/>
      <c r="E89" s="20"/>
      <c r="F89" s="20"/>
      <c r="G89" s="124"/>
      <c r="H89" s="20"/>
      <c r="I89" s="20"/>
      <c r="J89" s="20"/>
      <c r="K89" s="124"/>
      <c r="L89" s="127"/>
      <c r="M89" s="20"/>
      <c r="N89" s="20"/>
      <c r="O89" s="20"/>
      <c r="P89" s="124"/>
      <c r="Q89" s="127"/>
      <c r="R89" s="20"/>
      <c r="S89" s="20"/>
      <c r="T89" s="20"/>
      <c r="U89" s="124"/>
      <c r="V89" s="127"/>
      <c r="W89" s="20"/>
      <c r="X89" s="20"/>
      <c r="Y89" s="20"/>
      <c r="Z89" s="20"/>
      <c r="AA89" s="20"/>
      <c r="AB89" s="20"/>
      <c r="AC89" s="20"/>
      <c r="AD89" s="20"/>
      <c r="AE89" s="20"/>
    </row>
    <row r="90" spans="1:31" ht="19.5">
      <c r="A90" s="20"/>
      <c r="B90" s="20"/>
      <c r="C90" s="20"/>
      <c r="D90" s="20"/>
      <c r="E90" s="20"/>
      <c r="F90" s="20"/>
      <c r="G90" s="124"/>
      <c r="H90" s="20"/>
      <c r="I90" s="20"/>
      <c r="J90" s="20"/>
      <c r="K90" s="124"/>
      <c r="L90" s="127"/>
      <c r="M90" s="20"/>
      <c r="N90" s="20"/>
      <c r="O90" s="20"/>
      <c r="P90" s="124"/>
      <c r="Q90" s="127"/>
      <c r="R90" s="20"/>
      <c r="S90" s="20"/>
      <c r="T90" s="20"/>
      <c r="U90" s="124"/>
      <c r="V90" s="127"/>
      <c r="W90" s="20"/>
      <c r="X90" s="20"/>
      <c r="Y90" s="20"/>
      <c r="Z90" s="20"/>
      <c r="AA90" s="20"/>
      <c r="AB90" s="20"/>
      <c r="AC90" s="20"/>
      <c r="AD90" s="20"/>
      <c r="AE90" s="20"/>
    </row>
    <row r="91" spans="1:31" ht="19.5">
      <c r="A91" s="20"/>
      <c r="B91" s="20"/>
      <c r="C91" s="20"/>
      <c r="D91" s="20"/>
      <c r="E91" s="20"/>
      <c r="F91" s="20"/>
      <c r="G91" s="124"/>
      <c r="H91" s="20"/>
      <c r="I91" s="20"/>
      <c r="J91" s="20"/>
      <c r="K91" s="124"/>
      <c r="L91" s="127"/>
      <c r="M91" s="20"/>
      <c r="N91" s="20"/>
      <c r="O91" s="20"/>
      <c r="P91" s="124"/>
      <c r="Q91" s="127"/>
      <c r="R91" s="20"/>
      <c r="S91" s="20"/>
      <c r="T91" s="20"/>
      <c r="U91" s="124"/>
      <c r="V91" s="127"/>
      <c r="W91" s="20"/>
      <c r="X91" s="20"/>
      <c r="Y91" s="20"/>
      <c r="Z91" s="20"/>
      <c r="AA91" s="20"/>
      <c r="AB91" s="20"/>
      <c r="AC91" s="20"/>
      <c r="AD91" s="20"/>
      <c r="AE91" s="20"/>
    </row>
    <row r="92" spans="1:31" ht="19.5">
      <c r="A92" s="20"/>
      <c r="B92" s="20"/>
      <c r="C92" s="20"/>
      <c r="D92" s="20"/>
      <c r="E92" s="20"/>
      <c r="F92" s="20"/>
      <c r="G92" s="124"/>
      <c r="H92" s="20"/>
      <c r="I92" s="20"/>
      <c r="J92" s="20"/>
      <c r="K92" s="124"/>
      <c r="L92" s="127"/>
      <c r="M92" s="20"/>
      <c r="N92" s="20"/>
      <c r="O92" s="20"/>
      <c r="P92" s="124"/>
      <c r="Q92" s="127"/>
      <c r="R92" s="20"/>
      <c r="S92" s="20"/>
      <c r="T92" s="20"/>
      <c r="U92" s="124"/>
      <c r="V92" s="127"/>
      <c r="W92" s="20"/>
      <c r="X92" s="20"/>
      <c r="Y92" s="20"/>
      <c r="Z92" s="20"/>
      <c r="AA92" s="20"/>
      <c r="AB92" s="20"/>
      <c r="AC92" s="20"/>
      <c r="AD92" s="20"/>
      <c r="AE92" s="20"/>
    </row>
    <row r="93" spans="1:31" ht="19.5">
      <c r="A93" s="20"/>
      <c r="B93" s="20"/>
      <c r="C93" s="20"/>
      <c r="D93" s="20"/>
      <c r="E93" s="20"/>
      <c r="F93" s="20"/>
      <c r="G93" s="124"/>
      <c r="H93" s="20"/>
      <c r="I93" s="20"/>
      <c r="J93" s="20"/>
      <c r="K93" s="124"/>
      <c r="L93" s="127"/>
      <c r="M93" s="20"/>
      <c r="N93" s="20"/>
      <c r="O93" s="20"/>
      <c r="P93" s="124"/>
      <c r="Q93" s="127"/>
      <c r="R93" s="20"/>
      <c r="S93" s="20"/>
      <c r="T93" s="20"/>
      <c r="U93" s="124"/>
      <c r="V93" s="127"/>
      <c r="W93" s="20"/>
      <c r="X93" s="20"/>
      <c r="Y93" s="20"/>
      <c r="Z93" s="20"/>
      <c r="AA93" s="20"/>
      <c r="AB93" s="20"/>
      <c r="AC93" s="20"/>
      <c r="AD93" s="20"/>
      <c r="AE93" s="20"/>
    </row>
    <row r="94" spans="1:31" ht="19.5">
      <c r="A94" s="20"/>
      <c r="B94" s="20"/>
      <c r="C94" s="20"/>
      <c r="D94" s="20"/>
      <c r="E94" s="20"/>
      <c r="F94" s="20"/>
      <c r="G94" s="124"/>
      <c r="H94" s="20"/>
      <c r="I94" s="20"/>
      <c r="J94" s="20"/>
      <c r="K94" s="124"/>
      <c r="L94" s="127"/>
      <c r="M94" s="20"/>
      <c r="N94" s="20"/>
      <c r="O94" s="20"/>
      <c r="P94" s="124"/>
      <c r="Q94" s="127"/>
      <c r="R94" s="20"/>
      <c r="S94" s="20"/>
      <c r="T94" s="20"/>
      <c r="U94" s="124"/>
      <c r="V94" s="127"/>
      <c r="W94" s="20"/>
      <c r="X94" s="20"/>
      <c r="Y94" s="20"/>
      <c r="Z94" s="20"/>
      <c r="AA94" s="20"/>
      <c r="AB94" s="20"/>
      <c r="AC94" s="20"/>
      <c r="AD94" s="20"/>
      <c r="AE94" s="20"/>
    </row>
    <row r="95" spans="1:31" ht="19.5">
      <c r="A95" s="20"/>
      <c r="B95" s="20"/>
      <c r="C95" s="20"/>
      <c r="D95" s="20"/>
      <c r="E95" s="20"/>
      <c r="F95" s="20"/>
      <c r="G95" s="124"/>
      <c r="H95" s="20"/>
      <c r="I95" s="20"/>
      <c r="J95" s="20"/>
      <c r="K95" s="124"/>
      <c r="L95" s="127"/>
      <c r="M95" s="20"/>
      <c r="N95" s="20"/>
      <c r="O95" s="20"/>
      <c r="P95" s="124"/>
      <c r="Q95" s="127"/>
      <c r="R95" s="20"/>
      <c r="S95" s="20"/>
      <c r="T95" s="20"/>
      <c r="U95" s="124"/>
      <c r="V95" s="127"/>
      <c r="W95" s="20"/>
      <c r="X95" s="20"/>
      <c r="Y95" s="20"/>
      <c r="Z95" s="20"/>
      <c r="AA95" s="20"/>
      <c r="AB95" s="20"/>
      <c r="AC95" s="20"/>
      <c r="AD95" s="20"/>
      <c r="AE95" s="20"/>
    </row>
    <row r="96" spans="1:31" ht="19.5">
      <c r="A96" s="20"/>
      <c r="B96" s="20"/>
      <c r="C96" s="20"/>
      <c r="D96" s="20"/>
      <c r="E96" s="20"/>
      <c r="F96" s="20"/>
      <c r="G96" s="124"/>
      <c r="H96" s="20"/>
      <c r="I96" s="20"/>
      <c r="J96" s="20"/>
      <c r="K96" s="124"/>
      <c r="L96" s="127"/>
      <c r="M96" s="20"/>
      <c r="N96" s="20"/>
      <c r="O96" s="20"/>
      <c r="P96" s="124"/>
      <c r="Q96" s="127"/>
      <c r="R96" s="20"/>
      <c r="S96" s="20"/>
      <c r="T96" s="20"/>
      <c r="U96" s="124"/>
      <c r="V96" s="127"/>
      <c r="W96" s="20"/>
      <c r="X96" s="20"/>
      <c r="Y96" s="20"/>
      <c r="Z96" s="20"/>
      <c r="AA96" s="20"/>
      <c r="AB96" s="20"/>
      <c r="AC96" s="20"/>
      <c r="AD96" s="20"/>
      <c r="AE96" s="20"/>
    </row>
    <row r="97" spans="1:31" ht="19.5">
      <c r="A97" s="20"/>
      <c r="B97" s="20"/>
      <c r="C97" s="20"/>
      <c r="D97" s="20"/>
      <c r="E97" s="20"/>
      <c r="F97" s="20"/>
      <c r="G97" s="124"/>
      <c r="H97" s="20"/>
      <c r="I97" s="20"/>
      <c r="J97" s="20"/>
      <c r="K97" s="124"/>
      <c r="L97" s="127"/>
      <c r="M97" s="20"/>
      <c r="N97" s="20"/>
      <c r="O97" s="20"/>
      <c r="P97" s="124"/>
      <c r="Q97" s="127"/>
      <c r="R97" s="20"/>
      <c r="S97" s="20"/>
      <c r="T97" s="20"/>
      <c r="U97" s="124"/>
      <c r="V97" s="127"/>
      <c r="W97" s="20"/>
      <c r="X97" s="20"/>
      <c r="Y97" s="20"/>
      <c r="Z97" s="20"/>
      <c r="AA97" s="20"/>
      <c r="AB97" s="20"/>
      <c r="AC97" s="20"/>
      <c r="AD97" s="20"/>
      <c r="AE97" s="20"/>
    </row>
    <row r="98" spans="1:31" ht="19.5">
      <c r="A98" s="20"/>
      <c r="B98" s="20"/>
      <c r="C98" s="20"/>
      <c r="D98" s="20"/>
      <c r="E98" s="20"/>
      <c r="F98" s="20"/>
      <c r="G98" s="124"/>
      <c r="H98" s="20"/>
      <c r="I98" s="20"/>
      <c r="J98" s="20"/>
      <c r="K98" s="124"/>
      <c r="L98" s="127"/>
      <c r="M98" s="20"/>
      <c r="N98" s="20"/>
      <c r="O98" s="20"/>
      <c r="P98" s="124"/>
      <c r="Q98" s="127"/>
      <c r="R98" s="20"/>
      <c r="S98" s="20"/>
      <c r="T98" s="20"/>
      <c r="U98" s="124"/>
      <c r="V98" s="127"/>
      <c r="W98" s="20"/>
      <c r="X98" s="20"/>
      <c r="Y98" s="20"/>
      <c r="Z98" s="20"/>
      <c r="AA98" s="20"/>
      <c r="AB98" s="20"/>
      <c r="AC98" s="20"/>
      <c r="AD98" s="20"/>
      <c r="AE98" s="20"/>
    </row>
    <row r="99" spans="1:31" ht="19.5">
      <c r="A99" s="20"/>
      <c r="B99" s="20"/>
      <c r="C99" s="20"/>
      <c r="D99" s="20"/>
      <c r="E99" s="20"/>
      <c r="F99" s="20"/>
      <c r="G99" s="124"/>
      <c r="H99" s="20"/>
      <c r="I99" s="20"/>
      <c r="J99" s="20"/>
      <c r="K99" s="124"/>
      <c r="L99" s="127"/>
      <c r="M99" s="20"/>
      <c r="N99" s="20"/>
      <c r="O99" s="20"/>
      <c r="P99" s="124"/>
      <c r="Q99" s="127"/>
      <c r="R99" s="20"/>
      <c r="S99" s="20"/>
      <c r="T99" s="20"/>
      <c r="U99" s="124"/>
      <c r="V99" s="127"/>
      <c r="W99" s="20"/>
      <c r="X99" s="20"/>
      <c r="Y99" s="20"/>
      <c r="Z99" s="20"/>
      <c r="AA99" s="20"/>
      <c r="AB99" s="20"/>
      <c r="AC99" s="20"/>
      <c r="AD99" s="20"/>
      <c r="AE99" s="20"/>
    </row>
    <row r="100" spans="1:31" ht="19.5">
      <c r="A100" s="20"/>
      <c r="B100" s="20"/>
      <c r="C100" s="20"/>
      <c r="D100" s="20"/>
      <c r="E100" s="20"/>
      <c r="F100" s="20"/>
      <c r="G100" s="124"/>
      <c r="H100" s="20"/>
      <c r="I100" s="20"/>
      <c r="J100" s="20"/>
      <c r="K100" s="124"/>
      <c r="L100" s="127"/>
      <c r="M100" s="20"/>
      <c r="N100" s="20"/>
      <c r="O100" s="20"/>
      <c r="P100" s="124"/>
      <c r="Q100" s="127"/>
      <c r="R100" s="20"/>
      <c r="S100" s="20"/>
      <c r="T100" s="20"/>
      <c r="U100" s="124"/>
      <c r="V100" s="127"/>
      <c r="W100" s="20"/>
      <c r="X100" s="20"/>
      <c r="Y100" s="20"/>
      <c r="Z100" s="20"/>
      <c r="AA100" s="20"/>
      <c r="AB100" s="20"/>
      <c r="AC100" s="20"/>
      <c r="AD100" s="20"/>
      <c r="AE100" s="20"/>
    </row>
    <row r="101" spans="1:31" ht="19.5">
      <c r="A101" s="20"/>
      <c r="B101" s="20"/>
      <c r="C101" s="20"/>
      <c r="D101" s="20"/>
      <c r="E101" s="20"/>
      <c r="F101" s="20"/>
      <c r="G101" s="124"/>
      <c r="H101" s="20"/>
      <c r="I101" s="20"/>
      <c r="J101" s="20"/>
      <c r="K101" s="124"/>
      <c r="L101" s="127"/>
      <c r="M101" s="20"/>
      <c r="N101" s="20"/>
      <c r="O101" s="20"/>
      <c r="P101" s="124"/>
      <c r="Q101" s="127"/>
      <c r="R101" s="20"/>
      <c r="S101" s="20"/>
      <c r="T101" s="20"/>
      <c r="U101" s="124"/>
      <c r="V101" s="127"/>
      <c r="W101" s="20"/>
      <c r="X101" s="20"/>
      <c r="Y101" s="20"/>
      <c r="Z101" s="20"/>
      <c r="AA101" s="20"/>
      <c r="AB101" s="20"/>
      <c r="AC101" s="20"/>
      <c r="AD101" s="20"/>
      <c r="AE101" s="20"/>
    </row>
    <row r="102" spans="1:31" ht="19.5">
      <c r="A102" s="20"/>
      <c r="B102" s="20"/>
      <c r="C102" s="20"/>
      <c r="D102" s="20"/>
      <c r="E102" s="20"/>
      <c r="F102" s="20"/>
      <c r="G102" s="124"/>
      <c r="H102" s="20"/>
      <c r="I102" s="20"/>
      <c r="J102" s="20"/>
      <c r="K102" s="124"/>
      <c r="L102" s="127"/>
      <c r="M102" s="20"/>
      <c r="N102" s="20"/>
      <c r="O102" s="20"/>
      <c r="P102" s="124"/>
      <c r="Q102" s="127"/>
      <c r="R102" s="20"/>
      <c r="S102" s="20"/>
      <c r="T102" s="20"/>
      <c r="U102" s="124"/>
      <c r="V102" s="127"/>
      <c r="W102" s="20"/>
      <c r="X102" s="20"/>
      <c r="Y102" s="20"/>
      <c r="Z102" s="20"/>
      <c r="AA102" s="20"/>
      <c r="AB102" s="20"/>
      <c r="AC102" s="20"/>
      <c r="AD102" s="20"/>
      <c r="AE102" s="20"/>
    </row>
    <row r="103" spans="1:31" ht="19.5">
      <c r="A103" s="20"/>
      <c r="B103" s="20"/>
      <c r="C103" s="20"/>
      <c r="D103" s="20"/>
      <c r="E103" s="20"/>
      <c r="F103" s="20"/>
      <c r="G103" s="124"/>
      <c r="H103" s="20"/>
      <c r="I103" s="20"/>
      <c r="J103" s="20"/>
      <c r="K103" s="124"/>
      <c r="L103" s="127"/>
      <c r="M103" s="20"/>
      <c r="N103" s="20"/>
      <c r="O103" s="20"/>
      <c r="P103" s="124"/>
      <c r="Q103" s="127"/>
      <c r="R103" s="20"/>
      <c r="S103" s="20"/>
      <c r="T103" s="20"/>
      <c r="U103" s="124"/>
      <c r="V103" s="127"/>
      <c r="W103" s="20"/>
      <c r="X103" s="20"/>
      <c r="Y103" s="20"/>
      <c r="Z103" s="20"/>
      <c r="AA103" s="20"/>
      <c r="AB103" s="20"/>
      <c r="AC103" s="20"/>
      <c r="AD103" s="20"/>
      <c r="AE103" s="20"/>
    </row>
    <row r="104" spans="1:31" ht="19.5">
      <c r="A104" s="20"/>
      <c r="B104" s="20"/>
      <c r="C104" s="20"/>
      <c r="D104" s="20"/>
      <c r="E104" s="20"/>
      <c r="F104" s="20"/>
      <c r="G104" s="124"/>
      <c r="H104" s="20"/>
      <c r="I104" s="20"/>
      <c r="J104" s="20"/>
      <c r="K104" s="124"/>
      <c r="L104" s="127"/>
      <c r="M104" s="20"/>
      <c r="N104" s="20"/>
      <c r="O104" s="20"/>
      <c r="P104" s="124"/>
      <c r="Q104" s="127"/>
      <c r="R104" s="20"/>
      <c r="S104" s="20"/>
      <c r="T104" s="20"/>
      <c r="U104" s="124"/>
      <c r="V104" s="127"/>
      <c r="W104" s="20"/>
      <c r="X104" s="20"/>
      <c r="Y104" s="20"/>
      <c r="Z104" s="20"/>
      <c r="AA104" s="20"/>
      <c r="AB104" s="20"/>
      <c r="AC104" s="20"/>
      <c r="AD104" s="20"/>
      <c r="AE104" s="20"/>
    </row>
    <row r="105" spans="1:31" ht="19.5">
      <c r="A105" s="20"/>
      <c r="B105" s="20"/>
      <c r="C105" s="20"/>
      <c r="D105" s="20"/>
      <c r="E105" s="20"/>
      <c r="F105" s="20"/>
      <c r="G105" s="124"/>
      <c r="H105" s="20"/>
      <c r="I105" s="20"/>
      <c r="J105" s="20"/>
      <c r="K105" s="124"/>
      <c r="L105" s="127"/>
      <c r="M105" s="20"/>
      <c r="N105" s="20"/>
      <c r="O105" s="20"/>
      <c r="P105" s="124"/>
      <c r="Q105" s="127"/>
      <c r="R105" s="20"/>
      <c r="S105" s="20"/>
      <c r="T105" s="20"/>
      <c r="U105" s="124"/>
      <c r="V105" s="127"/>
      <c r="W105" s="20"/>
      <c r="X105" s="20"/>
      <c r="Y105" s="20"/>
      <c r="Z105" s="20"/>
      <c r="AA105" s="20"/>
      <c r="AB105" s="20"/>
      <c r="AC105" s="20"/>
      <c r="AD105" s="20"/>
      <c r="AE105" s="20"/>
    </row>
    <row r="106" spans="1:31" ht="19.5">
      <c r="A106" s="20"/>
      <c r="B106" s="20"/>
      <c r="C106" s="20"/>
      <c r="D106" s="20"/>
      <c r="E106" s="20"/>
      <c r="F106" s="20"/>
      <c r="G106" s="124"/>
      <c r="H106" s="20"/>
      <c r="I106" s="20"/>
      <c r="J106" s="20"/>
      <c r="K106" s="124"/>
      <c r="L106" s="127"/>
      <c r="M106" s="20"/>
      <c r="N106" s="20"/>
      <c r="O106" s="20"/>
      <c r="P106" s="124"/>
      <c r="Q106" s="127"/>
      <c r="R106" s="20"/>
      <c r="S106" s="20"/>
      <c r="T106" s="20"/>
      <c r="U106" s="124"/>
      <c r="V106" s="127"/>
      <c r="W106" s="20"/>
      <c r="X106" s="20"/>
      <c r="Y106" s="20"/>
      <c r="Z106" s="20"/>
      <c r="AA106" s="20"/>
      <c r="AB106" s="20"/>
      <c r="AC106" s="20"/>
      <c r="AD106" s="20"/>
      <c r="AE106" s="20"/>
    </row>
    <row r="107" spans="1:31" ht="19.5">
      <c r="A107" s="20"/>
      <c r="B107" s="20"/>
      <c r="C107" s="20"/>
      <c r="D107" s="20"/>
      <c r="E107" s="20"/>
      <c r="F107" s="20"/>
      <c r="G107" s="124"/>
      <c r="H107" s="20"/>
      <c r="I107" s="20"/>
      <c r="J107" s="20"/>
      <c r="K107" s="124"/>
      <c r="L107" s="127"/>
      <c r="M107" s="20"/>
      <c r="N107" s="20"/>
      <c r="O107" s="20"/>
      <c r="P107" s="124"/>
      <c r="Q107" s="127"/>
      <c r="R107" s="20"/>
      <c r="S107" s="20"/>
      <c r="T107" s="20"/>
      <c r="U107" s="124"/>
      <c r="V107" s="127"/>
      <c r="W107" s="20"/>
      <c r="X107" s="20"/>
      <c r="Y107" s="20"/>
      <c r="Z107" s="20"/>
      <c r="AA107" s="20"/>
      <c r="AB107" s="20"/>
      <c r="AC107" s="20"/>
      <c r="AD107" s="20"/>
      <c r="AE107" s="20"/>
    </row>
    <row r="108" spans="1:31" ht="19.5">
      <c r="A108" s="20"/>
      <c r="B108" s="20"/>
      <c r="C108" s="20"/>
      <c r="D108" s="20"/>
      <c r="E108" s="20"/>
      <c r="F108" s="20"/>
      <c r="G108" s="124"/>
      <c r="H108" s="20"/>
      <c r="I108" s="20"/>
      <c r="J108" s="20"/>
      <c r="K108" s="124"/>
      <c r="L108" s="127"/>
      <c r="M108" s="20"/>
      <c r="N108" s="20"/>
      <c r="O108" s="20"/>
      <c r="P108" s="124"/>
      <c r="Q108" s="127"/>
      <c r="R108" s="20"/>
      <c r="S108" s="20"/>
      <c r="T108" s="20"/>
      <c r="U108" s="124"/>
      <c r="V108" s="127"/>
      <c r="W108" s="20"/>
      <c r="X108" s="20"/>
      <c r="Y108" s="20"/>
      <c r="Z108" s="20"/>
      <c r="AA108" s="20"/>
      <c r="AB108" s="20"/>
      <c r="AC108" s="20"/>
      <c r="AD108" s="20"/>
      <c r="AE108" s="20"/>
    </row>
    <row r="109" spans="1:31" ht="19.5">
      <c r="A109" s="20"/>
      <c r="B109" s="20"/>
      <c r="C109" s="20"/>
      <c r="D109" s="20"/>
      <c r="E109" s="20"/>
      <c r="F109" s="20"/>
      <c r="G109" s="124"/>
      <c r="H109" s="20"/>
      <c r="I109" s="20"/>
      <c r="J109" s="20"/>
      <c r="K109" s="124"/>
      <c r="L109" s="127"/>
      <c r="M109" s="20"/>
      <c r="N109" s="20"/>
      <c r="O109" s="20"/>
      <c r="P109" s="124"/>
      <c r="Q109" s="127"/>
      <c r="R109" s="20"/>
      <c r="S109" s="20"/>
      <c r="T109" s="20"/>
      <c r="U109" s="124"/>
      <c r="V109" s="127"/>
      <c r="W109" s="20"/>
      <c r="X109" s="20"/>
      <c r="Y109" s="20"/>
      <c r="Z109" s="20"/>
      <c r="AA109" s="20"/>
      <c r="AB109" s="20"/>
      <c r="AC109" s="20"/>
      <c r="AD109" s="20"/>
      <c r="AE109" s="20"/>
    </row>
    <row r="110" spans="1:31" ht="19.5">
      <c r="A110" s="20"/>
      <c r="B110" s="20"/>
      <c r="C110" s="20"/>
      <c r="D110" s="20"/>
      <c r="E110" s="20"/>
      <c r="F110" s="20"/>
      <c r="G110" s="124"/>
      <c r="H110" s="20"/>
      <c r="I110" s="20"/>
      <c r="J110" s="20"/>
      <c r="K110" s="124"/>
      <c r="L110" s="127"/>
      <c r="M110" s="20"/>
      <c r="N110" s="20"/>
      <c r="O110" s="20"/>
      <c r="P110" s="124"/>
      <c r="Q110" s="127"/>
      <c r="R110" s="20"/>
      <c r="S110" s="20"/>
      <c r="T110" s="20"/>
      <c r="U110" s="124"/>
      <c r="V110" s="127"/>
      <c r="W110" s="20"/>
      <c r="X110" s="20"/>
      <c r="Y110" s="20"/>
      <c r="Z110" s="20"/>
      <c r="AA110" s="20"/>
      <c r="AB110" s="20"/>
      <c r="AC110" s="20"/>
      <c r="AD110" s="20"/>
      <c r="AE110" s="20"/>
    </row>
    <row r="111" spans="1:31" ht="19.5">
      <c r="A111" s="20"/>
      <c r="B111" s="20"/>
      <c r="C111" s="20"/>
      <c r="D111" s="20"/>
      <c r="E111" s="20"/>
      <c r="F111" s="20"/>
      <c r="G111" s="124"/>
      <c r="H111" s="20"/>
      <c r="I111" s="20"/>
      <c r="J111" s="20"/>
      <c r="K111" s="124"/>
      <c r="L111" s="127"/>
      <c r="M111" s="20"/>
      <c r="N111" s="20"/>
      <c r="O111" s="20"/>
      <c r="P111" s="124"/>
      <c r="Q111" s="127"/>
      <c r="R111" s="20"/>
      <c r="S111" s="20"/>
      <c r="T111" s="20"/>
      <c r="U111" s="124"/>
      <c r="V111" s="127"/>
      <c r="W111" s="20"/>
      <c r="X111" s="20"/>
      <c r="Y111" s="20"/>
      <c r="Z111" s="20"/>
      <c r="AA111" s="20"/>
      <c r="AB111" s="20"/>
      <c r="AC111" s="20"/>
      <c r="AD111" s="20"/>
      <c r="AE111" s="20"/>
    </row>
    <row r="112" spans="1:31" ht="19.5">
      <c r="A112" s="20"/>
      <c r="B112" s="20"/>
      <c r="C112" s="20"/>
      <c r="D112" s="20"/>
      <c r="E112" s="20"/>
      <c r="F112" s="20"/>
      <c r="G112" s="124"/>
      <c r="H112" s="20"/>
      <c r="I112" s="20"/>
      <c r="J112" s="20"/>
      <c r="K112" s="124"/>
      <c r="L112" s="127"/>
      <c r="M112" s="20"/>
      <c r="N112" s="20"/>
      <c r="O112" s="20"/>
      <c r="P112" s="124"/>
      <c r="Q112" s="127"/>
      <c r="R112" s="20"/>
      <c r="S112" s="20"/>
      <c r="T112" s="20"/>
      <c r="U112" s="124"/>
      <c r="V112" s="127"/>
      <c r="W112" s="20"/>
      <c r="X112" s="20"/>
      <c r="Y112" s="20"/>
      <c r="Z112" s="20"/>
      <c r="AA112" s="20"/>
      <c r="AB112" s="20"/>
      <c r="AC112" s="20"/>
      <c r="AD112" s="20"/>
      <c r="AE112" s="20"/>
    </row>
    <row r="113" spans="1:31" ht="19.5">
      <c r="A113" s="20"/>
      <c r="B113" s="20"/>
      <c r="C113" s="20"/>
      <c r="D113" s="20"/>
      <c r="E113" s="20"/>
      <c r="F113" s="20"/>
      <c r="G113" s="124"/>
      <c r="H113" s="20"/>
      <c r="I113" s="20"/>
      <c r="J113" s="20"/>
      <c r="K113" s="124"/>
      <c r="L113" s="127"/>
      <c r="M113" s="20"/>
      <c r="N113" s="20"/>
      <c r="O113" s="20"/>
      <c r="P113" s="124"/>
      <c r="Q113" s="127"/>
      <c r="R113" s="20"/>
      <c r="S113" s="20"/>
      <c r="T113" s="20"/>
      <c r="U113" s="124"/>
      <c r="V113" s="127"/>
      <c r="W113" s="20"/>
      <c r="X113" s="20"/>
      <c r="Y113" s="20"/>
      <c r="Z113" s="20"/>
      <c r="AA113" s="20"/>
      <c r="AB113" s="20"/>
      <c r="AC113" s="20"/>
      <c r="AD113" s="20"/>
      <c r="AE113" s="20"/>
    </row>
    <row r="114" spans="1:31" ht="19.5">
      <c r="A114" s="20"/>
      <c r="B114" s="20"/>
      <c r="C114" s="20"/>
      <c r="D114" s="20"/>
      <c r="E114" s="20"/>
      <c r="F114" s="20"/>
      <c r="G114" s="124"/>
      <c r="H114" s="20"/>
      <c r="I114" s="20"/>
      <c r="J114" s="20"/>
      <c r="K114" s="124"/>
      <c r="L114" s="127"/>
      <c r="M114" s="20"/>
      <c r="N114" s="20"/>
      <c r="O114" s="20"/>
      <c r="P114" s="124"/>
      <c r="Q114" s="127"/>
      <c r="R114" s="20"/>
      <c r="S114" s="20"/>
      <c r="T114" s="20"/>
      <c r="U114" s="124"/>
      <c r="V114" s="127"/>
      <c r="W114" s="20"/>
      <c r="X114" s="20"/>
      <c r="Y114" s="20"/>
      <c r="Z114" s="20"/>
      <c r="AA114" s="20"/>
      <c r="AB114" s="20"/>
      <c r="AC114" s="20"/>
      <c r="AD114" s="20"/>
      <c r="AE114" s="20"/>
    </row>
    <row r="115" spans="1:31" ht="19.5">
      <c r="A115" s="20"/>
      <c r="B115" s="20"/>
      <c r="C115" s="20"/>
      <c r="D115" s="20"/>
      <c r="E115" s="20"/>
      <c r="F115" s="20"/>
      <c r="G115" s="124"/>
      <c r="H115" s="20"/>
      <c r="I115" s="20"/>
      <c r="J115" s="20"/>
      <c r="K115" s="124"/>
      <c r="L115" s="127"/>
      <c r="M115" s="20"/>
      <c r="N115" s="20"/>
      <c r="O115" s="20"/>
      <c r="P115" s="124"/>
      <c r="Q115" s="127"/>
      <c r="R115" s="20"/>
      <c r="S115" s="20"/>
      <c r="T115" s="20"/>
      <c r="U115" s="124"/>
      <c r="V115" s="127"/>
      <c r="W115" s="20"/>
      <c r="X115" s="20"/>
      <c r="Y115" s="20"/>
      <c r="Z115" s="20"/>
      <c r="AA115" s="20"/>
      <c r="AB115" s="20"/>
      <c r="AC115" s="20"/>
      <c r="AD115" s="20"/>
      <c r="AE115" s="20"/>
    </row>
    <row r="116" spans="1:31" ht="19.5">
      <c r="A116" s="20"/>
      <c r="B116" s="20"/>
      <c r="C116" s="20"/>
      <c r="D116" s="20"/>
      <c r="E116" s="20"/>
      <c r="F116" s="20"/>
      <c r="G116" s="124"/>
      <c r="H116" s="20"/>
      <c r="I116" s="20"/>
      <c r="J116" s="20"/>
      <c r="K116" s="124"/>
      <c r="L116" s="127"/>
      <c r="M116" s="20"/>
      <c r="N116" s="20"/>
      <c r="O116" s="20"/>
      <c r="P116" s="124"/>
      <c r="Q116" s="127"/>
      <c r="R116" s="20"/>
      <c r="S116" s="20"/>
      <c r="T116" s="20"/>
      <c r="U116" s="124"/>
      <c r="V116" s="127"/>
      <c r="W116" s="20"/>
      <c r="X116" s="20"/>
      <c r="Y116" s="20"/>
      <c r="Z116" s="20"/>
      <c r="AA116" s="20"/>
      <c r="AB116" s="20"/>
      <c r="AC116" s="20"/>
      <c r="AD116" s="20"/>
      <c r="AE116" s="20"/>
    </row>
    <row r="117" spans="1:31" ht="19.5">
      <c r="A117" s="20"/>
      <c r="B117" s="20"/>
      <c r="C117" s="20"/>
      <c r="D117" s="20"/>
      <c r="E117" s="20"/>
      <c r="F117" s="20"/>
      <c r="G117" s="124"/>
      <c r="H117" s="20"/>
      <c r="I117" s="20"/>
      <c r="J117" s="20"/>
      <c r="K117" s="124"/>
      <c r="L117" s="127"/>
      <c r="M117" s="20"/>
      <c r="N117" s="20"/>
      <c r="O117" s="20"/>
      <c r="P117" s="124"/>
      <c r="Q117" s="127"/>
      <c r="R117" s="20"/>
      <c r="S117" s="20"/>
      <c r="T117" s="20"/>
      <c r="U117" s="124"/>
      <c r="V117" s="127"/>
      <c r="W117" s="20"/>
      <c r="X117" s="20"/>
      <c r="Y117" s="20"/>
      <c r="Z117" s="20"/>
      <c r="AA117" s="20"/>
      <c r="AB117" s="20"/>
      <c r="AC117" s="20"/>
      <c r="AD117" s="20"/>
      <c r="AE117" s="20"/>
    </row>
    <row r="118" spans="1:31" ht="19.5">
      <c r="A118" s="20"/>
      <c r="B118" s="20"/>
      <c r="C118" s="20"/>
      <c r="D118" s="20"/>
      <c r="E118" s="20"/>
      <c r="F118" s="20"/>
      <c r="G118" s="124"/>
      <c r="H118" s="20"/>
      <c r="I118" s="20"/>
      <c r="J118" s="20"/>
      <c r="K118" s="124"/>
      <c r="L118" s="127"/>
      <c r="M118" s="20"/>
      <c r="N118" s="20"/>
      <c r="O118" s="20"/>
      <c r="P118" s="124"/>
      <c r="Q118" s="127"/>
      <c r="R118" s="20"/>
      <c r="S118" s="20"/>
      <c r="T118" s="20"/>
      <c r="U118" s="124"/>
      <c r="V118" s="127"/>
      <c r="W118" s="20"/>
      <c r="X118" s="20"/>
      <c r="Y118" s="20"/>
      <c r="Z118" s="20"/>
      <c r="AA118" s="20"/>
      <c r="AB118" s="20"/>
      <c r="AC118" s="20"/>
      <c r="AD118" s="20"/>
      <c r="AE118" s="20"/>
    </row>
    <row r="119" spans="1:31" ht="19.5">
      <c r="A119" s="20"/>
      <c r="B119" s="20"/>
      <c r="C119" s="20"/>
      <c r="D119" s="20"/>
      <c r="E119" s="20"/>
      <c r="F119" s="20"/>
      <c r="G119" s="124"/>
      <c r="H119" s="20"/>
      <c r="I119" s="20"/>
      <c r="J119" s="20"/>
      <c r="K119" s="124"/>
      <c r="L119" s="127"/>
      <c r="M119" s="20"/>
      <c r="N119" s="20"/>
      <c r="O119" s="20"/>
      <c r="P119" s="124"/>
      <c r="Q119" s="127"/>
      <c r="R119" s="20"/>
      <c r="S119" s="20"/>
      <c r="T119" s="20"/>
      <c r="U119" s="124"/>
      <c r="V119" s="127"/>
      <c r="W119" s="20"/>
      <c r="X119" s="20"/>
      <c r="Y119" s="20"/>
      <c r="Z119" s="20"/>
      <c r="AA119" s="20"/>
      <c r="AB119" s="20"/>
      <c r="AC119" s="20"/>
      <c r="AD119" s="20"/>
      <c r="AE119" s="20"/>
    </row>
    <row r="120" spans="1:31" ht="19.5">
      <c r="A120" s="20"/>
      <c r="B120" s="20"/>
      <c r="C120" s="20"/>
      <c r="D120" s="20"/>
      <c r="E120" s="20"/>
      <c r="F120" s="20"/>
      <c r="G120" s="124"/>
      <c r="H120" s="20"/>
      <c r="I120" s="20"/>
      <c r="J120" s="20"/>
      <c r="K120" s="124"/>
      <c r="L120" s="127"/>
      <c r="M120" s="20"/>
      <c r="N120" s="20"/>
      <c r="O120" s="20"/>
      <c r="P120" s="124"/>
      <c r="Q120" s="127"/>
      <c r="R120" s="20"/>
      <c r="S120" s="20"/>
      <c r="T120" s="20"/>
      <c r="U120" s="124"/>
      <c r="V120" s="127"/>
      <c r="W120" s="20"/>
      <c r="X120" s="20"/>
      <c r="Y120" s="20"/>
      <c r="Z120" s="20"/>
      <c r="AA120" s="20"/>
      <c r="AB120" s="20"/>
      <c r="AC120" s="20"/>
      <c r="AD120" s="20"/>
      <c r="AE120" s="20"/>
    </row>
    <row r="121" spans="1:31" ht="19.5">
      <c r="A121" s="20"/>
      <c r="B121" s="20"/>
      <c r="C121" s="20"/>
      <c r="D121" s="20"/>
      <c r="E121" s="20"/>
      <c r="F121" s="20"/>
      <c r="G121" s="124"/>
      <c r="H121" s="20"/>
      <c r="I121" s="20"/>
      <c r="J121" s="20"/>
      <c r="K121" s="124"/>
      <c r="L121" s="127"/>
      <c r="M121" s="20"/>
      <c r="N121" s="20"/>
      <c r="O121" s="20"/>
      <c r="P121" s="124"/>
      <c r="Q121" s="127"/>
      <c r="R121" s="20"/>
      <c r="S121" s="20"/>
      <c r="T121" s="20"/>
      <c r="U121" s="124"/>
      <c r="V121" s="127"/>
      <c r="W121" s="20"/>
      <c r="X121" s="20"/>
      <c r="Y121" s="20"/>
      <c r="Z121" s="20"/>
      <c r="AA121" s="20"/>
      <c r="AB121" s="20"/>
      <c r="AC121" s="20"/>
      <c r="AD121" s="20"/>
      <c r="AE121" s="20"/>
    </row>
    <row r="122" spans="1:31" ht="19.5">
      <c r="A122" s="20"/>
      <c r="B122" s="20"/>
      <c r="C122" s="20"/>
      <c r="D122" s="20"/>
      <c r="E122" s="20"/>
      <c r="F122" s="20"/>
      <c r="G122" s="124"/>
      <c r="H122" s="20"/>
      <c r="I122" s="20"/>
      <c r="J122" s="20"/>
      <c r="K122" s="124"/>
      <c r="L122" s="127"/>
      <c r="M122" s="20"/>
      <c r="N122" s="20"/>
      <c r="O122" s="20"/>
      <c r="P122" s="124"/>
      <c r="Q122" s="127"/>
      <c r="R122" s="20"/>
      <c r="S122" s="20"/>
      <c r="T122" s="20"/>
      <c r="U122" s="124"/>
      <c r="V122" s="127"/>
      <c r="W122" s="20"/>
      <c r="X122" s="20"/>
      <c r="Y122" s="20"/>
      <c r="Z122" s="20"/>
      <c r="AA122" s="20"/>
      <c r="AB122" s="20"/>
      <c r="AC122" s="20"/>
      <c r="AD122" s="20"/>
      <c r="AE122" s="20"/>
    </row>
    <row r="123" spans="1:31" ht="19.5">
      <c r="A123" s="20"/>
      <c r="B123" s="20"/>
      <c r="C123" s="20"/>
      <c r="D123" s="20"/>
      <c r="E123" s="20"/>
      <c r="F123" s="20"/>
      <c r="G123" s="124"/>
      <c r="H123" s="20"/>
      <c r="I123" s="20"/>
      <c r="J123" s="20"/>
      <c r="K123" s="124"/>
      <c r="L123" s="127"/>
      <c r="M123" s="20"/>
      <c r="N123" s="20"/>
      <c r="O123" s="20"/>
      <c r="P123" s="124"/>
      <c r="Q123" s="127"/>
      <c r="R123" s="20"/>
      <c r="S123" s="20"/>
      <c r="T123" s="20"/>
      <c r="U123" s="124"/>
      <c r="V123" s="127"/>
      <c r="W123" s="20"/>
      <c r="X123" s="20"/>
      <c r="Y123" s="20"/>
      <c r="Z123" s="20"/>
      <c r="AA123" s="20"/>
      <c r="AB123" s="20"/>
      <c r="AC123" s="20"/>
      <c r="AD123" s="20"/>
      <c r="AE123" s="20"/>
    </row>
    <row r="124" spans="1:31" ht="19.5">
      <c r="A124" s="20"/>
      <c r="B124" s="20"/>
      <c r="C124" s="20"/>
      <c r="D124" s="20"/>
      <c r="E124" s="20"/>
      <c r="F124" s="20"/>
      <c r="G124" s="124"/>
      <c r="H124" s="20"/>
      <c r="I124" s="20"/>
      <c r="J124" s="20"/>
      <c r="K124" s="124"/>
      <c r="L124" s="127"/>
      <c r="M124" s="20"/>
      <c r="N124" s="20"/>
      <c r="O124" s="20"/>
      <c r="P124" s="124"/>
      <c r="Q124" s="127"/>
      <c r="R124" s="20"/>
      <c r="S124" s="20"/>
      <c r="T124" s="20"/>
      <c r="U124" s="124"/>
      <c r="V124" s="127"/>
      <c r="W124" s="20"/>
      <c r="X124" s="20"/>
      <c r="Y124" s="20"/>
      <c r="Z124" s="20"/>
      <c r="AA124" s="20"/>
      <c r="AB124" s="20"/>
      <c r="AC124" s="20"/>
      <c r="AD124" s="20"/>
      <c r="AE124" s="20"/>
    </row>
    <row r="125" spans="1:31" ht="19.5">
      <c r="A125" s="20"/>
      <c r="B125" s="20"/>
      <c r="C125" s="20"/>
      <c r="D125" s="20"/>
      <c r="E125" s="20"/>
      <c r="F125" s="20"/>
      <c r="G125" s="124"/>
      <c r="H125" s="20"/>
      <c r="I125" s="20"/>
      <c r="J125" s="20"/>
      <c r="K125" s="124"/>
      <c r="L125" s="127"/>
      <c r="M125" s="20"/>
      <c r="N125" s="20"/>
      <c r="O125" s="20"/>
      <c r="P125" s="124"/>
      <c r="Q125" s="127"/>
      <c r="R125" s="20"/>
      <c r="S125" s="20"/>
      <c r="T125" s="20"/>
      <c r="U125" s="124"/>
      <c r="V125" s="127"/>
      <c r="W125" s="20"/>
      <c r="X125" s="20"/>
      <c r="Y125" s="20"/>
      <c r="Z125" s="20"/>
      <c r="AA125" s="20"/>
      <c r="AB125" s="20"/>
      <c r="AC125" s="20"/>
      <c r="AD125" s="20"/>
      <c r="AE125" s="20"/>
    </row>
    <row r="126" spans="1:31" ht="19.5">
      <c r="A126" s="20"/>
      <c r="B126" s="20"/>
      <c r="C126" s="20"/>
      <c r="D126" s="20"/>
      <c r="E126" s="20"/>
      <c r="F126" s="20"/>
      <c r="G126" s="124"/>
      <c r="H126" s="20"/>
      <c r="I126" s="20"/>
      <c r="J126" s="20"/>
      <c r="K126" s="124"/>
      <c r="L126" s="127"/>
      <c r="M126" s="20"/>
      <c r="N126" s="20"/>
      <c r="O126" s="20"/>
      <c r="P126" s="124"/>
      <c r="Q126" s="127"/>
      <c r="R126" s="20"/>
      <c r="S126" s="20"/>
      <c r="T126" s="20"/>
      <c r="U126" s="124"/>
      <c r="V126" s="127"/>
      <c r="W126" s="20"/>
      <c r="X126" s="20"/>
      <c r="Y126" s="20"/>
      <c r="Z126" s="20"/>
      <c r="AA126" s="20"/>
      <c r="AB126" s="20"/>
      <c r="AC126" s="20"/>
      <c r="AD126" s="20"/>
      <c r="AE126" s="20"/>
    </row>
    <row r="127" spans="1:31" ht="19.5">
      <c r="A127" s="20"/>
      <c r="B127" s="20"/>
      <c r="C127" s="20"/>
      <c r="D127" s="20"/>
      <c r="E127" s="20"/>
      <c r="F127" s="20"/>
      <c r="G127" s="124"/>
      <c r="H127" s="20"/>
      <c r="I127" s="20"/>
      <c r="J127" s="20"/>
      <c r="K127" s="124"/>
      <c r="L127" s="127"/>
      <c r="M127" s="20"/>
      <c r="N127" s="20"/>
      <c r="O127" s="20"/>
      <c r="P127" s="124"/>
      <c r="Q127" s="127"/>
      <c r="R127" s="20"/>
      <c r="S127" s="20"/>
      <c r="T127" s="20"/>
      <c r="U127" s="124"/>
      <c r="V127" s="127"/>
      <c r="W127" s="20"/>
      <c r="X127" s="20"/>
      <c r="Y127" s="20"/>
      <c r="Z127" s="20"/>
      <c r="AA127" s="20"/>
      <c r="AB127" s="20"/>
      <c r="AC127" s="20"/>
      <c r="AD127" s="20"/>
      <c r="AE127" s="20"/>
    </row>
    <row r="128" spans="1:31" ht="19.5">
      <c r="A128" s="20"/>
      <c r="B128" s="20"/>
      <c r="C128" s="20"/>
      <c r="D128" s="20"/>
      <c r="E128" s="20"/>
      <c r="F128" s="20"/>
      <c r="G128" s="124"/>
      <c r="H128" s="20"/>
      <c r="I128" s="20"/>
      <c r="J128" s="20"/>
      <c r="K128" s="124"/>
      <c r="L128" s="127"/>
      <c r="M128" s="20"/>
      <c r="N128" s="20"/>
      <c r="O128" s="20"/>
      <c r="P128" s="124"/>
      <c r="Q128" s="127"/>
      <c r="R128" s="20"/>
      <c r="S128" s="20"/>
      <c r="T128" s="20"/>
      <c r="U128" s="124"/>
      <c r="V128" s="127"/>
      <c r="W128" s="20"/>
      <c r="X128" s="20"/>
      <c r="Y128" s="20"/>
      <c r="Z128" s="20"/>
      <c r="AA128" s="20"/>
      <c r="AB128" s="20"/>
      <c r="AC128" s="20"/>
      <c r="AD128" s="20"/>
      <c r="AE128" s="20"/>
    </row>
    <row r="129" spans="1:31" ht="19.5">
      <c r="A129" s="20"/>
      <c r="B129" s="20"/>
      <c r="C129" s="20"/>
      <c r="D129" s="20"/>
      <c r="E129" s="20"/>
      <c r="F129" s="20"/>
      <c r="G129" s="124"/>
      <c r="H129" s="20"/>
      <c r="I129" s="20"/>
      <c r="J129" s="20"/>
      <c r="K129" s="124"/>
      <c r="L129" s="127"/>
      <c r="M129" s="20"/>
      <c r="N129" s="20"/>
      <c r="O129" s="20"/>
      <c r="P129" s="124"/>
      <c r="Q129" s="127"/>
      <c r="R129" s="20"/>
      <c r="S129" s="20"/>
      <c r="T129" s="20"/>
      <c r="U129" s="124"/>
      <c r="V129" s="127"/>
      <c r="W129" s="20"/>
      <c r="X129" s="20"/>
      <c r="Y129" s="20"/>
      <c r="Z129" s="20"/>
      <c r="AA129" s="20"/>
      <c r="AB129" s="20"/>
      <c r="AC129" s="20"/>
      <c r="AD129" s="20"/>
      <c r="AE129" s="20"/>
    </row>
    <row r="130" spans="1:31" ht="19.5">
      <c r="A130" s="20"/>
      <c r="B130" s="20"/>
      <c r="C130" s="20"/>
      <c r="D130" s="20"/>
      <c r="E130" s="20"/>
      <c r="F130" s="20"/>
      <c r="G130" s="124"/>
      <c r="H130" s="20"/>
      <c r="I130" s="20"/>
      <c r="J130" s="20"/>
      <c r="K130" s="124"/>
      <c r="L130" s="127"/>
      <c r="M130" s="20"/>
      <c r="N130" s="20"/>
      <c r="O130" s="20"/>
      <c r="P130" s="124"/>
      <c r="Q130" s="127"/>
      <c r="R130" s="20"/>
      <c r="S130" s="20"/>
      <c r="T130" s="20"/>
      <c r="U130" s="124"/>
      <c r="V130" s="127"/>
      <c r="W130" s="20"/>
      <c r="X130" s="20"/>
      <c r="Y130" s="20"/>
      <c r="Z130" s="20"/>
      <c r="AA130" s="20"/>
      <c r="AB130" s="20"/>
      <c r="AC130" s="20"/>
      <c r="AD130" s="20"/>
      <c r="AE130" s="20"/>
    </row>
    <row r="131" spans="1:31" ht="19.5">
      <c r="A131" s="20"/>
      <c r="B131" s="20"/>
      <c r="C131" s="20"/>
      <c r="D131" s="20"/>
      <c r="E131" s="20"/>
      <c r="F131" s="20"/>
      <c r="G131" s="124"/>
      <c r="H131" s="20"/>
      <c r="I131" s="20"/>
      <c r="J131" s="20"/>
      <c r="K131" s="124"/>
      <c r="L131" s="127"/>
      <c r="M131" s="20"/>
      <c r="N131" s="20"/>
      <c r="O131" s="20"/>
      <c r="P131" s="124"/>
      <c r="Q131" s="127"/>
      <c r="R131" s="20"/>
      <c r="S131" s="20"/>
      <c r="T131" s="20"/>
      <c r="U131" s="124"/>
      <c r="V131" s="127"/>
      <c r="W131" s="20"/>
      <c r="X131" s="20"/>
      <c r="Y131" s="20"/>
      <c r="Z131" s="20"/>
      <c r="AA131" s="20"/>
      <c r="AB131" s="20"/>
      <c r="AC131" s="20"/>
      <c r="AD131" s="20"/>
      <c r="AE131" s="20"/>
    </row>
    <row r="132" spans="1:31" ht="19.5">
      <c r="A132" s="20"/>
      <c r="B132" s="20"/>
      <c r="C132" s="20"/>
      <c r="D132" s="20"/>
      <c r="E132" s="20"/>
      <c r="F132" s="20"/>
      <c r="G132" s="124"/>
      <c r="H132" s="20"/>
      <c r="I132" s="20"/>
      <c r="J132" s="20"/>
      <c r="K132" s="124"/>
      <c r="L132" s="127"/>
      <c r="M132" s="20"/>
      <c r="N132" s="20"/>
      <c r="O132" s="20"/>
      <c r="P132" s="124"/>
      <c r="Q132" s="127"/>
      <c r="R132" s="20"/>
      <c r="S132" s="20"/>
      <c r="T132" s="20"/>
      <c r="U132" s="124"/>
      <c r="V132" s="127"/>
      <c r="W132" s="20"/>
      <c r="X132" s="20"/>
      <c r="Y132" s="20"/>
      <c r="Z132" s="20"/>
      <c r="AA132" s="20"/>
      <c r="AB132" s="20"/>
      <c r="AC132" s="20"/>
      <c r="AD132" s="20"/>
      <c r="AE132" s="20"/>
    </row>
    <row r="133" spans="1:31" ht="19.5">
      <c r="A133" s="20"/>
      <c r="B133" s="20"/>
      <c r="C133" s="20"/>
      <c r="D133" s="20"/>
      <c r="E133" s="20"/>
      <c r="F133" s="20"/>
      <c r="G133" s="124"/>
      <c r="H133" s="20"/>
      <c r="I133" s="20"/>
      <c r="J133" s="20"/>
      <c r="K133" s="124"/>
      <c r="L133" s="127"/>
      <c r="M133" s="20"/>
      <c r="N133" s="20"/>
      <c r="O133" s="20"/>
      <c r="P133" s="124"/>
      <c r="Q133" s="127"/>
      <c r="R133" s="20"/>
      <c r="S133" s="20"/>
      <c r="T133" s="20"/>
      <c r="U133" s="124"/>
      <c r="V133" s="127"/>
      <c r="W133" s="20"/>
      <c r="X133" s="20"/>
      <c r="Y133" s="20"/>
      <c r="Z133" s="20"/>
      <c r="AA133" s="20"/>
      <c r="AB133" s="20"/>
      <c r="AC133" s="20"/>
      <c r="AD133" s="20"/>
      <c r="AE133" s="20"/>
    </row>
    <row r="134" spans="1:31" ht="19.5">
      <c r="A134" s="20"/>
      <c r="B134" s="20"/>
      <c r="C134" s="20"/>
      <c r="D134" s="20"/>
      <c r="E134" s="20"/>
      <c r="F134" s="20"/>
      <c r="G134" s="124"/>
      <c r="H134" s="20"/>
      <c r="I134" s="20"/>
      <c r="J134" s="20"/>
      <c r="K134" s="124"/>
      <c r="L134" s="127"/>
      <c r="M134" s="20"/>
      <c r="N134" s="20"/>
      <c r="O134" s="20"/>
      <c r="P134" s="124"/>
      <c r="Q134" s="127"/>
      <c r="R134" s="20"/>
      <c r="S134" s="20"/>
      <c r="T134" s="20"/>
      <c r="U134" s="124"/>
      <c r="V134" s="127"/>
      <c r="W134" s="20"/>
      <c r="X134" s="20"/>
      <c r="Y134" s="20"/>
      <c r="Z134" s="20"/>
      <c r="AA134" s="20"/>
      <c r="AB134" s="20"/>
      <c r="AC134" s="20"/>
      <c r="AD134" s="20"/>
      <c r="AE134" s="20"/>
    </row>
    <row r="135" spans="1:31" ht="19.5">
      <c r="A135" s="20"/>
      <c r="B135" s="20"/>
      <c r="C135" s="20"/>
      <c r="D135" s="20"/>
      <c r="E135" s="20"/>
      <c r="F135" s="20"/>
      <c r="G135" s="124"/>
      <c r="H135" s="20"/>
      <c r="I135" s="20"/>
      <c r="J135" s="20"/>
      <c r="K135" s="124"/>
      <c r="L135" s="127"/>
      <c r="M135" s="20"/>
      <c r="N135" s="20"/>
      <c r="O135" s="20"/>
      <c r="P135" s="124"/>
      <c r="Q135" s="127"/>
      <c r="R135" s="20"/>
      <c r="S135" s="20"/>
      <c r="T135" s="20"/>
      <c r="U135" s="124"/>
      <c r="V135" s="127"/>
      <c r="W135" s="20"/>
      <c r="X135" s="20"/>
      <c r="Y135" s="20"/>
      <c r="Z135" s="20"/>
      <c r="AA135" s="20"/>
      <c r="AB135" s="20"/>
      <c r="AC135" s="20"/>
      <c r="AD135" s="20"/>
      <c r="AE135" s="20"/>
    </row>
    <row r="136" spans="1:31" ht="19.5">
      <c r="A136" s="20"/>
      <c r="B136" s="20"/>
      <c r="C136" s="20"/>
      <c r="D136" s="20"/>
      <c r="E136" s="20"/>
      <c r="F136" s="20"/>
      <c r="G136" s="124"/>
      <c r="H136" s="20"/>
      <c r="I136" s="20"/>
      <c r="J136" s="20"/>
      <c r="K136" s="124"/>
      <c r="L136" s="127"/>
      <c r="M136" s="20"/>
      <c r="N136" s="20"/>
      <c r="O136" s="20"/>
      <c r="P136" s="124"/>
      <c r="Q136" s="127"/>
      <c r="R136" s="20"/>
      <c r="S136" s="20"/>
      <c r="T136" s="20"/>
      <c r="U136" s="124"/>
      <c r="V136" s="127"/>
      <c r="W136" s="20"/>
      <c r="X136" s="20"/>
      <c r="Y136" s="20"/>
      <c r="Z136" s="20"/>
      <c r="AA136" s="20"/>
      <c r="AB136" s="20"/>
      <c r="AC136" s="20"/>
      <c r="AD136" s="20"/>
      <c r="AE136" s="20"/>
    </row>
    <row r="137" spans="1:31" ht="19.5">
      <c r="A137" s="20"/>
      <c r="B137" s="20"/>
      <c r="C137" s="20"/>
      <c r="D137" s="20"/>
      <c r="E137" s="20"/>
      <c r="F137" s="20"/>
      <c r="G137" s="124"/>
      <c r="H137" s="20"/>
      <c r="I137" s="20"/>
      <c r="J137" s="20"/>
      <c r="K137" s="124"/>
      <c r="L137" s="127"/>
      <c r="M137" s="20"/>
      <c r="N137" s="20"/>
      <c r="O137" s="20"/>
      <c r="P137" s="124"/>
      <c r="Q137" s="127"/>
      <c r="R137" s="20"/>
      <c r="S137" s="20"/>
      <c r="T137" s="20"/>
      <c r="U137" s="124"/>
      <c r="V137" s="127"/>
      <c r="W137" s="20"/>
      <c r="X137" s="20"/>
      <c r="Y137" s="20"/>
      <c r="Z137" s="20"/>
      <c r="AA137" s="20"/>
      <c r="AB137" s="20"/>
      <c r="AC137" s="20"/>
      <c r="AD137" s="20"/>
      <c r="AE137" s="20"/>
    </row>
    <row r="138" spans="1:31" ht="19.5">
      <c r="A138" s="20"/>
      <c r="B138" s="20"/>
      <c r="C138" s="20"/>
      <c r="D138" s="20"/>
      <c r="E138" s="20"/>
      <c r="F138" s="20"/>
      <c r="G138" s="124"/>
      <c r="H138" s="20"/>
      <c r="I138" s="20"/>
      <c r="J138" s="20"/>
      <c r="K138" s="124"/>
      <c r="L138" s="127"/>
      <c r="M138" s="20"/>
      <c r="N138" s="20"/>
      <c r="O138" s="20"/>
      <c r="P138" s="124"/>
      <c r="Q138" s="127"/>
      <c r="R138" s="20"/>
      <c r="S138" s="20"/>
      <c r="T138" s="20"/>
      <c r="U138" s="124"/>
      <c r="V138" s="127"/>
      <c r="W138" s="20"/>
      <c r="X138" s="20"/>
      <c r="Y138" s="20"/>
      <c r="Z138" s="20"/>
      <c r="AA138" s="20"/>
      <c r="AB138" s="20"/>
      <c r="AC138" s="20"/>
      <c r="AD138" s="20"/>
      <c r="AE138" s="20"/>
    </row>
    <row r="139" spans="1:31" ht="19.5">
      <c r="A139" s="20"/>
      <c r="B139" s="20"/>
      <c r="C139" s="20"/>
      <c r="D139" s="20"/>
      <c r="E139" s="20"/>
      <c r="F139" s="20"/>
      <c r="G139" s="124"/>
      <c r="H139" s="20"/>
      <c r="I139" s="20"/>
      <c r="J139" s="20"/>
      <c r="K139" s="124"/>
      <c r="L139" s="127"/>
      <c r="M139" s="20"/>
      <c r="N139" s="20"/>
      <c r="O139" s="20"/>
      <c r="P139" s="124"/>
      <c r="Q139" s="127"/>
      <c r="R139" s="20"/>
      <c r="S139" s="20"/>
      <c r="T139" s="20"/>
      <c r="U139" s="124"/>
      <c r="V139" s="127"/>
      <c r="W139" s="20"/>
      <c r="X139" s="20"/>
      <c r="Y139" s="20"/>
      <c r="Z139" s="20"/>
      <c r="AA139" s="20"/>
      <c r="AB139" s="20"/>
      <c r="AC139" s="20"/>
      <c r="AD139" s="20"/>
      <c r="AE139" s="20"/>
    </row>
    <row r="140" spans="1:31" ht="19.5">
      <c r="A140" s="20"/>
      <c r="B140" s="20"/>
      <c r="C140" s="20"/>
      <c r="D140" s="20"/>
      <c r="E140" s="20"/>
      <c r="F140" s="20"/>
      <c r="G140" s="124"/>
      <c r="H140" s="20"/>
      <c r="I140" s="20"/>
      <c r="J140" s="20"/>
      <c r="K140" s="124"/>
      <c r="L140" s="127"/>
      <c r="M140" s="20"/>
      <c r="N140" s="20"/>
      <c r="O140" s="20"/>
      <c r="P140" s="124"/>
      <c r="Q140" s="127"/>
      <c r="R140" s="20"/>
      <c r="S140" s="20"/>
      <c r="T140" s="20"/>
      <c r="U140" s="124"/>
      <c r="V140" s="127"/>
      <c r="W140" s="20"/>
      <c r="X140" s="20"/>
      <c r="Y140" s="20"/>
      <c r="Z140" s="20"/>
      <c r="AA140" s="20"/>
      <c r="AB140" s="20"/>
      <c r="AC140" s="20"/>
      <c r="AD140" s="20"/>
      <c r="AE140" s="20"/>
    </row>
    <row r="141" spans="1:31" ht="19.5">
      <c r="A141" s="20"/>
      <c r="B141" s="20"/>
      <c r="C141" s="20"/>
      <c r="D141" s="20"/>
      <c r="E141" s="20"/>
      <c r="F141" s="20"/>
      <c r="G141" s="124"/>
      <c r="H141" s="20"/>
      <c r="I141" s="20"/>
      <c r="J141" s="20"/>
      <c r="K141" s="124"/>
      <c r="L141" s="127"/>
      <c r="M141" s="20"/>
      <c r="N141" s="20"/>
      <c r="O141" s="20"/>
      <c r="P141" s="124"/>
      <c r="Q141" s="127"/>
      <c r="R141" s="20"/>
      <c r="S141" s="20"/>
      <c r="T141" s="20"/>
      <c r="U141" s="124"/>
      <c r="V141" s="127"/>
      <c r="W141" s="20"/>
      <c r="X141" s="20"/>
      <c r="Y141" s="20"/>
      <c r="Z141" s="20"/>
      <c r="AA141" s="20"/>
      <c r="AB141" s="20"/>
      <c r="AC141" s="20"/>
      <c r="AD141" s="20"/>
      <c r="AE141" s="20"/>
    </row>
    <row r="142" spans="1:31" ht="19.5">
      <c r="A142" s="20"/>
      <c r="B142" s="20"/>
      <c r="C142" s="20"/>
      <c r="D142" s="20"/>
      <c r="E142" s="20"/>
      <c r="F142" s="20"/>
      <c r="G142" s="124"/>
      <c r="H142" s="20"/>
      <c r="I142" s="20"/>
      <c r="J142" s="20"/>
      <c r="K142" s="124"/>
      <c r="L142" s="127"/>
      <c r="M142" s="20"/>
      <c r="N142" s="20"/>
      <c r="O142" s="20"/>
      <c r="P142" s="124"/>
      <c r="Q142" s="127"/>
      <c r="R142" s="20"/>
      <c r="S142" s="20"/>
      <c r="T142" s="20"/>
      <c r="U142" s="124"/>
      <c r="V142" s="127"/>
      <c r="W142" s="20"/>
      <c r="X142" s="20"/>
      <c r="Y142" s="20"/>
      <c r="Z142" s="20"/>
      <c r="AA142" s="20"/>
      <c r="AB142" s="20"/>
      <c r="AC142" s="20"/>
      <c r="AD142" s="20"/>
      <c r="AE142" s="20"/>
    </row>
    <row r="143" spans="1:31" ht="19.5">
      <c r="A143" s="20"/>
      <c r="B143" s="20"/>
      <c r="C143" s="20"/>
      <c r="D143" s="20"/>
      <c r="E143" s="20"/>
      <c r="F143" s="20"/>
      <c r="G143" s="124"/>
      <c r="H143" s="20"/>
      <c r="I143" s="20"/>
      <c r="J143" s="20"/>
      <c r="K143" s="124"/>
      <c r="L143" s="127"/>
      <c r="M143" s="20"/>
      <c r="N143" s="20"/>
      <c r="O143" s="20"/>
      <c r="P143" s="124"/>
      <c r="Q143" s="127"/>
      <c r="R143" s="20"/>
      <c r="S143" s="20"/>
      <c r="T143" s="20"/>
      <c r="U143" s="124"/>
      <c r="V143" s="127"/>
      <c r="W143" s="20"/>
      <c r="X143" s="20"/>
      <c r="Y143" s="20"/>
      <c r="Z143" s="20"/>
      <c r="AA143" s="20"/>
      <c r="AB143" s="20"/>
      <c r="AC143" s="20"/>
      <c r="AD143" s="20"/>
      <c r="AE143" s="20"/>
    </row>
    <row r="144" spans="1:31" ht="19.5">
      <c r="A144" s="20"/>
      <c r="B144" s="20"/>
      <c r="C144" s="20"/>
      <c r="D144" s="20"/>
      <c r="E144" s="20"/>
      <c r="F144" s="20"/>
      <c r="G144" s="124"/>
      <c r="H144" s="20"/>
      <c r="I144" s="20"/>
      <c r="J144" s="20"/>
      <c r="K144" s="124"/>
      <c r="L144" s="127"/>
      <c r="M144" s="20"/>
      <c r="N144" s="20"/>
      <c r="O144" s="20"/>
      <c r="P144" s="124"/>
      <c r="Q144" s="127"/>
      <c r="R144" s="20"/>
      <c r="S144" s="20"/>
      <c r="T144" s="20"/>
      <c r="U144" s="124"/>
      <c r="V144" s="127"/>
      <c r="W144" s="20"/>
      <c r="X144" s="20"/>
      <c r="Y144" s="20"/>
      <c r="Z144" s="20"/>
      <c r="AA144" s="20"/>
      <c r="AB144" s="20"/>
      <c r="AC144" s="20"/>
      <c r="AD144" s="20"/>
      <c r="AE144" s="20"/>
    </row>
    <row r="145" spans="1:31" ht="19.5">
      <c r="A145" s="20"/>
      <c r="B145" s="20"/>
      <c r="C145" s="20"/>
      <c r="D145" s="20"/>
      <c r="E145" s="20"/>
      <c r="F145" s="20"/>
      <c r="G145" s="124"/>
      <c r="H145" s="20"/>
      <c r="I145" s="20"/>
      <c r="J145" s="20"/>
      <c r="K145" s="124"/>
      <c r="L145" s="127"/>
      <c r="M145" s="20"/>
      <c r="N145" s="20"/>
      <c r="O145" s="20"/>
      <c r="P145" s="124"/>
      <c r="Q145" s="127"/>
      <c r="R145" s="20"/>
      <c r="S145" s="20"/>
      <c r="T145" s="20"/>
      <c r="U145" s="124"/>
      <c r="V145" s="127"/>
      <c r="W145" s="20"/>
      <c r="X145" s="20"/>
      <c r="Y145" s="20"/>
      <c r="Z145" s="20"/>
      <c r="AA145" s="20"/>
      <c r="AB145" s="20"/>
      <c r="AC145" s="20"/>
      <c r="AD145" s="20"/>
      <c r="AE145" s="20"/>
    </row>
    <row r="146" spans="1:31" ht="19.5">
      <c r="A146" s="20"/>
      <c r="B146" s="20"/>
      <c r="C146" s="20"/>
      <c r="D146" s="20"/>
      <c r="E146" s="20"/>
      <c r="F146" s="20"/>
      <c r="G146" s="124"/>
      <c r="H146" s="20"/>
      <c r="I146" s="20"/>
      <c r="J146" s="20"/>
      <c r="K146" s="124"/>
      <c r="L146" s="127"/>
      <c r="M146" s="20"/>
      <c r="N146" s="20"/>
      <c r="O146" s="20"/>
      <c r="P146" s="124"/>
      <c r="Q146" s="127"/>
      <c r="R146" s="20"/>
      <c r="S146" s="20"/>
      <c r="T146" s="20"/>
      <c r="U146" s="124"/>
      <c r="V146" s="127"/>
      <c r="W146" s="20"/>
      <c r="X146" s="20"/>
      <c r="Y146" s="20"/>
      <c r="Z146" s="20"/>
      <c r="AA146" s="20"/>
      <c r="AB146" s="20"/>
      <c r="AC146" s="20"/>
      <c r="AD146" s="20"/>
      <c r="AE146" s="20"/>
    </row>
    <row r="147" spans="1:31" ht="19.5">
      <c r="A147" s="20"/>
      <c r="B147" s="20"/>
      <c r="C147" s="20"/>
      <c r="D147" s="20"/>
      <c r="E147" s="20"/>
      <c r="F147" s="20"/>
      <c r="G147" s="124"/>
      <c r="H147" s="20"/>
      <c r="I147" s="20"/>
      <c r="J147" s="20"/>
      <c r="K147" s="124"/>
      <c r="L147" s="127"/>
      <c r="M147" s="20"/>
      <c r="N147" s="20"/>
      <c r="O147" s="20"/>
      <c r="P147" s="124"/>
      <c r="Q147" s="127"/>
      <c r="R147" s="20"/>
      <c r="S147" s="20"/>
      <c r="T147" s="20"/>
      <c r="U147" s="124"/>
      <c r="V147" s="127"/>
      <c r="W147" s="20"/>
      <c r="X147" s="20"/>
      <c r="Y147" s="20"/>
      <c r="Z147" s="20"/>
      <c r="AA147" s="20"/>
      <c r="AB147" s="20"/>
      <c r="AC147" s="20"/>
      <c r="AD147" s="20"/>
      <c r="AE147" s="20"/>
    </row>
    <row r="148" spans="1:31" ht="19.5">
      <c r="A148" s="20"/>
      <c r="B148" s="20"/>
      <c r="C148" s="20"/>
      <c r="D148" s="20"/>
      <c r="E148" s="20"/>
      <c r="F148" s="20"/>
      <c r="G148" s="124"/>
      <c r="H148" s="20"/>
      <c r="I148" s="20"/>
      <c r="J148" s="20"/>
      <c r="K148" s="124"/>
      <c r="L148" s="127"/>
      <c r="M148" s="20"/>
      <c r="N148" s="20"/>
      <c r="O148" s="20"/>
      <c r="P148" s="124"/>
      <c r="Q148" s="127"/>
      <c r="R148" s="20"/>
      <c r="S148" s="20"/>
      <c r="T148" s="20"/>
      <c r="U148" s="124"/>
      <c r="V148" s="127"/>
      <c r="W148" s="20"/>
      <c r="X148" s="20"/>
      <c r="Y148" s="20"/>
      <c r="Z148" s="20"/>
      <c r="AA148" s="20"/>
      <c r="AB148" s="20"/>
      <c r="AC148" s="20"/>
      <c r="AD148" s="20"/>
      <c r="AE148" s="20"/>
    </row>
    <row r="149" spans="1:31" ht="19.5">
      <c r="A149" s="20"/>
      <c r="B149" s="20"/>
      <c r="C149" s="20"/>
      <c r="D149" s="20"/>
      <c r="E149" s="20"/>
      <c r="F149" s="20"/>
      <c r="G149" s="124"/>
      <c r="H149" s="20"/>
      <c r="I149" s="20"/>
      <c r="J149" s="20"/>
      <c r="K149" s="124"/>
      <c r="L149" s="127"/>
      <c r="M149" s="20"/>
      <c r="N149" s="20"/>
      <c r="O149" s="20"/>
      <c r="P149" s="124"/>
      <c r="Q149" s="127"/>
      <c r="R149" s="20"/>
      <c r="S149" s="20"/>
      <c r="T149" s="20"/>
      <c r="U149" s="124"/>
      <c r="V149" s="127"/>
      <c r="W149" s="20"/>
      <c r="X149" s="20"/>
      <c r="Y149" s="20"/>
      <c r="Z149" s="20"/>
      <c r="AA149" s="20"/>
      <c r="AB149" s="20"/>
      <c r="AC149" s="20"/>
      <c r="AD149" s="20"/>
      <c r="AE149" s="20"/>
    </row>
    <row r="150" spans="1:31" ht="19.5">
      <c r="A150" s="20"/>
      <c r="B150" s="20"/>
      <c r="C150" s="20"/>
      <c r="D150" s="20"/>
      <c r="E150" s="20"/>
      <c r="F150" s="20"/>
      <c r="G150" s="124"/>
      <c r="H150" s="20"/>
      <c r="I150" s="20"/>
      <c r="J150" s="20"/>
      <c r="K150" s="124"/>
      <c r="L150" s="127"/>
      <c r="M150" s="20"/>
      <c r="N150" s="20"/>
      <c r="O150" s="20"/>
      <c r="P150" s="124"/>
      <c r="Q150" s="127"/>
      <c r="R150" s="20"/>
      <c r="S150" s="20"/>
      <c r="T150" s="20"/>
      <c r="U150" s="124"/>
      <c r="V150" s="127"/>
      <c r="W150" s="20"/>
      <c r="X150" s="20"/>
      <c r="Y150" s="20"/>
      <c r="Z150" s="20"/>
      <c r="AA150" s="20"/>
      <c r="AB150" s="20"/>
      <c r="AC150" s="20"/>
      <c r="AD150" s="20"/>
      <c r="AE150" s="20"/>
    </row>
    <row r="151" spans="1:31" ht="19.5">
      <c r="A151" s="20"/>
      <c r="B151" s="20"/>
      <c r="C151" s="20"/>
      <c r="D151" s="20"/>
      <c r="E151" s="20"/>
      <c r="F151" s="20"/>
      <c r="G151" s="124"/>
      <c r="H151" s="20"/>
      <c r="I151" s="20"/>
      <c r="J151" s="20"/>
      <c r="K151" s="124"/>
      <c r="L151" s="127"/>
      <c r="M151" s="20"/>
      <c r="N151" s="20"/>
      <c r="O151" s="20"/>
      <c r="P151" s="124"/>
      <c r="Q151" s="127"/>
      <c r="R151" s="20"/>
      <c r="S151" s="20"/>
      <c r="T151" s="20"/>
      <c r="U151" s="124"/>
      <c r="V151" s="127"/>
      <c r="W151" s="20"/>
      <c r="X151" s="20"/>
      <c r="Y151" s="20"/>
      <c r="Z151" s="20"/>
      <c r="AA151" s="20"/>
      <c r="AB151" s="20"/>
      <c r="AC151" s="20"/>
      <c r="AD151" s="20"/>
      <c r="AE151" s="20"/>
    </row>
    <row r="152" spans="1:31" ht="19.5">
      <c r="A152" s="20"/>
      <c r="B152" s="20"/>
      <c r="C152" s="20"/>
      <c r="D152" s="20"/>
      <c r="E152" s="20"/>
      <c r="F152" s="20"/>
      <c r="G152" s="124"/>
      <c r="H152" s="20"/>
      <c r="I152" s="20"/>
      <c r="J152" s="20"/>
      <c r="K152" s="124"/>
      <c r="L152" s="127"/>
      <c r="M152" s="20"/>
      <c r="N152" s="20"/>
      <c r="O152" s="20"/>
      <c r="P152" s="124"/>
      <c r="Q152" s="127"/>
      <c r="R152" s="20"/>
      <c r="S152" s="20"/>
      <c r="T152" s="20"/>
      <c r="U152" s="124"/>
      <c r="V152" s="127"/>
      <c r="W152" s="20"/>
      <c r="X152" s="20"/>
      <c r="Y152" s="20"/>
      <c r="Z152" s="20"/>
      <c r="AA152" s="20"/>
      <c r="AB152" s="20"/>
      <c r="AC152" s="20"/>
      <c r="AD152" s="20"/>
      <c r="AE152" s="20"/>
    </row>
    <row r="153" spans="1:31" ht="19.5">
      <c r="A153" s="20"/>
      <c r="B153" s="20"/>
      <c r="C153" s="20"/>
      <c r="D153" s="20"/>
      <c r="E153" s="20"/>
      <c r="F153" s="20"/>
      <c r="G153" s="124"/>
      <c r="H153" s="20"/>
      <c r="I153" s="20"/>
      <c r="J153" s="20"/>
      <c r="K153" s="124"/>
      <c r="L153" s="127"/>
      <c r="M153" s="20"/>
      <c r="N153" s="20"/>
      <c r="O153" s="20"/>
      <c r="P153" s="124"/>
      <c r="Q153" s="127"/>
      <c r="R153" s="20"/>
      <c r="S153" s="20"/>
      <c r="T153" s="20"/>
      <c r="U153" s="124"/>
      <c r="V153" s="127"/>
      <c r="W153" s="20"/>
      <c r="X153" s="20"/>
      <c r="Y153" s="20"/>
      <c r="Z153" s="20"/>
      <c r="AA153" s="20"/>
      <c r="AB153" s="20"/>
      <c r="AC153" s="20"/>
      <c r="AD153" s="20"/>
      <c r="AE153" s="20"/>
    </row>
    <row r="154" spans="1:31" ht="19.5">
      <c r="A154" s="20"/>
      <c r="B154" s="20"/>
      <c r="C154" s="20"/>
      <c r="D154" s="20"/>
      <c r="E154" s="20"/>
      <c r="F154" s="20"/>
      <c r="G154" s="124"/>
      <c r="H154" s="20"/>
      <c r="I154" s="20"/>
      <c r="J154" s="20"/>
      <c r="K154" s="124"/>
      <c r="L154" s="127"/>
      <c r="M154" s="20"/>
      <c r="N154" s="20"/>
      <c r="O154" s="20"/>
      <c r="P154" s="124"/>
      <c r="Q154" s="127"/>
      <c r="R154" s="20"/>
      <c r="S154" s="20"/>
      <c r="T154" s="20"/>
      <c r="U154" s="124"/>
      <c r="V154" s="127"/>
      <c r="W154" s="20"/>
      <c r="X154" s="20"/>
      <c r="Y154" s="20"/>
      <c r="Z154" s="20"/>
      <c r="AA154" s="20"/>
      <c r="AB154" s="20"/>
      <c r="AC154" s="20"/>
      <c r="AD154" s="20"/>
      <c r="AE154" s="20"/>
    </row>
    <row r="155" spans="1:31" ht="19.5">
      <c r="A155" s="20"/>
      <c r="B155" s="20"/>
      <c r="C155" s="20"/>
      <c r="D155" s="20"/>
      <c r="E155" s="20"/>
      <c r="F155" s="20"/>
      <c r="G155" s="124"/>
      <c r="H155" s="20"/>
      <c r="I155" s="20"/>
      <c r="J155" s="20"/>
      <c r="K155" s="124"/>
      <c r="L155" s="127"/>
      <c r="M155" s="20"/>
      <c r="N155" s="20"/>
      <c r="O155" s="20"/>
      <c r="P155" s="124"/>
      <c r="Q155" s="127"/>
      <c r="R155" s="20"/>
      <c r="S155" s="20"/>
      <c r="T155" s="20"/>
      <c r="U155" s="124"/>
      <c r="V155" s="127"/>
      <c r="W155" s="20"/>
      <c r="X155" s="20"/>
      <c r="Y155" s="20"/>
      <c r="Z155" s="20"/>
      <c r="AA155" s="20"/>
      <c r="AB155" s="20"/>
      <c r="AC155" s="20"/>
      <c r="AD155" s="20"/>
      <c r="AE155" s="20"/>
    </row>
    <row r="156" spans="1:31" ht="19.5">
      <c r="A156" s="20"/>
      <c r="B156" s="20"/>
      <c r="C156" s="20"/>
      <c r="D156" s="20"/>
      <c r="E156" s="20"/>
      <c r="F156" s="20"/>
      <c r="G156" s="124"/>
      <c r="H156" s="20"/>
      <c r="I156" s="20"/>
      <c r="J156" s="20"/>
      <c r="K156" s="124"/>
      <c r="L156" s="127"/>
      <c r="M156" s="20"/>
      <c r="N156" s="20"/>
      <c r="O156" s="20"/>
      <c r="P156" s="124"/>
      <c r="Q156" s="127"/>
      <c r="R156" s="20"/>
      <c r="S156" s="20"/>
      <c r="T156" s="20"/>
      <c r="U156" s="124"/>
      <c r="V156" s="127"/>
      <c r="W156" s="20"/>
      <c r="X156" s="20"/>
      <c r="Y156" s="20"/>
      <c r="Z156" s="20"/>
      <c r="AA156" s="20"/>
      <c r="AB156" s="20"/>
      <c r="AC156" s="20"/>
      <c r="AD156" s="20"/>
      <c r="AE156" s="20"/>
    </row>
    <row r="157" spans="1:31" ht="19.5">
      <c r="A157" s="20"/>
      <c r="B157" s="20"/>
      <c r="C157" s="20"/>
      <c r="D157" s="20"/>
      <c r="E157" s="20"/>
      <c r="F157" s="20"/>
      <c r="G157" s="124"/>
      <c r="H157" s="20"/>
      <c r="I157" s="20"/>
      <c r="J157" s="20"/>
      <c r="K157" s="124"/>
      <c r="L157" s="127"/>
      <c r="M157" s="20"/>
      <c r="N157" s="20"/>
      <c r="O157" s="20"/>
      <c r="P157" s="124"/>
      <c r="Q157" s="127"/>
      <c r="R157" s="20"/>
      <c r="S157" s="20"/>
      <c r="T157" s="20"/>
      <c r="U157" s="124"/>
      <c r="V157" s="127"/>
      <c r="W157" s="20"/>
      <c r="X157" s="20"/>
      <c r="Y157" s="20"/>
      <c r="Z157" s="20"/>
      <c r="AA157" s="20"/>
      <c r="AB157" s="20"/>
      <c r="AC157" s="20"/>
      <c r="AD157" s="20"/>
      <c r="AE157" s="20"/>
    </row>
    <row r="158" spans="1:31" ht="19.5">
      <c r="A158" s="20"/>
      <c r="B158" s="20"/>
      <c r="C158" s="20"/>
      <c r="D158" s="20"/>
      <c r="E158" s="20"/>
      <c r="F158" s="20"/>
      <c r="G158" s="124"/>
      <c r="H158" s="20"/>
      <c r="I158" s="20"/>
      <c r="J158" s="20"/>
      <c r="K158" s="124"/>
      <c r="L158" s="127"/>
      <c r="M158" s="20"/>
      <c r="N158" s="20"/>
      <c r="O158" s="20"/>
      <c r="P158" s="124"/>
      <c r="Q158" s="127"/>
      <c r="R158" s="20"/>
      <c r="S158" s="20"/>
      <c r="T158" s="20"/>
      <c r="U158" s="124"/>
      <c r="V158" s="127"/>
      <c r="W158" s="20"/>
      <c r="X158" s="20"/>
      <c r="Y158" s="20"/>
      <c r="Z158" s="20"/>
      <c r="AA158" s="20"/>
      <c r="AB158" s="20"/>
      <c r="AC158" s="20"/>
      <c r="AD158" s="20"/>
      <c r="AE158" s="20"/>
    </row>
    <row r="159" spans="1:31" ht="19.5">
      <c r="A159" s="20"/>
      <c r="B159" s="20"/>
      <c r="C159" s="20"/>
      <c r="D159" s="20"/>
      <c r="E159" s="20"/>
      <c r="F159" s="20"/>
      <c r="G159" s="124"/>
      <c r="H159" s="20"/>
      <c r="I159" s="20"/>
      <c r="J159" s="20"/>
      <c r="K159" s="124"/>
      <c r="L159" s="127"/>
      <c r="M159" s="20"/>
      <c r="N159" s="20"/>
      <c r="O159" s="20"/>
      <c r="P159" s="124"/>
      <c r="Q159" s="127"/>
      <c r="R159" s="20"/>
      <c r="S159" s="20"/>
      <c r="T159" s="20"/>
      <c r="U159" s="124"/>
      <c r="V159" s="127"/>
      <c r="W159" s="20"/>
      <c r="X159" s="20"/>
      <c r="Y159" s="20"/>
      <c r="Z159" s="20"/>
      <c r="AA159" s="20"/>
      <c r="AB159" s="20"/>
      <c r="AC159" s="20"/>
      <c r="AD159" s="20"/>
      <c r="AE159" s="20"/>
    </row>
    <row r="160" spans="1:31" ht="19.5">
      <c r="A160" s="20"/>
      <c r="B160" s="20"/>
      <c r="C160" s="20"/>
      <c r="D160" s="20"/>
      <c r="E160" s="20"/>
      <c r="F160" s="20"/>
      <c r="G160" s="124"/>
      <c r="H160" s="20"/>
      <c r="I160" s="20"/>
      <c r="J160" s="20"/>
      <c r="K160" s="124"/>
      <c r="L160" s="127"/>
      <c r="M160" s="20"/>
      <c r="N160" s="20"/>
      <c r="O160" s="20"/>
      <c r="P160" s="124"/>
      <c r="Q160" s="127"/>
      <c r="R160" s="20"/>
      <c r="S160" s="20"/>
      <c r="T160" s="20"/>
      <c r="U160" s="124"/>
      <c r="V160" s="127"/>
      <c r="W160" s="20"/>
      <c r="X160" s="20"/>
      <c r="Y160" s="20"/>
      <c r="Z160" s="20"/>
      <c r="AA160" s="20"/>
      <c r="AB160" s="20"/>
      <c r="AC160" s="20"/>
      <c r="AD160" s="20"/>
      <c r="AE160" s="20"/>
    </row>
    <row r="161" spans="1:31" ht="19.5">
      <c r="A161" s="20"/>
      <c r="B161" s="20"/>
      <c r="C161" s="20"/>
      <c r="D161" s="20"/>
      <c r="E161" s="20"/>
      <c r="F161" s="20"/>
      <c r="G161" s="124"/>
      <c r="H161" s="20"/>
      <c r="I161" s="20"/>
      <c r="J161" s="20"/>
      <c r="K161" s="124"/>
      <c r="L161" s="127"/>
      <c r="M161" s="20"/>
      <c r="N161" s="20"/>
      <c r="O161" s="20"/>
      <c r="P161" s="124"/>
      <c r="Q161" s="127"/>
      <c r="R161" s="20"/>
      <c r="S161" s="20"/>
      <c r="T161" s="20"/>
      <c r="U161" s="124"/>
      <c r="V161" s="127"/>
      <c r="W161" s="20"/>
      <c r="X161" s="20"/>
      <c r="Y161" s="20"/>
      <c r="Z161" s="20"/>
      <c r="AA161" s="20"/>
      <c r="AB161" s="20"/>
      <c r="AC161" s="20"/>
      <c r="AD161" s="20"/>
      <c r="AE161" s="20"/>
    </row>
    <row r="162" spans="1:31" ht="19.5">
      <c r="A162" s="20"/>
      <c r="B162" s="20"/>
      <c r="C162" s="20"/>
      <c r="D162" s="20"/>
      <c r="E162" s="20"/>
      <c r="F162" s="20"/>
      <c r="G162" s="124"/>
      <c r="H162" s="20"/>
      <c r="I162" s="20"/>
      <c r="J162" s="20"/>
      <c r="K162" s="124"/>
      <c r="L162" s="127"/>
      <c r="M162" s="20"/>
      <c r="N162" s="20"/>
      <c r="O162" s="20"/>
      <c r="P162" s="124"/>
      <c r="Q162" s="127"/>
      <c r="R162" s="20"/>
      <c r="S162" s="20"/>
      <c r="T162" s="20"/>
      <c r="U162" s="124"/>
      <c r="V162" s="127"/>
      <c r="W162" s="20"/>
      <c r="X162" s="20"/>
      <c r="Y162" s="20"/>
      <c r="Z162" s="20"/>
      <c r="AA162" s="20"/>
      <c r="AB162" s="20"/>
      <c r="AC162" s="20"/>
      <c r="AD162" s="20"/>
      <c r="AE162" s="20"/>
    </row>
    <row r="163" spans="1:31" ht="19.5">
      <c r="A163" s="20"/>
      <c r="B163" s="20"/>
      <c r="C163" s="20"/>
      <c r="D163" s="20"/>
      <c r="E163" s="20"/>
      <c r="F163" s="20"/>
      <c r="G163" s="124"/>
      <c r="H163" s="20"/>
      <c r="I163" s="20"/>
      <c r="J163" s="20"/>
      <c r="K163" s="124"/>
      <c r="L163" s="127"/>
      <c r="M163" s="20"/>
      <c r="N163" s="20"/>
      <c r="O163" s="20"/>
      <c r="P163" s="124"/>
      <c r="Q163" s="127"/>
      <c r="R163" s="20"/>
      <c r="S163" s="20"/>
      <c r="T163" s="20"/>
      <c r="U163" s="124"/>
      <c r="V163" s="127"/>
      <c r="W163" s="20"/>
      <c r="X163" s="20"/>
      <c r="Y163" s="20"/>
      <c r="Z163" s="20"/>
      <c r="AA163" s="20"/>
      <c r="AB163" s="20"/>
      <c r="AC163" s="20"/>
      <c r="AD163" s="20"/>
      <c r="AE163" s="20"/>
    </row>
    <row r="164" spans="1:31" ht="19.5">
      <c r="A164" s="20"/>
      <c r="B164" s="20"/>
      <c r="C164" s="20"/>
      <c r="D164" s="20"/>
      <c r="E164" s="20"/>
      <c r="F164" s="20"/>
      <c r="G164" s="124"/>
      <c r="H164" s="20"/>
      <c r="I164" s="20"/>
      <c r="J164" s="20"/>
      <c r="K164" s="124"/>
      <c r="L164" s="127"/>
      <c r="M164" s="20"/>
      <c r="N164" s="20"/>
      <c r="O164" s="20"/>
      <c r="P164" s="124"/>
      <c r="Q164" s="127"/>
      <c r="R164" s="20"/>
      <c r="S164" s="20"/>
      <c r="T164" s="20"/>
      <c r="U164" s="124"/>
      <c r="V164" s="127"/>
      <c r="W164" s="20"/>
      <c r="X164" s="20"/>
      <c r="Y164" s="20"/>
      <c r="Z164" s="20"/>
      <c r="AA164" s="20"/>
      <c r="AB164" s="20"/>
      <c r="AC164" s="20"/>
      <c r="AD164" s="20"/>
      <c r="AE164" s="20"/>
    </row>
    <row r="165" spans="1:31" ht="19.5">
      <c r="A165" s="20"/>
      <c r="B165" s="20"/>
      <c r="C165" s="20"/>
      <c r="D165" s="20"/>
      <c r="E165" s="20"/>
      <c r="F165" s="20"/>
      <c r="G165" s="124"/>
      <c r="H165" s="20"/>
      <c r="I165" s="20"/>
      <c r="J165" s="20"/>
      <c r="K165" s="124"/>
      <c r="L165" s="127"/>
      <c r="M165" s="20"/>
      <c r="N165" s="20"/>
      <c r="O165" s="20"/>
      <c r="P165" s="124"/>
      <c r="Q165" s="127"/>
      <c r="R165" s="20"/>
      <c r="S165" s="20"/>
      <c r="T165" s="20"/>
      <c r="U165" s="124"/>
      <c r="V165" s="127"/>
      <c r="W165" s="20"/>
      <c r="X165" s="20"/>
      <c r="Y165" s="20"/>
      <c r="Z165" s="20"/>
      <c r="AA165" s="20"/>
      <c r="AB165" s="20"/>
      <c r="AC165" s="20"/>
      <c r="AD165" s="20"/>
      <c r="AE165" s="20"/>
    </row>
    <row r="166" spans="1:31" ht="19.5">
      <c r="A166" s="20"/>
      <c r="B166" s="20"/>
      <c r="C166" s="20"/>
      <c r="D166" s="20"/>
      <c r="E166" s="20"/>
      <c r="F166" s="20"/>
      <c r="G166" s="124"/>
      <c r="H166" s="20"/>
      <c r="I166" s="20"/>
      <c r="J166" s="20"/>
      <c r="K166" s="124"/>
      <c r="L166" s="127"/>
      <c r="M166" s="20"/>
      <c r="N166" s="20"/>
      <c r="O166" s="20"/>
      <c r="P166" s="124"/>
      <c r="Q166" s="127"/>
      <c r="R166" s="20"/>
      <c r="S166" s="20"/>
      <c r="T166" s="20"/>
      <c r="U166" s="124"/>
      <c r="V166" s="127"/>
      <c r="W166" s="20"/>
      <c r="X166" s="20"/>
      <c r="Y166" s="20"/>
      <c r="Z166" s="20"/>
      <c r="AA166" s="20"/>
      <c r="AB166" s="20"/>
      <c r="AC166" s="20"/>
      <c r="AD166" s="20"/>
      <c r="AE166" s="20"/>
    </row>
    <row r="167" spans="1:31" ht="19.5">
      <c r="A167" s="20"/>
      <c r="B167" s="20"/>
      <c r="C167" s="20"/>
      <c r="D167" s="20"/>
      <c r="E167" s="20"/>
      <c r="F167" s="20"/>
      <c r="G167" s="124"/>
      <c r="H167" s="20"/>
      <c r="I167" s="20"/>
      <c r="J167" s="20"/>
      <c r="K167" s="124"/>
      <c r="L167" s="127"/>
      <c r="M167" s="20"/>
      <c r="N167" s="20"/>
      <c r="O167" s="20"/>
      <c r="P167" s="124"/>
      <c r="Q167" s="127"/>
      <c r="R167" s="20"/>
      <c r="S167" s="20"/>
      <c r="T167" s="20"/>
      <c r="U167" s="124"/>
      <c r="V167" s="127"/>
      <c r="W167" s="20"/>
      <c r="X167" s="20"/>
      <c r="Y167" s="20"/>
      <c r="Z167" s="20"/>
      <c r="AA167" s="20"/>
      <c r="AB167" s="20"/>
      <c r="AC167" s="20"/>
      <c r="AD167" s="20"/>
      <c r="AE167" s="20"/>
    </row>
    <row r="168" spans="1:31" ht="19.5">
      <c r="A168" s="20"/>
      <c r="B168" s="20"/>
      <c r="C168" s="20"/>
      <c r="D168" s="20"/>
      <c r="E168" s="20"/>
      <c r="F168" s="20"/>
      <c r="G168" s="124"/>
      <c r="H168" s="20"/>
      <c r="I168" s="20"/>
      <c r="J168" s="20"/>
      <c r="K168" s="124"/>
      <c r="L168" s="127"/>
      <c r="M168" s="20"/>
      <c r="N168" s="20"/>
      <c r="O168" s="20"/>
      <c r="P168" s="124"/>
      <c r="Q168" s="127"/>
      <c r="R168" s="20"/>
      <c r="S168" s="20"/>
      <c r="T168" s="20"/>
      <c r="U168" s="124"/>
      <c r="V168" s="127"/>
      <c r="W168" s="20"/>
      <c r="X168" s="20"/>
      <c r="Y168" s="20"/>
      <c r="Z168" s="20"/>
      <c r="AA168" s="20"/>
      <c r="AB168" s="20"/>
      <c r="AC168" s="20"/>
      <c r="AD168" s="20"/>
      <c r="AE168" s="20"/>
    </row>
    <row r="169" spans="1:31" ht="19.5">
      <c r="A169" s="20"/>
      <c r="B169" s="20"/>
      <c r="C169" s="20"/>
      <c r="D169" s="20"/>
      <c r="E169" s="20"/>
      <c r="F169" s="20"/>
      <c r="G169" s="124"/>
      <c r="H169" s="20"/>
      <c r="I169" s="20"/>
      <c r="J169" s="20"/>
      <c r="K169" s="124"/>
      <c r="L169" s="127"/>
      <c r="M169" s="20"/>
      <c r="N169" s="20"/>
      <c r="O169" s="20"/>
      <c r="P169" s="124"/>
      <c r="Q169" s="127"/>
      <c r="R169" s="20"/>
      <c r="S169" s="20"/>
      <c r="T169" s="20"/>
      <c r="U169" s="124"/>
      <c r="V169" s="127"/>
      <c r="W169" s="20"/>
      <c r="X169" s="20"/>
      <c r="Y169" s="20"/>
      <c r="Z169" s="20"/>
      <c r="AA169" s="20"/>
      <c r="AB169" s="20"/>
      <c r="AC169" s="20"/>
      <c r="AD169" s="20"/>
      <c r="AE169" s="20"/>
    </row>
    <row r="170" spans="1:31" ht="19.5">
      <c r="A170" s="20"/>
      <c r="B170" s="20"/>
      <c r="C170" s="20"/>
      <c r="D170" s="20"/>
      <c r="E170" s="20"/>
      <c r="F170" s="20"/>
      <c r="G170" s="124"/>
      <c r="H170" s="20"/>
      <c r="I170" s="20"/>
      <c r="J170" s="20"/>
      <c r="K170" s="124"/>
      <c r="L170" s="127"/>
      <c r="M170" s="20"/>
      <c r="N170" s="20"/>
      <c r="O170" s="20"/>
      <c r="P170" s="124"/>
      <c r="Q170" s="127"/>
      <c r="R170" s="20"/>
      <c r="S170" s="20"/>
      <c r="T170" s="20"/>
      <c r="U170" s="124"/>
      <c r="V170" s="127"/>
      <c r="W170" s="20"/>
      <c r="X170" s="20"/>
      <c r="Y170" s="20"/>
      <c r="Z170" s="20"/>
      <c r="AA170" s="20"/>
      <c r="AB170" s="20"/>
      <c r="AC170" s="20"/>
      <c r="AD170" s="20"/>
      <c r="AE170" s="20"/>
    </row>
    <row r="171" spans="1:31" ht="19.5">
      <c r="A171" s="20"/>
      <c r="B171" s="20"/>
      <c r="C171" s="20"/>
      <c r="D171" s="20"/>
      <c r="E171" s="20"/>
      <c r="F171" s="20"/>
      <c r="G171" s="124"/>
      <c r="H171" s="20"/>
      <c r="I171" s="20"/>
      <c r="J171" s="20"/>
      <c r="K171" s="124"/>
      <c r="L171" s="127"/>
      <c r="M171" s="20"/>
      <c r="N171" s="20"/>
      <c r="O171" s="20"/>
      <c r="P171" s="124"/>
      <c r="Q171" s="127"/>
      <c r="R171" s="20"/>
      <c r="S171" s="20"/>
      <c r="T171" s="20"/>
      <c r="U171" s="124"/>
      <c r="V171" s="127"/>
      <c r="W171" s="20"/>
      <c r="X171" s="20"/>
      <c r="Y171" s="20"/>
      <c r="Z171" s="20"/>
      <c r="AA171" s="20"/>
      <c r="AB171" s="20"/>
      <c r="AC171" s="20"/>
      <c r="AD171" s="20"/>
      <c r="AE171" s="20"/>
    </row>
    <row r="172" spans="1:31" ht="19.5">
      <c r="A172" s="20"/>
      <c r="B172" s="20"/>
      <c r="C172" s="20"/>
      <c r="D172" s="20"/>
      <c r="E172" s="20"/>
      <c r="F172" s="20"/>
      <c r="G172" s="124"/>
      <c r="H172" s="20"/>
      <c r="I172" s="20"/>
      <c r="J172" s="20"/>
      <c r="K172" s="124"/>
      <c r="L172" s="127"/>
      <c r="M172" s="20"/>
      <c r="N172" s="20"/>
      <c r="O172" s="20"/>
      <c r="P172" s="124"/>
      <c r="Q172" s="127"/>
      <c r="R172" s="20"/>
      <c r="S172" s="20"/>
      <c r="T172" s="20"/>
      <c r="U172" s="124"/>
      <c r="V172" s="127"/>
      <c r="W172" s="20"/>
      <c r="X172" s="20"/>
      <c r="Y172" s="20"/>
      <c r="Z172" s="20"/>
      <c r="AA172" s="20"/>
      <c r="AB172" s="20"/>
      <c r="AC172" s="20"/>
      <c r="AD172" s="20"/>
      <c r="AE172" s="20"/>
    </row>
    <row r="173" spans="1:31" ht="19.5">
      <c r="A173" s="20"/>
      <c r="B173" s="20"/>
      <c r="C173" s="20"/>
      <c r="D173" s="20"/>
      <c r="E173" s="20"/>
      <c r="F173" s="20"/>
      <c r="G173" s="124"/>
      <c r="H173" s="20"/>
      <c r="I173" s="20"/>
      <c r="J173" s="20"/>
      <c r="K173" s="124"/>
      <c r="L173" s="127"/>
      <c r="M173" s="20"/>
      <c r="N173" s="20"/>
      <c r="O173" s="20"/>
      <c r="P173" s="124"/>
      <c r="Q173" s="127"/>
      <c r="R173" s="20"/>
      <c r="S173" s="20"/>
      <c r="T173" s="20"/>
      <c r="U173" s="124"/>
      <c r="V173" s="127"/>
      <c r="W173" s="20"/>
      <c r="X173" s="20"/>
      <c r="Y173" s="20"/>
      <c r="Z173" s="20"/>
      <c r="AA173" s="20"/>
      <c r="AB173" s="20"/>
      <c r="AC173" s="20"/>
      <c r="AD173" s="20"/>
      <c r="AE173" s="20"/>
    </row>
    <row r="174" spans="1:31" ht="19.5">
      <c r="A174" s="20"/>
      <c r="B174" s="20"/>
      <c r="C174" s="20"/>
      <c r="D174" s="20"/>
      <c r="E174" s="20"/>
      <c r="F174" s="20"/>
      <c r="G174" s="124"/>
      <c r="H174" s="20"/>
      <c r="I174" s="20"/>
      <c r="J174" s="20"/>
      <c r="K174" s="124"/>
      <c r="L174" s="127"/>
      <c r="M174" s="20"/>
      <c r="N174" s="20"/>
      <c r="O174" s="20"/>
      <c r="P174" s="124"/>
      <c r="Q174" s="127"/>
      <c r="R174" s="20"/>
      <c r="S174" s="20"/>
      <c r="T174" s="20"/>
      <c r="U174" s="124"/>
      <c r="V174" s="127"/>
      <c r="W174" s="20"/>
      <c r="X174" s="20"/>
      <c r="Y174" s="20"/>
      <c r="Z174" s="20"/>
      <c r="AA174" s="20"/>
      <c r="AB174" s="20"/>
      <c r="AC174" s="20"/>
      <c r="AD174" s="20"/>
      <c r="AE174" s="20"/>
    </row>
    <row r="175" spans="1:31" ht="19.5">
      <c r="A175" s="20"/>
      <c r="B175" s="20"/>
      <c r="C175" s="20"/>
      <c r="D175" s="20"/>
      <c r="E175" s="20"/>
      <c r="F175" s="20"/>
      <c r="G175" s="124"/>
      <c r="H175" s="20"/>
      <c r="I175" s="20"/>
      <c r="J175" s="20"/>
      <c r="K175" s="124"/>
      <c r="L175" s="127"/>
      <c r="M175" s="20"/>
      <c r="N175" s="20"/>
      <c r="O175" s="20"/>
      <c r="P175" s="124"/>
      <c r="Q175" s="127"/>
      <c r="R175" s="20"/>
      <c r="S175" s="20"/>
      <c r="T175" s="20"/>
      <c r="U175" s="124"/>
      <c r="V175" s="127"/>
      <c r="W175" s="20"/>
      <c r="X175" s="20"/>
      <c r="Y175" s="20"/>
      <c r="Z175" s="20"/>
      <c r="AA175" s="20"/>
      <c r="AB175" s="20"/>
      <c r="AC175" s="20"/>
      <c r="AD175" s="20"/>
      <c r="AE175" s="20"/>
    </row>
    <row r="176" spans="1:31" ht="19.5">
      <c r="A176" s="20"/>
      <c r="B176" s="20"/>
      <c r="C176" s="20"/>
      <c r="D176" s="20"/>
      <c r="E176" s="20"/>
      <c r="F176" s="20"/>
      <c r="G176" s="124"/>
      <c r="H176" s="20"/>
      <c r="I176" s="20"/>
      <c r="J176" s="20"/>
      <c r="K176" s="124"/>
      <c r="L176" s="127"/>
      <c r="M176" s="20"/>
      <c r="N176" s="20"/>
      <c r="O176" s="20"/>
      <c r="P176" s="124"/>
      <c r="Q176" s="127"/>
      <c r="R176" s="20"/>
      <c r="S176" s="20"/>
      <c r="T176" s="20"/>
      <c r="U176" s="124"/>
      <c r="V176" s="127"/>
      <c r="W176" s="20"/>
      <c r="X176" s="20"/>
      <c r="Y176" s="20"/>
      <c r="Z176" s="20"/>
      <c r="AA176" s="20"/>
      <c r="AB176" s="20"/>
      <c r="AC176" s="20"/>
      <c r="AD176" s="20"/>
      <c r="AE176" s="20"/>
    </row>
    <row r="177" spans="1:31" ht="19.5">
      <c r="A177" s="20"/>
      <c r="B177" s="20"/>
      <c r="C177" s="20"/>
      <c r="D177" s="20"/>
      <c r="E177" s="20"/>
      <c r="F177" s="20"/>
      <c r="G177" s="124"/>
      <c r="H177" s="20"/>
      <c r="I177" s="20"/>
      <c r="J177" s="20"/>
      <c r="K177" s="124"/>
      <c r="L177" s="127"/>
      <c r="M177" s="20"/>
      <c r="N177" s="20"/>
      <c r="O177" s="20"/>
      <c r="P177" s="124"/>
      <c r="Q177" s="127"/>
      <c r="R177" s="20"/>
      <c r="S177" s="20"/>
      <c r="T177" s="20"/>
      <c r="U177" s="124"/>
      <c r="V177" s="127"/>
      <c r="W177" s="20"/>
      <c r="X177" s="20"/>
      <c r="Y177" s="20"/>
      <c r="Z177" s="20"/>
      <c r="AA177" s="20"/>
      <c r="AB177" s="20"/>
      <c r="AC177" s="20"/>
      <c r="AD177" s="20"/>
      <c r="AE177" s="20"/>
    </row>
    <row r="178" spans="1:31" ht="19.5">
      <c r="A178" s="20"/>
      <c r="B178" s="20"/>
      <c r="C178" s="20"/>
      <c r="D178" s="20"/>
      <c r="E178" s="20"/>
      <c r="F178" s="20"/>
      <c r="G178" s="124"/>
      <c r="H178" s="20"/>
      <c r="I178" s="20"/>
      <c r="J178" s="20"/>
      <c r="K178" s="124"/>
      <c r="L178" s="127"/>
      <c r="M178" s="20"/>
      <c r="N178" s="20"/>
      <c r="O178" s="20"/>
      <c r="P178" s="124"/>
      <c r="Q178" s="127"/>
      <c r="R178" s="20"/>
      <c r="S178" s="20"/>
      <c r="T178" s="20"/>
      <c r="U178" s="124"/>
      <c r="V178" s="127"/>
      <c r="W178" s="20"/>
      <c r="X178" s="20"/>
      <c r="Y178" s="20"/>
      <c r="Z178" s="20"/>
      <c r="AA178" s="20"/>
      <c r="AB178" s="20"/>
      <c r="AC178" s="20"/>
      <c r="AD178" s="20"/>
      <c r="AE178" s="20"/>
    </row>
    <row r="179" spans="1:31" ht="19.5">
      <c r="A179" s="20"/>
      <c r="B179" s="20"/>
      <c r="C179" s="20"/>
      <c r="D179" s="20"/>
      <c r="E179" s="20"/>
      <c r="F179" s="20"/>
      <c r="G179" s="124"/>
      <c r="H179" s="20"/>
      <c r="I179" s="20"/>
      <c r="J179" s="20"/>
      <c r="K179" s="124"/>
      <c r="L179" s="127"/>
      <c r="M179" s="20"/>
      <c r="N179" s="20"/>
      <c r="O179" s="20"/>
      <c r="P179" s="124"/>
      <c r="Q179" s="127"/>
      <c r="R179" s="20"/>
      <c r="S179" s="20"/>
      <c r="T179" s="20"/>
      <c r="U179" s="124"/>
      <c r="V179" s="127"/>
      <c r="W179" s="20"/>
      <c r="X179" s="20"/>
      <c r="Y179" s="20"/>
      <c r="Z179" s="20"/>
      <c r="AA179" s="20"/>
      <c r="AB179" s="20"/>
      <c r="AC179" s="20"/>
      <c r="AD179" s="20"/>
      <c r="AE179" s="20"/>
    </row>
    <row r="180" spans="1:31" ht="19.5">
      <c r="A180" s="20"/>
      <c r="B180" s="20"/>
      <c r="C180" s="20"/>
      <c r="D180" s="20"/>
      <c r="E180" s="20"/>
      <c r="F180" s="20"/>
      <c r="G180" s="124"/>
      <c r="H180" s="20"/>
      <c r="I180" s="20"/>
      <c r="J180" s="20"/>
      <c r="K180" s="124"/>
      <c r="L180" s="127"/>
      <c r="M180" s="20"/>
      <c r="N180" s="20"/>
      <c r="O180" s="20"/>
      <c r="P180" s="124"/>
      <c r="Q180" s="127"/>
      <c r="R180" s="20"/>
      <c r="S180" s="20"/>
      <c r="T180" s="20"/>
      <c r="U180" s="124"/>
      <c r="V180" s="127"/>
      <c r="W180" s="20"/>
      <c r="X180" s="20"/>
      <c r="Y180" s="20"/>
      <c r="Z180" s="20"/>
      <c r="AA180" s="20"/>
      <c r="AB180" s="20"/>
      <c r="AC180" s="20"/>
      <c r="AD180" s="20"/>
      <c r="AE180" s="20"/>
    </row>
    <row r="181" spans="1:31" ht="19.5">
      <c r="A181" s="20"/>
      <c r="B181" s="20"/>
      <c r="C181" s="20"/>
      <c r="D181" s="20"/>
      <c r="E181" s="20"/>
      <c r="F181" s="20"/>
      <c r="G181" s="124"/>
      <c r="H181" s="20"/>
      <c r="I181" s="20"/>
      <c r="J181" s="20"/>
      <c r="K181" s="124"/>
      <c r="L181" s="127"/>
      <c r="M181" s="20"/>
      <c r="N181" s="20"/>
      <c r="O181" s="20"/>
      <c r="P181" s="124"/>
      <c r="Q181" s="127"/>
      <c r="R181" s="20"/>
      <c r="S181" s="20"/>
      <c r="T181" s="20"/>
      <c r="U181" s="124"/>
      <c r="V181" s="127"/>
      <c r="W181" s="20"/>
      <c r="X181" s="20"/>
      <c r="Y181" s="20"/>
      <c r="Z181" s="20"/>
      <c r="AA181" s="20"/>
      <c r="AB181" s="20"/>
      <c r="AC181" s="20"/>
      <c r="AD181" s="20"/>
      <c r="AE181" s="20"/>
    </row>
    <row r="182" spans="1:31" ht="19.5">
      <c r="A182" s="20"/>
      <c r="B182" s="20"/>
      <c r="C182" s="20"/>
      <c r="D182" s="20"/>
      <c r="E182" s="20"/>
      <c r="F182" s="20"/>
      <c r="G182" s="124"/>
      <c r="H182" s="20"/>
      <c r="I182" s="20"/>
      <c r="J182" s="20"/>
      <c r="K182" s="124"/>
      <c r="L182" s="127"/>
      <c r="M182" s="20"/>
      <c r="N182" s="20"/>
      <c r="O182" s="20"/>
      <c r="P182" s="124"/>
      <c r="Q182" s="127"/>
      <c r="R182" s="20"/>
      <c r="S182" s="20"/>
      <c r="T182" s="20"/>
      <c r="U182" s="124"/>
      <c r="V182" s="127"/>
      <c r="W182" s="20"/>
      <c r="X182" s="20"/>
      <c r="Y182" s="20"/>
      <c r="Z182" s="20"/>
      <c r="AA182" s="20"/>
      <c r="AB182" s="20"/>
      <c r="AC182" s="20"/>
      <c r="AD182" s="20"/>
      <c r="AE182" s="20"/>
    </row>
    <row r="183" spans="1:31" ht="19.5">
      <c r="A183" s="20"/>
      <c r="B183" s="20"/>
      <c r="C183" s="20"/>
      <c r="D183" s="20"/>
      <c r="E183" s="20"/>
      <c r="F183" s="20"/>
      <c r="G183" s="124"/>
      <c r="H183" s="20"/>
      <c r="I183" s="20"/>
      <c r="J183" s="20"/>
      <c r="K183" s="124"/>
      <c r="L183" s="127"/>
      <c r="M183" s="20"/>
      <c r="N183" s="20"/>
      <c r="O183" s="20"/>
      <c r="P183" s="124"/>
      <c r="Q183" s="127"/>
      <c r="R183" s="20"/>
      <c r="S183" s="20"/>
      <c r="T183" s="20"/>
      <c r="U183" s="124"/>
      <c r="V183" s="127"/>
      <c r="W183" s="20"/>
      <c r="X183" s="20"/>
      <c r="Y183" s="20"/>
      <c r="Z183" s="20"/>
      <c r="AA183" s="20"/>
      <c r="AB183" s="20"/>
      <c r="AC183" s="20"/>
      <c r="AD183" s="20"/>
      <c r="AE183" s="20"/>
    </row>
    <row r="184" spans="1:31" ht="19.5">
      <c r="A184" s="20"/>
      <c r="B184" s="20"/>
      <c r="C184" s="20"/>
      <c r="D184" s="20"/>
      <c r="E184" s="20"/>
      <c r="F184" s="20"/>
      <c r="G184" s="124"/>
      <c r="H184" s="20"/>
      <c r="I184" s="20"/>
      <c r="J184" s="20"/>
      <c r="K184" s="124"/>
      <c r="L184" s="127"/>
      <c r="M184" s="20"/>
      <c r="N184" s="20"/>
      <c r="O184" s="20"/>
      <c r="P184" s="124"/>
      <c r="Q184" s="127"/>
      <c r="R184" s="20"/>
      <c r="S184" s="20"/>
      <c r="T184" s="20"/>
      <c r="U184" s="124"/>
      <c r="V184" s="127"/>
      <c r="W184" s="20"/>
      <c r="X184" s="20"/>
      <c r="Y184" s="20"/>
      <c r="Z184" s="20"/>
      <c r="AA184" s="20"/>
      <c r="AB184" s="20"/>
      <c r="AC184" s="20"/>
      <c r="AD184" s="20"/>
      <c r="AE184" s="20"/>
    </row>
    <row r="185" spans="1:31" ht="19.5">
      <c r="A185" s="20"/>
      <c r="B185" s="20"/>
      <c r="C185" s="20"/>
      <c r="D185" s="20"/>
      <c r="E185" s="20"/>
      <c r="F185" s="20"/>
      <c r="G185" s="124"/>
      <c r="H185" s="20"/>
      <c r="I185" s="20"/>
      <c r="J185" s="20"/>
      <c r="K185" s="124"/>
      <c r="L185" s="127"/>
      <c r="M185" s="20"/>
      <c r="N185" s="20"/>
      <c r="O185" s="20"/>
      <c r="P185" s="124"/>
      <c r="Q185" s="127"/>
      <c r="R185" s="20"/>
      <c r="S185" s="20"/>
      <c r="T185" s="20"/>
      <c r="U185" s="124"/>
      <c r="V185" s="127"/>
      <c r="W185" s="20"/>
      <c r="X185" s="20"/>
      <c r="Y185" s="20"/>
      <c r="Z185" s="20"/>
      <c r="AA185" s="20"/>
      <c r="AB185" s="20"/>
      <c r="AC185" s="20"/>
      <c r="AD185" s="20"/>
      <c r="AE185" s="20"/>
    </row>
    <row r="186" spans="1:31" ht="19.5">
      <c r="A186" s="20"/>
      <c r="B186" s="20"/>
      <c r="C186" s="20"/>
      <c r="D186" s="20"/>
      <c r="E186" s="20"/>
      <c r="F186" s="20"/>
      <c r="G186" s="124"/>
      <c r="H186" s="20"/>
      <c r="I186" s="20"/>
      <c r="J186" s="20"/>
      <c r="K186" s="124"/>
      <c r="L186" s="127"/>
      <c r="M186" s="20"/>
      <c r="N186" s="20"/>
      <c r="O186" s="20"/>
      <c r="P186" s="124"/>
      <c r="Q186" s="127"/>
      <c r="R186" s="20"/>
      <c r="S186" s="20"/>
      <c r="T186" s="20"/>
      <c r="U186" s="124"/>
      <c r="V186" s="127"/>
      <c r="W186" s="20"/>
      <c r="X186" s="20"/>
      <c r="Y186" s="20"/>
      <c r="Z186" s="20"/>
      <c r="AA186" s="20"/>
      <c r="AB186" s="20"/>
      <c r="AC186" s="20"/>
      <c r="AD186" s="20"/>
      <c r="AE186" s="20"/>
    </row>
    <row r="187" spans="1:31" ht="19.5">
      <c r="A187" s="20"/>
      <c r="B187" s="20"/>
      <c r="C187" s="20"/>
      <c r="D187" s="20"/>
      <c r="E187" s="20"/>
      <c r="F187" s="20"/>
      <c r="G187" s="124"/>
      <c r="H187" s="20"/>
      <c r="I187" s="20"/>
      <c r="J187" s="20"/>
      <c r="K187" s="124"/>
      <c r="L187" s="127"/>
      <c r="M187" s="20"/>
      <c r="N187" s="20"/>
      <c r="O187" s="20"/>
      <c r="P187" s="124"/>
      <c r="Q187" s="127"/>
      <c r="R187" s="20"/>
      <c r="S187" s="20"/>
      <c r="T187" s="20"/>
      <c r="U187" s="124"/>
      <c r="V187" s="127"/>
      <c r="W187" s="20"/>
      <c r="X187" s="20"/>
      <c r="Y187" s="20"/>
      <c r="Z187" s="20"/>
      <c r="AA187" s="20"/>
      <c r="AB187" s="20"/>
      <c r="AC187" s="20"/>
      <c r="AD187" s="20"/>
      <c r="AE187" s="20"/>
    </row>
    <row r="188" spans="1:31" ht="19.5">
      <c r="A188" s="20"/>
      <c r="B188" s="20"/>
      <c r="C188" s="20"/>
      <c r="D188" s="20"/>
      <c r="E188" s="20"/>
      <c r="F188" s="20"/>
      <c r="G188" s="124"/>
      <c r="H188" s="20"/>
      <c r="I188" s="20"/>
      <c r="J188" s="20"/>
      <c r="K188" s="124"/>
      <c r="L188" s="127"/>
      <c r="M188" s="20"/>
      <c r="N188" s="20"/>
      <c r="O188" s="20"/>
      <c r="P188" s="124"/>
      <c r="Q188" s="127"/>
      <c r="R188" s="20"/>
      <c r="S188" s="20"/>
      <c r="T188" s="20"/>
      <c r="U188" s="124"/>
      <c r="V188" s="127"/>
      <c r="W188" s="20"/>
      <c r="X188" s="20"/>
      <c r="Y188" s="20"/>
      <c r="Z188" s="20"/>
      <c r="AA188" s="20"/>
      <c r="AB188" s="20"/>
      <c r="AC188" s="20"/>
      <c r="AD188" s="20"/>
      <c r="AE188" s="20"/>
    </row>
    <row r="189" spans="1:31" ht="19.5">
      <c r="A189" s="20"/>
      <c r="B189" s="20"/>
      <c r="C189" s="20"/>
      <c r="D189" s="20"/>
      <c r="E189" s="20"/>
      <c r="F189" s="20"/>
      <c r="G189" s="124"/>
      <c r="H189" s="20"/>
      <c r="I189" s="20"/>
      <c r="J189" s="20"/>
      <c r="K189" s="124"/>
      <c r="L189" s="127"/>
      <c r="M189" s="20"/>
      <c r="N189" s="20"/>
      <c r="O189" s="20"/>
      <c r="P189" s="124"/>
      <c r="Q189" s="127"/>
      <c r="R189" s="20"/>
      <c r="S189" s="20"/>
      <c r="T189" s="20"/>
      <c r="U189" s="124"/>
      <c r="V189" s="127"/>
      <c r="W189" s="20"/>
      <c r="X189" s="20"/>
      <c r="Y189" s="20"/>
      <c r="Z189" s="20"/>
      <c r="AA189" s="20"/>
      <c r="AB189" s="20"/>
      <c r="AC189" s="20"/>
      <c r="AD189" s="20"/>
      <c r="AE189" s="20"/>
    </row>
    <row r="190" spans="1:31" ht="19.5">
      <c r="A190" s="20"/>
      <c r="B190" s="20"/>
      <c r="C190" s="20"/>
      <c r="D190" s="20"/>
      <c r="E190" s="20"/>
      <c r="F190" s="20"/>
      <c r="G190" s="124"/>
      <c r="H190" s="20"/>
      <c r="I190" s="20"/>
      <c r="J190" s="20"/>
      <c r="K190" s="124"/>
      <c r="L190" s="127"/>
      <c r="M190" s="20"/>
      <c r="N190" s="20"/>
      <c r="O190" s="20"/>
      <c r="P190" s="124"/>
      <c r="Q190" s="127"/>
      <c r="R190" s="20"/>
      <c r="S190" s="20"/>
      <c r="T190" s="20"/>
      <c r="U190" s="124"/>
      <c r="V190" s="127"/>
      <c r="W190" s="20"/>
      <c r="X190" s="20"/>
      <c r="Y190" s="20"/>
      <c r="Z190" s="20"/>
      <c r="AA190" s="20"/>
      <c r="AB190" s="20"/>
      <c r="AC190" s="20"/>
      <c r="AD190" s="20"/>
      <c r="AE190" s="20"/>
    </row>
    <row r="191" spans="1:31" ht="19.5">
      <c r="A191" s="20"/>
      <c r="B191" s="20"/>
      <c r="C191" s="20"/>
      <c r="D191" s="20"/>
      <c r="E191" s="20"/>
      <c r="F191" s="20"/>
      <c r="G191" s="124"/>
      <c r="H191" s="20"/>
      <c r="I191" s="20"/>
      <c r="J191" s="20"/>
      <c r="K191" s="124"/>
      <c r="L191" s="127"/>
      <c r="M191" s="20"/>
      <c r="N191" s="20"/>
      <c r="O191" s="20"/>
      <c r="P191" s="124"/>
      <c r="Q191" s="127"/>
      <c r="R191" s="20"/>
      <c r="S191" s="20"/>
      <c r="T191" s="20"/>
      <c r="U191" s="124"/>
      <c r="V191" s="127"/>
      <c r="W191" s="20"/>
      <c r="X191" s="20"/>
      <c r="Y191" s="20"/>
      <c r="Z191" s="20"/>
      <c r="AA191" s="20"/>
      <c r="AB191" s="20"/>
      <c r="AC191" s="20"/>
      <c r="AD191" s="20"/>
      <c r="AE191" s="20"/>
    </row>
    <row r="192" spans="1:31" ht="19.5">
      <c r="A192" s="20"/>
      <c r="B192" s="20"/>
      <c r="C192" s="20"/>
      <c r="D192" s="20"/>
      <c r="E192" s="20"/>
      <c r="F192" s="20"/>
      <c r="G192" s="124"/>
      <c r="H192" s="20"/>
      <c r="I192" s="20"/>
      <c r="J192" s="20"/>
      <c r="K192" s="124"/>
      <c r="L192" s="127"/>
      <c r="M192" s="20"/>
      <c r="N192" s="20"/>
      <c r="O192" s="20"/>
      <c r="P192" s="124"/>
      <c r="Q192" s="127"/>
      <c r="R192" s="20"/>
      <c r="S192" s="20"/>
      <c r="T192" s="20"/>
      <c r="U192" s="124"/>
      <c r="V192" s="127"/>
      <c r="W192" s="20"/>
      <c r="X192" s="20"/>
      <c r="Y192" s="20"/>
      <c r="Z192" s="20"/>
      <c r="AA192" s="20"/>
      <c r="AB192" s="20"/>
      <c r="AC192" s="20"/>
      <c r="AD192" s="20"/>
      <c r="AE192" s="20"/>
    </row>
    <row r="193" spans="1:31" ht="19.5">
      <c r="A193" s="20"/>
      <c r="B193" s="20"/>
      <c r="C193" s="20"/>
      <c r="D193" s="20"/>
      <c r="E193" s="20"/>
      <c r="F193" s="20"/>
      <c r="G193" s="124"/>
      <c r="H193" s="20"/>
      <c r="I193" s="20"/>
      <c r="J193" s="20"/>
      <c r="K193" s="124"/>
      <c r="L193" s="127"/>
      <c r="M193" s="20"/>
      <c r="N193" s="20"/>
      <c r="O193" s="20"/>
      <c r="P193" s="124"/>
      <c r="Q193" s="127"/>
      <c r="R193" s="20"/>
      <c r="S193" s="20"/>
      <c r="T193" s="20"/>
      <c r="U193" s="124"/>
      <c r="V193" s="127"/>
      <c r="W193" s="20"/>
      <c r="X193" s="20"/>
      <c r="Y193" s="20"/>
      <c r="Z193" s="20"/>
      <c r="AA193" s="20"/>
      <c r="AB193" s="20"/>
      <c r="AC193" s="20"/>
      <c r="AD193" s="20"/>
      <c r="AE193" s="20"/>
    </row>
    <row r="194" spans="1:31" ht="19.5">
      <c r="A194" s="20"/>
      <c r="B194" s="20"/>
      <c r="C194" s="20"/>
      <c r="D194" s="20"/>
      <c r="E194" s="20"/>
      <c r="F194" s="20"/>
      <c r="G194" s="124"/>
      <c r="H194" s="20"/>
      <c r="I194" s="20"/>
      <c r="J194" s="20"/>
      <c r="K194" s="124"/>
      <c r="L194" s="127"/>
      <c r="M194" s="20"/>
      <c r="N194" s="20"/>
      <c r="O194" s="20"/>
      <c r="P194" s="124"/>
      <c r="Q194" s="127"/>
      <c r="R194" s="20"/>
      <c r="S194" s="20"/>
      <c r="T194" s="20"/>
      <c r="U194" s="124"/>
      <c r="V194" s="127"/>
      <c r="W194" s="20"/>
      <c r="X194" s="20"/>
      <c r="Y194" s="20"/>
      <c r="Z194" s="20"/>
      <c r="AA194" s="20"/>
      <c r="AB194" s="20"/>
      <c r="AC194" s="20"/>
      <c r="AD194" s="20"/>
      <c r="AE194" s="20"/>
    </row>
    <row r="195" spans="1:31" ht="19.5">
      <c r="A195" s="20"/>
      <c r="B195" s="20"/>
      <c r="C195" s="20"/>
      <c r="D195" s="20"/>
      <c r="E195" s="20"/>
      <c r="F195" s="20"/>
      <c r="G195" s="124"/>
      <c r="H195" s="20"/>
      <c r="I195" s="20"/>
      <c r="J195" s="20"/>
      <c r="K195" s="124"/>
      <c r="L195" s="127"/>
      <c r="M195" s="20"/>
      <c r="N195" s="20"/>
      <c r="O195" s="20"/>
      <c r="P195" s="124"/>
      <c r="Q195" s="127"/>
      <c r="R195" s="20"/>
      <c r="S195" s="20"/>
      <c r="T195" s="20"/>
      <c r="U195" s="124"/>
      <c r="V195" s="127"/>
      <c r="W195" s="20"/>
      <c r="X195" s="20"/>
      <c r="Y195" s="20"/>
      <c r="Z195" s="20"/>
      <c r="AA195" s="20"/>
      <c r="AB195" s="20"/>
      <c r="AC195" s="20"/>
      <c r="AD195" s="20"/>
      <c r="AE195" s="20"/>
    </row>
    <row r="196" spans="1:31" ht="19.5">
      <c r="A196" s="20"/>
      <c r="B196" s="20"/>
      <c r="C196" s="20"/>
      <c r="D196" s="20"/>
      <c r="E196" s="20"/>
      <c r="F196" s="20"/>
      <c r="G196" s="124"/>
      <c r="H196" s="20"/>
      <c r="I196" s="20"/>
      <c r="J196" s="20"/>
      <c r="K196" s="124"/>
      <c r="L196" s="127"/>
      <c r="M196" s="20"/>
      <c r="N196" s="20"/>
      <c r="O196" s="20"/>
      <c r="P196" s="124"/>
      <c r="Q196" s="127"/>
      <c r="R196" s="20"/>
      <c r="S196" s="20"/>
      <c r="T196" s="20"/>
      <c r="U196" s="124"/>
      <c r="V196" s="127"/>
      <c r="W196" s="20"/>
      <c r="X196" s="20"/>
      <c r="Y196" s="20"/>
      <c r="Z196" s="20"/>
      <c r="AA196" s="20"/>
      <c r="AB196" s="20"/>
      <c r="AC196" s="20"/>
      <c r="AD196" s="20"/>
      <c r="AE196" s="20"/>
    </row>
    <row r="197" spans="1:31" ht="19.5">
      <c r="A197" s="20"/>
      <c r="B197" s="20"/>
      <c r="C197" s="20"/>
      <c r="D197" s="20"/>
      <c r="E197" s="20"/>
      <c r="F197" s="20"/>
      <c r="G197" s="124"/>
      <c r="H197" s="20"/>
      <c r="I197" s="20"/>
      <c r="J197" s="20"/>
      <c r="K197" s="124"/>
      <c r="L197" s="127"/>
      <c r="M197" s="20"/>
      <c r="N197" s="20"/>
      <c r="O197" s="20"/>
      <c r="P197" s="124"/>
      <c r="Q197" s="127"/>
      <c r="R197" s="20"/>
      <c r="S197" s="20"/>
      <c r="T197" s="20"/>
      <c r="U197" s="124"/>
      <c r="V197" s="127"/>
      <c r="W197" s="20"/>
      <c r="X197" s="20"/>
      <c r="Y197" s="20"/>
      <c r="Z197" s="20"/>
      <c r="AA197" s="20"/>
      <c r="AB197" s="20"/>
      <c r="AC197" s="20"/>
      <c r="AD197" s="20"/>
      <c r="AE197" s="20"/>
    </row>
    <row r="198" spans="1:31" ht="19.5">
      <c r="A198" s="20"/>
      <c r="B198" s="20"/>
      <c r="C198" s="20"/>
      <c r="D198" s="20"/>
      <c r="E198" s="20"/>
      <c r="F198" s="20"/>
      <c r="G198" s="124"/>
      <c r="H198" s="20"/>
      <c r="I198" s="20"/>
      <c r="J198" s="20"/>
      <c r="K198" s="124"/>
      <c r="L198" s="127"/>
      <c r="M198" s="20"/>
      <c r="N198" s="20"/>
      <c r="O198" s="20"/>
      <c r="P198" s="124"/>
      <c r="Q198" s="127"/>
      <c r="R198" s="20"/>
      <c r="S198" s="20"/>
      <c r="T198" s="20"/>
      <c r="U198" s="124"/>
      <c r="V198" s="127"/>
      <c r="W198" s="20"/>
      <c r="X198" s="20"/>
      <c r="Y198" s="20"/>
      <c r="Z198" s="20"/>
      <c r="AA198" s="20"/>
      <c r="AB198" s="20"/>
      <c r="AC198" s="20"/>
      <c r="AD198" s="20"/>
      <c r="AE198" s="20"/>
    </row>
    <row r="199" spans="1:31" ht="19.5">
      <c r="A199" s="20"/>
      <c r="B199" s="20"/>
      <c r="C199" s="20"/>
      <c r="D199" s="20"/>
      <c r="E199" s="20"/>
      <c r="F199" s="20"/>
      <c r="G199" s="124"/>
      <c r="H199" s="20"/>
      <c r="I199" s="20"/>
      <c r="J199" s="20"/>
      <c r="K199" s="124"/>
      <c r="L199" s="127"/>
      <c r="M199" s="20"/>
      <c r="N199" s="20"/>
      <c r="O199" s="20"/>
      <c r="P199" s="124"/>
      <c r="Q199" s="127"/>
      <c r="R199" s="20"/>
      <c r="S199" s="20"/>
      <c r="T199" s="20"/>
      <c r="U199" s="124"/>
      <c r="V199" s="127"/>
      <c r="W199" s="20"/>
      <c r="X199" s="20"/>
      <c r="Y199" s="20"/>
      <c r="Z199" s="20"/>
      <c r="AA199" s="20"/>
      <c r="AB199" s="20"/>
      <c r="AC199" s="20"/>
      <c r="AD199" s="20"/>
      <c r="AE199" s="20"/>
    </row>
    <row r="200" spans="1:31" ht="19.5">
      <c r="A200" s="20"/>
      <c r="B200" s="20"/>
      <c r="C200" s="20"/>
      <c r="D200" s="20"/>
      <c r="E200" s="20"/>
      <c r="F200" s="20"/>
      <c r="G200" s="124"/>
      <c r="H200" s="20"/>
      <c r="I200" s="20"/>
      <c r="J200" s="20"/>
      <c r="K200" s="124"/>
      <c r="L200" s="127"/>
      <c r="M200" s="20"/>
      <c r="N200" s="20"/>
      <c r="O200" s="20"/>
      <c r="P200" s="124"/>
      <c r="Q200" s="127"/>
      <c r="R200" s="20"/>
      <c r="S200" s="20"/>
      <c r="T200" s="20"/>
      <c r="U200" s="124"/>
      <c r="V200" s="127"/>
      <c r="W200" s="20"/>
      <c r="X200" s="20"/>
      <c r="Y200" s="20"/>
      <c r="Z200" s="20"/>
      <c r="AA200" s="20"/>
      <c r="AB200" s="20"/>
      <c r="AC200" s="20"/>
      <c r="AD200" s="20"/>
      <c r="AE200" s="20"/>
    </row>
    <row r="201" spans="1:31" ht="19.5">
      <c r="A201" s="20"/>
      <c r="B201" s="20"/>
      <c r="C201" s="20"/>
      <c r="D201" s="20"/>
      <c r="E201" s="20"/>
      <c r="F201" s="20"/>
      <c r="G201" s="124"/>
      <c r="H201" s="20"/>
      <c r="I201" s="20"/>
      <c r="J201" s="20"/>
      <c r="K201" s="124"/>
      <c r="L201" s="127"/>
      <c r="M201" s="20"/>
      <c r="N201" s="20"/>
      <c r="O201" s="20"/>
      <c r="P201" s="124"/>
      <c r="Q201" s="127"/>
      <c r="R201" s="20"/>
      <c r="S201" s="20"/>
      <c r="T201" s="20"/>
      <c r="U201" s="124"/>
      <c r="V201" s="127"/>
      <c r="W201" s="20"/>
      <c r="X201" s="20"/>
      <c r="Y201" s="20"/>
      <c r="Z201" s="20"/>
      <c r="AA201" s="20"/>
      <c r="AB201" s="20"/>
      <c r="AC201" s="20"/>
      <c r="AD201" s="20"/>
      <c r="AE201" s="20"/>
    </row>
    <row r="202" spans="1:31" ht="19.5">
      <c r="A202" s="20"/>
      <c r="B202" s="20"/>
      <c r="C202" s="20"/>
      <c r="D202" s="20"/>
      <c r="E202" s="20"/>
      <c r="F202" s="20"/>
      <c r="G202" s="124"/>
      <c r="H202" s="20"/>
      <c r="I202" s="20"/>
      <c r="J202" s="20"/>
      <c r="K202" s="124"/>
      <c r="L202" s="127"/>
      <c r="M202" s="20"/>
      <c r="N202" s="20"/>
      <c r="O202" s="20"/>
      <c r="P202" s="124"/>
      <c r="Q202" s="127"/>
      <c r="R202" s="20"/>
      <c r="S202" s="20"/>
      <c r="T202" s="20"/>
      <c r="U202" s="124"/>
      <c r="V202" s="127"/>
      <c r="W202" s="20"/>
      <c r="X202" s="20"/>
      <c r="Y202" s="20"/>
      <c r="Z202" s="20"/>
      <c r="AA202" s="20"/>
      <c r="AB202" s="20"/>
      <c r="AC202" s="20"/>
      <c r="AD202" s="20"/>
      <c r="AE202" s="20"/>
    </row>
    <row r="203" spans="1:31" ht="19.5">
      <c r="A203" s="20"/>
      <c r="B203" s="20"/>
      <c r="C203" s="20"/>
      <c r="D203" s="20"/>
      <c r="E203" s="20"/>
      <c r="F203" s="20"/>
      <c r="G203" s="124"/>
      <c r="H203" s="20"/>
      <c r="I203" s="20"/>
      <c r="J203" s="20"/>
      <c r="K203" s="124"/>
      <c r="L203" s="127"/>
      <c r="M203" s="20"/>
      <c r="N203" s="20"/>
      <c r="O203" s="20"/>
      <c r="P203" s="124"/>
      <c r="Q203" s="127"/>
      <c r="R203" s="20"/>
      <c r="S203" s="20"/>
      <c r="T203" s="20"/>
      <c r="U203" s="124"/>
      <c r="V203" s="127"/>
      <c r="W203" s="20"/>
      <c r="X203" s="20"/>
      <c r="Y203" s="20"/>
      <c r="Z203" s="20"/>
      <c r="AA203" s="20"/>
      <c r="AB203" s="20"/>
      <c r="AC203" s="20"/>
      <c r="AD203" s="20"/>
      <c r="AE203" s="20"/>
    </row>
    <row r="204" spans="1:31" ht="19.5">
      <c r="A204" s="20"/>
      <c r="B204" s="20"/>
      <c r="C204" s="20"/>
      <c r="D204" s="20"/>
      <c r="E204" s="20"/>
      <c r="F204" s="20"/>
      <c r="G204" s="124"/>
      <c r="H204" s="20"/>
      <c r="I204" s="20"/>
      <c r="J204" s="20"/>
      <c r="K204" s="124"/>
      <c r="L204" s="127"/>
      <c r="M204" s="20"/>
      <c r="N204" s="20"/>
      <c r="O204" s="20"/>
      <c r="P204" s="124"/>
      <c r="Q204" s="127"/>
      <c r="R204" s="20"/>
      <c r="S204" s="20"/>
      <c r="T204" s="20"/>
      <c r="U204" s="124"/>
      <c r="V204" s="127"/>
      <c r="W204" s="20"/>
      <c r="X204" s="20"/>
      <c r="Y204" s="20"/>
      <c r="Z204" s="20"/>
      <c r="AA204" s="20"/>
      <c r="AB204" s="20"/>
      <c r="AC204" s="20"/>
      <c r="AD204" s="20"/>
      <c r="AE204" s="20"/>
    </row>
    <row r="205" spans="1:31" ht="19.5">
      <c r="A205" s="20"/>
      <c r="B205" s="20"/>
      <c r="C205" s="20"/>
      <c r="D205" s="20"/>
      <c r="E205" s="20"/>
      <c r="F205" s="20"/>
      <c r="G205" s="124"/>
      <c r="H205" s="20"/>
      <c r="I205" s="20"/>
      <c r="J205" s="20"/>
      <c r="K205" s="124"/>
      <c r="L205" s="127"/>
      <c r="M205" s="20"/>
      <c r="N205" s="20"/>
      <c r="O205" s="20"/>
      <c r="P205" s="124"/>
      <c r="Q205" s="127"/>
      <c r="R205" s="20"/>
      <c r="S205" s="20"/>
      <c r="T205" s="20"/>
      <c r="U205" s="124"/>
      <c r="V205" s="127"/>
      <c r="W205" s="20"/>
      <c r="X205" s="20"/>
      <c r="Y205" s="20"/>
      <c r="Z205" s="20"/>
      <c r="AA205" s="20"/>
      <c r="AB205" s="20"/>
      <c r="AC205" s="20"/>
      <c r="AD205" s="20"/>
      <c r="AE205" s="20"/>
    </row>
    <row r="206" spans="1:31" ht="19.5">
      <c r="A206" s="20"/>
      <c r="B206" s="20"/>
      <c r="C206" s="20"/>
      <c r="D206" s="20"/>
      <c r="E206" s="20"/>
      <c r="F206" s="20"/>
      <c r="G206" s="124"/>
      <c r="H206" s="20"/>
      <c r="I206" s="20"/>
      <c r="J206" s="20"/>
      <c r="K206" s="124"/>
      <c r="L206" s="127"/>
      <c r="M206" s="20"/>
      <c r="N206" s="20"/>
      <c r="O206" s="20"/>
      <c r="P206" s="124"/>
      <c r="Q206" s="127"/>
      <c r="R206" s="20"/>
      <c r="S206" s="20"/>
      <c r="T206" s="20"/>
      <c r="U206" s="124"/>
      <c r="V206" s="127"/>
      <c r="W206" s="20"/>
      <c r="X206" s="20"/>
      <c r="Y206" s="20"/>
      <c r="Z206" s="20"/>
      <c r="AA206" s="20"/>
      <c r="AB206" s="20"/>
      <c r="AC206" s="20"/>
      <c r="AD206" s="20"/>
      <c r="AE206" s="20"/>
    </row>
    <row r="207" spans="1:31" ht="19.5">
      <c r="A207" s="20"/>
      <c r="B207" s="20"/>
      <c r="C207" s="20"/>
      <c r="D207" s="20"/>
      <c r="E207" s="20"/>
      <c r="F207" s="20"/>
      <c r="G207" s="124"/>
      <c r="H207" s="20"/>
      <c r="I207" s="20"/>
      <c r="J207" s="20"/>
      <c r="K207" s="124"/>
      <c r="L207" s="127"/>
      <c r="M207" s="20"/>
      <c r="N207" s="20"/>
      <c r="O207" s="20"/>
      <c r="P207" s="124"/>
      <c r="Q207" s="127"/>
      <c r="R207" s="20"/>
      <c r="S207" s="20"/>
      <c r="T207" s="20"/>
      <c r="U207" s="124"/>
      <c r="V207" s="127"/>
      <c r="W207" s="20"/>
      <c r="X207" s="20"/>
      <c r="Y207" s="20"/>
      <c r="Z207" s="20"/>
      <c r="AA207" s="20"/>
      <c r="AB207" s="20"/>
      <c r="AC207" s="20"/>
      <c r="AD207" s="20"/>
      <c r="AE207" s="20"/>
    </row>
    <row r="208" spans="1:31" ht="19.5">
      <c r="A208" s="20"/>
      <c r="B208" s="20"/>
      <c r="C208" s="20"/>
      <c r="D208" s="20"/>
      <c r="E208" s="20"/>
      <c r="F208" s="20"/>
      <c r="G208" s="124"/>
      <c r="H208" s="20"/>
      <c r="I208" s="20"/>
      <c r="J208" s="20"/>
      <c r="K208" s="124"/>
      <c r="L208" s="127"/>
      <c r="M208" s="20"/>
      <c r="N208" s="20"/>
      <c r="O208" s="20"/>
      <c r="P208" s="124"/>
      <c r="Q208" s="127"/>
      <c r="R208" s="20"/>
      <c r="S208" s="20"/>
      <c r="T208" s="20"/>
      <c r="U208" s="124"/>
      <c r="V208" s="127"/>
      <c r="W208" s="20"/>
      <c r="X208" s="20"/>
      <c r="Y208" s="20"/>
      <c r="Z208" s="20"/>
      <c r="AA208" s="20"/>
      <c r="AB208" s="20"/>
      <c r="AC208" s="20"/>
      <c r="AD208" s="20"/>
      <c r="AE208" s="20"/>
    </row>
    <row r="209" spans="1:31" ht="19.5">
      <c r="A209" s="20"/>
      <c r="B209" s="20"/>
      <c r="C209" s="20"/>
      <c r="D209" s="20"/>
      <c r="E209" s="20"/>
      <c r="F209" s="20"/>
      <c r="G209" s="124"/>
      <c r="H209" s="20"/>
      <c r="I209" s="20"/>
      <c r="J209" s="20"/>
      <c r="K209" s="124"/>
      <c r="L209" s="127"/>
      <c r="M209" s="20"/>
      <c r="N209" s="20"/>
      <c r="O209" s="20"/>
      <c r="P209" s="124"/>
      <c r="Q209" s="127"/>
      <c r="R209" s="20"/>
      <c r="S209" s="20"/>
      <c r="T209" s="20"/>
      <c r="U209" s="124"/>
      <c r="V209" s="127"/>
      <c r="W209" s="20"/>
      <c r="X209" s="20"/>
      <c r="Y209" s="20"/>
      <c r="Z209" s="20"/>
      <c r="AA209" s="20"/>
      <c r="AB209" s="20"/>
      <c r="AC209" s="20"/>
      <c r="AD209" s="20"/>
      <c r="AE209" s="20"/>
    </row>
    <row r="210" spans="1:31" ht="19.5">
      <c r="A210" s="20"/>
      <c r="B210" s="20"/>
      <c r="C210" s="20"/>
      <c r="D210" s="20"/>
      <c r="E210" s="20"/>
      <c r="F210" s="20"/>
      <c r="G210" s="124"/>
      <c r="H210" s="20"/>
      <c r="I210" s="20"/>
      <c r="J210" s="20"/>
      <c r="K210" s="124"/>
      <c r="L210" s="127"/>
      <c r="M210" s="20"/>
      <c r="N210" s="20"/>
      <c r="O210" s="20"/>
      <c r="P210" s="124"/>
      <c r="Q210" s="127"/>
      <c r="R210" s="20"/>
      <c r="S210" s="20"/>
      <c r="T210" s="20"/>
      <c r="U210" s="124"/>
      <c r="V210" s="127"/>
      <c r="W210" s="20"/>
      <c r="X210" s="20"/>
      <c r="Y210" s="20"/>
      <c r="Z210" s="20"/>
      <c r="AA210" s="20"/>
      <c r="AB210" s="20"/>
      <c r="AC210" s="20"/>
      <c r="AD210" s="20"/>
      <c r="AE210" s="20"/>
    </row>
    <row r="211" spans="1:31" ht="19.5">
      <c r="A211" s="20"/>
      <c r="B211" s="20"/>
      <c r="C211" s="20"/>
      <c r="D211" s="20"/>
      <c r="E211" s="20"/>
      <c r="F211" s="20"/>
      <c r="G211" s="124"/>
      <c r="H211" s="20"/>
      <c r="I211" s="20"/>
      <c r="J211" s="20"/>
      <c r="K211" s="124"/>
      <c r="L211" s="127"/>
      <c r="M211" s="20"/>
      <c r="N211" s="20"/>
      <c r="O211" s="20"/>
      <c r="P211" s="124"/>
      <c r="Q211" s="127"/>
      <c r="R211" s="20"/>
      <c r="S211" s="20"/>
      <c r="T211" s="20"/>
      <c r="U211" s="124"/>
      <c r="V211" s="127"/>
      <c r="W211" s="20"/>
      <c r="X211" s="20"/>
      <c r="Y211" s="20"/>
      <c r="Z211" s="20"/>
      <c r="AA211" s="20"/>
      <c r="AB211" s="20"/>
      <c r="AC211" s="20"/>
      <c r="AD211" s="20"/>
      <c r="AE211" s="20"/>
    </row>
    <row r="212" spans="1:31" ht="19.5">
      <c r="A212" s="20"/>
      <c r="B212" s="20"/>
      <c r="C212" s="20"/>
      <c r="D212" s="20"/>
      <c r="E212" s="20"/>
      <c r="F212" s="20"/>
      <c r="G212" s="124"/>
      <c r="H212" s="20"/>
      <c r="I212" s="20"/>
      <c r="J212" s="20"/>
      <c r="K212" s="124"/>
      <c r="L212" s="127"/>
      <c r="M212" s="20"/>
      <c r="N212" s="20"/>
      <c r="O212" s="20"/>
      <c r="P212" s="124"/>
      <c r="Q212" s="127"/>
      <c r="R212" s="20"/>
      <c r="S212" s="20"/>
      <c r="T212" s="20"/>
      <c r="U212" s="124"/>
      <c r="V212" s="127"/>
      <c r="W212" s="20"/>
      <c r="X212" s="20"/>
      <c r="Y212" s="20"/>
      <c r="Z212" s="20"/>
      <c r="AA212" s="20"/>
      <c r="AB212" s="20"/>
      <c r="AC212" s="20"/>
      <c r="AD212" s="20"/>
      <c r="AE212" s="20"/>
    </row>
    <row r="213" spans="1:31" ht="19.5">
      <c r="A213" s="20"/>
      <c r="B213" s="20"/>
      <c r="C213" s="20"/>
      <c r="D213" s="20"/>
      <c r="E213" s="20"/>
      <c r="F213" s="20"/>
      <c r="G213" s="124"/>
      <c r="H213" s="20"/>
      <c r="I213" s="20"/>
      <c r="J213" s="20"/>
      <c r="K213" s="124"/>
      <c r="L213" s="127"/>
      <c r="M213" s="20"/>
      <c r="N213" s="20"/>
      <c r="O213" s="20"/>
      <c r="P213" s="124"/>
      <c r="Q213" s="127"/>
      <c r="R213" s="20"/>
      <c r="S213" s="20"/>
      <c r="T213" s="20"/>
      <c r="U213" s="124"/>
      <c r="V213" s="127"/>
      <c r="W213" s="20"/>
      <c r="X213" s="20"/>
      <c r="Y213" s="20"/>
      <c r="Z213" s="20"/>
      <c r="AA213" s="20"/>
      <c r="AB213" s="20"/>
      <c r="AC213" s="20"/>
      <c r="AD213" s="20"/>
      <c r="AE213" s="20"/>
    </row>
    <row r="214" spans="1:31" ht="19.5">
      <c r="A214" s="20"/>
      <c r="B214" s="20"/>
      <c r="C214" s="20"/>
      <c r="D214" s="20"/>
      <c r="E214" s="20"/>
      <c r="F214" s="20"/>
      <c r="G214" s="124"/>
      <c r="H214" s="20"/>
      <c r="I214" s="20"/>
      <c r="J214" s="20"/>
      <c r="K214" s="124"/>
      <c r="L214" s="127"/>
      <c r="M214" s="20"/>
      <c r="N214" s="20"/>
      <c r="O214" s="20"/>
      <c r="P214" s="124"/>
      <c r="Q214" s="127"/>
      <c r="R214" s="20"/>
      <c r="S214" s="20"/>
      <c r="T214" s="20"/>
      <c r="U214" s="124"/>
      <c r="V214" s="127"/>
      <c r="W214" s="20"/>
      <c r="X214" s="20"/>
      <c r="Y214" s="20"/>
      <c r="Z214" s="20"/>
      <c r="AA214" s="20"/>
      <c r="AB214" s="20"/>
      <c r="AC214" s="20"/>
      <c r="AD214" s="20"/>
      <c r="AE214" s="20"/>
    </row>
    <row r="215" spans="1:31" ht="19.5">
      <c r="A215" s="20"/>
      <c r="B215" s="20"/>
      <c r="C215" s="20"/>
      <c r="D215" s="20"/>
      <c r="E215" s="20"/>
      <c r="F215" s="20"/>
      <c r="G215" s="124"/>
      <c r="H215" s="20"/>
      <c r="I215" s="20"/>
      <c r="J215" s="20"/>
      <c r="K215" s="124"/>
      <c r="L215" s="127"/>
      <c r="M215" s="20"/>
      <c r="N215" s="20"/>
      <c r="O215" s="20"/>
      <c r="P215" s="124"/>
      <c r="Q215" s="127"/>
      <c r="R215" s="20"/>
      <c r="S215" s="20"/>
      <c r="T215" s="20"/>
      <c r="U215" s="124"/>
      <c r="V215" s="127"/>
      <c r="W215" s="20"/>
      <c r="X215" s="20"/>
      <c r="Y215" s="20"/>
      <c r="Z215" s="20"/>
      <c r="AA215" s="20"/>
      <c r="AB215" s="20"/>
      <c r="AC215" s="20"/>
      <c r="AD215" s="20"/>
      <c r="AE215" s="20"/>
    </row>
    <row r="216" spans="1:31" ht="19.5">
      <c r="A216" s="20"/>
      <c r="B216" s="20"/>
      <c r="C216" s="20"/>
      <c r="D216" s="20"/>
      <c r="E216" s="20"/>
      <c r="F216" s="20"/>
      <c r="G216" s="124"/>
      <c r="H216" s="20"/>
      <c r="I216" s="20"/>
      <c r="J216" s="20"/>
      <c r="K216" s="124"/>
      <c r="L216" s="127"/>
      <c r="M216" s="20"/>
      <c r="N216" s="20"/>
      <c r="O216" s="20"/>
      <c r="P216" s="124"/>
      <c r="Q216" s="127"/>
      <c r="R216" s="20"/>
      <c r="S216" s="20"/>
      <c r="T216" s="20"/>
      <c r="U216" s="124"/>
      <c r="V216" s="127"/>
      <c r="W216" s="20"/>
      <c r="X216" s="20"/>
      <c r="Y216" s="20"/>
      <c r="Z216" s="20"/>
      <c r="AA216" s="20"/>
      <c r="AB216" s="20"/>
      <c r="AC216" s="20"/>
      <c r="AD216" s="20"/>
      <c r="AE216" s="20"/>
    </row>
    <row r="217" spans="1:31" ht="19.5">
      <c r="A217" s="20"/>
      <c r="B217" s="20"/>
      <c r="C217" s="20"/>
      <c r="D217" s="20"/>
      <c r="E217" s="20"/>
      <c r="F217" s="20"/>
      <c r="G217" s="124"/>
      <c r="H217" s="20"/>
      <c r="I217" s="20"/>
      <c r="J217" s="20"/>
      <c r="K217" s="124"/>
      <c r="L217" s="127"/>
      <c r="M217" s="20"/>
      <c r="N217" s="20"/>
      <c r="O217" s="20"/>
      <c r="P217" s="124"/>
      <c r="Q217" s="127"/>
      <c r="R217" s="20"/>
      <c r="S217" s="20"/>
      <c r="T217" s="20"/>
      <c r="U217" s="124"/>
      <c r="V217" s="127"/>
      <c r="W217" s="20"/>
      <c r="X217" s="20"/>
      <c r="Y217" s="20"/>
      <c r="Z217" s="20"/>
      <c r="AA217" s="20"/>
      <c r="AB217" s="20"/>
      <c r="AC217" s="20"/>
      <c r="AD217" s="20"/>
      <c r="AE217" s="20"/>
    </row>
    <row r="218" spans="1:31" ht="19.5">
      <c r="A218" s="20"/>
      <c r="B218" s="20"/>
      <c r="C218" s="20"/>
      <c r="D218" s="20"/>
      <c r="E218" s="20"/>
      <c r="F218" s="20"/>
      <c r="G218" s="124"/>
      <c r="H218" s="20"/>
      <c r="I218" s="20"/>
      <c r="J218" s="20"/>
      <c r="K218" s="124"/>
      <c r="L218" s="127"/>
      <c r="M218" s="20"/>
      <c r="N218" s="20"/>
      <c r="O218" s="20"/>
      <c r="P218" s="124"/>
      <c r="Q218" s="127"/>
      <c r="R218" s="20"/>
      <c r="S218" s="20"/>
      <c r="T218" s="20"/>
      <c r="U218" s="124"/>
      <c r="V218" s="127"/>
      <c r="W218" s="20"/>
      <c r="X218" s="20"/>
      <c r="Y218" s="20"/>
      <c r="Z218" s="20"/>
      <c r="AA218" s="20"/>
      <c r="AB218" s="20"/>
      <c r="AC218" s="20"/>
      <c r="AD218" s="20"/>
      <c r="AE218" s="20"/>
    </row>
    <row r="219" spans="1:31" ht="19.5">
      <c r="A219" s="20"/>
      <c r="B219" s="20"/>
      <c r="C219" s="20"/>
      <c r="D219" s="20"/>
      <c r="E219" s="20"/>
      <c r="F219" s="20"/>
      <c r="G219" s="124"/>
      <c r="H219" s="20"/>
      <c r="I219" s="20"/>
      <c r="J219" s="20"/>
      <c r="K219" s="124"/>
      <c r="L219" s="127"/>
      <c r="M219" s="20"/>
      <c r="N219" s="20"/>
      <c r="O219" s="20"/>
      <c r="P219" s="124"/>
      <c r="Q219" s="127"/>
      <c r="R219" s="20"/>
      <c r="S219" s="20"/>
      <c r="T219" s="20"/>
      <c r="U219" s="124"/>
      <c r="V219" s="127"/>
      <c r="W219" s="20"/>
      <c r="X219" s="20"/>
      <c r="Y219" s="20"/>
      <c r="Z219" s="20"/>
      <c r="AA219" s="20"/>
      <c r="AB219" s="20"/>
      <c r="AC219" s="20"/>
      <c r="AD219" s="20"/>
      <c r="AE219" s="20"/>
    </row>
    <row r="220" spans="1:31" ht="19.5">
      <c r="A220" s="20"/>
      <c r="B220" s="20"/>
      <c r="C220" s="20"/>
      <c r="D220" s="20"/>
      <c r="E220" s="20"/>
      <c r="F220" s="20"/>
      <c r="G220" s="124"/>
      <c r="H220" s="20"/>
      <c r="I220" s="20"/>
      <c r="J220" s="20"/>
      <c r="K220" s="124"/>
      <c r="L220" s="127"/>
      <c r="M220" s="20"/>
      <c r="N220" s="20"/>
      <c r="O220" s="20"/>
      <c r="P220" s="124"/>
      <c r="Q220" s="127"/>
      <c r="R220" s="20"/>
      <c r="S220" s="20"/>
      <c r="T220" s="20"/>
      <c r="U220" s="124"/>
      <c r="V220" s="127"/>
      <c r="W220" s="20"/>
      <c r="X220" s="20"/>
      <c r="Y220" s="20"/>
      <c r="Z220" s="20"/>
      <c r="AA220" s="20"/>
      <c r="AB220" s="20"/>
      <c r="AC220" s="20"/>
      <c r="AD220" s="20"/>
      <c r="AE220" s="20"/>
    </row>
    <row r="221" spans="1:31" ht="19.5">
      <c r="A221" s="20"/>
      <c r="B221" s="20"/>
      <c r="C221" s="20"/>
      <c r="D221" s="20"/>
      <c r="E221" s="20"/>
      <c r="F221" s="20"/>
      <c r="G221" s="124"/>
      <c r="H221" s="20"/>
      <c r="I221" s="20"/>
      <c r="J221" s="20"/>
      <c r="K221" s="124"/>
      <c r="L221" s="127"/>
      <c r="M221" s="20"/>
      <c r="N221" s="20"/>
      <c r="O221" s="20"/>
      <c r="P221" s="124"/>
      <c r="Q221" s="127"/>
      <c r="R221" s="20"/>
      <c r="S221" s="20"/>
      <c r="T221" s="20"/>
      <c r="U221" s="124"/>
      <c r="V221" s="127"/>
      <c r="W221" s="20"/>
      <c r="X221" s="20"/>
      <c r="Y221" s="20"/>
      <c r="Z221" s="20"/>
      <c r="AA221" s="20"/>
      <c r="AB221" s="20"/>
      <c r="AC221" s="20"/>
      <c r="AD221" s="20"/>
      <c r="AE221" s="20"/>
    </row>
    <row r="222" spans="1:31" ht="19.5">
      <c r="A222" s="20"/>
      <c r="B222" s="20"/>
      <c r="C222" s="20"/>
      <c r="D222" s="20"/>
      <c r="E222" s="20"/>
      <c r="F222" s="20"/>
      <c r="G222" s="124"/>
      <c r="H222" s="20"/>
      <c r="I222" s="20"/>
      <c r="J222" s="20"/>
      <c r="K222" s="124"/>
      <c r="L222" s="127"/>
      <c r="M222" s="20"/>
      <c r="N222" s="20"/>
      <c r="O222" s="20"/>
      <c r="P222" s="124"/>
      <c r="Q222" s="127"/>
      <c r="R222" s="20"/>
      <c r="S222" s="20"/>
      <c r="T222" s="20"/>
      <c r="U222" s="124"/>
      <c r="V222" s="127"/>
      <c r="W222" s="20"/>
      <c r="X222" s="20"/>
      <c r="Y222" s="20"/>
      <c r="Z222" s="20"/>
      <c r="AA222" s="20"/>
      <c r="AB222" s="20"/>
      <c r="AC222" s="20"/>
      <c r="AD222" s="20"/>
      <c r="AE222" s="20"/>
    </row>
    <row r="223" spans="1:31" ht="19.5">
      <c r="A223" s="20"/>
      <c r="B223" s="20"/>
      <c r="C223" s="20"/>
      <c r="D223" s="20"/>
      <c r="E223" s="20"/>
      <c r="F223" s="20"/>
      <c r="G223" s="124"/>
      <c r="H223" s="20"/>
      <c r="I223" s="20"/>
      <c r="J223" s="20"/>
      <c r="K223" s="124"/>
      <c r="L223" s="127"/>
      <c r="M223" s="20"/>
      <c r="N223" s="20"/>
      <c r="O223" s="20"/>
      <c r="P223" s="124"/>
      <c r="Q223" s="127"/>
      <c r="R223" s="20"/>
      <c r="S223" s="20"/>
      <c r="T223" s="20"/>
      <c r="U223" s="124"/>
      <c r="V223" s="127"/>
      <c r="W223" s="20"/>
      <c r="X223" s="20"/>
      <c r="Y223" s="20"/>
      <c r="Z223" s="20"/>
      <c r="AA223" s="20"/>
      <c r="AB223" s="20"/>
      <c r="AC223" s="20"/>
      <c r="AD223" s="20"/>
      <c r="AE223" s="20"/>
    </row>
    <row r="224" spans="1:31" ht="19.5">
      <c r="A224" s="20"/>
      <c r="B224" s="20"/>
      <c r="C224" s="20"/>
      <c r="D224" s="20"/>
      <c r="E224" s="20"/>
      <c r="F224" s="20"/>
      <c r="G224" s="124"/>
      <c r="H224" s="20"/>
      <c r="I224" s="20"/>
      <c r="J224" s="20"/>
      <c r="K224" s="124"/>
      <c r="L224" s="127"/>
      <c r="M224" s="20"/>
      <c r="N224" s="20"/>
      <c r="O224" s="20"/>
      <c r="P224" s="124"/>
      <c r="Q224" s="127"/>
      <c r="R224" s="20"/>
      <c r="S224" s="20"/>
      <c r="T224" s="20"/>
      <c r="U224" s="124"/>
      <c r="V224" s="127"/>
      <c r="W224" s="20"/>
      <c r="X224" s="20"/>
      <c r="Y224" s="20"/>
      <c r="Z224" s="20"/>
      <c r="AA224" s="20"/>
      <c r="AB224" s="20"/>
      <c r="AC224" s="20"/>
      <c r="AD224" s="20"/>
      <c r="AE224" s="20"/>
    </row>
    <row r="225" spans="1:31" ht="19.5">
      <c r="A225" s="20"/>
      <c r="B225" s="20"/>
      <c r="C225" s="20"/>
      <c r="D225" s="20"/>
      <c r="E225" s="20"/>
      <c r="F225" s="20"/>
      <c r="G225" s="124"/>
      <c r="H225" s="20"/>
      <c r="I225" s="20"/>
      <c r="J225" s="20"/>
      <c r="K225" s="124"/>
      <c r="L225" s="127"/>
      <c r="M225" s="20"/>
      <c r="N225" s="20"/>
      <c r="O225" s="20"/>
      <c r="P225" s="124"/>
      <c r="Q225" s="127"/>
      <c r="R225" s="20"/>
      <c r="S225" s="20"/>
      <c r="T225" s="20"/>
      <c r="U225" s="124"/>
      <c r="V225" s="127"/>
      <c r="W225" s="20"/>
      <c r="X225" s="20"/>
      <c r="Y225" s="20"/>
      <c r="Z225" s="20"/>
      <c r="AA225" s="20"/>
      <c r="AB225" s="20"/>
      <c r="AC225" s="20"/>
      <c r="AD225" s="20"/>
      <c r="AE225" s="20"/>
    </row>
    <row r="226" spans="1:31" ht="19.5">
      <c r="A226" s="20"/>
      <c r="B226" s="20"/>
      <c r="C226" s="20"/>
      <c r="D226" s="20"/>
      <c r="E226" s="20"/>
      <c r="F226" s="20"/>
      <c r="G226" s="124"/>
      <c r="H226" s="20"/>
      <c r="I226" s="20"/>
      <c r="J226" s="20"/>
      <c r="K226" s="124"/>
      <c r="L226" s="127"/>
      <c r="M226" s="20"/>
      <c r="N226" s="20"/>
      <c r="O226" s="20"/>
      <c r="P226" s="124"/>
      <c r="Q226" s="127"/>
      <c r="R226" s="20"/>
      <c r="S226" s="20"/>
      <c r="T226" s="20"/>
      <c r="U226" s="124"/>
      <c r="V226" s="127"/>
      <c r="W226" s="20"/>
      <c r="X226" s="20"/>
      <c r="Y226" s="20"/>
      <c r="Z226" s="20"/>
      <c r="AA226" s="20"/>
      <c r="AB226" s="20"/>
      <c r="AC226" s="20"/>
      <c r="AD226" s="20"/>
      <c r="AE226" s="20"/>
    </row>
    <row r="227" spans="1:31" ht="19.5">
      <c r="A227" s="20"/>
      <c r="B227" s="20"/>
      <c r="C227" s="20"/>
      <c r="D227" s="20"/>
      <c r="E227" s="20"/>
      <c r="F227" s="20"/>
      <c r="G227" s="124"/>
      <c r="H227" s="20"/>
      <c r="I227" s="20"/>
      <c r="J227" s="20"/>
      <c r="K227" s="124"/>
      <c r="L227" s="127"/>
      <c r="M227" s="20"/>
      <c r="N227" s="20"/>
      <c r="O227" s="20"/>
      <c r="P227" s="124"/>
      <c r="Q227" s="127"/>
      <c r="R227" s="20"/>
      <c r="S227" s="20"/>
      <c r="T227" s="20"/>
      <c r="U227" s="124"/>
      <c r="V227" s="127"/>
      <c r="W227" s="20"/>
      <c r="X227" s="20"/>
      <c r="Y227" s="20"/>
      <c r="Z227" s="20"/>
      <c r="AA227" s="20"/>
      <c r="AB227" s="20"/>
      <c r="AC227" s="20"/>
      <c r="AD227" s="20"/>
      <c r="AE227" s="20"/>
    </row>
    <row r="228" spans="1:31" ht="19.5">
      <c r="A228" s="20"/>
      <c r="B228" s="20"/>
      <c r="C228" s="20"/>
      <c r="D228" s="20"/>
      <c r="E228" s="20"/>
      <c r="F228" s="20"/>
      <c r="G228" s="124"/>
      <c r="H228" s="20"/>
      <c r="I228" s="20"/>
      <c r="J228" s="20"/>
      <c r="K228" s="124"/>
      <c r="L228" s="127"/>
      <c r="M228" s="20"/>
      <c r="N228" s="20"/>
      <c r="O228" s="20"/>
      <c r="P228" s="124"/>
      <c r="Q228" s="127"/>
      <c r="R228" s="20"/>
      <c r="S228" s="20"/>
      <c r="T228" s="20"/>
      <c r="U228" s="124"/>
      <c r="V228" s="127"/>
      <c r="W228" s="20"/>
      <c r="X228" s="20"/>
      <c r="Y228" s="20"/>
      <c r="Z228" s="20"/>
      <c r="AA228" s="20"/>
      <c r="AB228" s="20"/>
      <c r="AC228" s="20"/>
      <c r="AD228" s="20"/>
      <c r="AE228" s="20"/>
    </row>
    <row r="229" spans="1:31" ht="19.5">
      <c r="A229" s="20"/>
      <c r="B229" s="20"/>
      <c r="C229" s="20"/>
      <c r="D229" s="20"/>
      <c r="E229" s="20"/>
      <c r="F229" s="20"/>
      <c r="G229" s="124"/>
      <c r="H229" s="20"/>
      <c r="I229" s="20"/>
      <c r="J229" s="20"/>
      <c r="K229" s="124"/>
      <c r="L229" s="127"/>
      <c r="M229" s="20"/>
      <c r="N229" s="20"/>
      <c r="O229" s="20"/>
      <c r="P229" s="124"/>
      <c r="Q229" s="127"/>
      <c r="R229" s="20"/>
      <c r="S229" s="20"/>
      <c r="T229" s="20"/>
      <c r="U229" s="124"/>
      <c r="V229" s="127"/>
      <c r="W229" s="20"/>
      <c r="X229" s="20"/>
      <c r="Y229" s="20"/>
      <c r="Z229" s="20"/>
      <c r="AA229" s="20"/>
      <c r="AB229" s="20"/>
      <c r="AC229" s="20"/>
      <c r="AD229" s="20"/>
      <c r="AE229" s="20"/>
    </row>
    <row r="230" spans="1:31" ht="19.5">
      <c r="A230" s="20"/>
      <c r="B230" s="20"/>
      <c r="C230" s="20"/>
      <c r="D230" s="20"/>
      <c r="E230" s="20"/>
      <c r="F230" s="20"/>
      <c r="G230" s="124"/>
      <c r="H230" s="20"/>
      <c r="I230" s="20"/>
      <c r="J230" s="20"/>
      <c r="K230" s="124"/>
      <c r="L230" s="127"/>
      <c r="M230" s="20"/>
      <c r="N230" s="20"/>
      <c r="O230" s="20"/>
      <c r="P230" s="124"/>
      <c r="Q230" s="127"/>
      <c r="R230" s="20"/>
      <c r="S230" s="20"/>
      <c r="T230" s="20"/>
      <c r="U230" s="124"/>
      <c r="V230" s="127"/>
      <c r="W230" s="20"/>
      <c r="X230" s="20"/>
      <c r="Y230" s="20"/>
      <c r="Z230" s="20"/>
      <c r="AA230" s="20"/>
      <c r="AB230" s="20"/>
      <c r="AC230" s="20"/>
      <c r="AD230" s="20"/>
      <c r="AE230" s="20"/>
    </row>
    <row r="231" spans="1:31" ht="19.5">
      <c r="A231" s="20"/>
      <c r="B231" s="20"/>
      <c r="C231" s="20"/>
      <c r="D231" s="20"/>
      <c r="E231" s="20"/>
      <c r="F231" s="20"/>
      <c r="G231" s="124"/>
      <c r="H231" s="20"/>
      <c r="I231" s="20"/>
      <c r="J231" s="20"/>
      <c r="K231" s="124"/>
      <c r="L231" s="127"/>
      <c r="M231" s="20"/>
      <c r="N231" s="20"/>
      <c r="O231" s="20"/>
      <c r="P231" s="124"/>
      <c r="Q231" s="127"/>
      <c r="R231" s="20"/>
      <c r="S231" s="20"/>
      <c r="T231" s="20"/>
      <c r="U231" s="124"/>
      <c r="V231" s="127"/>
      <c r="W231" s="20"/>
      <c r="X231" s="20"/>
      <c r="Y231" s="20"/>
      <c r="Z231" s="20"/>
      <c r="AA231" s="20"/>
      <c r="AB231" s="20"/>
      <c r="AC231" s="20"/>
      <c r="AD231" s="20"/>
      <c r="AE231" s="20"/>
    </row>
    <row r="232" spans="1:31" ht="19.5">
      <c r="A232" s="20"/>
      <c r="B232" s="20"/>
      <c r="C232" s="20"/>
      <c r="D232" s="20"/>
      <c r="E232" s="20"/>
      <c r="F232" s="20"/>
      <c r="G232" s="124"/>
      <c r="H232" s="20"/>
      <c r="I232" s="20"/>
      <c r="J232" s="20"/>
      <c r="K232" s="124"/>
      <c r="L232" s="127"/>
      <c r="M232" s="20"/>
      <c r="N232" s="20"/>
      <c r="O232" s="20"/>
      <c r="P232" s="124"/>
      <c r="Q232" s="127"/>
      <c r="R232" s="20"/>
      <c r="S232" s="20"/>
      <c r="T232" s="20"/>
      <c r="U232" s="124"/>
      <c r="V232" s="127"/>
      <c r="W232" s="20"/>
      <c r="X232" s="20"/>
      <c r="Y232" s="20"/>
      <c r="Z232" s="20"/>
      <c r="AA232" s="20"/>
      <c r="AB232" s="20"/>
      <c r="AC232" s="20"/>
      <c r="AD232" s="20"/>
      <c r="AE232" s="20"/>
    </row>
    <row r="233" spans="1:31" ht="19.5">
      <c r="A233" s="20"/>
      <c r="B233" s="20"/>
      <c r="C233" s="20"/>
      <c r="D233" s="20"/>
      <c r="E233" s="20"/>
      <c r="F233" s="20"/>
      <c r="G233" s="124"/>
      <c r="H233" s="20"/>
      <c r="I233" s="20"/>
      <c r="J233" s="20"/>
      <c r="K233" s="124"/>
      <c r="L233" s="127"/>
      <c r="M233" s="20"/>
      <c r="N233" s="20"/>
      <c r="O233" s="20"/>
      <c r="P233" s="124"/>
      <c r="Q233" s="127"/>
      <c r="R233" s="20"/>
      <c r="S233" s="20"/>
      <c r="T233" s="20"/>
      <c r="U233" s="124"/>
      <c r="V233" s="127"/>
      <c r="W233" s="20"/>
      <c r="X233" s="20"/>
      <c r="Y233" s="20"/>
      <c r="Z233" s="20"/>
      <c r="AA233" s="20"/>
      <c r="AB233" s="20"/>
      <c r="AC233" s="20"/>
      <c r="AD233" s="20"/>
      <c r="AE233" s="20"/>
    </row>
    <row r="234" spans="1:31" ht="19.5">
      <c r="A234" s="20"/>
      <c r="B234" s="20"/>
      <c r="C234" s="20"/>
      <c r="D234" s="20"/>
      <c r="E234" s="20"/>
      <c r="F234" s="20"/>
      <c r="G234" s="124"/>
      <c r="H234" s="20"/>
      <c r="I234" s="20"/>
      <c r="J234" s="20"/>
      <c r="K234" s="124"/>
      <c r="L234" s="127"/>
      <c r="M234" s="20"/>
      <c r="N234" s="20"/>
      <c r="O234" s="20"/>
      <c r="P234" s="124"/>
      <c r="Q234" s="127"/>
      <c r="R234" s="20"/>
      <c r="S234" s="20"/>
      <c r="T234" s="20"/>
      <c r="U234" s="124"/>
      <c r="V234" s="127"/>
      <c r="W234" s="20"/>
      <c r="X234" s="20"/>
      <c r="Y234" s="20"/>
      <c r="Z234" s="20"/>
      <c r="AA234" s="20"/>
      <c r="AB234" s="20"/>
      <c r="AC234" s="20"/>
      <c r="AD234" s="20"/>
      <c r="AE234" s="20"/>
    </row>
    <row r="235" spans="1:31" ht="19.5">
      <c r="A235" s="20"/>
      <c r="B235" s="20"/>
      <c r="C235" s="20"/>
      <c r="D235" s="20"/>
      <c r="E235" s="20"/>
      <c r="F235" s="20"/>
      <c r="G235" s="124"/>
      <c r="H235" s="20"/>
      <c r="I235" s="20"/>
      <c r="J235" s="20"/>
      <c r="K235" s="124"/>
      <c r="L235" s="127"/>
      <c r="M235" s="20"/>
      <c r="N235" s="20"/>
      <c r="O235" s="20"/>
      <c r="P235" s="124"/>
      <c r="Q235" s="127"/>
      <c r="R235" s="20"/>
      <c r="S235" s="20"/>
      <c r="T235" s="20"/>
      <c r="U235" s="124"/>
      <c r="V235" s="127"/>
      <c r="W235" s="20"/>
      <c r="X235" s="20"/>
      <c r="Y235" s="20"/>
      <c r="Z235" s="20"/>
      <c r="AA235" s="20"/>
      <c r="AB235" s="20"/>
      <c r="AC235" s="20"/>
      <c r="AD235" s="20"/>
      <c r="AE235" s="20"/>
    </row>
    <row r="236" spans="1:31" ht="19.5">
      <c r="A236" s="20"/>
      <c r="B236" s="20"/>
      <c r="C236" s="20"/>
      <c r="D236" s="20"/>
      <c r="E236" s="20"/>
      <c r="F236" s="20"/>
      <c r="G236" s="124"/>
      <c r="H236" s="20"/>
      <c r="I236" s="20"/>
      <c r="J236" s="20"/>
      <c r="K236" s="124"/>
      <c r="L236" s="127"/>
      <c r="M236" s="20"/>
      <c r="N236" s="20"/>
      <c r="O236" s="20"/>
      <c r="P236" s="124"/>
      <c r="Q236" s="127"/>
      <c r="R236" s="20"/>
      <c r="S236" s="20"/>
      <c r="T236" s="20"/>
      <c r="U236" s="124"/>
      <c r="V236" s="127"/>
      <c r="W236" s="20"/>
      <c r="X236" s="20"/>
      <c r="Y236" s="20"/>
      <c r="Z236" s="20"/>
      <c r="AA236" s="20"/>
      <c r="AB236" s="20"/>
      <c r="AC236" s="20"/>
      <c r="AD236" s="20"/>
      <c r="AE236" s="20"/>
    </row>
    <row r="237" spans="1:31" ht="19.5">
      <c r="A237" s="20"/>
      <c r="B237" s="20"/>
      <c r="C237" s="20"/>
      <c r="D237" s="20"/>
      <c r="E237" s="20"/>
      <c r="F237" s="20"/>
      <c r="G237" s="124"/>
      <c r="H237" s="20"/>
      <c r="I237" s="20"/>
      <c r="J237" s="20"/>
      <c r="K237" s="124"/>
      <c r="L237" s="127"/>
      <c r="M237" s="20"/>
      <c r="N237" s="20"/>
      <c r="O237" s="20"/>
      <c r="P237" s="124"/>
      <c r="Q237" s="127"/>
      <c r="R237" s="20"/>
      <c r="S237" s="20"/>
      <c r="T237" s="20"/>
      <c r="U237" s="124"/>
      <c r="V237" s="127"/>
      <c r="W237" s="20"/>
      <c r="X237" s="20"/>
      <c r="Y237" s="20"/>
      <c r="Z237" s="20"/>
      <c r="AA237" s="20"/>
      <c r="AB237" s="20"/>
      <c r="AC237" s="20"/>
      <c r="AD237" s="20"/>
      <c r="AE237" s="20"/>
    </row>
    <row r="238" spans="1:31" ht="19.5">
      <c r="A238" s="20"/>
      <c r="B238" s="20"/>
      <c r="C238" s="20"/>
      <c r="D238" s="20"/>
      <c r="E238" s="20"/>
      <c r="F238" s="20"/>
      <c r="G238" s="124"/>
      <c r="H238" s="20"/>
      <c r="I238" s="20"/>
      <c r="J238" s="20"/>
      <c r="K238" s="124"/>
      <c r="L238" s="127"/>
      <c r="M238" s="20"/>
      <c r="N238" s="20"/>
      <c r="O238" s="20"/>
      <c r="P238" s="124"/>
      <c r="Q238" s="127"/>
      <c r="R238" s="20"/>
      <c r="S238" s="20"/>
      <c r="T238" s="20"/>
      <c r="U238" s="124"/>
      <c r="V238" s="127"/>
      <c r="W238" s="20"/>
      <c r="X238" s="20"/>
      <c r="Y238" s="20"/>
      <c r="Z238" s="20"/>
      <c r="AA238" s="20"/>
      <c r="AB238" s="20"/>
      <c r="AC238" s="20"/>
      <c r="AD238" s="20"/>
      <c r="AE238" s="20"/>
    </row>
    <row r="239" spans="1:31" ht="19.5">
      <c r="A239" s="20"/>
      <c r="B239" s="20"/>
      <c r="C239" s="20"/>
      <c r="D239" s="20"/>
      <c r="E239" s="20"/>
      <c r="F239" s="20"/>
      <c r="G239" s="124"/>
      <c r="H239" s="20"/>
      <c r="I239" s="20"/>
      <c r="J239" s="20"/>
      <c r="K239" s="124"/>
      <c r="L239" s="127"/>
      <c r="M239" s="20"/>
      <c r="N239" s="20"/>
      <c r="O239" s="20"/>
      <c r="P239" s="124"/>
      <c r="Q239" s="127"/>
      <c r="R239" s="20"/>
      <c r="S239" s="20"/>
      <c r="T239" s="20"/>
      <c r="U239" s="124"/>
      <c r="V239" s="127"/>
      <c r="W239" s="20"/>
      <c r="X239" s="20"/>
      <c r="Y239" s="20"/>
      <c r="Z239" s="20"/>
      <c r="AA239" s="20"/>
      <c r="AB239" s="20"/>
      <c r="AC239" s="20"/>
      <c r="AD239" s="20"/>
      <c r="AE239" s="20"/>
    </row>
    <row r="240" spans="1:31" ht="19.5">
      <c r="A240" s="20"/>
      <c r="B240" s="20"/>
      <c r="C240" s="20"/>
      <c r="D240" s="20"/>
      <c r="E240" s="20"/>
      <c r="F240" s="20"/>
      <c r="G240" s="124"/>
      <c r="H240" s="20"/>
      <c r="I240" s="20"/>
      <c r="J240" s="20"/>
      <c r="K240" s="124"/>
      <c r="L240" s="127"/>
      <c r="M240" s="20"/>
      <c r="N240" s="20"/>
      <c r="O240" s="20"/>
      <c r="P240" s="124"/>
      <c r="Q240" s="127"/>
      <c r="R240" s="20"/>
      <c r="S240" s="20"/>
      <c r="T240" s="20"/>
      <c r="U240" s="124"/>
      <c r="V240" s="127"/>
      <c r="W240" s="20"/>
      <c r="X240" s="20"/>
      <c r="Y240" s="20"/>
      <c r="Z240" s="20"/>
      <c r="AA240" s="20"/>
      <c r="AB240" s="20"/>
      <c r="AC240" s="20"/>
      <c r="AD240" s="20"/>
      <c r="AE240" s="20"/>
    </row>
    <row r="241" spans="1:31" ht="19.5">
      <c r="A241" s="20"/>
      <c r="B241" s="20"/>
      <c r="C241" s="20"/>
      <c r="D241" s="20"/>
      <c r="E241" s="20"/>
      <c r="F241" s="20"/>
      <c r="G241" s="124"/>
      <c r="H241" s="20"/>
      <c r="I241" s="20"/>
      <c r="J241" s="20"/>
      <c r="K241" s="124"/>
      <c r="L241" s="127"/>
      <c r="M241" s="20"/>
      <c r="N241" s="20"/>
      <c r="O241" s="20"/>
      <c r="P241" s="124"/>
      <c r="Q241" s="127"/>
      <c r="R241" s="20"/>
      <c r="S241" s="20"/>
      <c r="T241" s="20"/>
      <c r="U241" s="124"/>
      <c r="V241" s="127"/>
      <c r="W241" s="20"/>
      <c r="X241" s="20"/>
      <c r="Y241" s="20"/>
      <c r="Z241" s="20"/>
      <c r="AA241" s="20"/>
      <c r="AB241" s="20"/>
      <c r="AC241" s="20"/>
      <c r="AD241" s="20"/>
      <c r="AE241" s="20"/>
    </row>
    <row r="242" spans="1:31" ht="19.5">
      <c r="A242" s="20"/>
      <c r="B242" s="20"/>
      <c r="C242" s="20"/>
      <c r="D242" s="20"/>
      <c r="E242" s="20"/>
      <c r="F242" s="20"/>
      <c r="G242" s="124"/>
      <c r="H242" s="20"/>
      <c r="I242" s="20"/>
      <c r="J242" s="20"/>
      <c r="K242" s="124"/>
      <c r="L242" s="127"/>
      <c r="M242" s="20"/>
      <c r="N242" s="20"/>
      <c r="O242" s="20"/>
      <c r="P242" s="124"/>
      <c r="Q242" s="127"/>
      <c r="R242" s="20"/>
      <c r="S242" s="20"/>
      <c r="T242" s="20"/>
      <c r="U242" s="124"/>
      <c r="V242" s="127"/>
      <c r="W242" s="20"/>
      <c r="X242" s="20"/>
      <c r="Y242" s="20"/>
      <c r="Z242" s="20"/>
      <c r="AA242" s="20"/>
      <c r="AB242" s="20"/>
      <c r="AC242" s="20"/>
      <c r="AD242" s="20"/>
      <c r="AE242" s="20"/>
    </row>
    <row r="243" spans="1:31" ht="19.5">
      <c r="A243" s="20"/>
      <c r="B243" s="20"/>
      <c r="C243" s="20"/>
      <c r="D243" s="20"/>
      <c r="E243" s="20"/>
      <c r="F243" s="20"/>
      <c r="G243" s="124"/>
      <c r="H243" s="20"/>
      <c r="I243" s="20"/>
      <c r="J243" s="20"/>
      <c r="K243" s="124"/>
      <c r="L243" s="127"/>
      <c r="M243" s="20"/>
      <c r="N243" s="20"/>
      <c r="O243" s="20"/>
      <c r="P243" s="124"/>
      <c r="Q243" s="127"/>
      <c r="R243" s="20"/>
      <c r="S243" s="20"/>
      <c r="T243" s="20"/>
      <c r="U243" s="124"/>
      <c r="V243" s="127"/>
      <c r="W243" s="20"/>
      <c r="X243" s="20"/>
      <c r="Y243" s="20"/>
      <c r="Z243" s="20"/>
      <c r="AA243" s="20"/>
      <c r="AB243" s="20"/>
      <c r="AC243" s="20"/>
      <c r="AD243" s="20"/>
      <c r="AE243" s="20"/>
    </row>
    <row r="244" spans="1:31" ht="19.5">
      <c r="A244" s="20"/>
      <c r="B244" s="20"/>
      <c r="C244" s="20"/>
      <c r="D244" s="20"/>
      <c r="E244" s="20"/>
      <c r="F244" s="20"/>
      <c r="G244" s="124"/>
      <c r="H244" s="20"/>
      <c r="I244" s="20"/>
      <c r="J244" s="20"/>
      <c r="K244" s="124"/>
      <c r="L244" s="127"/>
      <c r="M244" s="20"/>
      <c r="N244" s="20"/>
      <c r="O244" s="20"/>
      <c r="P244" s="124"/>
      <c r="Q244" s="127"/>
      <c r="R244" s="20"/>
      <c r="S244" s="20"/>
      <c r="T244" s="20"/>
      <c r="U244" s="124"/>
      <c r="V244" s="127"/>
      <c r="W244" s="20"/>
      <c r="X244" s="20"/>
      <c r="Y244" s="20"/>
      <c r="Z244" s="20"/>
      <c r="AA244" s="20"/>
      <c r="AB244" s="20"/>
      <c r="AC244" s="20"/>
      <c r="AD244" s="20"/>
      <c r="AE244" s="20"/>
    </row>
    <row r="245" spans="1:31" ht="19.5">
      <c r="A245" s="20"/>
      <c r="B245" s="20"/>
      <c r="C245" s="20"/>
      <c r="D245" s="20"/>
      <c r="E245" s="20"/>
      <c r="F245" s="20"/>
      <c r="G245" s="124"/>
      <c r="H245" s="20"/>
      <c r="I245" s="20"/>
      <c r="J245" s="20"/>
      <c r="K245" s="124"/>
      <c r="L245" s="127"/>
      <c r="M245" s="20"/>
      <c r="N245" s="20"/>
      <c r="O245" s="20"/>
      <c r="P245" s="124"/>
      <c r="Q245" s="127"/>
      <c r="R245" s="20"/>
      <c r="S245" s="20"/>
      <c r="T245" s="20"/>
      <c r="U245" s="124"/>
      <c r="V245" s="127"/>
      <c r="W245" s="20"/>
      <c r="X245" s="20"/>
      <c r="Y245" s="20"/>
      <c r="Z245" s="20"/>
      <c r="AA245" s="20"/>
      <c r="AB245" s="20"/>
      <c r="AC245" s="20"/>
      <c r="AD245" s="20"/>
      <c r="AE245" s="20"/>
    </row>
    <row r="246" spans="1:31" ht="19.5">
      <c r="A246" s="20"/>
      <c r="B246" s="20"/>
      <c r="C246" s="20"/>
      <c r="D246" s="20"/>
      <c r="E246" s="20"/>
      <c r="F246" s="20"/>
      <c r="G246" s="124"/>
      <c r="H246" s="20"/>
      <c r="I246" s="20"/>
      <c r="J246" s="20"/>
      <c r="K246" s="124"/>
      <c r="L246" s="127"/>
      <c r="M246" s="20"/>
      <c r="N246" s="20"/>
      <c r="O246" s="20"/>
      <c r="P246" s="124"/>
      <c r="Q246" s="127"/>
      <c r="R246" s="20"/>
      <c r="S246" s="20"/>
      <c r="T246" s="20"/>
      <c r="U246" s="124"/>
      <c r="V246" s="127"/>
      <c r="W246" s="20"/>
      <c r="X246" s="20"/>
      <c r="Y246" s="20"/>
      <c r="Z246" s="20"/>
      <c r="AA246" s="20"/>
      <c r="AB246" s="20"/>
      <c r="AC246" s="20"/>
      <c r="AD246" s="20"/>
      <c r="AE246" s="20"/>
    </row>
    <row r="247" spans="1:31" ht="19.5">
      <c r="A247" s="20"/>
      <c r="B247" s="20"/>
      <c r="C247" s="20"/>
      <c r="D247" s="20"/>
      <c r="E247" s="20"/>
      <c r="F247" s="20"/>
      <c r="G247" s="124"/>
      <c r="H247" s="20"/>
      <c r="I247" s="20"/>
      <c r="J247" s="20"/>
      <c r="K247" s="124"/>
      <c r="L247" s="127"/>
      <c r="M247" s="20"/>
      <c r="N247" s="20"/>
      <c r="O247" s="20"/>
      <c r="P247" s="124"/>
      <c r="Q247" s="127"/>
      <c r="R247" s="20"/>
      <c r="S247" s="20"/>
      <c r="T247" s="20"/>
      <c r="U247" s="124"/>
      <c r="V247" s="127"/>
      <c r="W247" s="20"/>
      <c r="X247" s="20"/>
      <c r="Y247" s="20"/>
      <c r="Z247" s="20"/>
      <c r="AA247" s="20"/>
      <c r="AB247" s="20"/>
      <c r="AC247" s="20"/>
      <c r="AD247" s="20"/>
      <c r="AE247" s="20"/>
    </row>
    <row r="248" spans="1:31" ht="19.5">
      <c r="A248" s="20"/>
      <c r="B248" s="20"/>
      <c r="C248" s="20"/>
      <c r="D248" s="20"/>
      <c r="E248" s="20"/>
      <c r="F248" s="20"/>
      <c r="G248" s="124"/>
      <c r="H248" s="20"/>
      <c r="I248" s="20"/>
      <c r="J248" s="20"/>
      <c r="K248" s="124"/>
      <c r="L248" s="127"/>
      <c r="M248" s="20"/>
      <c r="N248" s="20"/>
      <c r="O248" s="20"/>
      <c r="P248" s="124"/>
      <c r="Q248" s="127"/>
      <c r="R248" s="20"/>
      <c r="S248" s="20"/>
      <c r="T248" s="20"/>
      <c r="U248" s="124"/>
      <c r="V248" s="127"/>
      <c r="W248" s="20"/>
      <c r="X248" s="20"/>
      <c r="Y248" s="20"/>
      <c r="Z248" s="20"/>
      <c r="AA248" s="20"/>
      <c r="AB248" s="20"/>
      <c r="AC248" s="20"/>
      <c r="AD248" s="20"/>
      <c r="AE248" s="20"/>
    </row>
    <row r="249" spans="1:31" ht="19.5">
      <c r="A249" s="20"/>
      <c r="B249" s="20"/>
      <c r="C249" s="20"/>
      <c r="D249" s="20"/>
      <c r="E249" s="20"/>
      <c r="F249" s="20"/>
      <c r="G249" s="124"/>
      <c r="H249" s="20"/>
      <c r="I249" s="20"/>
      <c r="J249" s="20"/>
      <c r="K249" s="124"/>
      <c r="L249" s="127"/>
      <c r="M249" s="20"/>
      <c r="N249" s="20"/>
      <c r="O249" s="20"/>
      <c r="P249" s="124"/>
      <c r="Q249" s="127"/>
      <c r="R249" s="20"/>
      <c r="S249" s="20"/>
      <c r="T249" s="20"/>
      <c r="U249" s="124"/>
      <c r="V249" s="127"/>
      <c r="W249" s="20"/>
      <c r="X249" s="20"/>
      <c r="Y249" s="20"/>
      <c r="Z249" s="20"/>
      <c r="AA249" s="20"/>
      <c r="AB249" s="20"/>
      <c r="AC249" s="20"/>
      <c r="AD249" s="20"/>
      <c r="AE249" s="20"/>
    </row>
    <row r="250" spans="1:31" ht="19.5">
      <c r="A250" s="20"/>
      <c r="B250" s="20"/>
      <c r="C250" s="20"/>
      <c r="D250" s="20"/>
      <c r="E250" s="20"/>
      <c r="F250" s="20"/>
      <c r="G250" s="124"/>
      <c r="H250" s="20"/>
      <c r="I250" s="20"/>
      <c r="J250" s="20"/>
      <c r="K250" s="124"/>
      <c r="L250" s="127"/>
      <c r="M250" s="20"/>
      <c r="N250" s="20"/>
      <c r="O250" s="20"/>
      <c r="P250" s="124"/>
      <c r="Q250" s="127"/>
      <c r="R250" s="20"/>
      <c r="S250" s="20"/>
      <c r="T250" s="20"/>
      <c r="U250" s="124"/>
      <c r="V250" s="127"/>
      <c r="W250" s="20"/>
      <c r="X250" s="20"/>
      <c r="Y250" s="20"/>
      <c r="Z250" s="20"/>
      <c r="AA250" s="20"/>
      <c r="AB250" s="20"/>
      <c r="AC250" s="20"/>
      <c r="AD250" s="20"/>
      <c r="AE250" s="20"/>
    </row>
    <row r="251" spans="1:31" ht="19.5">
      <c r="A251" s="20"/>
      <c r="B251" s="20"/>
      <c r="C251" s="20"/>
      <c r="D251" s="20"/>
      <c r="E251" s="20"/>
      <c r="F251" s="20"/>
      <c r="G251" s="124"/>
      <c r="H251" s="20"/>
      <c r="I251" s="20"/>
      <c r="J251" s="20"/>
      <c r="K251" s="124"/>
      <c r="L251" s="127"/>
      <c r="M251" s="20"/>
      <c r="N251" s="20"/>
      <c r="O251" s="20"/>
      <c r="P251" s="124"/>
      <c r="Q251" s="127"/>
      <c r="R251" s="20"/>
      <c r="S251" s="20"/>
      <c r="T251" s="20"/>
      <c r="U251" s="124"/>
      <c r="V251" s="127"/>
      <c r="W251" s="20"/>
      <c r="X251" s="20"/>
      <c r="Y251" s="20"/>
      <c r="Z251" s="20"/>
      <c r="AA251" s="20"/>
      <c r="AB251" s="20"/>
      <c r="AC251" s="20"/>
      <c r="AD251" s="20"/>
      <c r="AE251" s="20"/>
    </row>
    <row r="252" spans="1:31" ht="19.5">
      <c r="A252" s="20"/>
      <c r="B252" s="20"/>
      <c r="C252" s="20"/>
      <c r="D252" s="20"/>
      <c r="E252" s="20"/>
      <c r="F252" s="20"/>
      <c r="G252" s="124"/>
      <c r="H252" s="20"/>
      <c r="I252" s="20"/>
      <c r="J252" s="20"/>
      <c r="K252" s="124"/>
      <c r="L252" s="127"/>
      <c r="M252" s="20"/>
      <c r="N252" s="20"/>
      <c r="O252" s="20"/>
      <c r="P252" s="124"/>
      <c r="Q252" s="127"/>
      <c r="R252" s="20"/>
      <c r="S252" s="20"/>
      <c r="T252" s="20"/>
      <c r="U252" s="124"/>
      <c r="V252" s="127"/>
      <c r="W252" s="20"/>
      <c r="X252" s="20"/>
      <c r="Y252" s="20"/>
      <c r="Z252" s="20"/>
      <c r="AA252" s="20"/>
      <c r="AB252" s="20"/>
      <c r="AC252" s="20"/>
      <c r="AD252" s="20"/>
      <c r="AE252" s="20"/>
    </row>
    <row r="253" spans="1:31" ht="19.5">
      <c r="A253" s="20"/>
      <c r="B253" s="20"/>
      <c r="C253" s="20"/>
      <c r="D253" s="20"/>
      <c r="E253" s="20"/>
      <c r="F253" s="20"/>
      <c r="G253" s="124"/>
      <c r="H253" s="20"/>
      <c r="I253" s="20"/>
      <c r="J253" s="20"/>
      <c r="K253" s="124"/>
      <c r="L253" s="127"/>
      <c r="M253" s="20"/>
      <c r="N253" s="20"/>
      <c r="O253" s="20"/>
      <c r="P253" s="124"/>
      <c r="Q253" s="127"/>
      <c r="R253" s="20"/>
      <c r="S253" s="20"/>
      <c r="T253" s="20"/>
      <c r="U253" s="124"/>
      <c r="V253" s="127"/>
      <c r="W253" s="20"/>
      <c r="X253" s="20"/>
      <c r="Y253" s="20"/>
      <c r="Z253" s="20"/>
      <c r="AA253" s="20"/>
      <c r="AB253" s="20"/>
      <c r="AC253" s="20"/>
      <c r="AD253" s="20"/>
      <c r="AE253" s="20"/>
    </row>
    <row r="254" spans="1:31" ht="19.5">
      <c r="A254" s="20"/>
      <c r="B254" s="20"/>
      <c r="C254" s="20"/>
      <c r="D254" s="20"/>
      <c r="E254" s="20"/>
      <c r="F254" s="20"/>
      <c r="G254" s="124"/>
      <c r="H254" s="20"/>
      <c r="I254" s="20"/>
      <c r="J254" s="20"/>
      <c r="K254" s="124"/>
      <c r="L254" s="127"/>
      <c r="M254" s="20"/>
      <c r="N254" s="20"/>
      <c r="O254" s="20"/>
      <c r="P254" s="124"/>
      <c r="Q254" s="127"/>
      <c r="R254" s="20"/>
      <c r="S254" s="20"/>
      <c r="T254" s="20"/>
      <c r="U254" s="124"/>
      <c r="V254" s="127"/>
      <c r="W254" s="20"/>
      <c r="X254" s="20"/>
      <c r="Y254" s="20"/>
      <c r="Z254" s="20"/>
      <c r="AA254" s="20"/>
      <c r="AB254" s="20"/>
      <c r="AC254" s="20"/>
      <c r="AD254" s="20"/>
      <c r="AE254" s="20"/>
    </row>
    <row r="255" spans="1:31" ht="19.5">
      <c r="A255" s="20"/>
      <c r="B255" s="20"/>
      <c r="C255" s="20"/>
      <c r="D255" s="20"/>
      <c r="E255" s="20"/>
      <c r="F255" s="20"/>
      <c r="G255" s="124"/>
      <c r="H255" s="20"/>
      <c r="I255" s="20"/>
      <c r="J255" s="20"/>
      <c r="K255" s="124"/>
      <c r="L255" s="127"/>
      <c r="M255" s="20"/>
      <c r="N255" s="20"/>
      <c r="O255" s="20"/>
      <c r="P255" s="124"/>
      <c r="Q255" s="127"/>
      <c r="R255" s="20"/>
      <c r="S255" s="20"/>
      <c r="T255" s="20"/>
      <c r="U255" s="124"/>
      <c r="V255" s="127"/>
      <c r="W255" s="20"/>
      <c r="X255" s="20"/>
      <c r="Y255" s="20"/>
      <c r="Z255" s="20"/>
      <c r="AA255" s="20"/>
      <c r="AB255" s="20"/>
      <c r="AC255" s="20"/>
      <c r="AD255" s="20"/>
      <c r="AE255" s="20"/>
    </row>
    <row r="256" spans="1:31" ht="19.5">
      <c r="A256" s="20"/>
      <c r="B256" s="20"/>
      <c r="C256" s="20"/>
      <c r="D256" s="20"/>
      <c r="E256" s="20"/>
      <c r="F256" s="20"/>
      <c r="G256" s="124"/>
      <c r="H256" s="20"/>
      <c r="I256" s="20"/>
      <c r="J256" s="20"/>
      <c r="K256" s="124"/>
      <c r="L256" s="127"/>
      <c r="M256" s="20"/>
      <c r="N256" s="20"/>
      <c r="O256" s="20"/>
      <c r="P256" s="124"/>
      <c r="Q256" s="127"/>
      <c r="R256" s="20"/>
      <c r="S256" s="20"/>
      <c r="T256" s="20"/>
      <c r="U256" s="124"/>
      <c r="V256" s="127"/>
      <c r="W256" s="20"/>
      <c r="X256" s="20"/>
      <c r="Y256" s="20"/>
      <c r="Z256" s="20"/>
      <c r="AA256" s="20"/>
      <c r="AB256" s="20"/>
      <c r="AC256" s="20"/>
      <c r="AD256" s="20"/>
      <c r="AE256" s="20"/>
    </row>
    <row r="257" spans="1:31" ht="19.5">
      <c r="A257" s="20"/>
      <c r="B257" s="20"/>
      <c r="C257" s="20"/>
      <c r="D257" s="20"/>
      <c r="E257" s="20"/>
      <c r="F257" s="20"/>
      <c r="G257" s="124"/>
      <c r="H257" s="20"/>
      <c r="I257" s="20"/>
      <c r="J257" s="20"/>
      <c r="K257" s="124"/>
      <c r="L257" s="127"/>
      <c r="M257" s="20"/>
      <c r="N257" s="20"/>
      <c r="O257" s="20"/>
      <c r="P257" s="124"/>
      <c r="Q257" s="127"/>
      <c r="R257" s="20"/>
      <c r="S257" s="20"/>
      <c r="T257" s="20"/>
      <c r="U257" s="124"/>
      <c r="V257" s="127"/>
      <c r="W257" s="20"/>
      <c r="X257" s="20"/>
      <c r="Y257" s="20"/>
      <c r="Z257" s="20"/>
      <c r="AA257" s="20"/>
      <c r="AB257" s="20"/>
      <c r="AC257" s="20"/>
      <c r="AD257" s="20"/>
      <c r="AE257" s="20"/>
    </row>
    <row r="258" spans="1:31" ht="19.5">
      <c r="A258" s="20"/>
      <c r="B258" s="20"/>
      <c r="C258" s="20"/>
      <c r="D258" s="20"/>
      <c r="E258" s="20"/>
      <c r="F258" s="20"/>
      <c r="G258" s="124"/>
      <c r="H258" s="20"/>
      <c r="I258" s="20"/>
      <c r="J258" s="20"/>
      <c r="K258" s="124"/>
      <c r="L258" s="127"/>
      <c r="M258" s="20"/>
      <c r="N258" s="20"/>
      <c r="O258" s="20"/>
      <c r="P258" s="124"/>
      <c r="Q258" s="127"/>
      <c r="R258" s="20"/>
      <c r="S258" s="20"/>
      <c r="T258" s="20"/>
      <c r="U258" s="124"/>
      <c r="V258" s="127"/>
      <c r="W258" s="20"/>
      <c r="X258" s="20"/>
      <c r="Y258" s="20"/>
      <c r="Z258" s="20"/>
      <c r="AA258" s="20"/>
      <c r="AB258" s="20"/>
      <c r="AC258" s="20"/>
      <c r="AD258" s="20"/>
      <c r="AE258" s="20"/>
    </row>
    <row r="259" spans="1:31" ht="19.5">
      <c r="A259" s="20"/>
      <c r="B259" s="20"/>
      <c r="C259" s="20"/>
      <c r="D259" s="20"/>
      <c r="E259" s="20"/>
      <c r="F259" s="20"/>
      <c r="G259" s="124"/>
      <c r="H259" s="20"/>
      <c r="I259" s="20"/>
      <c r="J259" s="20"/>
      <c r="K259" s="124"/>
      <c r="L259" s="127"/>
      <c r="M259" s="20"/>
      <c r="N259" s="20"/>
      <c r="O259" s="20"/>
      <c r="P259" s="124"/>
      <c r="Q259" s="127"/>
      <c r="R259" s="20"/>
      <c r="S259" s="20"/>
      <c r="T259" s="20"/>
      <c r="U259" s="124"/>
      <c r="V259" s="127"/>
      <c r="W259" s="20"/>
      <c r="X259" s="20"/>
      <c r="Y259" s="20"/>
      <c r="Z259" s="20"/>
      <c r="AA259" s="20"/>
      <c r="AB259" s="20"/>
      <c r="AC259" s="20"/>
      <c r="AD259" s="20"/>
      <c r="AE259" s="20"/>
    </row>
    <row r="260" spans="1:31" ht="19.5">
      <c r="A260" s="20"/>
      <c r="B260" s="20"/>
      <c r="C260" s="20"/>
      <c r="D260" s="20"/>
      <c r="E260" s="20"/>
      <c r="F260" s="20"/>
      <c r="G260" s="124"/>
      <c r="H260" s="20"/>
      <c r="I260" s="20"/>
      <c r="J260" s="20"/>
      <c r="K260" s="124"/>
      <c r="L260" s="127"/>
      <c r="M260" s="20"/>
      <c r="N260" s="20"/>
      <c r="O260" s="20"/>
      <c r="P260" s="124"/>
      <c r="Q260" s="127"/>
      <c r="R260" s="20"/>
      <c r="S260" s="20"/>
      <c r="T260" s="20"/>
      <c r="U260" s="124"/>
      <c r="V260" s="127"/>
      <c r="W260" s="20"/>
      <c r="X260" s="20"/>
      <c r="Y260" s="20"/>
      <c r="Z260" s="20"/>
      <c r="AA260" s="20"/>
      <c r="AB260" s="20"/>
      <c r="AC260" s="20"/>
      <c r="AD260" s="20"/>
      <c r="AE260" s="20"/>
    </row>
    <row r="261" spans="1:31" ht="19.5">
      <c r="A261" s="20"/>
      <c r="B261" s="20"/>
      <c r="C261" s="20"/>
      <c r="D261" s="20"/>
      <c r="E261" s="20"/>
      <c r="F261" s="20"/>
      <c r="G261" s="124"/>
      <c r="H261" s="20"/>
      <c r="I261" s="20"/>
      <c r="J261" s="20"/>
      <c r="K261" s="124"/>
      <c r="L261" s="127"/>
      <c r="M261" s="20"/>
      <c r="N261" s="20"/>
      <c r="O261" s="20"/>
      <c r="P261" s="124"/>
      <c r="Q261" s="127"/>
      <c r="R261" s="20"/>
      <c r="S261" s="20"/>
      <c r="T261" s="20"/>
      <c r="U261" s="124"/>
      <c r="V261" s="127"/>
      <c r="W261" s="20"/>
      <c r="X261" s="20"/>
      <c r="Y261" s="20"/>
      <c r="Z261" s="20"/>
      <c r="AA261" s="20"/>
      <c r="AB261" s="20"/>
      <c r="AC261" s="20"/>
      <c r="AD261" s="20"/>
      <c r="AE261" s="20"/>
    </row>
    <row r="262" spans="1:31" ht="19.5">
      <c r="A262" s="20"/>
      <c r="B262" s="20"/>
      <c r="C262" s="20"/>
      <c r="D262" s="20"/>
      <c r="E262" s="20"/>
      <c r="F262" s="20"/>
      <c r="G262" s="124"/>
      <c r="H262" s="20"/>
      <c r="I262" s="20"/>
      <c r="J262" s="20"/>
      <c r="K262" s="124"/>
      <c r="L262" s="127"/>
      <c r="M262" s="20"/>
      <c r="N262" s="20"/>
      <c r="O262" s="20"/>
      <c r="P262" s="124"/>
      <c r="Q262" s="127"/>
      <c r="R262" s="20"/>
      <c r="S262" s="20"/>
      <c r="T262" s="20"/>
      <c r="U262" s="124"/>
      <c r="V262" s="127"/>
      <c r="W262" s="20"/>
      <c r="X262" s="20"/>
      <c r="Y262" s="20"/>
      <c r="Z262" s="20"/>
      <c r="AA262" s="20"/>
      <c r="AB262" s="20"/>
      <c r="AC262" s="20"/>
      <c r="AD262" s="20"/>
      <c r="AE262" s="20"/>
    </row>
    <row r="263" spans="1:31" ht="19.5">
      <c r="A263" s="20"/>
      <c r="B263" s="20"/>
      <c r="C263" s="20"/>
      <c r="D263" s="20"/>
      <c r="E263" s="20"/>
      <c r="F263" s="20"/>
      <c r="G263" s="124"/>
      <c r="H263" s="20"/>
      <c r="I263" s="20"/>
      <c r="J263" s="20"/>
      <c r="K263" s="124"/>
      <c r="L263" s="127"/>
      <c r="M263" s="20"/>
      <c r="N263" s="20"/>
      <c r="O263" s="20"/>
      <c r="P263" s="124"/>
      <c r="Q263" s="127"/>
      <c r="R263" s="20"/>
      <c r="S263" s="20"/>
      <c r="T263" s="20"/>
      <c r="U263" s="124"/>
      <c r="V263" s="127"/>
      <c r="W263" s="20"/>
      <c r="X263" s="20"/>
      <c r="Y263" s="20"/>
      <c r="Z263" s="20"/>
      <c r="AA263" s="20"/>
      <c r="AB263" s="20"/>
      <c r="AC263" s="20"/>
      <c r="AD263" s="20"/>
      <c r="AE263" s="20"/>
    </row>
    <row r="264" spans="1:31" ht="19.5">
      <c r="A264" s="20"/>
      <c r="B264" s="20"/>
      <c r="C264" s="20"/>
      <c r="D264" s="20"/>
      <c r="E264" s="20"/>
      <c r="F264" s="20"/>
      <c r="G264" s="124"/>
      <c r="H264" s="20"/>
      <c r="I264" s="20"/>
      <c r="J264" s="20"/>
      <c r="K264" s="124"/>
      <c r="L264" s="127"/>
      <c r="M264" s="20"/>
      <c r="N264" s="20"/>
      <c r="O264" s="20"/>
      <c r="P264" s="124"/>
      <c r="Q264" s="127"/>
      <c r="R264" s="20"/>
      <c r="S264" s="20"/>
      <c r="T264" s="20"/>
      <c r="U264" s="124"/>
      <c r="V264" s="127"/>
      <c r="W264" s="20"/>
      <c r="X264" s="20"/>
      <c r="Y264" s="20"/>
      <c r="Z264" s="20"/>
      <c r="AA264" s="20"/>
      <c r="AB264" s="20"/>
      <c r="AC264" s="20"/>
      <c r="AD264" s="20"/>
      <c r="AE264" s="20"/>
    </row>
    <row r="265" spans="1:31" ht="19.5">
      <c r="A265" s="20"/>
      <c r="B265" s="20"/>
      <c r="C265" s="20"/>
      <c r="D265" s="20"/>
      <c r="E265" s="20"/>
      <c r="F265" s="20"/>
      <c r="G265" s="124"/>
      <c r="H265" s="20"/>
      <c r="I265" s="20"/>
      <c r="J265" s="20"/>
      <c r="K265" s="124"/>
      <c r="L265" s="127"/>
      <c r="M265" s="20"/>
      <c r="N265" s="20"/>
      <c r="O265" s="20"/>
      <c r="P265" s="124"/>
      <c r="Q265" s="127"/>
      <c r="R265" s="20"/>
      <c r="S265" s="20"/>
      <c r="T265" s="20"/>
      <c r="U265" s="124"/>
      <c r="V265" s="127"/>
      <c r="W265" s="20"/>
      <c r="X265" s="20"/>
      <c r="Y265" s="20"/>
      <c r="Z265" s="20"/>
      <c r="AA265" s="20"/>
      <c r="AB265" s="20"/>
      <c r="AC265" s="20"/>
      <c r="AD265" s="20"/>
      <c r="AE265" s="20"/>
    </row>
    <row r="266" spans="1:31" ht="19.5">
      <c r="A266" s="20"/>
      <c r="B266" s="20"/>
      <c r="C266" s="20"/>
      <c r="D266" s="20"/>
      <c r="E266" s="20"/>
      <c r="F266" s="20"/>
      <c r="G266" s="124"/>
      <c r="H266" s="20"/>
      <c r="I266" s="20"/>
      <c r="J266" s="20"/>
      <c r="K266" s="124"/>
      <c r="L266" s="127"/>
      <c r="M266" s="20"/>
      <c r="N266" s="20"/>
      <c r="O266" s="20"/>
      <c r="P266" s="124"/>
      <c r="Q266" s="127"/>
      <c r="R266" s="20"/>
      <c r="S266" s="20"/>
      <c r="T266" s="20"/>
      <c r="U266" s="124"/>
      <c r="V266" s="127"/>
      <c r="W266" s="20"/>
      <c r="X266" s="20"/>
      <c r="Y266" s="20"/>
      <c r="Z266" s="20"/>
      <c r="AA266" s="20"/>
      <c r="AB266" s="20"/>
      <c r="AC266" s="20"/>
      <c r="AD266" s="20"/>
      <c r="AE266" s="20"/>
    </row>
    <row r="267" spans="1:31" ht="19.5">
      <c r="A267" s="20"/>
      <c r="B267" s="20"/>
      <c r="C267" s="20"/>
      <c r="D267" s="20"/>
      <c r="E267" s="20"/>
      <c r="F267" s="20"/>
      <c r="G267" s="124"/>
      <c r="H267" s="20"/>
      <c r="I267" s="20"/>
      <c r="J267" s="20"/>
      <c r="K267" s="124"/>
      <c r="L267" s="127"/>
      <c r="M267" s="20"/>
      <c r="N267" s="20"/>
      <c r="O267" s="20"/>
      <c r="P267" s="124"/>
      <c r="Q267" s="127"/>
      <c r="R267" s="20"/>
      <c r="S267" s="20"/>
      <c r="T267" s="20"/>
      <c r="U267" s="124"/>
      <c r="V267" s="127"/>
      <c r="W267" s="20"/>
      <c r="X267" s="20"/>
      <c r="Y267" s="20"/>
      <c r="Z267" s="20"/>
      <c r="AA267" s="20"/>
      <c r="AB267" s="20"/>
      <c r="AC267" s="20"/>
      <c r="AD267" s="20"/>
      <c r="AE267" s="20"/>
    </row>
    <row r="268" spans="1:31" ht="19.5">
      <c r="A268" s="20"/>
      <c r="B268" s="20"/>
      <c r="C268" s="20"/>
      <c r="D268" s="20"/>
      <c r="E268" s="20"/>
      <c r="F268" s="20"/>
      <c r="G268" s="124"/>
      <c r="H268" s="20"/>
      <c r="I268" s="20"/>
      <c r="J268" s="20"/>
      <c r="K268" s="124"/>
      <c r="L268" s="127"/>
      <c r="M268" s="20"/>
      <c r="N268" s="20"/>
      <c r="O268" s="20"/>
      <c r="P268" s="124"/>
      <c r="Q268" s="127"/>
      <c r="R268" s="20"/>
      <c r="S268" s="20"/>
      <c r="T268" s="20"/>
      <c r="U268" s="124"/>
      <c r="V268" s="127"/>
      <c r="W268" s="20"/>
      <c r="X268" s="20"/>
      <c r="Y268" s="20"/>
      <c r="Z268" s="20"/>
      <c r="AA268" s="20"/>
      <c r="AB268" s="20"/>
      <c r="AC268" s="20"/>
      <c r="AD268" s="20"/>
      <c r="AE268" s="20"/>
    </row>
    <row r="269" spans="1:31" ht="19.5">
      <c r="A269" s="20"/>
      <c r="B269" s="20"/>
      <c r="C269" s="20"/>
      <c r="D269" s="20"/>
      <c r="E269" s="20"/>
      <c r="F269" s="20"/>
      <c r="G269" s="124"/>
      <c r="H269" s="20"/>
      <c r="I269" s="20"/>
      <c r="J269" s="20"/>
      <c r="K269" s="124"/>
      <c r="L269" s="127"/>
      <c r="M269" s="20"/>
      <c r="N269" s="20"/>
      <c r="O269" s="20"/>
      <c r="P269" s="124"/>
      <c r="Q269" s="127"/>
      <c r="R269" s="20"/>
      <c r="S269" s="20"/>
      <c r="T269" s="20"/>
      <c r="U269" s="124"/>
      <c r="V269" s="127"/>
      <c r="W269" s="20"/>
      <c r="X269" s="20"/>
      <c r="Y269" s="20"/>
      <c r="Z269" s="20"/>
      <c r="AA269" s="20"/>
      <c r="AB269" s="20"/>
      <c r="AC269" s="20"/>
      <c r="AD269" s="20"/>
      <c r="AE269" s="20"/>
    </row>
    <row r="270" spans="1:31" ht="19.5">
      <c r="A270" s="20"/>
      <c r="B270" s="20"/>
      <c r="C270" s="20"/>
      <c r="D270" s="20"/>
      <c r="E270" s="20"/>
      <c r="F270" s="20"/>
      <c r="G270" s="124"/>
      <c r="H270" s="20"/>
      <c r="I270" s="20"/>
      <c r="J270" s="20"/>
      <c r="K270" s="124"/>
      <c r="L270" s="127"/>
      <c r="M270" s="20"/>
      <c r="N270" s="20"/>
      <c r="O270" s="20"/>
      <c r="P270" s="124"/>
      <c r="Q270" s="127"/>
      <c r="R270" s="20"/>
      <c r="S270" s="20"/>
      <c r="T270" s="20"/>
      <c r="U270" s="124"/>
      <c r="V270" s="127"/>
      <c r="W270" s="20"/>
      <c r="X270" s="20"/>
      <c r="Y270" s="20"/>
      <c r="Z270" s="20"/>
      <c r="AA270" s="20"/>
      <c r="AB270" s="20"/>
      <c r="AC270" s="20"/>
      <c r="AD270" s="20"/>
      <c r="AE270" s="20"/>
    </row>
    <row r="271" spans="1:31" ht="19.5">
      <c r="A271" s="20"/>
      <c r="B271" s="20"/>
      <c r="C271" s="20"/>
      <c r="D271" s="20"/>
      <c r="E271" s="20"/>
      <c r="F271" s="20"/>
      <c r="G271" s="124"/>
      <c r="H271" s="20"/>
      <c r="I271" s="20"/>
      <c r="J271" s="20"/>
      <c r="K271" s="124"/>
      <c r="L271" s="127"/>
      <c r="M271" s="20"/>
      <c r="N271" s="20"/>
      <c r="O271" s="20"/>
      <c r="P271" s="124"/>
      <c r="Q271" s="127"/>
      <c r="R271" s="20"/>
      <c r="S271" s="20"/>
      <c r="T271" s="20"/>
      <c r="U271" s="124"/>
      <c r="V271" s="127"/>
      <c r="W271" s="20"/>
      <c r="X271" s="20"/>
      <c r="Y271" s="20"/>
      <c r="Z271" s="20"/>
      <c r="AA271" s="20"/>
      <c r="AB271" s="20"/>
      <c r="AC271" s="20"/>
      <c r="AD271" s="20"/>
      <c r="AE271" s="20"/>
    </row>
    <row r="272" spans="1:31" ht="19.5">
      <c r="A272" s="20"/>
      <c r="B272" s="20"/>
      <c r="C272" s="20"/>
      <c r="D272" s="20"/>
      <c r="E272" s="20"/>
      <c r="F272" s="20"/>
      <c r="G272" s="124"/>
      <c r="H272" s="20"/>
      <c r="I272" s="20"/>
      <c r="J272" s="20"/>
      <c r="K272" s="124"/>
      <c r="L272" s="127"/>
      <c r="M272" s="20"/>
      <c r="N272" s="20"/>
      <c r="O272" s="20"/>
      <c r="P272" s="124"/>
      <c r="Q272" s="127"/>
      <c r="R272" s="20"/>
      <c r="S272" s="20"/>
      <c r="T272" s="20"/>
      <c r="U272" s="124"/>
      <c r="V272" s="127"/>
      <c r="W272" s="20"/>
      <c r="X272" s="20"/>
      <c r="Y272" s="20"/>
      <c r="Z272" s="20"/>
      <c r="AA272" s="20"/>
      <c r="AB272" s="20"/>
      <c r="AC272" s="20"/>
      <c r="AD272" s="20"/>
      <c r="AE272" s="20"/>
    </row>
    <row r="273" spans="1:31" ht="19.5">
      <c r="A273" s="20"/>
      <c r="B273" s="20"/>
      <c r="C273" s="20"/>
      <c r="D273" s="20"/>
      <c r="E273" s="20"/>
      <c r="F273" s="20"/>
      <c r="G273" s="124"/>
      <c r="H273" s="20"/>
      <c r="I273" s="20"/>
      <c r="J273" s="20"/>
      <c r="K273" s="124"/>
      <c r="L273" s="127"/>
      <c r="M273" s="20"/>
      <c r="N273" s="20"/>
      <c r="O273" s="20"/>
      <c r="P273" s="124"/>
      <c r="Q273" s="127"/>
      <c r="R273" s="20"/>
      <c r="S273" s="20"/>
      <c r="T273" s="20"/>
      <c r="U273" s="124"/>
      <c r="V273" s="127"/>
      <c r="W273" s="20"/>
      <c r="X273" s="20"/>
      <c r="Y273" s="20"/>
      <c r="Z273" s="20"/>
      <c r="AA273" s="20"/>
      <c r="AB273" s="20"/>
      <c r="AC273" s="20"/>
      <c r="AD273" s="20"/>
      <c r="AE273" s="20"/>
    </row>
    <row r="274" spans="1:31" ht="19.5">
      <c r="A274" s="20"/>
      <c r="B274" s="20"/>
      <c r="C274" s="20"/>
      <c r="D274" s="20"/>
      <c r="E274" s="20"/>
      <c r="F274" s="20"/>
      <c r="G274" s="124"/>
      <c r="H274" s="20"/>
      <c r="I274" s="20"/>
      <c r="J274" s="20"/>
      <c r="K274" s="124"/>
      <c r="L274" s="127"/>
      <c r="M274" s="20"/>
      <c r="N274" s="20"/>
      <c r="O274" s="20"/>
      <c r="P274" s="124"/>
      <c r="Q274" s="127"/>
      <c r="R274" s="20"/>
      <c r="S274" s="20"/>
      <c r="T274" s="20"/>
      <c r="U274" s="124"/>
      <c r="V274" s="127"/>
      <c r="W274" s="20"/>
      <c r="X274" s="20"/>
      <c r="Y274" s="20"/>
      <c r="Z274" s="20"/>
      <c r="AA274" s="20"/>
      <c r="AB274" s="20"/>
      <c r="AC274" s="20"/>
      <c r="AD274" s="20"/>
      <c r="AE274" s="20"/>
    </row>
    <row r="275" spans="1:31" ht="19.5">
      <c r="A275" s="20"/>
      <c r="B275" s="20"/>
      <c r="C275" s="20"/>
      <c r="D275" s="20"/>
      <c r="E275" s="20"/>
      <c r="F275" s="20"/>
      <c r="G275" s="124"/>
      <c r="H275" s="20"/>
      <c r="I275" s="20"/>
      <c r="J275" s="20"/>
      <c r="K275" s="124"/>
      <c r="L275" s="127"/>
      <c r="M275" s="20"/>
      <c r="N275" s="20"/>
      <c r="O275" s="20"/>
      <c r="P275" s="124"/>
      <c r="Q275" s="127"/>
      <c r="R275" s="20"/>
      <c r="S275" s="20"/>
      <c r="T275" s="20"/>
      <c r="U275" s="124"/>
      <c r="V275" s="127"/>
      <c r="W275" s="20"/>
      <c r="X275" s="20"/>
      <c r="Y275" s="20"/>
      <c r="Z275" s="20"/>
      <c r="AA275" s="20"/>
      <c r="AB275" s="20"/>
      <c r="AC275" s="20"/>
      <c r="AD275" s="20"/>
      <c r="AE275" s="20"/>
    </row>
    <row r="276" spans="1:31" ht="19.5">
      <c r="A276" s="20"/>
      <c r="B276" s="20"/>
      <c r="C276" s="20"/>
      <c r="D276" s="20"/>
      <c r="E276" s="20"/>
      <c r="F276" s="20"/>
      <c r="G276" s="124"/>
      <c r="H276" s="20"/>
      <c r="I276" s="20"/>
      <c r="J276" s="20"/>
      <c r="K276" s="124"/>
      <c r="L276" s="127"/>
      <c r="M276" s="20"/>
      <c r="N276" s="20"/>
      <c r="O276" s="20"/>
      <c r="P276" s="124"/>
      <c r="Q276" s="127"/>
      <c r="R276" s="20"/>
      <c r="S276" s="20"/>
      <c r="T276" s="20"/>
      <c r="U276" s="124"/>
      <c r="V276" s="127"/>
      <c r="W276" s="20"/>
      <c r="X276" s="20"/>
      <c r="Y276" s="20"/>
      <c r="Z276" s="20"/>
      <c r="AA276" s="20"/>
      <c r="AB276" s="20"/>
      <c r="AC276" s="20"/>
      <c r="AD276" s="20"/>
      <c r="AE276" s="20"/>
    </row>
    <row r="277" spans="1:31" ht="19.5">
      <c r="A277" s="20"/>
      <c r="B277" s="20"/>
      <c r="C277" s="20"/>
      <c r="D277" s="20"/>
      <c r="E277" s="20"/>
      <c r="F277" s="20"/>
      <c r="G277" s="124"/>
      <c r="H277" s="20"/>
      <c r="I277" s="20"/>
      <c r="J277" s="20"/>
      <c r="K277" s="124"/>
      <c r="L277" s="127"/>
      <c r="M277" s="20"/>
      <c r="N277" s="20"/>
      <c r="O277" s="20"/>
      <c r="P277" s="124"/>
      <c r="Q277" s="127"/>
      <c r="R277" s="20"/>
      <c r="S277" s="20"/>
      <c r="T277" s="20"/>
      <c r="U277" s="124"/>
      <c r="V277" s="127"/>
      <c r="W277" s="20"/>
      <c r="X277" s="20"/>
      <c r="Y277" s="20"/>
      <c r="Z277" s="20"/>
      <c r="AA277" s="20"/>
      <c r="AB277" s="20"/>
      <c r="AC277" s="20"/>
      <c r="AD277" s="20"/>
      <c r="AE277" s="20"/>
    </row>
    <row r="278" spans="1:31" ht="19.5">
      <c r="A278" s="20"/>
      <c r="B278" s="20"/>
      <c r="C278" s="20"/>
      <c r="D278" s="20"/>
      <c r="E278" s="20"/>
      <c r="F278" s="20"/>
      <c r="G278" s="124"/>
      <c r="H278" s="20"/>
      <c r="I278" s="20"/>
      <c r="J278" s="20"/>
      <c r="K278" s="124"/>
      <c r="L278" s="127"/>
      <c r="M278" s="20"/>
      <c r="N278" s="20"/>
      <c r="O278" s="20"/>
      <c r="P278" s="124"/>
      <c r="Q278" s="127"/>
      <c r="R278" s="20"/>
      <c r="S278" s="20"/>
      <c r="T278" s="20"/>
      <c r="U278" s="124"/>
      <c r="V278" s="127"/>
      <c r="W278" s="20"/>
      <c r="X278" s="20"/>
      <c r="Y278" s="20"/>
      <c r="Z278" s="20"/>
      <c r="AA278" s="20"/>
      <c r="AB278" s="20"/>
      <c r="AC278" s="20"/>
      <c r="AD278" s="20"/>
      <c r="AE278" s="20"/>
    </row>
    <row r="279" spans="1:31" ht="19.5">
      <c r="A279" s="20"/>
      <c r="B279" s="20"/>
      <c r="C279" s="20"/>
      <c r="D279" s="20"/>
      <c r="E279" s="20"/>
      <c r="F279" s="20"/>
      <c r="G279" s="124"/>
      <c r="H279" s="20"/>
      <c r="I279" s="20"/>
      <c r="J279" s="20"/>
      <c r="K279" s="124"/>
      <c r="L279" s="127"/>
      <c r="M279" s="20"/>
      <c r="N279" s="20"/>
      <c r="O279" s="20"/>
      <c r="P279" s="124"/>
      <c r="Q279" s="127"/>
      <c r="R279" s="20"/>
      <c r="S279" s="20"/>
      <c r="T279" s="20"/>
      <c r="U279" s="124"/>
      <c r="V279" s="127"/>
      <c r="W279" s="20"/>
      <c r="X279" s="20"/>
      <c r="Y279" s="20"/>
      <c r="Z279" s="20"/>
      <c r="AA279" s="20"/>
      <c r="AB279" s="20"/>
      <c r="AC279" s="20"/>
      <c r="AD279" s="20"/>
      <c r="AE279" s="20"/>
    </row>
    <row r="280" spans="1:31" ht="19.5">
      <c r="A280" s="20"/>
      <c r="B280" s="20"/>
      <c r="C280" s="20"/>
      <c r="D280" s="20"/>
      <c r="E280" s="20"/>
      <c r="F280" s="20"/>
      <c r="G280" s="124"/>
      <c r="H280" s="20"/>
      <c r="I280" s="20"/>
      <c r="J280" s="20"/>
      <c r="K280" s="124"/>
      <c r="L280" s="127"/>
      <c r="M280" s="20"/>
      <c r="N280" s="20"/>
      <c r="O280" s="20"/>
      <c r="P280" s="124"/>
      <c r="Q280" s="127"/>
      <c r="R280" s="20"/>
      <c r="S280" s="20"/>
      <c r="T280" s="20"/>
      <c r="U280" s="124"/>
      <c r="V280" s="127"/>
      <c r="W280" s="20"/>
      <c r="X280" s="20"/>
      <c r="Y280" s="20"/>
      <c r="Z280" s="20"/>
      <c r="AA280" s="20"/>
      <c r="AB280" s="20"/>
      <c r="AC280" s="20"/>
      <c r="AD280" s="20"/>
      <c r="AE280" s="20"/>
    </row>
    <row r="281" spans="1:31" ht="19.5">
      <c r="A281" s="20"/>
      <c r="B281" s="20"/>
      <c r="C281" s="20"/>
      <c r="D281" s="20"/>
      <c r="E281" s="20"/>
      <c r="F281" s="20"/>
      <c r="G281" s="124"/>
      <c r="H281" s="20"/>
      <c r="I281" s="20"/>
      <c r="J281" s="20"/>
      <c r="K281" s="124"/>
      <c r="L281" s="127"/>
      <c r="M281" s="20"/>
      <c r="N281" s="20"/>
      <c r="O281" s="20"/>
      <c r="P281" s="124"/>
      <c r="Q281" s="127"/>
      <c r="R281" s="20"/>
      <c r="S281" s="20"/>
      <c r="T281" s="20"/>
      <c r="U281" s="124"/>
      <c r="V281" s="127"/>
      <c r="W281" s="20"/>
      <c r="X281" s="20"/>
      <c r="Y281" s="20"/>
      <c r="Z281" s="20"/>
      <c r="AA281" s="20"/>
      <c r="AB281" s="20"/>
      <c r="AC281" s="20"/>
      <c r="AD281" s="20"/>
      <c r="AE281" s="20"/>
    </row>
    <row r="282" spans="1:31" ht="19.5">
      <c r="A282" s="20"/>
      <c r="B282" s="20"/>
      <c r="C282" s="20"/>
      <c r="D282" s="20"/>
      <c r="E282" s="20"/>
      <c r="F282" s="20"/>
      <c r="G282" s="124"/>
      <c r="H282" s="20"/>
      <c r="I282" s="20"/>
      <c r="J282" s="20"/>
      <c r="K282" s="124"/>
      <c r="L282" s="127"/>
      <c r="M282" s="20"/>
      <c r="N282" s="20"/>
      <c r="O282" s="20"/>
      <c r="P282" s="124"/>
      <c r="Q282" s="127"/>
      <c r="R282" s="20"/>
      <c r="S282" s="20"/>
      <c r="T282" s="20"/>
      <c r="U282" s="124"/>
      <c r="V282" s="127"/>
      <c r="W282" s="20"/>
      <c r="X282" s="20"/>
      <c r="Y282" s="20"/>
      <c r="Z282" s="20"/>
      <c r="AA282" s="20"/>
      <c r="AB282" s="20"/>
      <c r="AC282" s="20"/>
      <c r="AD282" s="20"/>
      <c r="AE282" s="20"/>
    </row>
    <row r="283" spans="1:31" ht="19.5">
      <c r="A283" s="20"/>
      <c r="B283" s="20"/>
      <c r="C283" s="20"/>
      <c r="D283" s="20"/>
      <c r="E283" s="20"/>
      <c r="F283" s="20"/>
      <c r="G283" s="124"/>
      <c r="H283" s="20"/>
      <c r="I283" s="20"/>
      <c r="J283" s="20"/>
      <c r="K283" s="124"/>
      <c r="L283" s="127"/>
      <c r="M283" s="20"/>
      <c r="N283" s="20"/>
      <c r="O283" s="20"/>
      <c r="P283" s="124"/>
      <c r="Q283" s="127"/>
      <c r="R283" s="20"/>
      <c r="S283" s="20"/>
      <c r="T283" s="20"/>
      <c r="U283" s="124"/>
      <c r="V283" s="127"/>
      <c r="W283" s="20"/>
      <c r="X283" s="20"/>
      <c r="Y283" s="20"/>
      <c r="Z283" s="20"/>
      <c r="AA283" s="20"/>
      <c r="AB283" s="20"/>
      <c r="AC283" s="20"/>
      <c r="AD283" s="20"/>
      <c r="AE283" s="20"/>
    </row>
    <row r="284" spans="1:31" ht="19.5">
      <c r="A284" s="20"/>
      <c r="B284" s="20"/>
      <c r="C284" s="20"/>
      <c r="D284" s="20"/>
      <c r="E284" s="20"/>
      <c r="F284" s="20"/>
      <c r="G284" s="124"/>
      <c r="H284" s="20"/>
      <c r="I284" s="20"/>
      <c r="J284" s="20"/>
      <c r="K284" s="124"/>
      <c r="L284" s="127"/>
      <c r="M284" s="20"/>
      <c r="N284" s="20"/>
      <c r="O284" s="20"/>
      <c r="P284" s="124"/>
      <c r="Q284" s="127"/>
      <c r="R284" s="20"/>
      <c r="S284" s="20"/>
      <c r="T284" s="20"/>
      <c r="U284" s="124"/>
      <c r="V284" s="127"/>
      <c r="W284" s="20"/>
      <c r="X284" s="20"/>
      <c r="Y284" s="20"/>
      <c r="Z284" s="20"/>
      <c r="AA284" s="20"/>
      <c r="AB284" s="20"/>
      <c r="AC284" s="20"/>
      <c r="AD284" s="20"/>
      <c r="AE284" s="20"/>
    </row>
    <row r="285" spans="1:31" ht="19.5">
      <c r="A285" s="20"/>
      <c r="B285" s="20"/>
      <c r="C285" s="20"/>
      <c r="D285" s="20"/>
      <c r="E285" s="20"/>
      <c r="F285" s="20"/>
      <c r="G285" s="124"/>
      <c r="H285" s="20"/>
      <c r="I285" s="20"/>
      <c r="J285" s="20"/>
      <c r="K285" s="124"/>
      <c r="L285" s="127"/>
      <c r="M285" s="20"/>
      <c r="N285" s="20"/>
      <c r="O285" s="20"/>
      <c r="P285" s="124"/>
      <c r="Q285" s="127"/>
      <c r="R285" s="20"/>
      <c r="S285" s="20"/>
      <c r="T285" s="20"/>
      <c r="U285" s="124"/>
      <c r="V285" s="127"/>
      <c r="W285" s="20"/>
      <c r="X285" s="20"/>
      <c r="Y285" s="20"/>
      <c r="Z285" s="20"/>
      <c r="AA285" s="20"/>
      <c r="AB285" s="20"/>
      <c r="AC285" s="20"/>
      <c r="AD285" s="20"/>
      <c r="AE285" s="20"/>
    </row>
    <row r="286" spans="1:31" ht="19.5">
      <c r="A286" s="20"/>
      <c r="B286" s="20"/>
      <c r="C286" s="20"/>
      <c r="D286" s="20"/>
      <c r="E286" s="20"/>
      <c r="F286" s="20"/>
      <c r="G286" s="124"/>
      <c r="H286" s="20"/>
      <c r="I286" s="20"/>
      <c r="J286" s="20"/>
      <c r="K286" s="124"/>
      <c r="L286" s="127"/>
      <c r="M286" s="20"/>
      <c r="N286" s="20"/>
      <c r="O286" s="20"/>
      <c r="P286" s="124"/>
      <c r="Q286" s="127"/>
      <c r="R286" s="20"/>
      <c r="S286" s="20"/>
      <c r="T286" s="20"/>
      <c r="U286" s="124"/>
      <c r="V286" s="127"/>
      <c r="W286" s="20"/>
      <c r="X286" s="20"/>
      <c r="Y286" s="20"/>
      <c r="Z286" s="20"/>
      <c r="AA286" s="20"/>
      <c r="AB286" s="20"/>
      <c r="AC286" s="20"/>
      <c r="AD286" s="20"/>
      <c r="AE286" s="20"/>
    </row>
    <row r="287" spans="1:31" ht="19.5">
      <c r="A287" s="20"/>
      <c r="B287" s="20"/>
      <c r="C287" s="20"/>
      <c r="D287" s="20"/>
      <c r="E287" s="20"/>
      <c r="F287" s="20"/>
      <c r="G287" s="124"/>
      <c r="H287" s="20"/>
      <c r="I287" s="20"/>
      <c r="J287" s="20"/>
      <c r="K287" s="124"/>
      <c r="L287" s="127"/>
      <c r="M287" s="20"/>
      <c r="N287" s="20"/>
      <c r="O287" s="20"/>
      <c r="P287" s="124"/>
      <c r="Q287" s="127"/>
      <c r="R287" s="20"/>
      <c r="S287" s="20"/>
      <c r="T287" s="20"/>
      <c r="U287" s="124"/>
      <c r="V287" s="127"/>
      <c r="W287" s="20"/>
      <c r="X287" s="20"/>
      <c r="Y287" s="20"/>
      <c r="Z287" s="20"/>
      <c r="AA287" s="20"/>
      <c r="AB287" s="20"/>
      <c r="AC287" s="20"/>
      <c r="AD287" s="20"/>
      <c r="AE287" s="20"/>
    </row>
    <row r="288" spans="1:31" ht="19.5">
      <c r="A288" s="20"/>
      <c r="B288" s="20"/>
      <c r="C288" s="20"/>
      <c r="D288" s="20"/>
      <c r="E288" s="20"/>
      <c r="F288" s="20"/>
      <c r="G288" s="124"/>
      <c r="H288" s="20"/>
      <c r="I288" s="20"/>
      <c r="J288" s="20"/>
      <c r="K288" s="124"/>
      <c r="L288" s="127"/>
      <c r="M288" s="20"/>
      <c r="N288" s="20"/>
      <c r="O288" s="20"/>
      <c r="P288" s="124"/>
      <c r="Q288" s="127"/>
      <c r="R288" s="20"/>
      <c r="S288" s="20"/>
      <c r="T288" s="20"/>
      <c r="U288" s="124"/>
      <c r="V288" s="127"/>
      <c r="W288" s="20"/>
      <c r="X288" s="20"/>
      <c r="Y288" s="20"/>
      <c r="Z288" s="20"/>
      <c r="AA288" s="20"/>
      <c r="AB288" s="20"/>
      <c r="AC288" s="20"/>
      <c r="AD288" s="20"/>
      <c r="AE288" s="20"/>
    </row>
    <row r="289" spans="1:31" ht="19.5">
      <c r="A289" s="20"/>
      <c r="B289" s="20"/>
      <c r="C289" s="20"/>
      <c r="D289" s="20"/>
      <c r="E289" s="20"/>
      <c r="F289" s="20"/>
      <c r="G289" s="124"/>
      <c r="H289" s="20"/>
      <c r="I289" s="20"/>
      <c r="J289" s="20"/>
      <c r="K289" s="124"/>
      <c r="L289" s="127"/>
      <c r="M289" s="20"/>
      <c r="N289" s="20"/>
      <c r="O289" s="20"/>
      <c r="P289" s="124"/>
      <c r="Q289" s="127"/>
      <c r="R289" s="20"/>
      <c r="S289" s="20"/>
      <c r="T289" s="20"/>
      <c r="U289" s="124"/>
      <c r="V289" s="127"/>
      <c r="W289" s="20"/>
      <c r="X289" s="20"/>
      <c r="Y289" s="20"/>
      <c r="Z289" s="20"/>
      <c r="AA289" s="20"/>
      <c r="AB289" s="20"/>
      <c r="AC289" s="20"/>
      <c r="AD289" s="20"/>
      <c r="AE289" s="20"/>
    </row>
    <row r="290" spans="1:31" ht="19.5">
      <c r="A290" s="20"/>
      <c r="B290" s="20"/>
      <c r="C290" s="20"/>
      <c r="D290" s="20"/>
      <c r="E290" s="20"/>
      <c r="F290" s="20"/>
      <c r="G290" s="124"/>
      <c r="H290" s="20"/>
      <c r="I290" s="20"/>
      <c r="J290" s="20"/>
      <c r="K290" s="124"/>
      <c r="L290" s="127"/>
      <c r="M290" s="20"/>
      <c r="N290" s="20"/>
      <c r="O290" s="20"/>
      <c r="P290" s="124"/>
      <c r="Q290" s="127"/>
      <c r="R290" s="20"/>
      <c r="S290" s="20"/>
      <c r="T290" s="20"/>
      <c r="U290" s="124"/>
      <c r="V290" s="127"/>
      <c r="W290" s="20"/>
      <c r="X290" s="20"/>
      <c r="Y290" s="20"/>
      <c r="Z290" s="20"/>
      <c r="AA290" s="20"/>
      <c r="AB290" s="20"/>
      <c r="AC290" s="20"/>
      <c r="AD290" s="20"/>
      <c r="AE290" s="20"/>
    </row>
    <row r="291" spans="1:31" ht="19.5">
      <c r="A291" s="20"/>
      <c r="B291" s="20"/>
      <c r="C291" s="20"/>
      <c r="D291" s="20"/>
      <c r="E291" s="20"/>
      <c r="F291" s="20"/>
      <c r="G291" s="124"/>
      <c r="H291" s="20"/>
      <c r="I291" s="20"/>
      <c r="J291" s="20"/>
      <c r="K291" s="124"/>
      <c r="L291" s="127"/>
      <c r="M291" s="20"/>
      <c r="N291" s="20"/>
      <c r="O291" s="20"/>
      <c r="P291" s="124"/>
      <c r="Q291" s="127"/>
      <c r="R291" s="20"/>
      <c r="S291" s="20"/>
      <c r="T291" s="20"/>
      <c r="U291" s="124"/>
      <c r="V291" s="127"/>
      <c r="W291" s="20"/>
      <c r="X291" s="20"/>
      <c r="Y291" s="20"/>
      <c r="Z291" s="20"/>
      <c r="AA291" s="20"/>
      <c r="AB291" s="20"/>
      <c r="AC291" s="20"/>
      <c r="AD291" s="20"/>
      <c r="AE291" s="20"/>
    </row>
    <row r="292" spans="1:31" ht="19.5">
      <c r="A292" s="20"/>
      <c r="B292" s="20"/>
      <c r="C292" s="20"/>
      <c r="D292" s="20"/>
      <c r="E292" s="20"/>
      <c r="F292" s="20"/>
      <c r="G292" s="124"/>
      <c r="H292" s="20"/>
      <c r="I292" s="20"/>
      <c r="J292" s="20"/>
      <c r="K292" s="124"/>
      <c r="L292" s="127"/>
      <c r="M292" s="20"/>
      <c r="N292" s="20"/>
      <c r="O292" s="20"/>
      <c r="P292" s="124"/>
      <c r="Q292" s="127"/>
      <c r="R292" s="20"/>
      <c r="S292" s="20"/>
      <c r="T292" s="20"/>
      <c r="U292" s="124"/>
      <c r="V292" s="127"/>
      <c r="W292" s="20"/>
      <c r="X292" s="20"/>
      <c r="Y292" s="20"/>
      <c r="Z292" s="20"/>
      <c r="AA292" s="20"/>
      <c r="AB292" s="20"/>
      <c r="AC292" s="20"/>
      <c r="AD292" s="20"/>
      <c r="AE292" s="20"/>
    </row>
    <row r="293" spans="1:31" ht="19.5">
      <c r="A293" s="20"/>
      <c r="B293" s="20"/>
      <c r="C293" s="20"/>
      <c r="D293" s="20"/>
      <c r="E293" s="20"/>
      <c r="F293" s="20"/>
      <c r="G293" s="124"/>
      <c r="H293" s="20"/>
      <c r="I293" s="20"/>
      <c r="J293" s="20"/>
      <c r="K293" s="124"/>
      <c r="L293" s="127"/>
      <c r="M293" s="20"/>
      <c r="N293" s="20"/>
      <c r="O293" s="20"/>
      <c r="P293" s="124"/>
      <c r="Q293" s="127"/>
      <c r="R293" s="20"/>
      <c r="S293" s="20"/>
      <c r="T293" s="20"/>
      <c r="U293" s="124"/>
      <c r="V293" s="127"/>
      <c r="W293" s="20"/>
      <c r="X293" s="20"/>
      <c r="Y293" s="20"/>
      <c r="Z293" s="20"/>
      <c r="AA293" s="20"/>
      <c r="AB293" s="20"/>
      <c r="AC293" s="20"/>
      <c r="AD293" s="20"/>
      <c r="AE293" s="20"/>
    </row>
    <row r="294" spans="1:31" ht="19.5">
      <c r="A294" s="20"/>
      <c r="B294" s="20"/>
      <c r="C294" s="20"/>
      <c r="D294" s="20"/>
      <c r="E294" s="20"/>
      <c r="F294" s="20"/>
      <c r="G294" s="124"/>
      <c r="H294" s="20"/>
      <c r="I294" s="20"/>
      <c r="J294" s="20"/>
      <c r="K294" s="124"/>
      <c r="L294" s="127"/>
      <c r="M294" s="20"/>
      <c r="N294" s="20"/>
      <c r="O294" s="20"/>
      <c r="P294" s="124"/>
      <c r="Q294" s="127"/>
      <c r="R294" s="20"/>
      <c r="S294" s="20"/>
      <c r="T294" s="20"/>
      <c r="U294" s="124"/>
      <c r="V294" s="127"/>
      <c r="W294" s="20"/>
      <c r="X294" s="20"/>
      <c r="Y294" s="20"/>
      <c r="Z294" s="20"/>
      <c r="AA294" s="20"/>
      <c r="AB294" s="20"/>
      <c r="AC294" s="20"/>
      <c r="AD294" s="20"/>
      <c r="AE294" s="20"/>
    </row>
    <row r="295" spans="1:31" ht="19.5">
      <c r="A295" s="20"/>
      <c r="B295" s="20"/>
      <c r="C295" s="20"/>
      <c r="D295" s="20"/>
      <c r="E295" s="20"/>
      <c r="F295" s="20"/>
      <c r="G295" s="124"/>
      <c r="H295" s="20"/>
      <c r="I295" s="20"/>
      <c r="J295" s="20"/>
      <c r="K295" s="124"/>
      <c r="L295" s="127"/>
      <c r="M295" s="20"/>
      <c r="N295" s="20"/>
      <c r="O295" s="20"/>
      <c r="P295" s="124"/>
      <c r="Q295" s="127"/>
      <c r="R295" s="20"/>
      <c r="S295" s="20"/>
      <c r="T295" s="20"/>
      <c r="U295" s="124"/>
      <c r="V295" s="127"/>
      <c r="W295" s="20"/>
      <c r="X295" s="20"/>
      <c r="Y295" s="20"/>
      <c r="Z295" s="20"/>
      <c r="AA295" s="20"/>
      <c r="AB295" s="20"/>
      <c r="AC295" s="20"/>
      <c r="AD295" s="20"/>
      <c r="AE295" s="20"/>
    </row>
    <row r="296" spans="1:31" ht="19.5">
      <c r="A296" s="20"/>
      <c r="B296" s="20"/>
      <c r="C296" s="20"/>
      <c r="D296" s="20"/>
      <c r="E296" s="20"/>
      <c r="F296" s="20"/>
      <c r="G296" s="124"/>
      <c r="H296" s="20"/>
      <c r="I296" s="20"/>
      <c r="J296" s="20"/>
      <c r="K296" s="124"/>
      <c r="L296" s="127"/>
      <c r="M296" s="20"/>
      <c r="N296" s="20"/>
      <c r="O296" s="20"/>
      <c r="P296" s="124"/>
      <c r="Q296" s="127"/>
      <c r="R296" s="20"/>
      <c r="S296" s="20"/>
      <c r="T296" s="20"/>
      <c r="U296" s="124"/>
      <c r="V296" s="127"/>
      <c r="W296" s="20"/>
      <c r="X296" s="20"/>
      <c r="Y296" s="20"/>
      <c r="Z296" s="20"/>
      <c r="AA296" s="20"/>
      <c r="AB296" s="20"/>
      <c r="AC296" s="20"/>
      <c r="AD296" s="20"/>
      <c r="AE296" s="20"/>
    </row>
    <row r="297" spans="1:31" ht="19.5">
      <c r="A297" s="20"/>
      <c r="B297" s="20"/>
      <c r="C297" s="20"/>
      <c r="D297" s="20"/>
      <c r="E297" s="20"/>
      <c r="F297" s="20"/>
      <c r="G297" s="124"/>
      <c r="H297" s="20"/>
      <c r="I297" s="20"/>
      <c r="J297" s="20"/>
      <c r="K297" s="124"/>
      <c r="L297" s="127"/>
      <c r="M297" s="20"/>
      <c r="N297" s="20"/>
      <c r="O297" s="20"/>
      <c r="P297" s="124"/>
      <c r="Q297" s="127"/>
      <c r="R297" s="20"/>
      <c r="S297" s="20"/>
      <c r="T297" s="20"/>
      <c r="U297" s="124"/>
      <c r="V297" s="127"/>
      <c r="W297" s="20"/>
      <c r="X297" s="20"/>
      <c r="Y297" s="20"/>
      <c r="Z297" s="20"/>
      <c r="AA297" s="20"/>
      <c r="AB297" s="20"/>
      <c r="AC297" s="20"/>
      <c r="AD297" s="20"/>
      <c r="AE297" s="20"/>
    </row>
    <row r="298" spans="1:31" ht="19.5">
      <c r="A298" s="20"/>
      <c r="B298" s="20"/>
      <c r="C298" s="20"/>
      <c r="D298" s="20"/>
      <c r="E298" s="20"/>
      <c r="F298" s="20"/>
      <c r="G298" s="124"/>
      <c r="H298" s="20"/>
      <c r="I298" s="20"/>
      <c r="J298" s="20"/>
      <c r="K298" s="124"/>
      <c r="L298" s="127"/>
      <c r="M298" s="20"/>
      <c r="N298" s="20"/>
      <c r="O298" s="20"/>
      <c r="P298" s="124"/>
      <c r="Q298" s="127"/>
      <c r="R298" s="20"/>
      <c r="S298" s="20"/>
      <c r="T298" s="20"/>
      <c r="U298" s="124"/>
      <c r="V298" s="127"/>
      <c r="W298" s="20"/>
      <c r="X298" s="20"/>
      <c r="Y298" s="20"/>
      <c r="Z298" s="20"/>
      <c r="AA298" s="20"/>
      <c r="AB298" s="20"/>
      <c r="AC298" s="20"/>
      <c r="AD298" s="20"/>
      <c r="AE298" s="20"/>
    </row>
    <row r="299" spans="1:31" ht="19.5">
      <c r="A299" s="20"/>
      <c r="B299" s="20"/>
      <c r="C299" s="20"/>
      <c r="D299" s="20"/>
      <c r="E299" s="20"/>
      <c r="F299" s="20"/>
      <c r="G299" s="124"/>
      <c r="H299" s="20"/>
      <c r="I299" s="20"/>
      <c r="J299" s="20"/>
      <c r="K299" s="124"/>
      <c r="L299" s="127"/>
      <c r="M299" s="20"/>
      <c r="N299" s="20"/>
      <c r="O299" s="20"/>
      <c r="P299" s="124"/>
      <c r="Q299" s="127"/>
      <c r="R299" s="20"/>
      <c r="S299" s="20"/>
      <c r="T299" s="20"/>
      <c r="U299" s="124"/>
      <c r="V299" s="127"/>
      <c r="W299" s="20"/>
      <c r="X299" s="20"/>
      <c r="Y299" s="20"/>
      <c r="Z299" s="20"/>
      <c r="AA299" s="20"/>
      <c r="AB299" s="20"/>
      <c r="AC299" s="20"/>
      <c r="AD299" s="20"/>
      <c r="AE299" s="20"/>
    </row>
    <row r="300" spans="1:31" ht="19.5">
      <c r="A300" s="20"/>
      <c r="B300" s="20"/>
      <c r="C300" s="20"/>
      <c r="D300" s="20"/>
      <c r="E300" s="20"/>
      <c r="F300" s="20"/>
      <c r="G300" s="124"/>
      <c r="H300" s="20"/>
      <c r="I300" s="20"/>
      <c r="J300" s="20"/>
      <c r="K300" s="124"/>
      <c r="L300" s="127"/>
      <c r="M300" s="20"/>
      <c r="N300" s="20"/>
      <c r="O300" s="20"/>
      <c r="P300" s="124"/>
      <c r="Q300" s="127"/>
      <c r="R300" s="20"/>
      <c r="S300" s="20"/>
      <c r="T300" s="20"/>
      <c r="U300" s="124"/>
      <c r="V300" s="127"/>
      <c r="W300" s="20"/>
      <c r="X300" s="20"/>
      <c r="Y300" s="20"/>
      <c r="Z300" s="20"/>
      <c r="AA300" s="20"/>
      <c r="AB300" s="20"/>
      <c r="AC300" s="20"/>
      <c r="AD300" s="20"/>
      <c r="AE300" s="20"/>
    </row>
    <row r="301" spans="1:31" ht="19.5">
      <c r="A301" s="20"/>
      <c r="B301" s="20"/>
      <c r="C301" s="20"/>
      <c r="D301" s="20"/>
      <c r="E301" s="20"/>
      <c r="F301" s="20"/>
      <c r="G301" s="124"/>
      <c r="H301" s="20"/>
      <c r="I301" s="20"/>
      <c r="J301" s="20"/>
      <c r="K301" s="124"/>
      <c r="L301" s="127"/>
      <c r="M301" s="20"/>
      <c r="N301" s="20"/>
      <c r="O301" s="20"/>
      <c r="P301" s="124"/>
      <c r="Q301" s="127"/>
      <c r="R301" s="20"/>
      <c r="S301" s="20"/>
      <c r="T301" s="20"/>
      <c r="U301" s="124"/>
      <c r="V301" s="127"/>
      <c r="W301" s="20"/>
      <c r="X301" s="20"/>
      <c r="Y301" s="20"/>
      <c r="Z301" s="20"/>
      <c r="AA301" s="20"/>
      <c r="AB301" s="20"/>
      <c r="AC301" s="20"/>
      <c r="AD301" s="20"/>
      <c r="AE301" s="20"/>
    </row>
    <row r="302" spans="1:31" ht="19.5">
      <c r="A302" s="20"/>
      <c r="B302" s="20"/>
      <c r="C302" s="20"/>
      <c r="D302" s="20"/>
      <c r="E302" s="20"/>
      <c r="F302" s="20"/>
      <c r="G302" s="124"/>
      <c r="H302" s="20"/>
      <c r="I302" s="20"/>
      <c r="J302" s="20"/>
      <c r="K302" s="124"/>
      <c r="L302" s="127"/>
      <c r="M302" s="20"/>
      <c r="N302" s="20"/>
      <c r="O302" s="20"/>
      <c r="P302" s="124"/>
      <c r="Q302" s="127"/>
      <c r="R302" s="20"/>
      <c r="S302" s="20"/>
      <c r="T302" s="20"/>
      <c r="U302" s="124"/>
      <c r="V302" s="127"/>
      <c r="W302" s="20"/>
      <c r="X302" s="20"/>
      <c r="Y302" s="20"/>
      <c r="Z302" s="20"/>
      <c r="AA302" s="20"/>
      <c r="AB302" s="20"/>
      <c r="AC302" s="20"/>
      <c r="AD302" s="20"/>
      <c r="AE302" s="20"/>
    </row>
    <row r="303" spans="1:31" ht="19.5">
      <c r="A303" s="20"/>
      <c r="B303" s="20"/>
      <c r="C303" s="20"/>
      <c r="D303" s="20"/>
      <c r="E303" s="20"/>
      <c r="F303" s="20"/>
      <c r="G303" s="124"/>
      <c r="H303" s="20"/>
      <c r="I303" s="20"/>
      <c r="J303" s="20"/>
      <c r="K303" s="124"/>
      <c r="L303" s="127"/>
      <c r="M303" s="20"/>
      <c r="N303" s="20"/>
      <c r="O303" s="20"/>
      <c r="P303" s="124"/>
      <c r="Q303" s="127"/>
      <c r="R303" s="20"/>
      <c r="S303" s="20"/>
      <c r="T303" s="20"/>
      <c r="U303" s="124"/>
      <c r="V303" s="127"/>
      <c r="W303" s="20"/>
      <c r="X303" s="20"/>
      <c r="Y303" s="20"/>
      <c r="Z303" s="20"/>
      <c r="AA303" s="20"/>
      <c r="AB303" s="20"/>
      <c r="AC303" s="20"/>
      <c r="AD303" s="20"/>
      <c r="AE303" s="20"/>
    </row>
    <row r="304" spans="1:31" ht="19.5">
      <c r="A304" s="20"/>
      <c r="B304" s="20"/>
      <c r="C304" s="20"/>
      <c r="D304" s="20"/>
      <c r="E304" s="20"/>
      <c r="F304" s="20"/>
      <c r="G304" s="124"/>
      <c r="H304" s="20"/>
      <c r="I304" s="20"/>
      <c r="J304" s="20"/>
      <c r="K304" s="124"/>
      <c r="L304" s="127"/>
      <c r="M304" s="20"/>
      <c r="N304" s="20"/>
      <c r="O304" s="20"/>
      <c r="P304" s="124"/>
      <c r="Q304" s="127"/>
      <c r="R304" s="20"/>
      <c r="S304" s="20"/>
      <c r="T304" s="20"/>
      <c r="U304" s="124"/>
      <c r="V304" s="127"/>
      <c r="W304" s="20"/>
      <c r="X304" s="20"/>
      <c r="Y304" s="20"/>
      <c r="Z304" s="20"/>
      <c r="AA304" s="20"/>
      <c r="AB304" s="20"/>
      <c r="AC304" s="20"/>
      <c r="AD304" s="20"/>
      <c r="AE304" s="20"/>
    </row>
    <row r="305" spans="1:31" ht="19.5">
      <c r="A305" s="20"/>
      <c r="B305" s="20"/>
      <c r="C305" s="20"/>
      <c r="D305" s="20"/>
      <c r="E305" s="20"/>
      <c r="F305" s="20"/>
      <c r="G305" s="124"/>
      <c r="H305" s="20"/>
      <c r="I305" s="20"/>
      <c r="J305" s="20"/>
      <c r="K305" s="124"/>
      <c r="L305" s="127"/>
      <c r="M305" s="20"/>
      <c r="N305" s="20"/>
      <c r="O305" s="20"/>
      <c r="P305" s="124"/>
      <c r="Q305" s="127"/>
      <c r="R305" s="20"/>
      <c r="S305" s="20"/>
      <c r="T305" s="20"/>
      <c r="U305" s="124"/>
      <c r="V305" s="127"/>
      <c r="W305" s="20"/>
      <c r="X305" s="20"/>
      <c r="Y305" s="20"/>
      <c r="Z305" s="20"/>
      <c r="AA305" s="20"/>
      <c r="AB305" s="20"/>
      <c r="AC305" s="20"/>
      <c r="AD305" s="20"/>
      <c r="AE305" s="20"/>
    </row>
    <row r="306" spans="1:31" ht="19.5">
      <c r="A306" s="20"/>
      <c r="B306" s="20"/>
      <c r="C306" s="20"/>
      <c r="D306" s="20"/>
      <c r="E306" s="20"/>
      <c r="F306" s="20"/>
      <c r="G306" s="124"/>
      <c r="H306" s="20"/>
      <c r="I306" s="20"/>
      <c r="J306" s="20"/>
      <c r="K306" s="124"/>
      <c r="L306" s="127"/>
      <c r="M306" s="20"/>
      <c r="N306" s="20"/>
      <c r="O306" s="20"/>
      <c r="P306" s="124"/>
      <c r="Q306" s="127"/>
      <c r="R306" s="20"/>
      <c r="S306" s="20"/>
      <c r="T306" s="20"/>
      <c r="U306" s="124"/>
      <c r="V306" s="127"/>
      <c r="W306" s="20"/>
      <c r="X306" s="20"/>
      <c r="Y306" s="20"/>
      <c r="Z306" s="20"/>
      <c r="AA306" s="20"/>
      <c r="AB306" s="20"/>
      <c r="AC306" s="20"/>
      <c r="AD306" s="20"/>
      <c r="AE306" s="20"/>
    </row>
    <row r="307" spans="1:31" ht="19.5">
      <c r="A307" s="20"/>
      <c r="B307" s="20"/>
      <c r="C307" s="20"/>
      <c r="D307" s="20"/>
      <c r="E307" s="20"/>
      <c r="F307" s="20"/>
      <c r="G307" s="124"/>
      <c r="H307" s="20"/>
      <c r="I307" s="20"/>
      <c r="J307" s="20"/>
      <c r="K307" s="124"/>
      <c r="L307" s="127"/>
      <c r="M307" s="20"/>
      <c r="N307" s="20"/>
      <c r="O307" s="20"/>
      <c r="P307" s="124"/>
      <c r="Q307" s="127"/>
      <c r="R307" s="20"/>
      <c r="S307" s="20"/>
      <c r="T307" s="20"/>
      <c r="U307" s="124"/>
      <c r="V307" s="127"/>
      <c r="W307" s="20"/>
      <c r="X307" s="20"/>
      <c r="Y307" s="20"/>
      <c r="Z307" s="20"/>
      <c r="AA307" s="20"/>
      <c r="AB307" s="20"/>
      <c r="AC307" s="20"/>
      <c r="AD307" s="20"/>
      <c r="AE307" s="20"/>
    </row>
    <row r="308" spans="1:31" ht="19.5">
      <c r="A308" s="20"/>
      <c r="B308" s="20"/>
      <c r="C308" s="20"/>
      <c r="D308" s="20"/>
      <c r="E308" s="20"/>
      <c r="F308" s="20"/>
      <c r="G308" s="124"/>
      <c r="H308" s="20"/>
      <c r="I308" s="20"/>
      <c r="J308" s="20"/>
      <c r="K308" s="124"/>
      <c r="L308" s="127"/>
      <c r="M308" s="20"/>
      <c r="N308" s="20"/>
      <c r="O308" s="20"/>
      <c r="P308" s="124"/>
      <c r="Q308" s="127"/>
      <c r="R308" s="20"/>
      <c r="S308" s="20"/>
      <c r="T308" s="20"/>
      <c r="U308" s="124"/>
      <c r="V308" s="127"/>
      <c r="W308" s="20"/>
      <c r="X308" s="20"/>
      <c r="Y308" s="20"/>
      <c r="Z308" s="20"/>
      <c r="AA308" s="20"/>
      <c r="AB308" s="20"/>
      <c r="AC308" s="20"/>
      <c r="AD308" s="20"/>
      <c r="AE308" s="20"/>
    </row>
    <row r="309" spans="1:31" ht="19.5">
      <c r="A309" s="20"/>
      <c r="B309" s="20"/>
      <c r="C309" s="20"/>
      <c r="D309" s="20"/>
      <c r="E309" s="20"/>
      <c r="F309" s="20"/>
      <c r="G309" s="124"/>
      <c r="H309" s="20"/>
      <c r="I309" s="20"/>
      <c r="J309" s="20"/>
      <c r="K309" s="124"/>
      <c r="L309" s="127"/>
      <c r="M309" s="20"/>
      <c r="N309" s="20"/>
      <c r="O309" s="20"/>
      <c r="P309" s="124"/>
      <c r="Q309" s="127"/>
      <c r="R309" s="20"/>
      <c r="S309" s="20"/>
      <c r="T309" s="20"/>
      <c r="U309" s="124"/>
      <c r="V309" s="127"/>
      <c r="W309" s="20"/>
      <c r="X309" s="20"/>
      <c r="Y309" s="20"/>
      <c r="Z309" s="20"/>
      <c r="AA309" s="20"/>
      <c r="AB309" s="20"/>
      <c r="AC309" s="20"/>
      <c r="AD309" s="20"/>
      <c r="AE309" s="20"/>
    </row>
    <row r="310" spans="1:31" ht="19.5">
      <c r="A310" s="20"/>
      <c r="B310" s="20"/>
      <c r="C310" s="20"/>
      <c r="D310" s="20"/>
      <c r="E310" s="20"/>
      <c r="F310" s="20"/>
      <c r="G310" s="124"/>
      <c r="H310" s="20"/>
      <c r="I310" s="20"/>
      <c r="J310" s="20"/>
      <c r="K310" s="124"/>
      <c r="L310" s="127"/>
      <c r="M310" s="20"/>
      <c r="N310" s="20"/>
      <c r="O310" s="20"/>
      <c r="P310" s="124"/>
      <c r="Q310" s="127"/>
      <c r="R310" s="20"/>
      <c r="S310" s="20"/>
      <c r="T310" s="20"/>
      <c r="U310" s="124"/>
      <c r="V310" s="127"/>
      <c r="W310" s="20"/>
      <c r="X310" s="20"/>
      <c r="Y310" s="20"/>
      <c r="Z310" s="20"/>
      <c r="AA310" s="20"/>
      <c r="AB310" s="20"/>
      <c r="AC310" s="20"/>
      <c r="AD310" s="20"/>
      <c r="AE310" s="20"/>
    </row>
    <row r="311" spans="1:31" ht="19.5">
      <c r="A311" s="20"/>
      <c r="B311" s="20"/>
      <c r="C311" s="20"/>
      <c r="D311" s="20"/>
      <c r="E311" s="20"/>
      <c r="F311" s="20"/>
      <c r="G311" s="124"/>
      <c r="H311" s="20"/>
      <c r="I311" s="20"/>
      <c r="J311" s="20"/>
      <c r="K311" s="124"/>
      <c r="L311" s="127"/>
      <c r="M311" s="20"/>
      <c r="N311" s="20"/>
      <c r="O311" s="20"/>
      <c r="P311" s="124"/>
      <c r="Q311" s="127"/>
      <c r="R311" s="20"/>
      <c r="S311" s="20"/>
      <c r="T311" s="20"/>
      <c r="U311" s="124"/>
      <c r="V311" s="127"/>
      <c r="W311" s="20"/>
      <c r="X311" s="20"/>
      <c r="Y311" s="20"/>
      <c r="Z311" s="20"/>
      <c r="AA311" s="20"/>
      <c r="AB311" s="20"/>
      <c r="AC311" s="20"/>
      <c r="AD311" s="20"/>
      <c r="AE311" s="20"/>
    </row>
    <row r="312" spans="1:31" ht="19.5">
      <c r="A312" s="20"/>
      <c r="B312" s="20"/>
      <c r="C312" s="20"/>
      <c r="D312" s="20"/>
      <c r="E312" s="20"/>
      <c r="F312" s="20"/>
      <c r="G312" s="124"/>
      <c r="H312" s="20"/>
      <c r="I312" s="20"/>
      <c r="J312" s="20"/>
      <c r="K312" s="124"/>
      <c r="L312" s="127"/>
      <c r="M312" s="20"/>
      <c r="N312" s="20"/>
      <c r="O312" s="20"/>
      <c r="P312" s="124"/>
      <c r="Q312" s="127"/>
      <c r="R312" s="20"/>
      <c r="S312" s="20"/>
      <c r="T312" s="20"/>
      <c r="U312" s="124"/>
      <c r="V312" s="127"/>
      <c r="W312" s="20"/>
      <c r="X312" s="20"/>
      <c r="Y312" s="20"/>
      <c r="Z312" s="20"/>
      <c r="AA312" s="20"/>
      <c r="AB312" s="20"/>
      <c r="AC312" s="20"/>
      <c r="AD312" s="20"/>
      <c r="AE312" s="20"/>
    </row>
    <row r="313" spans="1:31" ht="19.5">
      <c r="A313" s="20"/>
      <c r="B313" s="20"/>
      <c r="C313" s="20"/>
      <c r="D313" s="20"/>
      <c r="E313" s="20"/>
      <c r="F313" s="20"/>
      <c r="G313" s="124"/>
      <c r="H313" s="20"/>
      <c r="I313" s="20"/>
      <c r="J313" s="20"/>
      <c r="K313" s="124"/>
      <c r="L313" s="127"/>
      <c r="M313" s="20"/>
      <c r="N313" s="20"/>
      <c r="O313" s="20"/>
      <c r="P313" s="124"/>
      <c r="Q313" s="127"/>
      <c r="R313" s="20"/>
      <c r="S313" s="20"/>
      <c r="T313" s="20"/>
      <c r="U313" s="124"/>
      <c r="V313" s="127"/>
      <c r="W313" s="20"/>
      <c r="X313" s="20"/>
      <c r="Y313" s="20"/>
      <c r="Z313" s="20"/>
      <c r="AA313" s="20"/>
      <c r="AB313" s="20"/>
      <c r="AC313" s="20"/>
      <c r="AD313" s="20"/>
      <c r="AE313" s="20"/>
    </row>
    <row r="314" spans="1:31" ht="19.5">
      <c r="A314" s="20"/>
      <c r="B314" s="20"/>
      <c r="C314" s="20"/>
      <c r="D314" s="20"/>
      <c r="E314" s="20"/>
      <c r="F314" s="20"/>
      <c r="G314" s="124"/>
      <c r="H314" s="20"/>
      <c r="I314" s="20"/>
      <c r="J314" s="20"/>
      <c r="K314" s="124"/>
      <c r="L314" s="127"/>
      <c r="M314" s="20"/>
      <c r="N314" s="20"/>
      <c r="O314" s="20"/>
      <c r="P314" s="124"/>
      <c r="Q314" s="127"/>
      <c r="R314" s="20"/>
      <c r="S314" s="20"/>
      <c r="T314" s="20"/>
      <c r="U314" s="124"/>
      <c r="V314" s="127"/>
      <c r="W314" s="20"/>
      <c r="X314" s="20"/>
      <c r="Y314" s="20"/>
      <c r="Z314" s="20"/>
      <c r="AA314" s="20"/>
      <c r="AB314" s="20"/>
      <c r="AC314" s="20"/>
      <c r="AD314" s="20"/>
      <c r="AE314" s="20"/>
    </row>
    <row r="315" spans="1:31" ht="19.5">
      <c r="A315" s="20"/>
      <c r="B315" s="20"/>
      <c r="C315" s="20"/>
      <c r="D315" s="20"/>
      <c r="E315" s="20"/>
      <c r="F315" s="20"/>
      <c r="G315" s="124"/>
      <c r="H315" s="20"/>
      <c r="I315" s="20"/>
      <c r="J315" s="20"/>
      <c r="K315" s="124"/>
      <c r="L315" s="127"/>
      <c r="M315" s="20"/>
      <c r="N315" s="20"/>
      <c r="O315" s="20"/>
      <c r="P315" s="124"/>
      <c r="Q315" s="127"/>
      <c r="R315" s="20"/>
      <c r="S315" s="20"/>
      <c r="T315" s="20"/>
      <c r="U315" s="124"/>
      <c r="V315" s="127"/>
      <c r="W315" s="20"/>
      <c r="X315" s="20"/>
      <c r="Y315" s="20"/>
      <c r="Z315" s="20"/>
      <c r="AA315" s="20"/>
      <c r="AB315" s="20"/>
      <c r="AC315" s="20"/>
      <c r="AD315" s="20"/>
      <c r="AE315" s="20"/>
    </row>
    <row r="316" spans="1:31" ht="19.5">
      <c r="A316" s="20"/>
      <c r="B316" s="20"/>
      <c r="C316" s="20"/>
      <c r="D316" s="20"/>
      <c r="E316" s="20"/>
      <c r="F316" s="20"/>
      <c r="G316" s="124"/>
      <c r="H316" s="20"/>
      <c r="I316" s="20"/>
      <c r="J316" s="20"/>
      <c r="K316" s="124"/>
      <c r="L316" s="127"/>
      <c r="M316" s="20"/>
      <c r="N316" s="20"/>
      <c r="O316" s="20"/>
      <c r="P316" s="124"/>
      <c r="Q316" s="127"/>
      <c r="R316" s="20"/>
      <c r="S316" s="20"/>
      <c r="T316" s="20"/>
      <c r="U316" s="124"/>
      <c r="V316" s="127"/>
      <c r="W316" s="20"/>
      <c r="X316" s="20"/>
      <c r="Y316" s="20"/>
      <c r="Z316" s="20"/>
      <c r="AA316" s="20"/>
      <c r="AB316" s="20"/>
      <c r="AC316" s="20"/>
      <c r="AD316" s="20"/>
      <c r="AE316" s="20"/>
    </row>
    <row r="317" spans="1:31" ht="19.5">
      <c r="A317" s="20"/>
      <c r="B317" s="20"/>
      <c r="C317" s="20"/>
      <c r="D317" s="20"/>
      <c r="E317" s="20"/>
      <c r="F317" s="20"/>
      <c r="G317" s="124"/>
      <c r="H317" s="20"/>
      <c r="I317" s="20"/>
      <c r="J317" s="20"/>
      <c r="K317" s="124"/>
      <c r="L317" s="127"/>
      <c r="M317" s="20"/>
      <c r="N317" s="20"/>
      <c r="O317" s="20"/>
      <c r="P317" s="124"/>
      <c r="Q317" s="127"/>
      <c r="R317" s="20"/>
      <c r="S317" s="20"/>
      <c r="T317" s="20"/>
      <c r="U317" s="124"/>
      <c r="V317" s="127"/>
      <c r="W317" s="20"/>
      <c r="X317" s="20"/>
      <c r="Y317" s="20"/>
      <c r="Z317" s="20"/>
      <c r="AA317" s="20"/>
      <c r="AB317" s="20"/>
      <c r="AC317" s="20"/>
      <c r="AD317" s="20"/>
      <c r="AE317" s="20"/>
    </row>
    <row r="318" spans="1:31" ht="19.5">
      <c r="A318" s="20"/>
      <c r="B318" s="20"/>
      <c r="C318" s="20"/>
      <c r="D318" s="20"/>
      <c r="E318" s="20"/>
      <c r="F318" s="20"/>
      <c r="G318" s="124"/>
      <c r="H318" s="20"/>
      <c r="I318" s="20"/>
      <c r="J318" s="20"/>
      <c r="K318" s="124"/>
      <c r="L318" s="127"/>
      <c r="M318" s="20"/>
      <c r="N318" s="20"/>
      <c r="O318" s="20"/>
      <c r="P318" s="124"/>
      <c r="Q318" s="127"/>
      <c r="R318" s="20"/>
      <c r="S318" s="20"/>
      <c r="T318" s="20"/>
      <c r="U318" s="124"/>
      <c r="V318" s="127"/>
      <c r="W318" s="20"/>
      <c r="X318" s="20"/>
      <c r="Y318" s="20"/>
      <c r="Z318" s="20"/>
      <c r="AA318" s="20"/>
      <c r="AB318" s="20"/>
      <c r="AC318" s="20"/>
      <c r="AD318" s="20"/>
      <c r="AE318" s="20"/>
    </row>
    <row r="319" spans="1:31" ht="19.5">
      <c r="A319" s="20"/>
      <c r="B319" s="20"/>
      <c r="C319" s="20"/>
      <c r="D319" s="20"/>
      <c r="E319" s="20"/>
      <c r="F319" s="20"/>
      <c r="G319" s="124"/>
      <c r="H319" s="20"/>
      <c r="I319" s="20"/>
      <c r="J319" s="20"/>
      <c r="K319" s="124"/>
      <c r="L319" s="127"/>
      <c r="M319" s="20"/>
      <c r="N319" s="20"/>
      <c r="O319" s="20"/>
      <c r="P319" s="124"/>
      <c r="Q319" s="127"/>
      <c r="R319" s="20"/>
      <c r="S319" s="20"/>
      <c r="T319" s="20"/>
      <c r="U319" s="124"/>
      <c r="V319" s="127"/>
      <c r="W319" s="20"/>
      <c r="X319" s="20"/>
      <c r="Y319" s="20"/>
      <c r="Z319" s="20"/>
      <c r="AA319" s="20"/>
      <c r="AB319" s="20"/>
      <c r="AC319" s="20"/>
      <c r="AD319" s="20"/>
      <c r="AE319" s="20"/>
    </row>
    <row r="320" spans="1:31" ht="19.5">
      <c r="A320" s="20"/>
      <c r="B320" s="20"/>
      <c r="C320" s="20"/>
      <c r="D320" s="20"/>
      <c r="E320" s="20"/>
      <c r="F320" s="20"/>
      <c r="G320" s="124"/>
      <c r="H320" s="20"/>
      <c r="I320" s="20"/>
      <c r="J320" s="20"/>
      <c r="K320" s="124"/>
      <c r="L320" s="127"/>
      <c r="M320" s="20"/>
      <c r="N320" s="20"/>
      <c r="O320" s="20"/>
      <c r="P320" s="124"/>
      <c r="Q320" s="127"/>
      <c r="R320" s="20"/>
      <c r="S320" s="20"/>
      <c r="T320" s="20"/>
      <c r="U320" s="124"/>
      <c r="V320" s="127"/>
      <c r="W320" s="20"/>
      <c r="X320" s="20"/>
      <c r="Y320" s="20"/>
      <c r="Z320" s="20"/>
      <c r="AA320" s="20"/>
      <c r="AB320" s="20"/>
      <c r="AC320" s="20"/>
      <c r="AD320" s="20"/>
      <c r="AE320" s="20"/>
    </row>
    <row r="321" spans="1:31" ht="19.5">
      <c r="A321" s="20"/>
      <c r="B321" s="20"/>
      <c r="C321" s="20"/>
      <c r="D321" s="20"/>
      <c r="E321" s="20"/>
      <c r="F321" s="20"/>
      <c r="G321" s="124"/>
      <c r="H321" s="20"/>
      <c r="I321" s="20"/>
      <c r="J321" s="20"/>
      <c r="K321" s="124"/>
      <c r="L321" s="127"/>
      <c r="M321" s="20"/>
      <c r="N321" s="20"/>
      <c r="O321" s="20"/>
      <c r="P321" s="124"/>
      <c r="Q321" s="127"/>
      <c r="R321" s="20"/>
      <c r="S321" s="20"/>
      <c r="T321" s="20"/>
      <c r="U321" s="124"/>
      <c r="V321" s="127"/>
      <c r="W321" s="20"/>
      <c r="X321" s="20"/>
      <c r="Y321" s="20"/>
      <c r="Z321" s="20"/>
      <c r="AA321" s="20"/>
      <c r="AB321" s="20"/>
      <c r="AC321" s="20"/>
      <c r="AD321" s="20"/>
      <c r="AE321" s="20"/>
    </row>
    <row r="322" spans="1:31" ht="19.5">
      <c r="A322" s="20"/>
      <c r="B322" s="20"/>
      <c r="C322" s="20"/>
      <c r="D322" s="20"/>
      <c r="E322" s="20"/>
      <c r="F322" s="20"/>
      <c r="G322" s="124"/>
      <c r="H322" s="20"/>
      <c r="I322" s="20"/>
      <c r="J322" s="20"/>
      <c r="K322" s="124"/>
      <c r="L322" s="127"/>
      <c r="M322" s="20"/>
      <c r="N322" s="20"/>
      <c r="O322" s="20"/>
      <c r="P322" s="124"/>
      <c r="Q322" s="127"/>
      <c r="R322" s="20"/>
      <c r="S322" s="20"/>
      <c r="T322" s="20"/>
      <c r="U322" s="124"/>
      <c r="V322" s="127"/>
      <c r="W322" s="20"/>
      <c r="X322" s="20"/>
      <c r="Y322" s="20"/>
      <c r="Z322" s="20"/>
      <c r="AA322" s="20"/>
      <c r="AB322" s="20"/>
      <c r="AC322" s="20"/>
      <c r="AD322" s="20"/>
      <c r="AE322" s="20"/>
    </row>
    <row r="323" spans="1:31" ht="19.5">
      <c r="A323" s="20"/>
      <c r="B323" s="20"/>
      <c r="C323" s="20"/>
      <c r="D323" s="20"/>
      <c r="E323" s="20"/>
      <c r="F323" s="20"/>
      <c r="G323" s="124"/>
      <c r="H323" s="20"/>
      <c r="I323" s="20"/>
      <c r="J323" s="20"/>
      <c r="K323" s="124"/>
      <c r="L323" s="127"/>
      <c r="M323" s="20"/>
      <c r="N323" s="20"/>
      <c r="O323" s="20"/>
      <c r="P323" s="124"/>
      <c r="Q323" s="127"/>
      <c r="R323" s="20"/>
      <c r="S323" s="20"/>
      <c r="T323" s="20"/>
      <c r="U323" s="124"/>
      <c r="V323" s="127"/>
      <c r="W323" s="20"/>
      <c r="X323" s="20"/>
      <c r="Y323" s="20"/>
      <c r="Z323" s="20"/>
      <c r="AA323" s="20"/>
      <c r="AB323" s="20"/>
      <c r="AC323" s="20"/>
      <c r="AD323" s="20"/>
      <c r="AE323" s="20"/>
    </row>
    <row r="324" spans="1:31" ht="19.5">
      <c r="A324" s="20"/>
      <c r="B324" s="20"/>
      <c r="C324" s="20"/>
      <c r="D324" s="20"/>
      <c r="E324" s="20"/>
      <c r="F324" s="20"/>
      <c r="G324" s="124"/>
      <c r="H324" s="20"/>
      <c r="I324" s="20"/>
      <c r="J324" s="20"/>
      <c r="K324" s="124"/>
      <c r="L324" s="127"/>
      <c r="M324" s="20"/>
      <c r="N324" s="20"/>
      <c r="O324" s="20"/>
      <c r="P324" s="124"/>
      <c r="Q324" s="127"/>
      <c r="R324" s="20"/>
      <c r="S324" s="20"/>
      <c r="T324" s="20"/>
      <c r="U324" s="124"/>
      <c r="V324" s="127"/>
      <c r="W324" s="20"/>
      <c r="X324" s="20"/>
      <c r="Y324" s="20"/>
      <c r="Z324" s="20"/>
      <c r="AA324" s="20"/>
      <c r="AB324" s="20"/>
      <c r="AC324" s="20"/>
      <c r="AD324" s="20"/>
      <c r="AE324" s="20"/>
    </row>
    <row r="325" spans="1:31" ht="19.5">
      <c r="A325" s="20"/>
      <c r="B325" s="20"/>
      <c r="C325" s="20"/>
      <c r="D325" s="20"/>
      <c r="E325" s="20"/>
      <c r="F325" s="20"/>
      <c r="G325" s="124"/>
      <c r="H325" s="20"/>
      <c r="I325" s="20"/>
      <c r="J325" s="20"/>
      <c r="K325" s="124"/>
      <c r="L325" s="127"/>
      <c r="M325" s="20"/>
      <c r="N325" s="20"/>
      <c r="O325" s="20"/>
      <c r="P325" s="124"/>
      <c r="Q325" s="127"/>
      <c r="R325" s="20"/>
      <c r="S325" s="20"/>
      <c r="T325" s="20"/>
      <c r="U325" s="124"/>
      <c r="V325" s="127"/>
      <c r="W325" s="20"/>
      <c r="X325" s="20"/>
      <c r="Y325" s="20"/>
      <c r="Z325" s="20"/>
      <c r="AA325" s="20"/>
      <c r="AB325" s="20"/>
      <c r="AC325" s="20"/>
      <c r="AD325" s="20"/>
      <c r="AE325" s="20"/>
    </row>
    <row r="326" spans="1:31" ht="19.5">
      <c r="A326" s="20"/>
      <c r="B326" s="20"/>
      <c r="C326" s="20"/>
      <c r="D326" s="20"/>
      <c r="E326" s="20"/>
      <c r="F326" s="20"/>
      <c r="G326" s="124"/>
      <c r="H326" s="20"/>
      <c r="I326" s="20"/>
      <c r="J326" s="20"/>
      <c r="K326" s="124"/>
      <c r="L326" s="127"/>
      <c r="M326" s="20"/>
      <c r="N326" s="20"/>
      <c r="O326" s="20"/>
      <c r="P326" s="124"/>
      <c r="Q326" s="127"/>
      <c r="R326" s="20"/>
      <c r="S326" s="20"/>
      <c r="T326" s="20"/>
      <c r="U326" s="124"/>
      <c r="V326" s="127"/>
      <c r="W326" s="20"/>
      <c r="X326" s="20"/>
      <c r="Y326" s="20"/>
      <c r="Z326" s="20"/>
      <c r="AA326" s="20"/>
      <c r="AB326" s="20"/>
      <c r="AC326" s="20"/>
      <c r="AD326" s="20"/>
      <c r="AE326" s="20"/>
    </row>
    <row r="327" spans="1:31" ht="19.5">
      <c r="A327" s="20"/>
      <c r="B327" s="20"/>
      <c r="C327" s="20"/>
      <c r="D327" s="20"/>
      <c r="E327" s="20"/>
      <c r="F327" s="20"/>
      <c r="G327" s="124"/>
      <c r="H327" s="20"/>
      <c r="I327" s="20"/>
      <c r="J327" s="20"/>
      <c r="K327" s="124"/>
      <c r="L327" s="127"/>
      <c r="M327" s="20"/>
      <c r="N327" s="20"/>
      <c r="O327" s="20"/>
      <c r="P327" s="124"/>
      <c r="Q327" s="127"/>
      <c r="R327" s="20"/>
      <c r="S327" s="20"/>
      <c r="T327" s="20"/>
      <c r="U327" s="124"/>
      <c r="V327" s="127"/>
      <c r="W327" s="20"/>
      <c r="X327" s="20"/>
      <c r="Y327" s="20"/>
      <c r="Z327" s="20"/>
      <c r="AA327" s="20"/>
      <c r="AB327" s="20"/>
      <c r="AC327" s="20"/>
      <c r="AD327" s="20"/>
      <c r="AE327" s="20"/>
    </row>
    <row r="328" spans="1:31" ht="19.5">
      <c r="A328" s="20"/>
      <c r="B328" s="20"/>
      <c r="C328" s="20"/>
      <c r="D328" s="20"/>
      <c r="E328" s="20"/>
      <c r="F328" s="20"/>
      <c r="G328" s="124"/>
      <c r="H328" s="20"/>
      <c r="I328" s="20"/>
      <c r="J328" s="20"/>
      <c r="K328" s="124"/>
      <c r="L328" s="127"/>
      <c r="M328" s="20"/>
      <c r="N328" s="20"/>
      <c r="O328" s="20"/>
      <c r="P328" s="124"/>
      <c r="Q328" s="127"/>
      <c r="R328" s="20"/>
      <c r="S328" s="20"/>
      <c r="T328" s="20"/>
      <c r="U328" s="124"/>
      <c r="V328" s="127"/>
      <c r="W328" s="20"/>
      <c r="X328" s="20"/>
      <c r="Y328" s="20"/>
      <c r="Z328" s="20"/>
      <c r="AA328" s="20"/>
      <c r="AB328" s="20"/>
      <c r="AC328" s="20"/>
      <c r="AD328" s="20"/>
      <c r="AE328" s="20"/>
    </row>
    <row r="329" spans="1:31" ht="19.5">
      <c r="A329" s="20"/>
      <c r="B329" s="20"/>
      <c r="C329" s="20"/>
      <c r="D329" s="20"/>
      <c r="E329" s="20"/>
      <c r="F329" s="20"/>
      <c r="G329" s="124"/>
      <c r="H329" s="20"/>
      <c r="I329" s="20"/>
      <c r="J329" s="20"/>
      <c r="K329" s="124"/>
      <c r="L329" s="127"/>
      <c r="M329" s="20"/>
      <c r="N329" s="20"/>
      <c r="O329" s="20"/>
      <c r="P329" s="124"/>
      <c r="Q329" s="127"/>
      <c r="R329" s="20"/>
      <c r="S329" s="20"/>
      <c r="T329" s="20"/>
      <c r="U329" s="124"/>
      <c r="V329" s="127"/>
      <c r="W329" s="20"/>
      <c r="X329" s="20"/>
      <c r="Y329" s="20"/>
      <c r="Z329" s="20"/>
      <c r="AA329" s="20"/>
      <c r="AB329" s="20"/>
      <c r="AC329" s="20"/>
      <c r="AD329" s="20"/>
      <c r="AE329" s="20"/>
    </row>
    <row r="330" spans="1:31" ht="19.5">
      <c r="A330" s="20"/>
      <c r="B330" s="20"/>
      <c r="C330" s="20"/>
      <c r="D330" s="20"/>
      <c r="E330" s="20"/>
      <c r="F330" s="20"/>
      <c r="G330" s="124"/>
      <c r="H330" s="20"/>
      <c r="I330" s="20"/>
      <c r="J330" s="20"/>
      <c r="K330" s="124"/>
      <c r="L330" s="127"/>
      <c r="M330" s="20"/>
      <c r="N330" s="20"/>
      <c r="O330" s="20"/>
      <c r="P330" s="124"/>
      <c r="Q330" s="127"/>
      <c r="R330" s="20"/>
      <c r="S330" s="20"/>
      <c r="T330" s="20"/>
      <c r="U330" s="124"/>
      <c r="V330" s="127"/>
      <c r="W330" s="20"/>
      <c r="X330" s="20"/>
      <c r="Y330" s="20"/>
      <c r="Z330" s="20"/>
      <c r="AA330" s="20"/>
      <c r="AB330" s="20"/>
      <c r="AC330" s="20"/>
      <c r="AD330" s="20"/>
      <c r="AE330" s="20"/>
    </row>
    <row r="331" spans="1:31" ht="19.5">
      <c r="A331" s="20"/>
      <c r="B331" s="20"/>
      <c r="C331" s="20"/>
      <c r="D331" s="20"/>
      <c r="E331" s="20"/>
      <c r="F331" s="20"/>
      <c r="G331" s="124"/>
      <c r="H331" s="20"/>
      <c r="I331" s="20"/>
      <c r="J331" s="20"/>
      <c r="K331" s="124"/>
      <c r="L331" s="127"/>
      <c r="M331" s="20"/>
      <c r="N331" s="20"/>
      <c r="O331" s="20"/>
      <c r="P331" s="124"/>
      <c r="Q331" s="127"/>
      <c r="R331" s="20"/>
      <c r="S331" s="20"/>
      <c r="T331" s="20"/>
      <c r="U331" s="124"/>
      <c r="V331" s="127"/>
      <c r="W331" s="20"/>
      <c r="X331" s="20"/>
      <c r="Y331" s="20"/>
      <c r="Z331" s="20"/>
      <c r="AA331" s="20"/>
      <c r="AB331" s="20"/>
      <c r="AC331" s="20"/>
      <c r="AD331" s="20"/>
      <c r="AE331" s="20"/>
    </row>
    <row r="332" spans="1:31" ht="19.5">
      <c r="A332" s="20"/>
      <c r="B332" s="20"/>
      <c r="C332" s="20"/>
      <c r="D332" s="20"/>
      <c r="E332" s="20"/>
      <c r="F332" s="20"/>
      <c r="G332" s="124"/>
      <c r="H332" s="20"/>
      <c r="I332" s="20"/>
      <c r="J332" s="20"/>
      <c r="K332" s="124"/>
      <c r="L332" s="127"/>
      <c r="M332" s="20"/>
      <c r="N332" s="20"/>
      <c r="O332" s="20"/>
      <c r="P332" s="124"/>
      <c r="Q332" s="127"/>
      <c r="R332" s="20"/>
      <c r="S332" s="20"/>
      <c r="T332" s="20"/>
      <c r="U332" s="124"/>
      <c r="V332" s="127"/>
      <c r="W332" s="20"/>
      <c r="X332" s="20"/>
      <c r="Y332" s="20"/>
      <c r="Z332" s="20"/>
      <c r="AA332" s="20"/>
      <c r="AB332" s="20"/>
      <c r="AC332" s="20"/>
      <c r="AD332" s="20"/>
      <c r="AE332" s="20"/>
    </row>
    <row r="333" spans="1:31" ht="19.5">
      <c r="A333" s="20"/>
      <c r="B333" s="20"/>
      <c r="C333" s="20"/>
      <c r="D333" s="20"/>
      <c r="E333" s="20"/>
      <c r="F333" s="20"/>
      <c r="G333" s="124"/>
      <c r="H333" s="20"/>
      <c r="I333" s="20"/>
      <c r="J333" s="20"/>
      <c r="K333" s="124"/>
      <c r="L333" s="127"/>
      <c r="M333" s="20"/>
      <c r="N333" s="20"/>
      <c r="O333" s="20"/>
      <c r="P333" s="124"/>
      <c r="Q333" s="127"/>
      <c r="R333" s="20"/>
      <c r="S333" s="20"/>
      <c r="T333" s="20"/>
      <c r="U333" s="124"/>
      <c r="V333" s="127"/>
      <c r="W333" s="20"/>
      <c r="X333" s="20"/>
      <c r="Y333" s="20"/>
      <c r="Z333" s="20"/>
      <c r="AA333" s="20"/>
      <c r="AB333" s="20"/>
      <c r="AC333" s="20"/>
      <c r="AD333" s="20"/>
      <c r="AE333" s="20"/>
    </row>
    <row r="334" spans="1:31" ht="19.5">
      <c r="A334" s="20"/>
      <c r="B334" s="20"/>
      <c r="C334" s="20"/>
      <c r="D334" s="20"/>
      <c r="E334" s="20"/>
      <c r="F334" s="20"/>
      <c r="G334" s="124"/>
      <c r="H334" s="20"/>
      <c r="I334" s="20"/>
      <c r="J334" s="20"/>
      <c r="K334" s="124"/>
      <c r="L334" s="127"/>
      <c r="M334" s="20"/>
      <c r="N334" s="20"/>
      <c r="O334" s="20"/>
      <c r="P334" s="124"/>
      <c r="Q334" s="127"/>
      <c r="R334" s="20"/>
      <c r="S334" s="20"/>
      <c r="T334" s="20"/>
      <c r="U334" s="124"/>
      <c r="V334" s="127"/>
      <c r="W334" s="20"/>
      <c r="X334" s="20"/>
      <c r="Y334" s="20"/>
      <c r="Z334" s="20"/>
      <c r="AA334" s="20"/>
      <c r="AB334" s="20"/>
      <c r="AC334" s="20"/>
      <c r="AD334" s="20"/>
      <c r="AE334" s="20"/>
    </row>
    <row r="335" spans="1:31" ht="19.5">
      <c r="A335" s="20"/>
      <c r="B335" s="20"/>
      <c r="C335" s="20"/>
      <c r="D335" s="20"/>
      <c r="E335" s="20"/>
      <c r="F335" s="20"/>
      <c r="G335" s="124"/>
      <c r="H335" s="20"/>
      <c r="I335" s="20"/>
      <c r="J335" s="20"/>
      <c r="K335" s="124"/>
      <c r="L335" s="127"/>
      <c r="M335" s="20"/>
      <c r="N335" s="20"/>
      <c r="O335" s="20"/>
      <c r="P335" s="124"/>
      <c r="Q335" s="127"/>
      <c r="R335" s="20"/>
      <c r="S335" s="20"/>
      <c r="T335" s="20"/>
      <c r="U335" s="124"/>
      <c r="V335" s="127"/>
      <c r="W335" s="20"/>
      <c r="X335" s="20"/>
      <c r="Y335" s="20"/>
      <c r="Z335" s="20"/>
      <c r="AA335" s="20"/>
      <c r="AB335" s="20"/>
      <c r="AC335" s="20"/>
      <c r="AD335" s="20"/>
      <c r="AE335" s="20"/>
    </row>
    <row r="336" spans="1:31" ht="19.5">
      <c r="A336" s="20"/>
      <c r="B336" s="20"/>
      <c r="C336" s="20"/>
      <c r="D336" s="20"/>
      <c r="E336" s="20"/>
      <c r="F336" s="20"/>
      <c r="G336" s="124"/>
      <c r="H336" s="20"/>
      <c r="I336" s="20"/>
      <c r="J336" s="20"/>
      <c r="K336" s="124"/>
      <c r="L336" s="127"/>
      <c r="M336" s="20"/>
      <c r="N336" s="20"/>
      <c r="O336" s="20"/>
      <c r="P336" s="124"/>
      <c r="Q336" s="127"/>
      <c r="R336" s="20"/>
      <c r="S336" s="20"/>
      <c r="T336" s="20"/>
      <c r="U336" s="124"/>
      <c r="V336" s="127"/>
      <c r="W336" s="20"/>
      <c r="X336" s="20"/>
      <c r="Y336" s="20"/>
      <c r="Z336" s="20"/>
      <c r="AA336" s="20"/>
      <c r="AB336" s="20"/>
      <c r="AC336" s="20"/>
      <c r="AD336" s="20"/>
      <c r="AE336" s="20"/>
    </row>
    <row r="337" spans="1:31" ht="19.5">
      <c r="A337" s="20"/>
      <c r="B337" s="20"/>
      <c r="C337" s="20"/>
      <c r="D337" s="20"/>
      <c r="E337" s="20"/>
      <c r="F337" s="20"/>
      <c r="G337" s="124"/>
      <c r="H337" s="20"/>
      <c r="I337" s="20"/>
      <c r="J337" s="20"/>
      <c r="K337" s="124"/>
      <c r="L337" s="127"/>
      <c r="M337" s="20"/>
      <c r="N337" s="20"/>
      <c r="O337" s="20"/>
      <c r="P337" s="124"/>
      <c r="Q337" s="127"/>
      <c r="R337" s="20"/>
      <c r="S337" s="20"/>
      <c r="T337" s="20"/>
      <c r="U337" s="124"/>
      <c r="V337" s="127"/>
      <c r="W337" s="20"/>
      <c r="X337" s="20"/>
      <c r="Y337" s="20"/>
      <c r="Z337" s="20"/>
      <c r="AA337" s="20"/>
      <c r="AB337" s="20"/>
      <c r="AC337" s="20"/>
      <c r="AD337" s="20"/>
      <c r="AE337" s="20"/>
    </row>
    <row r="338" spans="1:31" ht="19.5">
      <c r="A338" s="20"/>
      <c r="B338" s="20"/>
      <c r="C338" s="20"/>
      <c r="D338" s="20"/>
      <c r="E338" s="20"/>
      <c r="F338" s="20"/>
      <c r="G338" s="124"/>
      <c r="H338" s="20"/>
      <c r="I338" s="20"/>
      <c r="J338" s="20"/>
      <c r="K338" s="124"/>
      <c r="L338" s="127"/>
      <c r="M338" s="20"/>
      <c r="N338" s="20"/>
      <c r="O338" s="20"/>
      <c r="P338" s="124"/>
      <c r="Q338" s="127"/>
      <c r="R338" s="20"/>
      <c r="S338" s="20"/>
      <c r="T338" s="20"/>
      <c r="U338" s="124"/>
      <c r="V338" s="127"/>
      <c r="W338" s="20"/>
      <c r="X338" s="20"/>
      <c r="Y338" s="20"/>
      <c r="Z338" s="20"/>
      <c r="AA338" s="20"/>
      <c r="AB338" s="20"/>
      <c r="AC338" s="20"/>
      <c r="AD338" s="20"/>
      <c r="AE338" s="20"/>
    </row>
    <row r="339" spans="1:31" ht="19.5">
      <c r="A339" s="20"/>
      <c r="B339" s="20"/>
      <c r="C339" s="20"/>
      <c r="D339" s="20"/>
      <c r="E339" s="20"/>
      <c r="F339" s="20"/>
      <c r="G339" s="124"/>
      <c r="H339" s="20"/>
      <c r="I339" s="20"/>
      <c r="J339" s="20"/>
      <c r="K339" s="124"/>
      <c r="L339" s="127"/>
      <c r="M339" s="20"/>
      <c r="N339" s="20"/>
      <c r="O339" s="20"/>
      <c r="P339" s="124"/>
      <c r="Q339" s="127"/>
      <c r="R339" s="20"/>
      <c r="S339" s="20"/>
      <c r="T339" s="20"/>
      <c r="U339" s="124"/>
      <c r="V339" s="127"/>
      <c r="W339" s="20"/>
      <c r="X339" s="20"/>
      <c r="Y339" s="20"/>
      <c r="Z339" s="20"/>
      <c r="AA339" s="20"/>
      <c r="AB339" s="20"/>
      <c r="AC339" s="20"/>
      <c r="AD339" s="20"/>
      <c r="AE339" s="20"/>
    </row>
    <row r="340" spans="1:31" ht="19.5">
      <c r="A340" s="20"/>
      <c r="B340" s="20"/>
      <c r="C340" s="20"/>
      <c r="D340" s="20"/>
      <c r="E340" s="20"/>
      <c r="F340" s="20"/>
      <c r="G340" s="124"/>
      <c r="H340" s="20"/>
      <c r="I340" s="20"/>
      <c r="J340" s="20"/>
      <c r="K340" s="124"/>
      <c r="L340" s="127"/>
      <c r="M340" s="20"/>
      <c r="N340" s="20"/>
      <c r="O340" s="20"/>
      <c r="P340" s="124"/>
      <c r="Q340" s="127"/>
      <c r="R340" s="20"/>
      <c r="S340" s="20"/>
      <c r="T340" s="20"/>
      <c r="U340" s="124"/>
      <c r="V340" s="127"/>
      <c r="W340" s="20"/>
      <c r="X340" s="20"/>
      <c r="Y340" s="20"/>
      <c r="Z340" s="20"/>
      <c r="AA340" s="20"/>
      <c r="AB340" s="20"/>
      <c r="AC340" s="20"/>
      <c r="AD340" s="20"/>
      <c r="AE340" s="20"/>
    </row>
    <row r="341" spans="1:31" ht="19.5">
      <c r="A341" s="20"/>
      <c r="B341" s="20"/>
      <c r="C341" s="20"/>
      <c r="D341" s="20"/>
      <c r="E341" s="20"/>
      <c r="F341" s="20"/>
      <c r="G341" s="124"/>
      <c r="H341" s="20"/>
      <c r="I341" s="20"/>
      <c r="J341" s="20"/>
      <c r="K341" s="124"/>
      <c r="L341" s="127"/>
      <c r="M341" s="20"/>
      <c r="N341" s="20"/>
      <c r="O341" s="20"/>
      <c r="P341" s="124"/>
      <c r="Q341" s="127"/>
      <c r="R341" s="20"/>
      <c r="S341" s="20"/>
      <c r="T341" s="20"/>
      <c r="U341" s="124"/>
      <c r="V341" s="127"/>
      <c r="W341" s="20"/>
      <c r="X341" s="20"/>
      <c r="Y341" s="20"/>
      <c r="Z341" s="20"/>
      <c r="AA341" s="20"/>
      <c r="AB341" s="20"/>
      <c r="AC341" s="20"/>
      <c r="AD341" s="20"/>
      <c r="AE341" s="20"/>
    </row>
    <row r="342" spans="1:31" ht="19.5">
      <c r="A342" s="20"/>
      <c r="B342" s="20"/>
      <c r="C342" s="20"/>
      <c r="D342" s="20"/>
      <c r="E342" s="20"/>
      <c r="F342" s="20"/>
      <c r="G342" s="124"/>
      <c r="H342" s="20"/>
      <c r="I342" s="20"/>
      <c r="J342" s="20"/>
      <c r="K342" s="124"/>
      <c r="L342" s="127"/>
      <c r="M342" s="20"/>
      <c r="N342" s="20"/>
      <c r="O342" s="20"/>
      <c r="P342" s="124"/>
      <c r="Q342" s="127"/>
      <c r="R342" s="20"/>
      <c r="S342" s="20"/>
      <c r="T342" s="20"/>
      <c r="U342" s="124"/>
      <c r="V342" s="127"/>
      <c r="W342" s="20"/>
      <c r="X342" s="20"/>
      <c r="Y342" s="20"/>
      <c r="Z342" s="20"/>
      <c r="AA342" s="20"/>
      <c r="AB342" s="20"/>
      <c r="AC342" s="20"/>
      <c r="AD342" s="20"/>
      <c r="AE342" s="20"/>
    </row>
    <row r="343" spans="1:31" ht="19.5">
      <c r="A343" s="20"/>
      <c r="B343" s="20"/>
      <c r="C343" s="20"/>
      <c r="D343" s="20"/>
      <c r="E343" s="20"/>
      <c r="F343" s="20"/>
      <c r="G343" s="124"/>
      <c r="H343" s="20"/>
      <c r="I343" s="20"/>
      <c r="J343" s="20"/>
      <c r="K343" s="124"/>
      <c r="L343" s="127"/>
      <c r="M343" s="20"/>
      <c r="N343" s="20"/>
      <c r="O343" s="20"/>
      <c r="P343" s="124"/>
      <c r="Q343" s="127"/>
      <c r="R343" s="20"/>
      <c r="S343" s="20"/>
      <c r="T343" s="20"/>
      <c r="U343" s="124"/>
      <c r="V343" s="127"/>
      <c r="W343" s="20"/>
      <c r="X343" s="20"/>
      <c r="Y343" s="20"/>
      <c r="Z343" s="20"/>
      <c r="AA343" s="20"/>
      <c r="AB343" s="20"/>
      <c r="AC343" s="20"/>
      <c r="AD343" s="20"/>
      <c r="AE343" s="20"/>
    </row>
    <row r="344" spans="1:31" ht="19.5">
      <c r="A344" s="20"/>
      <c r="B344" s="20"/>
      <c r="C344" s="20"/>
      <c r="D344" s="20"/>
      <c r="E344" s="20"/>
      <c r="F344" s="20"/>
      <c r="G344" s="124"/>
      <c r="H344" s="20"/>
      <c r="I344" s="20"/>
      <c r="J344" s="20"/>
      <c r="K344" s="124"/>
      <c r="L344" s="127"/>
      <c r="M344" s="20"/>
      <c r="N344" s="20"/>
      <c r="O344" s="20"/>
      <c r="P344" s="124"/>
      <c r="Q344" s="127"/>
      <c r="R344" s="20"/>
      <c r="S344" s="20"/>
      <c r="T344" s="20"/>
      <c r="U344" s="124"/>
      <c r="V344" s="127"/>
      <c r="W344" s="20"/>
      <c r="X344" s="20"/>
      <c r="Y344" s="20"/>
      <c r="Z344" s="20"/>
      <c r="AA344" s="20"/>
      <c r="AB344" s="20"/>
      <c r="AC344" s="20"/>
      <c r="AD344" s="20"/>
      <c r="AE344" s="20"/>
    </row>
    <row r="345" spans="1:31" ht="19.5">
      <c r="A345" s="20"/>
      <c r="B345" s="20"/>
      <c r="C345" s="20"/>
      <c r="D345" s="20"/>
      <c r="E345" s="20"/>
      <c r="F345" s="20"/>
      <c r="G345" s="124"/>
      <c r="H345" s="20"/>
      <c r="I345" s="20"/>
      <c r="J345" s="20"/>
      <c r="K345" s="124"/>
      <c r="L345" s="127"/>
      <c r="M345" s="20"/>
      <c r="N345" s="20"/>
      <c r="O345" s="20"/>
      <c r="P345" s="124"/>
      <c r="Q345" s="127"/>
      <c r="R345" s="20"/>
      <c r="S345" s="20"/>
      <c r="T345" s="20"/>
      <c r="U345" s="124"/>
      <c r="V345" s="127"/>
      <c r="W345" s="20"/>
      <c r="X345" s="20"/>
      <c r="Y345" s="20"/>
      <c r="Z345" s="20"/>
      <c r="AA345" s="20"/>
      <c r="AB345" s="20"/>
      <c r="AC345" s="20"/>
      <c r="AD345" s="20"/>
      <c r="AE345" s="20"/>
    </row>
    <row r="346" spans="1:31" ht="19.5">
      <c r="A346" s="20"/>
      <c r="B346" s="20"/>
      <c r="C346" s="20"/>
      <c r="D346" s="20"/>
      <c r="E346" s="20"/>
      <c r="F346" s="20"/>
      <c r="G346" s="124"/>
      <c r="H346" s="20"/>
      <c r="I346" s="20"/>
      <c r="J346" s="20"/>
      <c r="K346" s="124"/>
      <c r="L346" s="127"/>
      <c r="M346" s="20"/>
      <c r="N346" s="20"/>
      <c r="O346" s="20"/>
      <c r="P346" s="124"/>
      <c r="Q346" s="127"/>
      <c r="R346" s="20"/>
      <c r="S346" s="20"/>
      <c r="T346" s="20"/>
      <c r="U346" s="124"/>
      <c r="V346" s="127"/>
      <c r="W346" s="20"/>
      <c r="X346" s="20"/>
      <c r="Y346" s="20"/>
      <c r="Z346" s="20"/>
      <c r="AA346" s="20"/>
      <c r="AB346" s="20"/>
      <c r="AC346" s="20"/>
      <c r="AD346" s="20"/>
      <c r="AE346" s="20"/>
    </row>
    <row r="347" spans="1:31" ht="19.5">
      <c r="A347" s="20"/>
      <c r="B347" s="20"/>
      <c r="C347" s="20"/>
      <c r="D347" s="20"/>
      <c r="E347" s="20"/>
      <c r="F347" s="20"/>
      <c r="G347" s="124"/>
      <c r="H347" s="20"/>
      <c r="I347" s="20"/>
      <c r="J347" s="20"/>
      <c r="K347" s="124"/>
      <c r="L347" s="127"/>
      <c r="M347" s="20"/>
      <c r="N347" s="20"/>
      <c r="O347" s="20"/>
      <c r="P347" s="124"/>
      <c r="Q347" s="127"/>
      <c r="R347" s="20"/>
      <c r="S347" s="20"/>
      <c r="T347" s="20"/>
      <c r="U347" s="124"/>
      <c r="V347" s="127"/>
      <c r="W347" s="20"/>
      <c r="X347" s="20"/>
      <c r="Y347" s="20"/>
      <c r="Z347" s="20"/>
      <c r="AA347" s="20"/>
      <c r="AB347" s="20"/>
      <c r="AC347" s="20"/>
      <c r="AD347" s="20"/>
      <c r="AE347" s="20"/>
    </row>
    <row r="348" spans="1:31" ht="19.5">
      <c r="A348" s="20"/>
      <c r="B348" s="20"/>
      <c r="C348" s="20"/>
      <c r="D348" s="20"/>
      <c r="E348" s="20"/>
      <c r="F348" s="20"/>
      <c r="G348" s="124"/>
      <c r="H348" s="20"/>
      <c r="I348" s="20"/>
      <c r="J348" s="20"/>
      <c r="K348" s="124"/>
      <c r="L348" s="127"/>
      <c r="M348" s="20"/>
      <c r="N348" s="20"/>
      <c r="O348" s="20"/>
      <c r="P348" s="124"/>
      <c r="Q348" s="127"/>
      <c r="R348" s="20"/>
      <c r="S348" s="20"/>
      <c r="T348" s="20"/>
      <c r="U348" s="124"/>
      <c r="V348" s="127"/>
      <c r="W348" s="20"/>
      <c r="X348" s="20"/>
      <c r="Y348" s="20"/>
      <c r="Z348" s="20"/>
      <c r="AA348" s="20"/>
      <c r="AB348" s="20"/>
      <c r="AC348" s="20"/>
      <c r="AD348" s="20"/>
      <c r="AE348" s="20"/>
    </row>
    <row r="349" spans="1:31" ht="19.5">
      <c r="A349" s="20"/>
      <c r="B349" s="20"/>
      <c r="C349" s="20"/>
      <c r="D349" s="20"/>
      <c r="E349" s="20"/>
      <c r="F349" s="20"/>
      <c r="G349" s="124"/>
      <c r="H349" s="20"/>
      <c r="I349" s="20"/>
      <c r="J349" s="20"/>
      <c r="K349" s="124"/>
      <c r="L349" s="127"/>
      <c r="M349" s="20"/>
      <c r="N349" s="20"/>
      <c r="O349" s="20"/>
      <c r="P349" s="124"/>
      <c r="Q349" s="127"/>
      <c r="R349" s="20"/>
      <c r="S349" s="20"/>
      <c r="T349" s="20"/>
      <c r="U349" s="124"/>
      <c r="V349" s="127"/>
      <c r="W349" s="20"/>
      <c r="X349" s="20"/>
      <c r="Y349" s="20"/>
      <c r="Z349" s="20"/>
      <c r="AA349" s="20"/>
      <c r="AB349" s="20"/>
      <c r="AC349" s="20"/>
      <c r="AD349" s="20"/>
      <c r="AE349" s="20"/>
    </row>
    <row r="350" spans="1:31" ht="19.5">
      <c r="A350" s="20"/>
      <c r="B350" s="20"/>
      <c r="C350" s="20"/>
      <c r="D350" s="20"/>
      <c r="E350" s="20"/>
      <c r="F350" s="20"/>
      <c r="G350" s="124"/>
      <c r="H350" s="20"/>
      <c r="I350" s="20"/>
      <c r="J350" s="20"/>
      <c r="K350" s="124"/>
      <c r="L350" s="127"/>
      <c r="M350" s="20"/>
      <c r="N350" s="20"/>
      <c r="O350" s="20"/>
      <c r="P350" s="124"/>
      <c r="Q350" s="127"/>
      <c r="R350" s="20"/>
      <c r="S350" s="20"/>
      <c r="T350" s="20"/>
      <c r="U350" s="124"/>
      <c r="V350" s="127"/>
      <c r="W350" s="20"/>
      <c r="X350" s="20"/>
      <c r="Y350" s="20"/>
      <c r="Z350" s="20"/>
      <c r="AA350" s="20"/>
      <c r="AB350" s="20"/>
      <c r="AC350" s="20"/>
      <c r="AD350" s="20"/>
      <c r="AE350" s="20"/>
    </row>
    <row r="351" spans="1:31" ht="19.5">
      <c r="A351" s="20"/>
      <c r="B351" s="20"/>
      <c r="C351" s="20"/>
      <c r="D351" s="20"/>
      <c r="E351" s="20"/>
      <c r="F351" s="20"/>
      <c r="G351" s="124"/>
      <c r="H351" s="20"/>
      <c r="I351" s="20"/>
      <c r="J351" s="20"/>
      <c r="K351" s="124"/>
      <c r="L351" s="127"/>
      <c r="M351" s="20"/>
      <c r="N351" s="20"/>
      <c r="O351" s="20"/>
      <c r="P351" s="124"/>
      <c r="Q351" s="127"/>
      <c r="R351" s="20"/>
      <c r="S351" s="20"/>
      <c r="T351" s="20"/>
      <c r="U351" s="124"/>
      <c r="V351" s="127"/>
      <c r="W351" s="20"/>
      <c r="X351" s="20"/>
      <c r="Y351" s="20"/>
      <c r="Z351" s="20"/>
      <c r="AA351" s="20"/>
      <c r="AB351" s="20"/>
      <c r="AC351" s="20"/>
      <c r="AD351" s="20"/>
      <c r="AE351" s="20"/>
    </row>
    <row r="352" spans="1:31" ht="19.5">
      <c r="A352" s="20"/>
      <c r="B352" s="20"/>
      <c r="C352" s="20"/>
      <c r="D352" s="20"/>
      <c r="E352" s="20"/>
      <c r="F352" s="20"/>
      <c r="G352" s="124"/>
      <c r="H352" s="20"/>
      <c r="I352" s="20"/>
      <c r="J352" s="20"/>
      <c r="K352" s="124"/>
      <c r="L352" s="127"/>
      <c r="M352" s="20"/>
      <c r="N352" s="20"/>
      <c r="O352" s="20"/>
      <c r="P352" s="124"/>
      <c r="Q352" s="127"/>
      <c r="R352" s="20"/>
      <c r="S352" s="20"/>
      <c r="T352" s="20"/>
      <c r="U352" s="124"/>
      <c r="V352" s="127"/>
      <c r="W352" s="20"/>
      <c r="X352" s="20"/>
      <c r="Y352" s="20"/>
      <c r="Z352" s="20"/>
      <c r="AA352" s="20"/>
      <c r="AB352" s="20"/>
      <c r="AC352" s="20"/>
      <c r="AD352" s="20"/>
      <c r="AE352" s="20"/>
    </row>
    <row r="353" spans="1:31" ht="19.5">
      <c r="A353" s="20"/>
      <c r="B353" s="20"/>
      <c r="C353" s="20"/>
      <c r="D353" s="20"/>
      <c r="E353" s="20"/>
      <c r="F353" s="20"/>
      <c r="G353" s="124"/>
      <c r="H353" s="20"/>
      <c r="I353" s="20"/>
      <c r="J353" s="20"/>
      <c r="K353" s="124"/>
      <c r="L353" s="127"/>
      <c r="M353" s="20"/>
      <c r="N353" s="20"/>
      <c r="O353" s="20"/>
      <c r="P353" s="124"/>
      <c r="Q353" s="127"/>
      <c r="R353" s="20"/>
      <c r="S353" s="20"/>
      <c r="T353" s="20"/>
      <c r="U353" s="124"/>
      <c r="V353" s="127"/>
      <c r="W353" s="20"/>
      <c r="X353" s="20"/>
      <c r="Y353" s="20"/>
      <c r="Z353" s="20"/>
      <c r="AA353" s="20"/>
      <c r="AB353" s="20"/>
      <c r="AC353" s="20"/>
      <c r="AD353" s="20"/>
      <c r="AE353" s="20"/>
    </row>
    <row r="354" spans="1:31" ht="19.5">
      <c r="A354" s="20"/>
      <c r="B354" s="20"/>
      <c r="C354" s="20"/>
      <c r="D354" s="20"/>
      <c r="E354" s="20"/>
      <c r="F354" s="20"/>
      <c r="G354" s="124"/>
      <c r="H354" s="20"/>
      <c r="I354" s="20"/>
      <c r="J354" s="20"/>
      <c r="K354" s="124"/>
      <c r="L354" s="127"/>
      <c r="M354" s="20"/>
      <c r="N354" s="20"/>
      <c r="O354" s="20"/>
      <c r="P354" s="124"/>
      <c r="Q354" s="127"/>
      <c r="R354" s="20"/>
      <c r="S354" s="20"/>
      <c r="T354" s="20"/>
      <c r="U354" s="124"/>
      <c r="V354" s="127"/>
      <c r="W354" s="20"/>
      <c r="X354" s="20"/>
      <c r="Y354" s="20"/>
      <c r="Z354" s="20"/>
      <c r="AA354" s="20"/>
      <c r="AB354" s="20"/>
      <c r="AC354" s="20"/>
      <c r="AD354" s="20"/>
      <c r="AE354" s="20"/>
    </row>
    <row r="355" spans="1:31" ht="19.5">
      <c r="A355" s="20"/>
      <c r="B355" s="20"/>
      <c r="C355" s="20"/>
      <c r="D355" s="20"/>
      <c r="E355" s="20"/>
      <c r="F355" s="20"/>
      <c r="G355" s="124"/>
      <c r="H355" s="20"/>
      <c r="I355" s="20"/>
      <c r="J355" s="20"/>
      <c r="K355" s="124"/>
      <c r="L355" s="127"/>
      <c r="M355" s="20"/>
      <c r="N355" s="20"/>
      <c r="O355" s="20"/>
      <c r="P355" s="124"/>
      <c r="Q355" s="127"/>
      <c r="R355" s="20"/>
      <c r="S355" s="20"/>
      <c r="T355" s="20"/>
      <c r="U355" s="124"/>
      <c r="V355" s="127"/>
      <c r="W355" s="20"/>
      <c r="X355" s="20"/>
      <c r="Y355" s="20"/>
      <c r="Z355" s="20"/>
      <c r="AA355" s="20"/>
      <c r="AB355" s="20"/>
      <c r="AC355" s="20"/>
      <c r="AD355" s="20"/>
      <c r="AE355" s="20"/>
    </row>
    <row r="356" spans="1:31" ht="19.5">
      <c r="A356" s="20"/>
      <c r="B356" s="20"/>
      <c r="C356" s="20"/>
      <c r="D356" s="20"/>
      <c r="E356" s="20"/>
      <c r="F356" s="20"/>
      <c r="G356" s="124"/>
      <c r="H356" s="20"/>
      <c r="I356" s="20"/>
      <c r="J356" s="20"/>
      <c r="K356" s="124"/>
      <c r="L356" s="127"/>
      <c r="M356" s="20"/>
      <c r="N356" s="20"/>
      <c r="O356" s="20"/>
      <c r="P356" s="124"/>
      <c r="Q356" s="127"/>
      <c r="R356" s="20"/>
      <c r="S356" s="20"/>
      <c r="T356" s="20"/>
      <c r="U356" s="124"/>
      <c r="V356" s="127"/>
      <c r="W356" s="20"/>
      <c r="X356" s="20"/>
      <c r="Y356" s="20"/>
      <c r="Z356" s="20"/>
      <c r="AA356" s="20"/>
      <c r="AB356" s="20"/>
      <c r="AC356" s="20"/>
      <c r="AD356" s="20"/>
      <c r="AE356" s="20"/>
    </row>
    <row r="357" spans="1:31" ht="19.5">
      <c r="A357" s="20"/>
      <c r="B357" s="20"/>
      <c r="C357" s="20"/>
      <c r="D357" s="20"/>
      <c r="E357" s="20"/>
      <c r="F357" s="20"/>
      <c r="G357" s="124"/>
      <c r="H357" s="20"/>
      <c r="I357" s="20"/>
      <c r="J357" s="20"/>
      <c r="K357" s="124"/>
      <c r="L357" s="127"/>
      <c r="M357" s="20"/>
      <c r="N357" s="20"/>
      <c r="O357" s="20"/>
      <c r="P357" s="124"/>
      <c r="Q357" s="127"/>
      <c r="R357" s="20"/>
      <c r="S357" s="20"/>
      <c r="T357" s="20"/>
      <c r="U357" s="124"/>
      <c r="V357" s="127"/>
      <c r="W357" s="20"/>
      <c r="X357" s="20"/>
      <c r="Y357" s="20"/>
      <c r="Z357" s="20"/>
      <c r="AA357" s="20"/>
      <c r="AB357" s="20"/>
      <c r="AC357" s="20"/>
      <c r="AD357" s="20"/>
      <c r="AE357" s="20"/>
    </row>
    <row r="358" spans="1:31" ht="19.5">
      <c r="A358" s="20"/>
      <c r="B358" s="20"/>
      <c r="C358" s="20"/>
      <c r="D358" s="20"/>
      <c r="E358" s="20"/>
      <c r="F358" s="20"/>
      <c r="G358" s="124"/>
      <c r="H358" s="20"/>
      <c r="I358" s="20"/>
      <c r="J358" s="20"/>
      <c r="K358" s="124"/>
      <c r="L358" s="127"/>
      <c r="M358" s="20"/>
      <c r="N358" s="20"/>
      <c r="O358" s="20"/>
      <c r="P358" s="124"/>
      <c r="Q358" s="127"/>
      <c r="R358" s="20"/>
      <c r="S358" s="20"/>
      <c r="T358" s="20"/>
      <c r="U358" s="124"/>
      <c r="V358" s="127"/>
      <c r="W358" s="20"/>
      <c r="X358" s="20"/>
      <c r="Y358" s="20"/>
      <c r="Z358" s="20"/>
      <c r="AA358" s="20"/>
      <c r="AB358" s="20"/>
      <c r="AC358" s="20"/>
      <c r="AD358" s="20"/>
      <c r="AE358" s="20"/>
    </row>
    <row r="359" spans="1:31" ht="19.5">
      <c r="A359" s="20"/>
      <c r="B359" s="20"/>
      <c r="C359" s="20"/>
      <c r="D359" s="20"/>
      <c r="E359" s="20"/>
      <c r="F359" s="20"/>
      <c r="G359" s="124"/>
      <c r="H359" s="20"/>
      <c r="I359" s="20"/>
      <c r="J359" s="20"/>
      <c r="K359" s="124"/>
      <c r="L359" s="127"/>
      <c r="M359" s="20"/>
      <c r="N359" s="20"/>
      <c r="O359" s="20"/>
      <c r="P359" s="124"/>
      <c r="Q359" s="127"/>
      <c r="R359" s="20"/>
      <c r="S359" s="20"/>
      <c r="T359" s="20"/>
      <c r="U359" s="124"/>
      <c r="V359" s="127"/>
      <c r="W359" s="20"/>
      <c r="X359" s="20"/>
      <c r="Y359" s="20"/>
      <c r="Z359" s="20"/>
      <c r="AA359" s="20"/>
      <c r="AB359" s="20"/>
      <c r="AC359" s="20"/>
      <c r="AD359" s="20"/>
      <c r="AE359" s="20"/>
    </row>
    <row r="360" spans="1:31" ht="19.5">
      <c r="A360" s="20"/>
      <c r="B360" s="20"/>
      <c r="C360" s="20"/>
      <c r="D360" s="20"/>
      <c r="E360" s="20"/>
      <c r="F360" s="20"/>
      <c r="G360" s="124"/>
      <c r="H360" s="20"/>
      <c r="I360" s="20"/>
      <c r="J360" s="20"/>
      <c r="K360" s="124"/>
      <c r="L360" s="127"/>
      <c r="M360" s="20"/>
      <c r="N360" s="20"/>
      <c r="O360" s="20"/>
      <c r="P360" s="124"/>
      <c r="Q360" s="127"/>
      <c r="R360" s="20"/>
      <c r="S360" s="20"/>
      <c r="T360" s="20"/>
      <c r="U360" s="124"/>
      <c r="V360" s="127"/>
      <c r="W360" s="20"/>
      <c r="X360" s="20"/>
      <c r="Y360" s="20"/>
      <c r="Z360" s="20"/>
      <c r="AA360" s="20"/>
      <c r="AB360" s="20"/>
      <c r="AC360" s="20"/>
      <c r="AD360" s="20"/>
      <c r="AE360" s="20"/>
    </row>
    <row r="361" spans="1:31" ht="19.5">
      <c r="A361" s="20"/>
      <c r="B361" s="20"/>
      <c r="C361" s="20"/>
      <c r="D361" s="20"/>
      <c r="E361" s="20"/>
      <c r="F361" s="20"/>
      <c r="G361" s="124"/>
      <c r="H361" s="20"/>
      <c r="I361" s="20"/>
      <c r="J361" s="20"/>
      <c r="K361" s="124"/>
      <c r="L361" s="127"/>
      <c r="M361" s="20"/>
      <c r="N361" s="20"/>
      <c r="O361" s="20"/>
      <c r="P361" s="124"/>
      <c r="Q361" s="127"/>
      <c r="R361" s="20"/>
      <c r="S361" s="20"/>
      <c r="T361" s="20"/>
      <c r="U361" s="124"/>
      <c r="V361" s="127"/>
      <c r="W361" s="20"/>
      <c r="X361" s="20"/>
      <c r="Y361" s="20"/>
      <c r="Z361" s="20"/>
      <c r="AA361" s="20"/>
      <c r="AB361" s="20"/>
      <c r="AC361" s="20"/>
      <c r="AD361" s="20"/>
      <c r="AE361" s="20"/>
    </row>
    <row r="362" spans="1:31" ht="19.5">
      <c r="A362" s="20"/>
      <c r="B362" s="20"/>
      <c r="C362" s="20"/>
      <c r="D362" s="20"/>
      <c r="E362" s="20"/>
      <c r="F362" s="20"/>
      <c r="G362" s="124"/>
      <c r="H362" s="20"/>
      <c r="I362" s="20"/>
      <c r="J362" s="20"/>
      <c r="K362" s="124"/>
      <c r="L362" s="127"/>
      <c r="M362" s="20"/>
      <c r="N362" s="20"/>
      <c r="O362" s="20"/>
      <c r="P362" s="124"/>
      <c r="Q362" s="127"/>
      <c r="R362" s="20"/>
      <c r="S362" s="20"/>
      <c r="T362" s="20"/>
      <c r="U362" s="124"/>
      <c r="V362" s="127"/>
      <c r="W362" s="20"/>
      <c r="X362" s="20"/>
      <c r="Y362" s="20"/>
      <c r="Z362" s="20"/>
      <c r="AA362" s="20"/>
      <c r="AB362" s="20"/>
      <c r="AC362" s="20"/>
      <c r="AD362" s="20"/>
      <c r="AE362" s="20"/>
    </row>
    <row r="363" spans="1:31" ht="19.5">
      <c r="A363" s="20"/>
      <c r="B363" s="20"/>
      <c r="C363" s="20"/>
      <c r="D363" s="20"/>
      <c r="E363" s="20"/>
      <c r="F363" s="20"/>
      <c r="G363" s="124"/>
      <c r="H363" s="20"/>
      <c r="I363" s="20"/>
      <c r="J363" s="20"/>
      <c r="K363" s="124"/>
      <c r="L363" s="127"/>
      <c r="M363" s="20"/>
      <c r="N363" s="20"/>
      <c r="O363" s="20"/>
      <c r="P363" s="124"/>
      <c r="Q363" s="127"/>
      <c r="R363" s="20"/>
      <c r="S363" s="20"/>
      <c r="T363" s="20"/>
      <c r="U363" s="124"/>
      <c r="V363" s="127"/>
      <c r="W363" s="20"/>
      <c r="X363" s="20"/>
      <c r="Y363" s="20"/>
      <c r="Z363" s="20"/>
      <c r="AA363" s="20"/>
      <c r="AB363" s="20"/>
      <c r="AC363" s="20"/>
      <c r="AD363" s="20"/>
      <c r="AE363" s="20"/>
    </row>
    <row r="364" spans="1:31" ht="19.5">
      <c r="A364" s="20"/>
      <c r="B364" s="20"/>
      <c r="C364" s="20"/>
      <c r="D364" s="20"/>
      <c r="E364" s="20"/>
      <c r="F364" s="20"/>
      <c r="G364" s="124"/>
      <c r="H364" s="20"/>
      <c r="I364" s="20"/>
      <c r="J364" s="20"/>
      <c r="K364" s="124"/>
      <c r="L364" s="127"/>
      <c r="M364" s="20"/>
      <c r="N364" s="20"/>
      <c r="O364" s="20"/>
      <c r="P364" s="124"/>
      <c r="Q364" s="127"/>
      <c r="R364" s="20"/>
      <c r="S364" s="20"/>
      <c r="T364" s="20"/>
      <c r="U364" s="124"/>
      <c r="V364" s="127"/>
      <c r="W364" s="20"/>
      <c r="X364" s="20"/>
      <c r="Y364" s="20"/>
      <c r="Z364" s="20"/>
      <c r="AA364" s="20"/>
      <c r="AB364" s="20"/>
      <c r="AC364" s="20"/>
      <c r="AD364" s="20"/>
      <c r="AE364" s="20"/>
    </row>
    <row r="365" spans="1:31" ht="19.5">
      <c r="A365" s="20"/>
      <c r="B365" s="20"/>
      <c r="C365" s="20"/>
      <c r="D365" s="20"/>
      <c r="E365" s="20"/>
      <c r="F365" s="20"/>
      <c r="G365" s="124"/>
      <c r="H365" s="20"/>
      <c r="I365" s="20"/>
      <c r="J365" s="20"/>
      <c r="K365" s="124"/>
      <c r="L365" s="127"/>
      <c r="M365" s="20"/>
      <c r="N365" s="20"/>
      <c r="O365" s="20"/>
      <c r="P365" s="124"/>
      <c r="Q365" s="127"/>
      <c r="R365" s="20"/>
      <c r="S365" s="20"/>
      <c r="T365" s="20"/>
      <c r="U365" s="124"/>
      <c r="V365" s="127"/>
      <c r="W365" s="20"/>
      <c r="X365" s="20"/>
      <c r="Y365" s="20"/>
      <c r="Z365" s="20"/>
      <c r="AA365" s="20"/>
      <c r="AB365" s="20"/>
      <c r="AC365" s="20"/>
      <c r="AD365" s="20"/>
      <c r="AE365" s="20"/>
    </row>
    <row r="366" spans="1:31" ht="19.5">
      <c r="A366" s="20"/>
      <c r="B366" s="20"/>
      <c r="C366" s="20"/>
      <c r="D366" s="20"/>
      <c r="E366" s="20"/>
      <c r="F366" s="20"/>
      <c r="G366" s="124"/>
      <c r="H366" s="20"/>
      <c r="I366" s="20"/>
      <c r="J366" s="20"/>
      <c r="K366" s="124"/>
      <c r="L366" s="127"/>
      <c r="M366" s="20"/>
      <c r="N366" s="20"/>
      <c r="O366" s="20"/>
      <c r="P366" s="124"/>
      <c r="Q366" s="127"/>
      <c r="R366" s="20"/>
      <c r="S366" s="20"/>
      <c r="T366" s="20"/>
      <c r="U366" s="124"/>
      <c r="V366" s="127"/>
      <c r="W366" s="20"/>
      <c r="X366" s="20"/>
      <c r="Y366" s="20"/>
      <c r="Z366" s="20"/>
      <c r="AA366" s="20"/>
      <c r="AB366" s="20"/>
      <c r="AC366" s="20"/>
      <c r="AD366" s="20"/>
      <c r="AE366" s="20"/>
    </row>
    <row r="367" spans="1:31" ht="19.5">
      <c r="A367" s="20"/>
      <c r="B367" s="20"/>
      <c r="C367" s="20"/>
      <c r="D367" s="20"/>
      <c r="E367" s="20"/>
      <c r="F367" s="20"/>
      <c r="G367" s="124"/>
      <c r="H367" s="20"/>
      <c r="I367" s="20"/>
      <c r="J367" s="20"/>
      <c r="K367" s="124"/>
      <c r="L367" s="127"/>
      <c r="M367" s="20"/>
      <c r="N367" s="20"/>
      <c r="O367" s="20"/>
      <c r="P367" s="124"/>
      <c r="Q367" s="127"/>
      <c r="R367" s="20"/>
      <c r="S367" s="20"/>
      <c r="T367" s="20"/>
      <c r="U367" s="124"/>
      <c r="V367" s="127"/>
      <c r="W367" s="20"/>
      <c r="X367" s="20"/>
      <c r="Y367" s="20"/>
      <c r="Z367" s="20"/>
      <c r="AA367" s="20"/>
      <c r="AB367" s="20"/>
      <c r="AC367" s="20"/>
      <c r="AD367" s="20"/>
      <c r="AE367" s="20"/>
    </row>
    <row r="368" spans="1:31" ht="19.5">
      <c r="A368" s="20"/>
      <c r="B368" s="20"/>
      <c r="C368" s="20"/>
      <c r="D368" s="20"/>
      <c r="E368" s="20"/>
      <c r="F368" s="20"/>
      <c r="G368" s="124"/>
      <c r="H368" s="20"/>
      <c r="I368" s="20"/>
      <c r="J368" s="20"/>
      <c r="K368" s="124"/>
      <c r="L368" s="127"/>
      <c r="M368" s="20"/>
      <c r="N368" s="20"/>
      <c r="O368" s="20"/>
      <c r="P368" s="124"/>
      <c r="Q368" s="127"/>
      <c r="R368" s="20"/>
      <c r="S368" s="20"/>
      <c r="T368" s="20"/>
      <c r="U368" s="124"/>
      <c r="V368" s="127"/>
      <c r="W368" s="20"/>
      <c r="X368" s="20"/>
      <c r="Y368" s="20"/>
      <c r="Z368" s="20"/>
      <c r="AA368" s="20"/>
      <c r="AB368" s="20"/>
      <c r="AC368" s="20"/>
      <c r="AD368" s="20"/>
      <c r="AE368" s="20"/>
    </row>
    <row r="369" spans="1:31" ht="19.5">
      <c r="A369" s="20"/>
      <c r="B369" s="20"/>
      <c r="C369" s="20"/>
      <c r="D369" s="20"/>
      <c r="E369" s="20"/>
      <c r="F369" s="20"/>
      <c r="G369" s="124"/>
      <c r="H369" s="20"/>
      <c r="I369" s="20"/>
      <c r="J369" s="20"/>
      <c r="K369" s="124"/>
      <c r="L369" s="127"/>
      <c r="M369" s="20"/>
      <c r="N369" s="20"/>
      <c r="O369" s="20"/>
      <c r="P369" s="124"/>
      <c r="Q369" s="127"/>
      <c r="R369" s="20"/>
      <c r="S369" s="20"/>
      <c r="T369" s="20"/>
      <c r="U369" s="124"/>
      <c r="V369" s="127"/>
      <c r="W369" s="20"/>
      <c r="X369" s="20"/>
      <c r="Y369" s="20"/>
      <c r="Z369" s="20"/>
      <c r="AA369" s="20"/>
      <c r="AB369" s="20"/>
      <c r="AC369" s="20"/>
      <c r="AD369" s="20"/>
      <c r="AE369" s="20"/>
    </row>
    <row r="370" spans="1:31" ht="19.5">
      <c r="A370" s="20"/>
      <c r="B370" s="20"/>
      <c r="C370" s="20"/>
      <c r="D370" s="20"/>
      <c r="E370" s="20"/>
      <c r="F370" s="20"/>
      <c r="G370" s="124"/>
      <c r="H370" s="20"/>
      <c r="I370" s="20"/>
      <c r="J370" s="20"/>
      <c r="K370" s="124"/>
      <c r="L370" s="127"/>
      <c r="M370" s="20"/>
      <c r="N370" s="20"/>
      <c r="O370" s="20"/>
      <c r="P370" s="124"/>
      <c r="Q370" s="127"/>
      <c r="R370" s="20"/>
      <c r="S370" s="20"/>
      <c r="T370" s="20"/>
      <c r="U370" s="124"/>
      <c r="V370" s="127"/>
      <c r="W370" s="20"/>
      <c r="X370" s="20"/>
      <c r="Y370" s="20"/>
      <c r="Z370" s="20"/>
      <c r="AA370" s="20"/>
      <c r="AB370" s="20"/>
      <c r="AC370" s="20"/>
      <c r="AD370" s="20"/>
      <c r="AE370" s="20"/>
    </row>
    <row r="371" spans="1:31" ht="19.5">
      <c r="A371" s="20"/>
      <c r="B371" s="20"/>
      <c r="C371" s="20"/>
      <c r="D371" s="20"/>
      <c r="E371" s="20"/>
      <c r="F371" s="20"/>
      <c r="G371" s="124"/>
      <c r="H371" s="20"/>
      <c r="I371" s="20"/>
      <c r="J371" s="20"/>
      <c r="K371" s="124"/>
      <c r="L371" s="127"/>
      <c r="M371" s="20"/>
      <c r="N371" s="20"/>
      <c r="O371" s="20"/>
      <c r="P371" s="124"/>
      <c r="Q371" s="127"/>
      <c r="R371" s="20"/>
      <c r="S371" s="20"/>
      <c r="T371" s="20"/>
      <c r="U371" s="124"/>
      <c r="V371" s="127"/>
      <c r="W371" s="20"/>
      <c r="X371" s="20"/>
      <c r="Y371" s="20"/>
      <c r="Z371" s="20"/>
      <c r="AA371" s="20"/>
      <c r="AB371" s="20"/>
      <c r="AC371" s="20"/>
      <c r="AD371" s="20"/>
      <c r="AE371" s="20"/>
    </row>
    <row r="372" spans="1:31" ht="19.5">
      <c r="A372" s="20"/>
      <c r="B372" s="20"/>
      <c r="C372" s="20"/>
      <c r="D372" s="20"/>
      <c r="E372" s="20"/>
      <c r="F372" s="20"/>
      <c r="G372" s="124"/>
      <c r="H372" s="20"/>
      <c r="I372" s="20"/>
      <c r="J372" s="20"/>
      <c r="K372" s="124"/>
      <c r="L372" s="127"/>
      <c r="M372" s="20"/>
      <c r="N372" s="20"/>
      <c r="O372" s="20"/>
      <c r="P372" s="124"/>
      <c r="Q372" s="127"/>
      <c r="R372" s="20"/>
      <c r="S372" s="20"/>
      <c r="T372" s="20"/>
      <c r="U372" s="124"/>
      <c r="V372" s="127"/>
      <c r="W372" s="20"/>
      <c r="X372" s="20"/>
      <c r="Y372" s="20"/>
      <c r="Z372" s="20"/>
      <c r="AA372" s="20"/>
      <c r="AB372" s="20"/>
      <c r="AC372" s="20"/>
      <c r="AD372" s="20"/>
      <c r="AE372" s="20"/>
    </row>
    <row r="373" spans="1:31" ht="19.5">
      <c r="A373" s="20"/>
      <c r="B373" s="20"/>
      <c r="C373" s="20"/>
      <c r="D373" s="20"/>
      <c r="E373" s="20"/>
      <c r="F373" s="20"/>
      <c r="G373" s="124"/>
      <c r="H373" s="20"/>
      <c r="I373" s="20"/>
      <c r="J373" s="20"/>
      <c r="K373" s="124"/>
      <c r="L373" s="127"/>
      <c r="M373" s="20"/>
      <c r="N373" s="20"/>
      <c r="O373" s="20"/>
      <c r="P373" s="124"/>
      <c r="Q373" s="127"/>
      <c r="R373" s="20"/>
      <c r="S373" s="20"/>
      <c r="T373" s="20"/>
      <c r="U373" s="124"/>
      <c r="V373" s="127"/>
      <c r="W373" s="20"/>
      <c r="X373" s="20"/>
      <c r="Y373" s="20"/>
      <c r="Z373" s="20"/>
      <c r="AA373" s="20"/>
      <c r="AB373" s="20"/>
      <c r="AC373" s="20"/>
      <c r="AD373" s="20"/>
      <c r="AE373" s="20"/>
    </row>
    <row r="374" spans="1:31" ht="19.5">
      <c r="A374" s="20"/>
      <c r="B374" s="20"/>
      <c r="C374" s="20"/>
      <c r="D374" s="20"/>
      <c r="E374" s="20"/>
      <c r="F374" s="20"/>
      <c r="G374" s="124"/>
      <c r="H374" s="20"/>
      <c r="I374" s="20"/>
      <c r="J374" s="20"/>
      <c r="K374" s="124"/>
      <c r="L374" s="127"/>
      <c r="M374" s="20"/>
      <c r="N374" s="20"/>
      <c r="O374" s="20"/>
      <c r="P374" s="124"/>
      <c r="Q374" s="127"/>
      <c r="R374" s="20"/>
      <c r="S374" s="20"/>
      <c r="T374" s="20"/>
      <c r="U374" s="124"/>
      <c r="V374" s="127"/>
      <c r="W374" s="20"/>
      <c r="X374" s="20"/>
      <c r="Y374" s="20"/>
      <c r="Z374" s="20"/>
      <c r="AA374" s="20"/>
      <c r="AB374" s="20"/>
      <c r="AC374" s="20"/>
      <c r="AD374" s="20"/>
      <c r="AE374" s="20"/>
    </row>
    <row r="375" spans="1:31" ht="19.5">
      <c r="A375" s="20"/>
      <c r="B375" s="20"/>
      <c r="C375" s="20"/>
      <c r="D375" s="20"/>
      <c r="E375" s="20"/>
      <c r="F375" s="20"/>
      <c r="G375" s="124"/>
      <c r="H375" s="20"/>
      <c r="I375" s="20"/>
      <c r="J375" s="20"/>
      <c r="K375" s="124"/>
      <c r="L375" s="127"/>
      <c r="M375" s="20"/>
      <c r="N375" s="20"/>
      <c r="O375" s="20"/>
      <c r="P375" s="124"/>
      <c r="Q375" s="127"/>
      <c r="R375" s="20"/>
      <c r="S375" s="20"/>
      <c r="T375" s="20"/>
      <c r="U375" s="124"/>
      <c r="V375" s="127"/>
      <c r="W375" s="20"/>
      <c r="X375" s="20"/>
      <c r="Y375" s="20"/>
      <c r="Z375" s="20"/>
      <c r="AA375" s="20"/>
      <c r="AB375" s="20"/>
      <c r="AC375" s="20"/>
      <c r="AD375" s="20"/>
      <c r="AE375" s="20"/>
    </row>
    <row r="376" spans="1:31" ht="19.5">
      <c r="A376" s="20"/>
      <c r="B376" s="20"/>
      <c r="C376" s="20"/>
      <c r="D376" s="20"/>
      <c r="E376" s="20"/>
      <c r="F376" s="20"/>
      <c r="G376" s="124"/>
      <c r="H376" s="20"/>
      <c r="I376" s="20"/>
      <c r="J376" s="20"/>
      <c r="K376" s="124"/>
      <c r="L376" s="127"/>
      <c r="M376" s="20"/>
      <c r="N376" s="20"/>
      <c r="O376" s="20"/>
      <c r="P376" s="124"/>
      <c r="Q376" s="127"/>
      <c r="R376" s="20"/>
      <c r="S376" s="20"/>
      <c r="T376" s="20"/>
      <c r="U376" s="124"/>
      <c r="V376" s="127"/>
      <c r="W376" s="20"/>
      <c r="X376" s="20"/>
      <c r="Y376" s="20"/>
      <c r="Z376" s="20"/>
      <c r="AA376" s="20"/>
      <c r="AB376" s="20"/>
      <c r="AC376" s="20"/>
      <c r="AD376" s="20"/>
      <c r="AE376" s="20"/>
    </row>
    <row r="377" spans="1:31" ht="19.5">
      <c r="A377" s="20"/>
      <c r="B377" s="20"/>
      <c r="C377" s="20"/>
      <c r="D377" s="20"/>
      <c r="E377" s="20"/>
      <c r="F377" s="20"/>
      <c r="G377" s="124"/>
      <c r="H377" s="20"/>
      <c r="I377" s="20"/>
      <c r="J377" s="20"/>
      <c r="K377" s="124"/>
      <c r="L377" s="127"/>
      <c r="M377" s="20"/>
      <c r="N377" s="20"/>
      <c r="O377" s="20"/>
      <c r="P377" s="124"/>
      <c r="Q377" s="127"/>
      <c r="R377" s="20"/>
      <c r="S377" s="20"/>
      <c r="T377" s="20"/>
      <c r="U377" s="124"/>
      <c r="V377" s="127"/>
      <c r="W377" s="20"/>
      <c r="X377" s="20"/>
      <c r="Y377" s="20"/>
      <c r="Z377" s="20"/>
      <c r="AA377" s="20"/>
      <c r="AB377" s="20"/>
      <c r="AC377" s="20"/>
      <c r="AD377" s="20"/>
      <c r="AE377" s="20"/>
    </row>
    <row r="378" spans="1:31" ht="19.5">
      <c r="A378" s="20"/>
      <c r="B378" s="20"/>
      <c r="C378" s="20"/>
      <c r="D378" s="20"/>
      <c r="E378" s="20"/>
      <c r="F378" s="20"/>
      <c r="G378" s="124"/>
      <c r="H378" s="20"/>
      <c r="I378" s="20"/>
      <c r="J378" s="20"/>
      <c r="K378" s="124"/>
      <c r="L378" s="127"/>
      <c r="M378" s="20"/>
      <c r="N378" s="20"/>
      <c r="O378" s="20"/>
      <c r="P378" s="124"/>
      <c r="Q378" s="127"/>
      <c r="R378" s="20"/>
      <c r="S378" s="20"/>
      <c r="T378" s="20"/>
      <c r="U378" s="124"/>
      <c r="V378" s="127"/>
      <c r="W378" s="20"/>
      <c r="X378" s="20"/>
      <c r="Y378" s="20"/>
      <c r="Z378" s="20"/>
      <c r="AA378" s="20"/>
      <c r="AB378" s="20"/>
      <c r="AC378" s="20"/>
      <c r="AD378" s="20"/>
      <c r="AE378" s="20"/>
    </row>
    <row r="379" spans="1:31" ht="19.5">
      <c r="A379" s="20"/>
      <c r="B379" s="20"/>
      <c r="C379" s="20"/>
      <c r="D379" s="20"/>
      <c r="E379" s="20"/>
      <c r="F379" s="20"/>
      <c r="G379" s="124"/>
      <c r="H379" s="20"/>
      <c r="I379" s="20"/>
      <c r="J379" s="20"/>
      <c r="K379" s="124"/>
      <c r="L379" s="127"/>
      <c r="M379" s="20"/>
      <c r="N379" s="20"/>
      <c r="O379" s="20"/>
      <c r="P379" s="124"/>
      <c r="Q379" s="127"/>
      <c r="R379" s="20"/>
      <c r="S379" s="20"/>
      <c r="T379" s="20"/>
      <c r="U379" s="124"/>
      <c r="V379" s="127"/>
      <c r="W379" s="20"/>
      <c r="X379" s="20"/>
      <c r="Y379" s="20"/>
      <c r="Z379" s="20"/>
      <c r="AA379" s="20"/>
      <c r="AB379" s="20"/>
      <c r="AC379" s="20"/>
      <c r="AD379" s="20"/>
      <c r="AE379" s="20"/>
    </row>
    <row r="380" spans="1:31" ht="19.5">
      <c r="A380" s="20"/>
      <c r="B380" s="20"/>
      <c r="C380" s="20"/>
      <c r="D380" s="20"/>
      <c r="E380" s="20"/>
      <c r="F380" s="20"/>
      <c r="G380" s="124"/>
      <c r="H380" s="20"/>
      <c r="I380" s="20"/>
      <c r="J380" s="20"/>
      <c r="K380" s="124"/>
      <c r="L380" s="127"/>
      <c r="M380" s="20"/>
      <c r="N380" s="20"/>
      <c r="O380" s="20"/>
      <c r="P380" s="124"/>
      <c r="Q380" s="127"/>
      <c r="R380" s="20"/>
      <c r="S380" s="20"/>
      <c r="T380" s="20"/>
      <c r="U380" s="124"/>
      <c r="V380" s="127"/>
      <c r="W380" s="20"/>
      <c r="X380" s="20"/>
      <c r="Y380" s="20"/>
      <c r="Z380" s="20"/>
      <c r="AA380" s="20"/>
      <c r="AB380" s="20"/>
      <c r="AC380" s="20"/>
      <c r="AD380" s="20"/>
      <c r="AE380" s="20"/>
    </row>
    <row r="381" spans="1:31" ht="19.5">
      <c r="A381" s="20"/>
      <c r="B381" s="20"/>
      <c r="C381" s="20"/>
      <c r="D381" s="20"/>
      <c r="E381" s="20"/>
      <c r="F381" s="20"/>
      <c r="G381" s="124"/>
      <c r="H381" s="20"/>
      <c r="I381" s="20"/>
      <c r="J381" s="20"/>
      <c r="K381" s="124"/>
      <c r="L381" s="127"/>
      <c r="M381" s="20"/>
      <c r="N381" s="20"/>
      <c r="O381" s="20"/>
      <c r="P381" s="124"/>
      <c r="Q381" s="127"/>
      <c r="R381" s="20"/>
      <c r="S381" s="20"/>
      <c r="T381" s="20"/>
      <c r="U381" s="124"/>
      <c r="V381" s="127"/>
      <c r="W381" s="20"/>
      <c r="X381" s="20"/>
      <c r="Y381" s="20"/>
      <c r="Z381" s="20"/>
      <c r="AA381" s="20"/>
      <c r="AB381" s="20"/>
      <c r="AC381" s="20"/>
      <c r="AD381" s="20"/>
      <c r="AE381" s="20"/>
    </row>
    <row r="382" spans="1:31" ht="19.5">
      <c r="A382" s="20"/>
      <c r="B382" s="20"/>
      <c r="C382" s="20"/>
      <c r="D382" s="20"/>
      <c r="E382" s="20"/>
      <c r="F382" s="20"/>
      <c r="G382" s="124"/>
      <c r="H382" s="20"/>
      <c r="I382" s="20"/>
      <c r="J382" s="20"/>
      <c r="K382" s="124"/>
      <c r="L382" s="127"/>
      <c r="M382" s="20"/>
      <c r="N382" s="20"/>
      <c r="O382" s="20"/>
      <c r="P382" s="124"/>
      <c r="Q382" s="127"/>
      <c r="R382" s="20"/>
      <c r="S382" s="20"/>
      <c r="T382" s="20"/>
      <c r="U382" s="124"/>
      <c r="V382" s="127"/>
      <c r="W382" s="20"/>
      <c r="X382" s="20"/>
      <c r="Y382" s="20"/>
      <c r="Z382" s="20"/>
      <c r="AA382" s="20"/>
      <c r="AB382" s="20"/>
      <c r="AC382" s="20"/>
      <c r="AD382" s="20"/>
      <c r="AE382" s="20"/>
    </row>
    <row r="383" spans="1:31" ht="19.5">
      <c r="A383" s="20"/>
      <c r="B383" s="20"/>
      <c r="C383" s="20"/>
      <c r="D383" s="20"/>
      <c r="E383" s="20"/>
      <c r="F383" s="20"/>
      <c r="G383" s="124"/>
      <c r="H383" s="20"/>
      <c r="I383" s="20"/>
      <c r="J383" s="20"/>
      <c r="K383" s="124"/>
      <c r="L383" s="127"/>
      <c r="M383" s="20"/>
      <c r="N383" s="20"/>
      <c r="O383" s="20"/>
      <c r="P383" s="124"/>
      <c r="Q383" s="127"/>
      <c r="R383" s="20"/>
      <c r="S383" s="20"/>
      <c r="T383" s="20"/>
      <c r="U383" s="124"/>
      <c r="V383" s="127"/>
      <c r="W383" s="20"/>
      <c r="X383" s="20"/>
      <c r="Y383" s="20"/>
      <c r="Z383" s="20"/>
      <c r="AA383" s="20"/>
      <c r="AB383" s="20"/>
      <c r="AC383" s="20"/>
      <c r="AD383" s="20"/>
      <c r="AE383" s="20"/>
    </row>
    <row r="384" spans="1:31" ht="19.5">
      <c r="A384" s="20"/>
      <c r="B384" s="20"/>
      <c r="C384" s="20"/>
      <c r="D384" s="20"/>
      <c r="E384" s="20"/>
      <c r="F384" s="20"/>
      <c r="G384" s="124"/>
      <c r="H384" s="20"/>
      <c r="I384" s="20"/>
      <c r="J384" s="20"/>
      <c r="K384" s="124"/>
      <c r="L384" s="127"/>
      <c r="M384" s="20"/>
      <c r="N384" s="20"/>
      <c r="O384" s="20"/>
      <c r="P384" s="124"/>
      <c r="Q384" s="127"/>
      <c r="R384" s="20"/>
      <c r="S384" s="20"/>
      <c r="T384" s="20"/>
      <c r="U384" s="124"/>
      <c r="V384" s="127"/>
      <c r="W384" s="20"/>
      <c r="X384" s="20"/>
      <c r="Y384" s="20"/>
      <c r="Z384" s="20"/>
      <c r="AA384" s="20"/>
      <c r="AB384" s="20"/>
      <c r="AC384" s="20"/>
      <c r="AD384" s="20"/>
      <c r="AE384" s="20"/>
    </row>
    <row r="385" spans="1:31" ht="19.5">
      <c r="A385" s="20"/>
      <c r="B385" s="20"/>
      <c r="C385" s="20"/>
      <c r="D385" s="20"/>
      <c r="E385" s="20"/>
      <c r="F385" s="20"/>
      <c r="G385" s="124"/>
      <c r="H385" s="20"/>
      <c r="I385" s="20"/>
      <c r="J385" s="20"/>
      <c r="K385" s="124"/>
      <c r="L385" s="127"/>
      <c r="M385" s="20"/>
      <c r="N385" s="20"/>
      <c r="O385" s="20"/>
      <c r="P385" s="124"/>
      <c r="Q385" s="127"/>
      <c r="R385" s="20"/>
      <c r="S385" s="20"/>
      <c r="T385" s="20"/>
      <c r="U385" s="124"/>
      <c r="V385" s="127"/>
      <c r="W385" s="20"/>
      <c r="X385" s="20"/>
      <c r="Y385" s="20"/>
      <c r="Z385" s="20"/>
      <c r="AA385" s="20"/>
      <c r="AB385" s="20"/>
      <c r="AC385" s="20"/>
      <c r="AD385" s="20"/>
      <c r="AE385" s="20"/>
    </row>
    <row r="386" spans="1:31" ht="19.5">
      <c r="A386" s="20"/>
      <c r="B386" s="20"/>
      <c r="C386" s="20"/>
      <c r="D386" s="20"/>
      <c r="E386" s="20"/>
      <c r="F386" s="20"/>
      <c r="G386" s="124"/>
      <c r="H386" s="20"/>
      <c r="I386" s="20"/>
      <c r="J386" s="20"/>
      <c r="K386" s="124"/>
      <c r="L386" s="127"/>
      <c r="M386" s="20"/>
      <c r="N386" s="20"/>
      <c r="O386" s="20"/>
      <c r="P386" s="124"/>
      <c r="Q386" s="127"/>
      <c r="R386" s="20"/>
      <c r="S386" s="20"/>
      <c r="T386" s="20"/>
      <c r="U386" s="124"/>
      <c r="V386" s="127"/>
      <c r="W386" s="20"/>
      <c r="X386" s="20"/>
      <c r="Y386" s="20"/>
      <c r="Z386" s="20"/>
      <c r="AA386" s="20"/>
      <c r="AB386" s="20"/>
      <c r="AC386" s="20"/>
      <c r="AD386" s="20"/>
      <c r="AE386" s="20"/>
    </row>
    <row r="387" spans="1:31" ht="19.5">
      <c r="A387" s="20"/>
      <c r="B387" s="20"/>
      <c r="C387" s="20"/>
      <c r="D387" s="20"/>
      <c r="E387" s="20"/>
      <c r="F387" s="20"/>
      <c r="G387" s="124"/>
      <c r="H387" s="20"/>
      <c r="I387" s="20"/>
      <c r="J387" s="20"/>
      <c r="K387" s="124"/>
      <c r="L387" s="127"/>
      <c r="M387" s="20"/>
      <c r="N387" s="20"/>
      <c r="O387" s="20"/>
      <c r="P387" s="124"/>
      <c r="Q387" s="127"/>
      <c r="R387" s="20"/>
      <c r="S387" s="20"/>
      <c r="T387" s="20"/>
      <c r="U387" s="124"/>
      <c r="V387" s="127"/>
      <c r="W387" s="20"/>
      <c r="X387" s="20"/>
      <c r="Y387" s="20"/>
      <c r="Z387" s="20"/>
      <c r="AA387" s="20"/>
      <c r="AB387" s="20"/>
      <c r="AC387" s="20"/>
      <c r="AD387" s="20"/>
      <c r="AE387" s="20"/>
    </row>
    <row r="388" spans="1:31" ht="19.5">
      <c r="A388" s="20"/>
      <c r="B388" s="20"/>
      <c r="C388" s="20"/>
      <c r="D388" s="20"/>
      <c r="E388" s="20"/>
      <c r="F388" s="20"/>
      <c r="G388" s="124"/>
      <c r="H388" s="20"/>
      <c r="I388" s="20"/>
      <c r="J388" s="20"/>
      <c r="K388" s="124"/>
      <c r="L388" s="127"/>
      <c r="M388" s="20"/>
      <c r="N388" s="20"/>
      <c r="O388" s="20"/>
      <c r="P388" s="124"/>
      <c r="Q388" s="127"/>
      <c r="R388" s="20"/>
      <c r="S388" s="20"/>
      <c r="T388" s="20"/>
      <c r="U388" s="124"/>
      <c r="V388" s="127"/>
      <c r="W388" s="20"/>
      <c r="X388" s="20"/>
      <c r="Y388" s="20"/>
      <c r="Z388" s="20"/>
      <c r="AA388" s="20"/>
      <c r="AB388" s="20"/>
      <c r="AC388" s="20"/>
      <c r="AD388" s="20"/>
      <c r="AE388" s="20"/>
    </row>
    <row r="389" spans="1:31" ht="19.5">
      <c r="A389" s="20"/>
      <c r="B389" s="20"/>
      <c r="C389" s="20"/>
      <c r="D389" s="20"/>
      <c r="E389" s="20"/>
      <c r="F389" s="20"/>
      <c r="G389" s="124"/>
      <c r="H389" s="20"/>
      <c r="I389" s="20"/>
      <c r="J389" s="20"/>
      <c r="K389" s="124"/>
      <c r="L389" s="127"/>
      <c r="M389" s="20"/>
      <c r="N389" s="20"/>
      <c r="O389" s="20"/>
      <c r="P389" s="124"/>
      <c r="Q389" s="127"/>
      <c r="R389" s="20"/>
      <c r="S389" s="20"/>
      <c r="T389" s="20"/>
      <c r="U389" s="124"/>
      <c r="V389" s="127"/>
      <c r="W389" s="20"/>
      <c r="X389" s="20"/>
      <c r="Y389" s="20"/>
      <c r="Z389" s="20"/>
      <c r="AA389" s="20"/>
      <c r="AB389" s="20"/>
      <c r="AC389" s="20"/>
      <c r="AD389" s="20"/>
      <c r="AE389" s="20"/>
    </row>
    <row r="390" spans="1:31" ht="19.5">
      <c r="A390" s="20"/>
      <c r="B390" s="20"/>
      <c r="C390" s="20"/>
      <c r="D390" s="20"/>
      <c r="E390" s="20"/>
      <c r="F390" s="20"/>
      <c r="G390" s="124"/>
      <c r="H390" s="20"/>
      <c r="I390" s="20"/>
      <c r="J390" s="20"/>
      <c r="K390" s="124"/>
      <c r="L390" s="127"/>
      <c r="M390" s="20"/>
      <c r="N390" s="20"/>
      <c r="O390" s="20"/>
      <c r="P390" s="124"/>
      <c r="Q390" s="127"/>
      <c r="R390" s="20"/>
      <c r="S390" s="20"/>
      <c r="T390" s="20"/>
      <c r="U390" s="124"/>
      <c r="V390" s="127"/>
      <c r="W390" s="20"/>
      <c r="X390" s="20"/>
      <c r="Y390" s="20"/>
      <c r="Z390" s="20"/>
      <c r="AA390" s="20"/>
      <c r="AB390" s="20"/>
      <c r="AC390" s="20"/>
      <c r="AD390" s="20"/>
      <c r="AE390" s="20"/>
    </row>
    <row r="391" spans="1:31" ht="19.5">
      <c r="A391" s="20"/>
      <c r="B391" s="20"/>
      <c r="C391" s="20"/>
      <c r="D391" s="20"/>
      <c r="E391" s="20"/>
      <c r="F391" s="20"/>
      <c r="G391" s="124"/>
      <c r="H391" s="20"/>
      <c r="I391" s="20"/>
      <c r="J391" s="20"/>
      <c r="K391" s="124"/>
      <c r="L391" s="127"/>
      <c r="M391" s="20"/>
      <c r="N391" s="20"/>
      <c r="O391" s="20"/>
      <c r="P391" s="124"/>
      <c r="Q391" s="127"/>
      <c r="R391" s="20"/>
      <c r="S391" s="20"/>
      <c r="T391" s="20"/>
      <c r="U391" s="124"/>
      <c r="V391" s="127"/>
      <c r="W391" s="20"/>
      <c r="X391" s="20"/>
      <c r="Y391" s="20"/>
      <c r="Z391" s="20"/>
      <c r="AA391" s="20"/>
      <c r="AB391" s="20"/>
      <c r="AC391" s="20"/>
      <c r="AD391" s="20"/>
      <c r="AE391" s="20"/>
    </row>
    <row r="392" spans="1:31" ht="19.5">
      <c r="A392" s="20"/>
      <c r="B392" s="20"/>
      <c r="C392" s="20"/>
      <c r="D392" s="20"/>
      <c r="E392" s="20"/>
      <c r="F392" s="20"/>
      <c r="G392" s="124"/>
      <c r="H392" s="20"/>
      <c r="I392" s="20"/>
      <c r="J392" s="20"/>
      <c r="K392" s="124"/>
      <c r="L392" s="127"/>
      <c r="M392" s="20"/>
      <c r="N392" s="20"/>
      <c r="O392" s="20"/>
      <c r="P392" s="124"/>
      <c r="Q392" s="127"/>
      <c r="R392" s="20"/>
      <c r="S392" s="20"/>
      <c r="T392" s="20"/>
      <c r="U392" s="124"/>
      <c r="V392" s="127"/>
      <c r="W392" s="20"/>
      <c r="X392" s="20"/>
      <c r="Y392" s="20"/>
      <c r="Z392" s="20"/>
      <c r="AA392" s="20"/>
      <c r="AB392" s="20"/>
      <c r="AC392" s="20"/>
      <c r="AD392" s="20"/>
      <c r="AE392" s="20"/>
    </row>
    <row r="393" spans="1:31" ht="19.5">
      <c r="A393" s="20"/>
      <c r="B393" s="20"/>
      <c r="C393" s="20"/>
      <c r="D393" s="20"/>
      <c r="E393" s="20"/>
      <c r="F393" s="20"/>
      <c r="G393" s="124"/>
      <c r="H393" s="20"/>
      <c r="I393" s="20"/>
      <c r="J393" s="20"/>
      <c r="K393" s="124"/>
      <c r="L393" s="127"/>
      <c r="M393" s="20"/>
      <c r="N393" s="20"/>
      <c r="O393" s="20"/>
      <c r="P393" s="124"/>
      <c r="Q393" s="127"/>
      <c r="R393" s="20"/>
      <c r="S393" s="20"/>
      <c r="T393" s="20"/>
      <c r="U393" s="124"/>
      <c r="V393" s="127"/>
      <c r="W393" s="20"/>
      <c r="X393" s="20"/>
      <c r="Y393" s="20"/>
      <c r="Z393" s="20"/>
      <c r="AA393" s="20"/>
      <c r="AB393" s="20"/>
      <c r="AC393" s="20"/>
      <c r="AD393" s="20"/>
      <c r="AE393" s="20"/>
    </row>
    <row r="394" spans="1:31" ht="19.5">
      <c r="A394" s="20"/>
      <c r="B394" s="20"/>
      <c r="C394" s="20"/>
      <c r="D394" s="20"/>
      <c r="E394" s="20"/>
      <c r="F394" s="20"/>
      <c r="G394" s="124"/>
      <c r="H394" s="20"/>
      <c r="I394" s="20"/>
      <c r="J394" s="20"/>
      <c r="K394" s="124"/>
      <c r="L394" s="127"/>
      <c r="M394" s="20"/>
      <c r="N394" s="20"/>
      <c r="O394" s="20"/>
      <c r="P394" s="124"/>
      <c r="Q394" s="127"/>
      <c r="R394" s="20"/>
      <c r="S394" s="20"/>
      <c r="T394" s="20"/>
      <c r="U394" s="124"/>
      <c r="V394" s="127"/>
      <c r="W394" s="20"/>
      <c r="X394" s="20"/>
      <c r="Y394" s="20"/>
      <c r="Z394" s="20"/>
      <c r="AA394" s="20"/>
      <c r="AB394" s="20"/>
      <c r="AC394" s="20"/>
      <c r="AD394" s="20"/>
      <c r="AE394" s="20"/>
    </row>
    <row r="395" spans="1:31" ht="19.5">
      <c r="A395" s="20"/>
      <c r="B395" s="20"/>
      <c r="C395" s="20"/>
      <c r="D395" s="20"/>
      <c r="E395" s="20"/>
      <c r="F395" s="20"/>
      <c r="G395" s="124"/>
      <c r="H395" s="20"/>
      <c r="I395" s="20"/>
      <c r="J395" s="20"/>
      <c r="K395" s="124"/>
      <c r="L395" s="127"/>
      <c r="M395" s="20"/>
      <c r="N395" s="20"/>
      <c r="O395" s="20"/>
      <c r="P395" s="124"/>
      <c r="Q395" s="127"/>
      <c r="R395" s="20"/>
      <c r="S395" s="20"/>
      <c r="T395" s="20"/>
      <c r="U395" s="124"/>
      <c r="V395" s="127"/>
      <c r="W395" s="20"/>
      <c r="X395" s="20"/>
      <c r="Y395" s="20"/>
      <c r="Z395" s="20"/>
      <c r="AA395" s="20"/>
      <c r="AB395" s="20"/>
      <c r="AC395" s="20"/>
      <c r="AD395" s="20"/>
      <c r="AE395" s="20"/>
    </row>
    <row r="396" spans="1:31" ht="19.5">
      <c r="A396" s="20"/>
      <c r="B396" s="20"/>
      <c r="C396" s="20"/>
      <c r="D396" s="20"/>
      <c r="E396" s="20"/>
      <c r="F396" s="20"/>
      <c r="G396" s="124"/>
      <c r="H396" s="20"/>
      <c r="I396" s="20"/>
      <c r="J396" s="20"/>
      <c r="K396" s="124"/>
      <c r="L396" s="127"/>
      <c r="M396" s="20"/>
      <c r="N396" s="20"/>
      <c r="O396" s="20"/>
      <c r="P396" s="124"/>
      <c r="Q396" s="127"/>
      <c r="R396" s="20"/>
      <c r="S396" s="20"/>
      <c r="T396" s="20"/>
      <c r="U396" s="124"/>
      <c r="V396" s="127"/>
      <c r="W396" s="20"/>
      <c r="X396" s="20"/>
      <c r="Y396" s="20"/>
      <c r="Z396" s="20"/>
      <c r="AA396" s="20"/>
      <c r="AB396" s="20"/>
      <c r="AC396" s="20"/>
      <c r="AD396" s="20"/>
      <c r="AE396" s="20"/>
    </row>
    <row r="397" spans="1:31" ht="19.5">
      <c r="A397" s="20"/>
      <c r="B397" s="20"/>
      <c r="C397" s="20"/>
      <c r="D397" s="20"/>
      <c r="E397" s="20"/>
      <c r="F397" s="20"/>
      <c r="G397" s="124"/>
      <c r="H397" s="20"/>
      <c r="I397" s="20"/>
      <c r="J397" s="20"/>
      <c r="K397" s="124"/>
      <c r="L397" s="127"/>
      <c r="M397" s="20"/>
      <c r="N397" s="20"/>
      <c r="O397" s="20"/>
      <c r="P397" s="124"/>
      <c r="Q397" s="127"/>
      <c r="R397" s="20"/>
      <c r="S397" s="20"/>
      <c r="T397" s="20"/>
      <c r="U397" s="124"/>
      <c r="V397" s="127"/>
      <c r="W397" s="20"/>
      <c r="X397" s="20"/>
      <c r="Y397" s="20"/>
      <c r="Z397" s="20"/>
      <c r="AA397" s="20"/>
      <c r="AB397" s="20"/>
      <c r="AC397" s="20"/>
      <c r="AD397" s="20"/>
      <c r="AE397" s="20"/>
    </row>
    <row r="398" spans="1:31" ht="19.5">
      <c r="A398" s="20"/>
      <c r="B398" s="20"/>
      <c r="C398" s="20"/>
      <c r="D398" s="20"/>
      <c r="E398" s="20"/>
      <c r="F398" s="20"/>
      <c r="G398" s="124"/>
      <c r="H398" s="20"/>
      <c r="I398" s="20"/>
      <c r="J398" s="20"/>
      <c r="K398" s="124"/>
      <c r="L398" s="127"/>
      <c r="M398" s="20"/>
      <c r="N398" s="20"/>
      <c r="O398" s="20"/>
      <c r="P398" s="124"/>
      <c r="Q398" s="127"/>
      <c r="R398" s="20"/>
      <c r="S398" s="20"/>
      <c r="T398" s="20"/>
      <c r="U398" s="124"/>
      <c r="V398" s="127"/>
      <c r="W398" s="20"/>
      <c r="X398" s="20"/>
      <c r="Y398" s="20"/>
      <c r="Z398" s="20"/>
      <c r="AA398" s="20"/>
      <c r="AB398" s="20"/>
      <c r="AC398" s="20"/>
      <c r="AD398" s="20"/>
      <c r="AE398" s="20"/>
    </row>
    <row r="399" spans="1:31" ht="19.5">
      <c r="A399" s="20"/>
      <c r="B399" s="20"/>
      <c r="C399" s="20"/>
      <c r="D399" s="20"/>
      <c r="E399" s="20"/>
      <c r="F399" s="20"/>
      <c r="G399" s="124"/>
      <c r="H399" s="20"/>
      <c r="I399" s="20"/>
      <c r="J399" s="20"/>
      <c r="K399" s="124"/>
      <c r="L399" s="127"/>
      <c r="M399" s="20"/>
      <c r="N399" s="20"/>
      <c r="O399" s="20"/>
      <c r="P399" s="124"/>
      <c r="Q399" s="127"/>
      <c r="R399" s="20"/>
      <c r="S399" s="20"/>
      <c r="T399" s="20"/>
      <c r="U399" s="124"/>
      <c r="V399" s="127"/>
      <c r="W399" s="20"/>
      <c r="X399" s="20"/>
      <c r="Y399" s="20"/>
      <c r="Z399" s="20"/>
      <c r="AA399" s="20"/>
      <c r="AB399" s="20"/>
      <c r="AC399" s="20"/>
      <c r="AD399" s="20"/>
      <c r="AE399" s="20"/>
    </row>
    <row r="400" spans="1:31" ht="19.5">
      <c r="A400" s="20"/>
      <c r="B400" s="20"/>
      <c r="C400" s="20"/>
      <c r="D400" s="20"/>
      <c r="E400" s="20"/>
      <c r="F400" s="20"/>
      <c r="G400" s="124"/>
      <c r="H400" s="20"/>
      <c r="I400" s="20"/>
      <c r="J400" s="20"/>
      <c r="K400" s="124"/>
      <c r="L400" s="127"/>
      <c r="M400" s="20"/>
      <c r="N400" s="20"/>
      <c r="O400" s="20"/>
      <c r="P400" s="124"/>
      <c r="Q400" s="127"/>
      <c r="R400" s="20"/>
      <c r="S400" s="20"/>
      <c r="T400" s="20"/>
      <c r="U400" s="124"/>
      <c r="V400" s="127"/>
      <c r="W400" s="20"/>
      <c r="X400" s="20"/>
      <c r="Y400" s="20"/>
      <c r="Z400" s="20"/>
      <c r="AA400" s="20"/>
      <c r="AB400" s="20"/>
      <c r="AC400" s="20"/>
      <c r="AD400" s="20"/>
      <c r="AE400" s="20"/>
    </row>
    <row r="401" spans="1:31" ht="19.5">
      <c r="A401" s="20"/>
      <c r="B401" s="20"/>
      <c r="C401" s="20"/>
      <c r="D401" s="20"/>
      <c r="E401" s="20"/>
      <c r="F401" s="20"/>
      <c r="G401" s="124"/>
      <c r="H401" s="20"/>
      <c r="I401" s="20"/>
      <c r="J401" s="20"/>
      <c r="K401" s="124"/>
      <c r="L401" s="127"/>
      <c r="M401" s="20"/>
      <c r="N401" s="20"/>
      <c r="O401" s="20"/>
      <c r="P401" s="124"/>
      <c r="Q401" s="127"/>
      <c r="R401" s="20"/>
      <c r="S401" s="20"/>
      <c r="T401" s="20"/>
      <c r="U401" s="124"/>
      <c r="V401" s="127"/>
      <c r="W401" s="20"/>
      <c r="X401" s="20"/>
      <c r="Y401" s="20"/>
      <c r="Z401" s="20"/>
      <c r="AA401" s="20"/>
      <c r="AB401" s="20"/>
      <c r="AC401" s="20"/>
      <c r="AD401" s="20"/>
      <c r="AE401" s="20"/>
    </row>
    <row r="402" spans="1:31" ht="19.5">
      <c r="A402" s="20"/>
      <c r="B402" s="20"/>
      <c r="C402" s="20"/>
      <c r="D402" s="20"/>
      <c r="E402" s="20"/>
      <c r="F402" s="20"/>
      <c r="G402" s="124"/>
      <c r="H402" s="20"/>
      <c r="I402" s="20"/>
      <c r="J402" s="20"/>
      <c r="K402" s="124"/>
      <c r="L402" s="127"/>
      <c r="M402" s="20"/>
      <c r="N402" s="20"/>
      <c r="O402" s="20"/>
      <c r="P402" s="124"/>
      <c r="Q402" s="127"/>
      <c r="R402" s="20"/>
      <c r="S402" s="20"/>
      <c r="T402" s="20"/>
      <c r="U402" s="124"/>
      <c r="V402" s="127"/>
      <c r="W402" s="20"/>
      <c r="X402" s="20"/>
      <c r="Y402" s="20"/>
      <c r="Z402" s="20"/>
      <c r="AA402" s="20"/>
      <c r="AB402" s="20"/>
      <c r="AC402" s="20"/>
      <c r="AD402" s="20"/>
      <c r="AE402" s="20"/>
    </row>
    <row r="403" spans="1:31" ht="19.5">
      <c r="A403" s="20"/>
      <c r="B403" s="20"/>
      <c r="C403" s="20"/>
      <c r="D403" s="20"/>
      <c r="E403" s="20"/>
      <c r="F403" s="20"/>
      <c r="G403" s="124"/>
      <c r="H403" s="20"/>
      <c r="I403" s="20"/>
      <c r="J403" s="20"/>
      <c r="K403" s="124"/>
      <c r="L403" s="127"/>
      <c r="M403" s="20"/>
      <c r="N403" s="20"/>
      <c r="O403" s="20"/>
      <c r="P403" s="124"/>
      <c r="Q403" s="127"/>
      <c r="R403" s="20"/>
      <c r="S403" s="20"/>
      <c r="T403" s="20"/>
      <c r="U403" s="124"/>
      <c r="V403" s="127"/>
      <c r="W403" s="20"/>
      <c r="X403" s="20"/>
      <c r="Y403" s="20"/>
      <c r="Z403" s="20"/>
      <c r="AA403" s="20"/>
      <c r="AB403" s="20"/>
      <c r="AC403" s="20"/>
      <c r="AD403" s="20"/>
      <c r="AE403" s="20"/>
    </row>
    <row r="404" spans="1:31" ht="19.5">
      <c r="A404" s="20"/>
      <c r="B404" s="20"/>
      <c r="C404" s="20"/>
      <c r="D404" s="20"/>
      <c r="E404" s="20"/>
      <c r="F404" s="20"/>
      <c r="G404" s="124"/>
      <c r="H404" s="20"/>
      <c r="I404" s="20"/>
      <c r="J404" s="20"/>
      <c r="K404" s="124"/>
      <c r="L404" s="127"/>
      <c r="M404" s="20"/>
      <c r="N404" s="20"/>
      <c r="O404" s="20"/>
      <c r="P404" s="124"/>
      <c r="Q404" s="127"/>
      <c r="R404" s="20"/>
      <c r="S404" s="20"/>
      <c r="T404" s="20"/>
      <c r="U404" s="124"/>
      <c r="V404" s="127"/>
      <c r="W404" s="20"/>
      <c r="X404" s="20"/>
      <c r="Y404" s="20"/>
      <c r="Z404" s="20"/>
      <c r="AA404" s="20"/>
      <c r="AB404" s="20"/>
      <c r="AC404" s="20"/>
      <c r="AD404" s="20"/>
      <c r="AE404" s="20"/>
    </row>
    <row r="405" spans="1:31" ht="19.5">
      <c r="A405" s="20"/>
      <c r="B405" s="20"/>
      <c r="C405" s="20"/>
      <c r="D405" s="20"/>
      <c r="E405" s="20"/>
      <c r="F405" s="20"/>
      <c r="G405" s="124"/>
      <c r="H405" s="20"/>
      <c r="I405" s="20"/>
      <c r="J405" s="20"/>
      <c r="K405" s="124"/>
      <c r="L405" s="127"/>
      <c r="M405" s="20"/>
      <c r="N405" s="20"/>
      <c r="O405" s="20"/>
      <c r="P405" s="124"/>
      <c r="Q405" s="127"/>
      <c r="R405" s="20"/>
      <c r="S405" s="20"/>
      <c r="T405" s="20"/>
      <c r="U405" s="124"/>
      <c r="V405" s="127"/>
      <c r="W405" s="20"/>
      <c r="X405" s="20"/>
      <c r="Y405" s="20"/>
      <c r="Z405" s="20"/>
      <c r="AA405" s="20"/>
      <c r="AB405" s="20"/>
      <c r="AC405" s="20"/>
      <c r="AD405" s="20"/>
      <c r="AE405" s="20"/>
    </row>
    <row r="406" spans="1:31" ht="19.5">
      <c r="A406" s="20"/>
      <c r="B406" s="20"/>
      <c r="C406" s="20"/>
      <c r="D406" s="20"/>
      <c r="E406" s="20"/>
      <c r="F406" s="20"/>
      <c r="G406" s="124"/>
      <c r="H406" s="20"/>
      <c r="I406" s="20"/>
      <c r="J406" s="20"/>
      <c r="K406" s="124"/>
      <c r="L406" s="127"/>
      <c r="M406" s="20"/>
      <c r="N406" s="20"/>
      <c r="O406" s="20"/>
      <c r="P406" s="124"/>
      <c r="Q406" s="127"/>
      <c r="R406" s="20"/>
      <c r="S406" s="20"/>
      <c r="T406" s="20"/>
      <c r="U406" s="124"/>
      <c r="V406" s="127"/>
      <c r="W406" s="20"/>
      <c r="X406" s="20"/>
      <c r="Y406" s="20"/>
      <c r="Z406" s="20"/>
      <c r="AA406" s="20"/>
      <c r="AB406" s="20"/>
      <c r="AC406" s="20"/>
      <c r="AD406" s="20"/>
      <c r="AE406" s="20"/>
    </row>
    <row r="407" spans="1:31" ht="19.5">
      <c r="A407" s="20"/>
      <c r="B407" s="20"/>
      <c r="C407" s="20"/>
      <c r="D407" s="20"/>
      <c r="E407" s="20"/>
      <c r="F407" s="20"/>
      <c r="G407" s="124"/>
      <c r="H407" s="20"/>
      <c r="I407" s="20"/>
      <c r="J407" s="20"/>
      <c r="K407" s="124"/>
      <c r="L407" s="127"/>
      <c r="M407" s="20"/>
      <c r="N407" s="20"/>
      <c r="O407" s="20"/>
      <c r="P407" s="124"/>
      <c r="Q407" s="127"/>
      <c r="R407" s="20"/>
      <c r="S407" s="20"/>
      <c r="T407" s="20"/>
      <c r="U407" s="124"/>
      <c r="V407" s="127"/>
      <c r="W407" s="20"/>
      <c r="X407" s="20"/>
      <c r="Y407" s="20"/>
      <c r="Z407" s="20"/>
      <c r="AA407" s="20"/>
      <c r="AB407" s="20"/>
      <c r="AC407" s="20"/>
      <c r="AD407" s="20"/>
      <c r="AE407" s="20"/>
    </row>
    <row r="408" spans="1:31" ht="19.5">
      <c r="A408" s="20"/>
      <c r="B408" s="20"/>
      <c r="C408" s="20"/>
      <c r="D408" s="20"/>
      <c r="E408" s="20"/>
      <c r="F408" s="20"/>
      <c r="G408" s="124"/>
      <c r="H408" s="20"/>
      <c r="I408" s="20"/>
      <c r="J408" s="20"/>
      <c r="K408" s="124"/>
      <c r="L408" s="127"/>
      <c r="M408" s="20"/>
      <c r="N408" s="20"/>
      <c r="O408" s="20"/>
      <c r="P408" s="124"/>
      <c r="Q408" s="127"/>
      <c r="R408" s="20"/>
      <c r="S408" s="20"/>
      <c r="T408" s="20"/>
      <c r="U408" s="124"/>
      <c r="V408" s="127"/>
      <c r="W408" s="20"/>
      <c r="X408" s="20"/>
      <c r="Y408" s="20"/>
      <c r="Z408" s="20"/>
      <c r="AA408" s="20"/>
      <c r="AB408" s="20"/>
      <c r="AC408" s="20"/>
      <c r="AD408" s="20"/>
      <c r="AE408" s="20"/>
    </row>
    <row r="409" spans="1:31" ht="19.5">
      <c r="A409" s="20"/>
      <c r="B409" s="20"/>
      <c r="C409" s="20"/>
      <c r="D409" s="20"/>
      <c r="E409" s="20"/>
      <c r="F409" s="20"/>
      <c r="G409" s="124"/>
      <c r="H409" s="20"/>
      <c r="I409" s="20"/>
      <c r="J409" s="20"/>
      <c r="K409" s="124"/>
      <c r="L409" s="127"/>
      <c r="M409" s="20"/>
      <c r="N409" s="20"/>
      <c r="O409" s="20"/>
      <c r="P409" s="124"/>
      <c r="Q409" s="127"/>
      <c r="R409" s="20"/>
      <c r="S409" s="20"/>
      <c r="T409" s="20"/>
      <c r="U409" s="124"/>
      <c r="V409" s="127"/>
      <c r="W409" s="20"/>
      <c r="X409" s="20"/>
      <c r="Y409" s="20"/>
      <c r="Z409" s="20"/>
      <c r="AA409" s="20"/>
      <c r="AB409" s="20"/>
      <c r="AC409" s="20"/>
      <c r="AD409" s="20"/>
      <c r="AE409" s="20"/>
    </row>
    <row r="410" spans="1:31" ht="19.5">
      <c r="A410" s="20"/>
      <c r="B410" s="20"/>
      <c r="C410" s="20"/>
      <c r="D410" s="20"/>
      <c r="E410" s="20"/>
      <c r="F410" s="20"/>
      <c r="G410" s="124"/>
      <c r="H410" s="20"/>
      <c r="I410" s="20"/>
      <c r="J410" s="20"/>
      <c r="K410" s="124"/>
      <c r="L410" s="127"/>
      <c r="M410" s="20"/>
      <c r="N410" s="20"/>
      <c r="O410" s="20"/>
      <c r="P410" s="124"/>
      <c r="Q410" s="127"/>
      <c r="R410" s="20"/>
      <c r="S410" s="20"/>
      <c r="T410" s="20"/>
      <c r="U410" s="124"/>
      <c r="V410" s="127"/>
      <c r="W410" s="20"/>
      <c r="X410" s="20"/>
      <c r="Y410" s="20"/>
      <c r="Z410" s="20"/>
      <c r="AA410" s="20"/>
      <c r="AB410" s="20"/>
      <c r="AC410" s="20"/>
      <c r="AD410" s="20"/>
      <c r="AE410" s="20"/>
    </row>
    <row r="411" spans="1:31" ht="19.5">
      <c r="A411" s="20"/>
      <c r="B411" s="20"/>
      <c r="C411" s="20"/>
      <c r="D411" s="20"/>
      <c r="E411" s="20"/>
      <c r="F411" s="20"/>
      <c r="G411" s="124"/>
      <c r="H411" s="20"/>
      <c r="I411" s="20"/>
      <c r="J411" s="20"/>
      <c r="K411" s="124"/>
      <c r="L411" s="127"/>
      <c r="M411" s="20"/>
      <c r="N411" s="20"/>
      <c r="O411" s="20"/>
      <c r="P411" s="124"/>
      <c r="Q411" s="127"/>
      <c r="R411" s="20"/>
      <c r="S411" s="20"/>
      <c r="T411" s="20"/>
      <c r="U411" s="124"/>
      <c r="V411" s="127"/>
      <c r="W411" s="20"/>
      <c r="X411" s="20"/>
      <c r="Y411" s="20"/>
      <c r="Z411" s="20"/>
      <c r="AA411" s="20"/>
      <c r="AB411" s="20"/>
      <c r="AC411" s="20"/>
      <c r="AD411" s="20"/>
      <c r="AE411" s="20"/>
    </row>
    <row r="412" spans="1:31" ht="19.5">
      <c r="A412" s="20"/>
      <c r="B412" s="20"/>
      <c r="C412" s="20"/>
      <c r="D412" s="20"/>
      <c r="E412" s="20"/>
      <c r="F412" s="20"/>
      <c r="G412" s="124"/>
      <c r="H412" s="20"/>
      <c r="I412" s="20"/>
      <c r="J412" s="20"/>
      <c r="K412" s="124"/>
      <c r="L412" s="127"/>
      <c r="M412" s="20"/>
      <c r="N412" s="20"/>
      <c r="O412" s="20"/>
      <c r="P412" s="124"/>
      <c r="Q412" s="127"/>
      <c r="R412" s="20"/>
      <c r="S412" s="20"/>
      <c r="T412" s="20"/>
      <c r="U412" s="124"/>
      <c r="V412" s="127"/>
      <c r="W412" s="20"/>
      <c r="X412" s="20"/>
      <c r="Y412" s="20"/>
      <c r="Z412" s="20"/>
      <c r="AA412" s="20"/>
      <c r="AB412" s="20"/>
      <c r="AC412" s="20"/>
      <c r="AD412" s="20"/>
      <c r="AE412" s="20"/>
    </row>
    <row r="413" spans="1:31" ht="19.5">
      <c r="A413" s="20"/>
      <c r="B413" s="20"/>
      <c r="C413" s="20"/>
      <c r="D413" s="20"/>
      <c r="E413" s="20"/>
      <c r="F413" s="20"/>
      <c r="G413" s="124"/>
      <c r="H413" s="20"/>
      <c r="I413" s="20"/>
      <c r="J413" s="20"/>
      <c r="K413" s="124"/>
      <c r="L413" s="127"/>
      <c r="M413" s="20"/>
      <c r="N413" s="20"/>
      <c r="O413" s="20"/>
      <c r="P413" s="124"/>
      <c r="Q413" s="127"/>
      <c r="R413" s="20"/>
      <c r="S413" s="20"/>
      <c r="T413" s="20"/>
      <c r="U413" s="124"/>
      <c r="V413" s="127"/>
      <c r="W413" s="20"/>
      <c r="X413" s="20"/>
      <c r="Y413" s="20"/>
      <c r="Z413" s="20"/>
      <c r="AA413" s="20"/>
      <c r="AB413" s="20"/>
      <c r="AC413" s="20"/>
      <c r="AD413" s="20"/>
      <c r="AE413" s="20"/>
    </row>
    <row r="414" spans="1:31" ht="19.5">
      <c r="A414" s="20"/>
      <c r="B414" s="20"/>
      <c r="C414" s="20"/>
      <c r="D414" s="20"/>
      <c r="E414" s="20"/>
      <c r="F414" s="20"/>
      <c r="G414" s="124"/>
      <c r="H414" s="20"/>
      <c r="I414" s="20"/>
      <c r="J414" s="20"/>
      <c r="K414" s="124"/>
      <c r="L414" s="127"/>
      <c r="M414" s="20"/>
      <c r="N414" s="20"/>
      <c r="O414" s="20"/>
      <c r="P414" s="124"/>
      <c r="Q414" s="127"/>
      <c r="R414" s="20"/>
      <c r="S414" s="20"/>
      <c r="T414" s="20"/>
      <c r="U414" s="124"/>
      <c r="V414" s="127"/>
      <c r="W414" s="20"/>
      <c r="X414" s="20"/>
      <c r="Y414" s="20"/>
      <c r="Z414" s="20"/>
      <c r="AA414" s="20"/>
      <c r="AB414" s="20"/>
      <c r="AC414" s="20"/>
      <c r="AD414" s="20"/>
      <c r="AE414" s="20"/>
    </row>
    <row r="415" spans="1:31" ht="19.5">
      <c r="A415" s="20"/>
      <c r="B415" s="20"/>
      <c r="C415" s="20"/>
      <c r="D415" s="20"/>
      <c r="E415" s="20"/>
      <c r="F415" s="20"/>
      <c r="G415" s="124"/>
      <c r="H415" s="20"/>
      <c r="I415" s="20"/>
      <c r="J415" s="20"/>
      <c r="K415" s="124"/>
      <c r="L415" s="127"/>
      <c r="M415" s="20"/>
      <c r="N415" s="20"/>
      <c r="O415" s="20"/>
      <c r="P415" s="124"/>
      <c r="Q415" s="127"/>
      <c r="R415" s="20"/>
      <c r="S415" s="20"/>
      <c r="T415" s="20"/>
      <c r="U415" s="124"/>
      <c r="V415" s="127"/>
      <c r="W415" s="20"/>
      <c r="X415" s="20"/>
      <c r="Y415" s="20"/>
      <c r="Z415" s="20"/>
      <c r="AA415" s="20"/>
      <c r="AB415" s="20"/>
      <c r="AC415" s="20"/>
      <c r="AD415" s="20"/>
      <c r="AE415" s="20"/>
    </row>
    <row r="416" spans="1:31" ht="19.5">
      <c r="A416" s="20"/>
      <c r="B416" s="20"/>
      <c r="C416" s="20"/>
      <c r="D416" s="20"/>
      <c r="E416" s="20"/>
      <c r="F416" s="20"/>
      <c r="G416" s="124"/>
      <c r="H416" s="20"/>
      <c r="I416" s="20"/>
      <c r="J416" s="20"/>
      <c r="K416" s="124"/>
      <c r="L416" s="127"/>
      <c r="M416" s="20"/>
      <c r="N416" s="20"/>
      <c r="O416" s="20"/>
      <c r="P416" s="124"/>
      <c r="Q416" s="127"/>
      <c r="R416" s="20"/>
      <c r="S416" s="20"/>
      <c r="T416" s="20"/>
      <c r="U416" s="124"/>
      <c r="V416" s="127"/>
      <c r="W416" s="20"/>
      <c r="X416" s="20"/>
      <c r="Y416" s="20"/>
      <c r="Z416" s="20"/>
      <c r="AA416" s="20"/>
      <c r="AB416" s="20"/>
      <c r="AC416" s="20"/>
      <c r="AD416" s="20"/>
      <c r="AE416" s="20"/>
    </row>
    <row r="417" spans="1:31" ht="19.5">
      <c r="A417" s="20"/>
      <c r="B417" s="20"/>
      <c r="C417" s="20"/>
      <c r="D417" s="20"/>
      <c r="E417" s="20"/>
      <c r="F417" s="20"/>
      <c r="G417" s="124"/>
      <c r="H417" s="20"/>
      <c r="I417" s="20"/>
      <c r="J417" s="20"/>
      <c r="K417" s="124"/>
      <c r="L417" s="127"/>
      <c r="M417" s="20"/>
      <c r="N417" s="20"/>
      <c r="O417" s="20"/>
      <c r="P417" s="124"/>
      <c r="Q417" s="127"/>
      <c r="R417" s="20"/>
      <c r="S417" s="20"/>
      <c r="T417" s="20"/>
      <c r="U417" s="124"/>
      <c r="V417" s="127"/>
      <c r="W417" s="20"/>
      <c r="X417" s="20"/>
      <c r="Y417" s="20"/>
      <c r="Z417" s="20"/>
      <c r="AA417" s="20"/>
      <c r="AB417" s="20"/>
      <c r="AC417" s="20"/>
      <c r="AD417" s="20"/>
      <c r="AE417" s="20"/>
    </row>
    <row r="418" spans="1:31" ht="19.5">
      <c r="A418" s="20"/>
      <c r="B418" s="20"/>
      <c r="C418" s="20"/>
      <c r="D418" s="20"/>
      <c r="E418" s="20"/>
      <c r="F418" s="20"/>
      <c r="G418" s="124"/>
      <c r="H418" s="20"/>
      <c r="I418" s="20"/>
      <c r="J418" s="20"/>
      <c r="K418" s="124"/>
      <c r="L418" s="127"/>
      <c r="M418" s="20"/>
      <c r="N418" s="20"/>
      <c r="O418" s="20"/>
      <c r="P418" s="124"/>
      <c r="Q418" s="127"/>
      <c r="R418" s="20"/>
      <c r="S418" s="20"/>
      <c r="T418" s="20"/>
      <c r="U418" s="124"/>
      <c r="V418" s="127"/>
      <c r="W418" s="20"/>
      <c r="X418" s="20"/>
      <c r="Y418" s="20"/>
      <c r="Z418" s="20"/>
      <c r="AA418" s="20"/>
      <c r="AB418" s="20"/>
      <c r="AC418" s="20"/>
      <c r="AD418" s="20"/>
      <c r="AE418" s="20"/>
    </row>
    <row r="419" spans="1:31" ht="19.5">
      <c r="A419" s="20"/>
      <c r="B419" s="20"/>
      <c r="C419" s="20"/>
      <c r="D419" s="20"/>
      <c r="E419" s="20"/>
      <c r="F419" s="20"/>
      <c r="G419" s="124"/>
      <c r="H419" s="20"/>
      <c r="I419" s="20"/>
      <c r="J419" s="20"/>
      <c r="K419" s="124"/>
      <c r="L419" s="127"/>
      <c r="M419" s="20"/>
      <c r="N419" s="20"/>
      <c r="O419" s="20"/>
      <c r="P419" s="124"/>
      <c r="Q419" s="127"/>
      <c r="R419" s="20"/>
      <c r="S419" s="20"/>
      <c r="T419" s="20"/>
      <c r="U419" s="124"/>
      <c r="V419" s="127"/>
      <c r="W419" s="20"/>
      <c r="X419" s="20"/>
      <c r="Y419" s="20"/>
      <c r="Z419" s="20"/>
      <c r="AA419" s="20"/>
      <c r="AB419" s="20"/>
      <c r="AC419" s="20"/>
      <c r="AD419" s="20"/>
      <c r="AE419" s="20"/>
    </row>
    <row r="420" spans="1:31" ht="19.5">
      <c r="A420" s="20"/>
      <c r="B420" s="20"/>
      <c r="C420" s="20"/>
      <c r="D420" s="20"/>
      <c r="E420" s="20"/>
      <c r="F420" s="20"/>
      <c r="G420" s="124"/>
      <c r="H420" s="20"/>
      <c r="I420" s="20"/>
      <c r="J420" s="20"/>
      <c r="K420" s="124"/>
      <c r="L420" s="127"/>
      <c r="M420" s="20"/>
      <c r="N420" s="20"/>
      <c r="O420" s="20"/>
      <c r="P420" s="124"/>
      <c r="Q420" s="127"/>
      <c r="R420" s="20"/>
      <c r="S420" s="20"/>
      <c r="T420" s="20"/>
      <c r="U420" s="124"/>
      <c r="V420" s="127"/>
      <c r="W420" s="20"/>
      <c r="X420" s="20"/>
      <c r="Y420" s="20"/>
      <c r="Z420" s="20"/>
      <c r="AA420" s="20"/>
      <c r="AB420" s="20"/>
      <c r="AC420" s="20"/>
      <c r="AD420" s="20"/>
      <c r="AE420" s="20"/>
    </row>
    <row r="421" spans="1:31" ht="19.5">
      <c r="A421" s="20"/>
      <c r="B421" s="20"/>
      <c r="C421" s="20"/>
      <c r="D421" s="20"/>
      <c r="E421" s="20"/>
      <c r="F421" s="20"/>
      <c r="G421" s="124"/>
      <c r="H421" s="20"/>
      <c r="I421" s="20"/>
      <c r="J421" s="20"/>
      <c r="K421" s="124"/>
      <c r="L421" s="127"/>
      <c r="M421" s="20"/>
      <c r="N421" s="20"/>
      <c r="O421" s="20"/>
      <c r="P421" s="124"/>
      <c r="Q421" s="127"/>
      <c r="R421" s="20"/>
      <c r="S421" s="20"/>
      <c r="T421" s="20"/>
      <c r="U421" s="124"/>
      <c r="V421" s="127"/>
      <c r="W421" s="20"/>
      <c r="X421" s="20"/>
      <c r="Y421" s="20"/>
      <c r="Z421" s="20"/>
      <c r="AA421" s="20"/>
      <c r="AB421" s="20"/>
      <c r="AC421" s="20"/>
      <c r="AD421" s="20"/>
      <c r="AE421" s="20"/>
    </row>
    <row r="422" spans="1:31" ht="19.5">
      <c r="A422" s="20"/>
      <c r="B422" s="20"/>
      <c r="C422" s="20"/>
      <c r="D422" s="20"/>
      <c r="E422" s="20"/>
      <c r="F422" s="20"/>
      <c r="G422" s="124"/>
      <c r="H422" s="20"/>
      <c r="I422" s="20"/>
      <c r="J422" s="20"/>
      <c r="K422" s="124"/>
      <c r="L422" s="127"/>
      <c r="M422" s="20"/>
      <c r="N422" s="20"/>
      <c r="O422" s="20"/>
      <c r="P422" s="124"/>
      <c r="Q422" s="127"/>
      <c r="R422" s="20"/>
      <c r="S422" s="20"/>
      <c r="T422" s="20"/>
      <c r="U422" s="124"/>
      <c r="V422" s="127"/>
      <c r="W422" s="20"/>
      <c r="X422" s="20"/>
      <c r="Y422" s="20"/>
      <c r="Z422" s="20"/>
      <c r="AA422" s="20"/>
      <c r="AB422" s="20"/>
      <c r="AC422" s="20"/>
      <c r="AD422" s="20"/>
      <c r="AE422" s="20"/>
    </row>
    <row r="423" spans="1:31" ht="19.5">
      <c r="A423" s="20"/>
      <c r="B423" s="20"/>
      <c r="C423" s="20"/>
      <c r="D423" s="20"/>
      <c r="E423" s="20"/>
      <c r="F423" s="20"/>
      <c r="G423" s="124"/>
      <c r="H423" s="20"/>
      <c r="I423" s="20"/>
      <c r="J423" s="20"/>
      <c r="K423" s="124"/>
      <c r="L423" s="127"/>
      <c r="M423" s="20"/>
      <c r="N423" s="20"/>
      <c r="O423" s="20"/>
      <c r="P423" s="124"/>
      <c r="Q423" s="127"/>
      <c r="R423" s="20"/>
      <c r="S423" s="20"/>
      <c r="T423" s="20"/>
      <c r="U423" s="124"/>
      <c r="V423" s="127"/>
      <c r="W423" s="20"/>
      <c r="X423" s="20"/>
      <c r="Y423" s="20"/>
      <c r="Z423" s="20"/>
      <c r="AA423" s="20"/>
      <c r="AB423" s="20"/>
      <c r="AC423" s="20"/>
      <c r="AD423" s="20"/>
      <c r="AE423" s="20"/>
    </row>
    <row r="424" spans="1:31" ht="19.5">
      <c r="A424" s="20"/>
      <c r="B424" s="20"/>
      <c r="C424" s="20"/>
      <c r="D424" s="20"/>
      <c r="E424" s="20"/>
      <c r="F424" s="20"/>
      <c r="G424" s="124"/>
      <c r="H424" s="20"/>
      <c r="I424" s="20"/>
      <c r="J424" s="20"/>
      <c r="K424" s="124"/>
      <c r="L424" s="127"/>
      <c r="M424" s="20"/>
      <c r="N424" s="20"/>
      <c r="O424" s="20"/>
      <c r="P424" s="124"/>
      <c r="Q424" s="127"/>
      <c r="R424" s="20"/>
      <c r="S424" s="20"/>
      <c r="T424" s="20"/>
      <c r="U424" s="124"/>
      <c r="V424" s="127"/>
      <c r="W424" s="20"/>
      <c r="X424" s="20"/>
      <c r="Y424" s="20"/>
      <c r="Z424" s="20"/>
      <c r="AA424" s="20"/>
      <c r="AB424" s="20"/>
      <c r="AC424" s="20"/>
      <c r="AD424" s="20"/>
      <c r="AE424" s="20"/>
    </row>
    <row r="425" spans="1:31" ht="19.5">
      <c r="A425" s="20"/>
      <c r="B425" s="20"/>
      <c r="C425" s="20"/>
      <c r="D425" s="20"/>
      <c r="E425" s="20"/>
      <c r="F425" s="20"/>
      <c r="G425" s="124"/>
      <c r="H425" s="20"/>
      <c r="I425" s="20"/>
      <c r="J425" s="20"/>
      <c r="K425" s="124"/>
      <c r="L425" s="127"/>
      <c r="M425" s="20"/>
      <c r="N425" s="20"/>
      <c r="O425" s="20"/>
      <c r="P425" s="124"/>
      <c r="Q425" s="127"/>
      <c r="R425" s="20"/>
      <c r="S425" s="20"/>
      <c r="T425" s="20"/>
      <c r="U425" s="124"/>
      <c r="V425" s="127"/>
      <c r="W425" s="20"/>
      <c r="X425" s="20"/>
      <c r="Y425" s="20"/>
      <c r="Z425" s="20"/>
      <c r="AA425" s="20"/>
      <c r="AB425" s="20"/>
      <c r="AC425" s="20"/>
      <c r="AD425" s="20"/>
      <c r="AE425" s="20"/>
    </row>
    <row r="426" spans="1:31" ht="19.5">
      <c r="A426" s="20"/>
      <c r="B426" s="20"/>
      <c r="C426" s="20"/>
      <c r="D426" s="20"/>
      <c r="E426" s="20"/>
      <c r="F426" s="20"/>
      <c r="G426" s="124"/>
      <c r="H426" s="20"/>
      <c r="I426" s="20"/>
      <c r="J426" s="20"/>
      <c r="K426" s="124"/>
      <c r="L426" s="127"/>
      <c r="M426" s="20"/>
      <c r="N426" s="20"/>
      <c r="O426" s="20"/>
      <c r="P426" s="124"/>
      <c r="Q426" s="127"/>
      <c r="R426" s="20"/>
      <c r="S426" s="20"/>
      <c r="T426" s="20"/>
      <c r="U426" s="124"/>
      <c r="V426" s="127"/>
      <c r="W426" s="20"/>
      <c r="X426" s="20"/>
      <c r="Y426" s="20"/>
      <c r="Z426" s="20"/>
      <c r="AA426" s="20"/>
      <c r="AB426" s="20"/>
      <c r="AC426" s="20"/>
      <c r="AD426" s="20"/>
      <c r="AE426" s="20"/>
    </row>
    <row r="427" spans="1:31" ht="19.5">
      <c r="A427" s="20"/>
      <c r="B427" s="20"/>
      <c r="C427" s="20"/>
      <c r="D427" s="20"/>
      <c r="E427" s="20"/>
      <c r="F427" s="20"/>
      <c r="G427" s="124"/>
      <c r="H427" s="20"/>
      <c r="I427" s="20"/>
      <c r="J427" s="20"/>
      <c r="K427" s="124"/>
      <c r="L427" s="127"/>
      <c r="M427" s="20"/>
      <c r="N427" s="20"/>
      <c r="O427" s="20"/>
      <c r="P427" s="124"/>
      <c r="Q427" s="127"/>
      <c r="R427" s="20"/>
      <c r="S427" s="20"/>
      <c r="T427" s="20"/>
      <c r="U427" s="124"/>
      <c r="V427" s="127"/>
      <c r="W427" s="20"/>
      <c r="X427" s="20"/>
      <c r="Y427" s="20"/>
      <c r="Z427" s="20"/>
      <c r="AA427" s="20"/>
      <c r="AB427" s="20"/>
      <c r="AC427" s="20"/>
      <c r="AD427" s="20"/>
      <c r="AE427" s="20"/>
    </row>
    <row r="428" spans="1:31" ht="19.5">
      <c r="A428" s="20"/>
      <c r="B428" s="20"/>
      <c r="C428" s="20"/>
      <c r="D428" s="20"/>
      <c r="E428" s="20"/>
      <c r="F428" s="20"/>
      <c r="G428" s="124"/>
      <c r="H428" s="20"/>
      <c r="I428" s="20"/>
      <c r="J428" s="20"/>
      <c r="K428" s="124"/>
      <c r="L428" s="127"/>
      <c r="M428" s="20"/>
      <c r="N428" s="20"/>
      <c r="O428" s="20"/>
      <c r="P428" s="124"/>
      <c r="Q428" s="127"/>
      <c r="R428" s="20"/>
      <c r="S428" s="20"/>
      <c r="T428" s="20"/>
      <c r="U428" s="124"/>
      <c r="V428" s="127"/>
      <c r="W428" s="20"/>
      <c r="X428" s="20"/>
      <c r="Y428" s="20"/>
      <c r="Z428" s="20"/>
      <c r="AA428" s="20"/>
      <c r="AB428" s="20"/>
      <c r="AC428" s="20"/>
      <c r="AD428" s="20"/>
      <c r="AE428" s="20"/>
    </row>
    <row r="429" spans="1:31" ht="19.5">
      <c r="A429" s="20"/>
      <c r="B429" s="20"/>
      <c r="C429" s="20"/>
      <c r="D429" s="20"/>
      <c r="E429" s="20"/>
      <c r="F429" s="20"/>
      <c r="G429" s="124"/>
      <c r="H429" s="20"/>
      <c r="I429" s="20"/>
      <c r="J429" s="20"/>
      <c r="K429" s="124"/>
      <c r="L429" s="127"/>
      <c r="M429" s="20"/>
      <c r="N429" s="20"/>
      <c r="O429" s="20"/>
      <c r="P429" s="124"/>
      <c r="Q429" s="127"/>
      <c r="R429" s="20"/>
      <c r="S429" s="20"/>
      <c r="T429" s="20"/>
      <c r="U429" s="124"/>
      <c r="V429" s="127"/>
      <c r="W429" s="20"/>
      <c r="X429" s="20"/>
      <c r="Y429" s="20"/>
      <c r="Z429" s="20"/>
      <c r="AA429" s="20"/>
      <c r="AB429" s="20"/>
      <c r="AC429" s="20"/>
      <c r="AD429" s="20"/>
      <c r="AE429" s="20"/>
    </row>
    <row r="430" spans="1:31" ht="19.5">
      <c r="A430" s="20"/>
      <c r="B430" s="20"/>
      <c r="C430" s="20"/>
      <c r="D430" s="20"/>
      <c r="E430" s="20"/>
      <c r="F430" s="20"/>
      <c r="G430" s="124"/>
      <c r="H430" s="20"/>
      <c r="I430" s="20"/>
      <c r="J430" s="20"/>
      <c r="K430" s="124"/>
      <c r="L430" s="127"/>
      <c r="M430" s="20"/>
      <c r="N430" s="20"/>
      <c r="O430" s="20"/>
      <c r="P430" s="124"/>
      <c r="Q430" s="127"/>
      <c r="R430" s="20"/>
      <c r="S430" s="20"/>
      <c r="T430" s="20"/>
      <c r="U430" s="124"/>
      <c r="V430" s="127"/>
      <c r="W430" s="20"/>
      <c r="X430" s="20"/>
      <c r="Y430" s="20"/>
      <c r="Z430" s="20"/>
      <c r="AA430" s="20"/>
      <c r="AB430" s="20"/>
      <c r="AC430" s="20"/>
      <c r="AD430" s="20"/>
      <c r="AE430" s="20"/>
    </row>
    <row r="431" spans="1:31" ht="19.5">
      <c r="A431" s="20"/>
      <c r="B431" s="20"/>
      <c r="C431" s="20"/>
      <c r="D431" s="20"/>
      <c r="E431" s="20"/>
      <c r="F431" s="20"/>
      <c r="G431" s="124"/>
      <c r="H431" s="20"/>
      <c r="I431" s="20"/>
      <c r="J431" s="20"/>
      <c r="K431" s="124"/>
      <c r="L431" s="127"/>
      <c r="M431" s="20"/>
      <c r="N431" s="20"/>
      <c r="O431" s="20"/>
      <c r="P431" s="124"/>
      <c r="Q431" s="127"/>
      <c r="R431" s="20"/>
      <c r="S431" s="20"/>
      <c r="T431" s="20"/>
      <c r="U431" s="124"/>
      <c r="V431" s="127"/>
      <c r="W431" s="20"/>
      <c r="X431" s="20"/>
      <c r="Y431" s="20"/>
      <c r="Z431" s="20"/>
      <c r="AA431" s="20"/>
      <c r="AB431" s="20"/>
      <c r="AC431" s="20"/>
      <c r="AD431" s="20"/>
      <c r="AE431" s="20"/>
    </row>
    <row r="432" spans="1:31" ht="19.5">
      <c r="A432" s="20"/>
      <c r="B432" s="20"/>
      <c r="C432" s="20"/>
      <c r="D432" s="20"/>
      <c r="E432" s="20"/>
      <c r="F432" s="20"/>
      <c r="G432" s="124"/>
      <c r="H432" s="20"/>
      <c r="I432" s="20"/>
      <c r="J432" s="20"/>
      <c r="K432" s="124"/>
      <c r="L432" s="127"/>
      <c r="M432" s="20"/>
      <c r="N432" s="20"/>
      <c r="O432" s="20"/>
      <c r="P432" s="124"/>
      <c r="Q432" s="127"/>
      <c r="R432" s="20"/>
      <c r="S432" s="20"/>
      <c r="T432" s="20"/>
      <c r="U432" s="124"/>
      <c r="V432" s="127"/>
      <c r="W432" s="20"/>
      <c r="X432" s="20"/>
      <c r="Y432" s="20"/>
      <c r="Z432" s="20"/>
      <c r="AA432" s="20"/>
      <c r="AB432" s="20"/>
      <c r="AC432" s="20"/>
      <c r="AD432" s="20"/>
      <c r="AE432" s="20"/>
    </row>
    <row r="433" spans="1:31" ht="19.5">
      <c r="A433" s="20"/>
      <c r="B433" s="20"/>
      <c r="C433" s="20"/>
      <c r="D433" s="20"/>
      <c r="E433" s="20"/>
      <c r="F433" s="20"/>
      <c r="G433" s="124"/>
      <c r="H433" s="20"/>
      <c r="I433" s="20"/>
      <c r="J433" s="20"/>
      <c r="K433" s="124"/>
      <c r="L433" s="127"/>
      <c r="M433" s="20"/>
      <c r="N433" s="20"/>
      <c r="O433" s="20"/>
      <c r="P433" s="124"/>
      <c r="Q433" s="127"/>
      <c r="R433" s="20"/>
      <c r="S433" s="20"/>
      <c r="T433" s="20"/>
      <c r="U433" s="124"/>
      <c r="V433" s="127"/>
      <c r="W433" s="20"/>
      <c r="X433" s="20"/>
      <c r="Y433" s="20"/>
      <c r="Z433" s="20"/>
      <c r="AA433" s="20"/>
      <c r="AB433" s="20"/>
      <c r="AC433" s="20"/>
      <c r="AD433" s="20"/>
      <c r="AE433" s="20"/>
    </row>
    <row r="434" spans="1:31" ht="19.5">
      <c r="A434" s="20"/>
      <c r="B434" s="20"/>
      <c r="C434" s="20"/>
      <c r="D434" s="20"/>
      <c r="E434" s="20"/>
      <c r="F434" s="20"/>
      <c r="G434" s="124"/>
      <c r="H434" s="20"/>
      <c r="I434" s="20"/>
      <c r="J434" s="20"/>
      <c r="K434" s="124"/>
      <c r="L434" s="127"/>
      <c r="M434" s="20"/>
      <c r="N434" s="20"/>
      <c r="O434" s="20"/>
      <c r="P434" s="124"/>
      <c r="Q434" s="127"/>
      <c r="R434" s="20"/>
      <c r="S434" s="20"/>
      <c r="T434" s="20"/>
      <c r="U434" s="124"/>
      <c r="V434" s="127"/>
      <c r="W434" s="20"/>
      <c r="X434" s="20"/>
      <c r="Y434" s="20"/>
      <c r="Z434" s="20"/>
      <c r="AA434" s="20"/>
      <c r="AB434" s="20"/>
      <c r="AC434" s="20"/>
      <c r="AD434" s="20"/>
      <c r="AE434" s="20"/>
    </row>
    <row r="435" spans="1:31" ht="19.5">
      <c r="A435" s="20"/>
      <c r="B435" s="20"/>
      <c r="C435" s="20"/>
      <c r="D435" s="20"/>
      <c r="E435" s="20"/>
      <c r="F435" s="20"/>
      <c r="G435" s="124"/>
      <c r="H435" s="20"/>
      <c r="I435" s="20"/>
      <c r="J435" s="20"/>
      <c r="K435" s="124"/>
      <c r="L435" s="127"/>
      <c r="M435" s="20"/>
      <c r="N435" s="20"/>
      <c r="O435" s="20"/>
      <c r="P435" s="124"/>
      <c r="Q435" s="127"/>
      <c r="R435" s="20"/>
      <c r="S435" s="20"/>
      <c r="T435" s="20"/>
      <c r="U435" s="124"/>
      <c r="V435" s="127"/>
      <c r="W435" s="20"/>
      <c r="X435" s="20"/>
      <c r="Y435" s="20"/>
      <c r="Z435" s="20"/>
      <c r="AA435" s="20"/>
      <c r="AB435" s="20"/>
      <c r="AC435" s="20"/>
      <c r="AD435" s="20"/>
      <c r="AE435" s="20"/>
    </row>
    <row r="436" spans="1:31" ht="19.5">
      <c r="A436" s="20"/>
      <c r="B436" s="20"/>
      <c r="C436" s="20"/>
      <c r="D436" s="20"/>
      <c r="E436" s="20"/>
      <c r="F436" s="20"/>
      <c r="G436" s="124"/>
      <c r="H436" s="20"/>
      <c r="I436" s="20"/>
      <c r="J436" s="20"/>
      <c r="K436" s="124"/>
      <c r="L436" s="127"/>
      <c r="M436" s="20"/>
      <c r="N436" s="20"/>
      <c r="O436" s="20"/>
      <c r="P436" s="124"/>
      <c r="Q436" s="127"/>
      <c r="R436" s="20"/>
      <c r="S436" s="20"/>
      <c r="T436" s="20"/>
      <c r="U436" s="124"/>
      <c r="V436" s="127"/>
      <c r="W436" s="20"/>
      <c r="X436" s="20"/>
      <c r="Y436" s="20"/>
      <c r="Z436" s="20"/>
      <c r="AA436" s="20"/>
      <c r="AB436" s="20"/>
      <c r="AC436" s="20"/>
      <c r="AD436" s="20"/>
      <c r="AE436" s="20"/>
    </row>
    <row r="437" spans="1:31" ht="19.5">
      <c r="A437" s="20"/>
      <c r="B437" s="20"/>
      <c r="C437" s="20"/>
      <c r="D437" s="20"/>
      <c r="E437" s="20"/>
      <c r="F437" s="20"/>
      <c r="G437" s="124"/>
      <c r="H437" s="20"/>
      <c r="I437" s="20"/>
      <c r="J437" s="20"/>
      <c r="K437" s="124"/>
      <c r="L437" s="127"/>
      <c r="M437" s="20"/>
      <c r="N437" s="20"/>
      <c r="O437" s="20"/>
      <c r="P437" s="124"/>
      <c r="Q437" s="127"/>
      <c r="R437" s="20"/>
      <c r="S437" s="20"/>
      <c r="T437" s="20"/>
      <c r="U437" s="124"/>
      <c r="V437" s="127"/>
      <c r="W437" s="20"/>
      <c r="X437" s="20"/>
      <c r="Y437" s="20"/>
      <c r="Z437" s="20"/>
      <c r="AA437" s="20"/>
      <c r="AB437" s="20"/>
      <c r="AC437" s="20"/>
      <c r="AD437" s="20"/>
      <c r="AE437" s="20"/>
    </row>
    <row r="438" spans="1:31" ht="19.5">
      <c r="A438" s="20"/>
      <c r="B438" s="20"/>
      <c r="C438" s="20"/>
      <c r="D438" s="20"/>
      <c r="E438" s="20"/>
      <c r="F438" s="20"/>
      <c r="G438" s="124"/>
      <c r="H438" s="20"/>
      <c r="I438" s="20"/>
      <c r="J438" s="20"/>
      <c r="K438" s="124"/>
      <c r="L438" s="127"/>
      <c r="M438" s="20"/>
      <c r="N438" s="20"/>
      <c r="O438" s="20"/>
      <c r="P438" s="124"/>
      <c r="Q438" s="127"/>
      <c r="R438" s="20"/>
      <c r="S438" s="20"/>
      <c r="T438" s="20"/>
      <c r="U438" s="124"/>
      <c r="V438" s="127"/>
      <c r="W438" s="20"/>
      <c r="X438" s="20"/>
      <c r="Y438" s="20"/>
      <c r="Z438" s="20"/>
      <c r="AA438" s="20"/>
      <c r="AB438" s="20"/>
      <c r="AC438" s="20"/>
      <c r="AD438" s="20"/>
      <c r="AE438" s="20"/>
    </row>
    <row r="439" spans="1:31" ht="19.5">
      <c r="A439" s="20"/>
      <c r="B439" s="20"/>
      <c r="C439" s="20"/>
      <c r="D439" s="20"/>
      <c r="E439" s="20"/>
      <c r="F439" s="20"/>
      <c r="G439" s="124"/>
      <c r="H439" s="20"/>
      <c r="I439" s="20"/>
      <c r="J439" s="20"/>
      <c r="K439" s="124"/>
      <c r="L439" s="127"/>
      <c r="M439" s="20"/>
      <c r="N439" s="20"/>
      <c r="O439" s="20"/>
      <c r="P439" s="124"/>
      <c r="Q439" s="127"/>
      <c r="R439" s="20"/>
      <c r="S439" s="20"/>
      <c r="T439" s="20"/>
      <c r="U439" s="124"/>
      <c r="V439" s="127"/>
      <c r="W439" s="20"/>
      <c r="X439" s="20"/>
      <c r="Y439" s="20"/>
      <c r="Z439" s="20"/>
      <c r="AA439" s="20"/>
      <c r="AB439" s="20"/>
      <c r="AC439" s="20"/>
      <c r="AD439" s="20"/>
      <c r="AE439" s="20"/>
    </row>
    <row r="440" spans="1:31" ht="19.5">
      <c r="A440" s="20"/>
      <c r="B440" s="20"/>
      <c r="C440" s="20"/>
      <c r="D440" s="20"/>
      <c r="E440" s="20"/>
      <c r="F440" s="20"/>
      <c r="G440" s="124"/>
      <c r="H440" s="20"/>
      <c r="I440" s="20"/>
      <c r="J440" s="20"/>
      <c r="K440" s="124"/>
      <c r="L440" s="127"/>
      <c r="M440" s="20"/>
      <c r="N440" s="20"/>
      <c r="O440" s="20"/>
      <c r="P440" s="124"/>
      <c r="Q440" s="127"/>
      <c r="R440" s="20"/>
      <c r="S440" s="20"/>
      <c r="T440" s="20"/>
      <c r="U440" s="124"/>
      <c r="V440" s="127"/>
      <c r="W440" s="20"/>
      <c r="X440" s="20"/>
      <c r="Y440" s="20"/>
      <c r="Z440" s="20"/>
      <c r="AA440" s="20"/>
      <c r="AB440" s="20"/>
      <c r="AC440" s="20"/>
      <c r="AD440" s="20"/>
      <c r="AE440" s="20"/>
    </row>
    <row r="441" spans="1:31" ht="19.5">
      <c r="A441" s="20"/>
      <c r="B441" s="20"/>
      <c r="C441" s="20"/>
      <c r="D441" s="20"/>
      <c r="E441" s="20"/>
      <c r="F441" s="20"/>
      <c r="G441" s="124"/>
      <c r="H441" s="20"/>
      <c r="I441" s="20"/>
      <c r="J441" s="20"/>
      <c r="K441" s="124"/>
      <c r="L441" s="127"/>
      <c r="M441" s="20"/>
      <c r="N441" s="20"/>
      <c r="O441" s="20"/>
      <c r="P441" s="124"/>
      <c r="Q441" s="127"/>
      <c r="R441" s="20"/>
      <c r="S441" s="20"/>
      <c r="T441" s="20"/>
      <c r="U441" s="124"/>
      <c r="V441" s="127"/>
      <c r="W441" s="20"/>
      <c r="X441" s="20"/>
      <c r="Y441" s="20"/>
      <c r="Z441" s="20"/>
      <c r="AA441" s="20"/>
      <c r="AB441" s="20"/>
      <c r="AC441" s="20"/>
      <c r="AD441" s="20"/>
      <c r="AE441" s="20"/>
    </row>
    <row r="442" spans="1:31" ht="19.5">
      <c r="A442" s="20"/>
      <c r="B442" s="20"/>
      <c r="C442" s="20"/>
      <c r="D442" s="20"/>
      <c r="E442" s="20"/>
      <c r="F442" s="20"/>
      <c r="G442" s="124"/>
      <c r="H442" s="20"/>
      <c r="I442" s="20"/>
      <c r="J442" s="20"/>
      <c r="K442" s="124"/>
      <c r="L442" s="127"/>
      <c r="M442" s="20"/>
      <c r="N442" s="20"/>
      <c r="O442" s="20"/>
      <c r="P442" s="124"/>
      <c r="Q442" s="127"/>
      <c r="R442" s="20"/>
      <c r="S442" s="20"/>
      <c r="T442" s="20"/>
      <c r="U442" s="124"/>
      <c r="V442" s="127"/>
      <c r="W442" s="20"/>
      <c r="X442" s="20"/>
      <c r="Y442" s="20"/>
      <c r="Z442" s="20"/>
      <c r="AA442" s="20"/>
      <c r="AB442" s="20"/>
      <c r="AC442" s="20"/>
      <c r="AD442" s="20"/>
      <c r="AE442" s="20"/>
    </row>
    <row r="443" spans="1:31" ht="19.5">
      <c r="A443" s="20"/>
      <c r="B443" s="20"/>
      <c r="C443" s="20"/>
      <c r="D443" s="20"/>
      <c r="E443" s="20"/>
      <c r="F443" s="20"/>
      <c r="G443" s="124"/>
      <c r="H443" s="20"/>
      <c r="I443" s="20"/>
      <c r="J443" s="20"/>
      <c r="K443" s="124"/>
      <c r="L443" s="127"/>
      <c r="M443" s="20"/>
      <c r="N443" s="20"/>
      <c r="O443" s="20"/>
      <c r="P443" s="124"/>
      <c r="Q443" s="127"/>
      <c r="R443" s="20"/>
      <c r="S443" s="20"/>
      <c r="T443" s="20"/>
      <c r="U443" s="124"/>
      <c r="V443" s="127"/>
      <c r="W443" s="20"/>
      <c r="X443" s="20"/>
      <c r="Y443" s="20"/>
      <c r="Z443" s="20"/>
      <c r="AA443" s="20"/>
      <c r="AB443" s="20"/>
      <c r="AC443" s="20"/>
      <c r="AD443" s="20"/>
      <c r="AE443" s="20"/>
    </row>
    <row r="444" spans="1:31" ht="19.5">
      <c r="A444" s="20"/>
      <c r="B444" s="20"/>
      <c r="C444" s="20"/>
      <c r="D444" s="20"/>
      <c r="E444" s="20"/>
      <c r="F444" s="20"/>
      <c r="G444" s="124"/>
      <c r="H444" s="20"/>
      <c r="I444" s="20"/>
      <c r="J444" s="20"/>
      <c r="K444" s="124"/>
      <c r="L444" s="127"/>
      <c r="M444" s="20"/>
      <c r="N444" s="20"/>
      <c r="O444" s="20"/>
      <c r="P444" s="124"/>
      <c r="Q444" s="127"/>
      <c r="R444" s="20"/>
      <c r="S444" s="20"/>
      <c r="T444" s="20"/>
      <c r="U444" s="124"/>
      <c r="V444" s="127"/>
      <c r="W444" s="20"/>
      <c r="X444" s="20"/>
      <c r="Y444" s="20"/>
      <c r="Z444" s="20"/>
      <c r="AA444" s="20"/>
      <c r="AB444" s="20"/>
      <c r="AC444" s="20"/>
      <c r="AD444" s="20"/>
      <c r="AE444" s="20"/>
    </row>
    <row r="445" spans="1:31" ht="19.5">
      <c r="A445" s="20"/>
      <c r="B445" s="20"/>
      <c r="C445" s="20"/>
      <c r="D445" s="20"/>
      <c r="E445" s="20"/>
      <c r="F445" s="20"/>
      <c r="G445" s="124"/>
      <c r="H445" s="20"/>
      <c r="I445" s="20"/>
      <c r="J445" s="20"/>
      <c r="K445" s="124"/>
      <c r="L445" s="127"/>
      <c r="M445" s="20"/>
      <c r="N445" s="20"/>
      <c r="O445" s="20"/>
      <c r="P445" s="124"/>
      <c r="Q445" s="127"/>
      <c r="R445" s="20"/>
      <c r="S445" s="20"/>
      <c r="T445" s="20"/>
      <c r="U445" s="124"/>
      <c r="V445" s="127"/>
      <c r="W445" s="20"/>
      <c r="X445" s="20"/>
      <c r="Y445" s="20"/>
      <c r="Z445" s="20"/>
      <c r="AA445" s="20"/>
      <c r="AB445" s="20"/>
      <c r="AC445" s="20"/>
      <c r="AD445" s="20"/>
      <c r="AE445" s="20"/>
    </row>
    <row r="446" spans="1:31" ht="19.5">
      <c r="A446" s="20"/>
      <c r="B446" s="20"/>
      <c r="C446" s="20"/>
      <c r="D446" s="20"/>
      <c r="E446" s="20"/>
      <c r="F446" s="20"/>
      <c r="G446" s="124"/>
      <c r="H446" s="20"/>
      <c r="I446" s="20"/>
      <c r="J446" s="20"/>
      <c r="K446" s="124"/>
      <c r="L446" s="127"/>
      <c r="M446" s="20"/>
      <c r="N446" s="20"/>
      <c r="O446" s="20"/>
      <c r="P446" s="124"/>
      <c r="Q446" s="127"/>
      <c r="R446" s="20"/>
      <c r="S446" s="20"/>
      <c r="T446" s="20"/>
      <c r="U446" s="124"/>
      <c r="V446" s="127"/>
      <c r="W446" s="20"/>
      <c r="X446" s="20"/>
      <c r="Y446" s="20"/>
      <c r="Z446" s="20"/>
      <c r="AA446" s="20"/>
      <c r="AB446" s="20"/>
      <c r="AC446" s="20"/>
      <c r="AD446" s="20"/>
      <c r="AE446" s="20"/>
    </row>
    <row r="447" spans="1:31" ht="19.5">
      <c r="A447" s="20"/>
      <c r="B447" s="20"/>
      <c r="C447" s="20"/>
      <c r="D447" s="20"/>
      <c r="E447" s="20"/>
      <c r="F447" s="20"/>
      <c r="G447" s="124"/>
      <c r="H447" s="20"/>
      <c r="I447" s="20"/>
      <c r="J447" s="20"/>
      <c r="K447" s="124"/>
      <c r="L447" s="127"/>
      <c r="M447" s="20"/>
      <c r="N447" s="20"/>
      <c r="O447" s="20"/>
      <c r="P447" s="124"/>
      <c r="Q447" s="127"/>
      <c r="R447" s="20"/>
      <c r="S447" s="20"/>
      <c r="T447" s="20"/>
      <c r="U447" s="124"/>
      <c r="V447" s="127"/>
      <c r="W447" s="20"/>
      <c r="X447" s="20"/>
      <c r="Y447" s="20"/>
      <c r="Z447" s="20"/>
      <c r="AA447" s="20"/>
      <c r="AB447" s="20"/>
      <c r="AC447" s="20"/>
      <c r="AD447" s="20"/>
      <c r="AE447" s="20"/>
    </row>
    <row r="448" spans="1:31" ht="19.5">
      <c r="A448" s="20"/>
      <c r="B448" s="20"/>
      <c r="C448" s="20"/>
      <c r="D448" s="20"/>
      <c r="E448" s="20"/>
      <c r="F448" s="20"/>
      <c r="G448" s="124"/>
      <c r="H448" s="20"/>
      <c r="I448" s="20"/>
      <c r="J448" s="20"/>
      <c r="K448" s="124"/>
      <c r="L448" s="127"/>
      <c r="M448" s="20"/>
      <c r="N448" s="20"/>
      <c r="O448" s="20"/>
      <c r="P448" s="124"/>
      <c r="Q448" s="127"/>
      <c r="R448" s="20"/>
      <c r="S448" s="20"/>
      <c r="T448" s="20"/>
      <c r="U448" s="124"/>
      <c r="V448" s="127"/>
      <c r="W448" s="20"/>
      <c r="X448" s="20"/>
      <c r="Y448" s="20"/>
      <c r="Z448" s="20"/>
      <c r="AA448" s="20"/>
      <c r="AB448" s="20"/>
      <c r="AC448" s="20"/>
      <c r="AD448" s="20"/>
      <c r="AE448" s="20"/>
    </row>
    <row r="449" spans="1:31" ht="19.5">
      <c r="A449" s="20"/>
      <c r="B449" s="20"/>
      <c r="C449" s="20"/>
      <c r="D449" s="20"/>
      <c r="E449" s="20"/>
      <c r="F449" s="20"/>
      <c r="G449" s="124"/>
      <c r="H449" s="20"/>
      <c r="I449" s="20"/>
      <c r="J449" s="20"/>
      <c r="K449" s="124"/>
      <c r="L449" s="127"/>
      <c r="M449" s="20"/>
      <c r="N449" s="20"/>
      <c r="O449" s="20"/>
      <c r="P449" s="124"/>
      <c r="Q449" s="127"/>
      <c r="R449" s="20"/>
      <c r="S449" s="20"/>
      <c r="T449" s="20"/>
      <c r="U449" s="124"/>
      <c r="V449" s="127"/>
      <c r="W449" s="20"/>
      <c r="X449" s="20"/>
      <c r="Y449" s="20"/>
      <c r="Z449" s="20"/>
      <c r="AA449" s="20"/>
      <c r="AB449" s="20"/>
      <c r="AC449" s="20"/>
      <c r="AD449" s="20"/>
      <c r="AE449" s="20"/>
    </row>
    <row r="450" spans="1:31" ht="19.5">
      <c r="A450" s="20"/>
      <c r="B450" s="20"/>
      <c r="C450" s="20"/>
      <c r="D450" s="20"/>
      <c r="E450" s="20"/>
      <c r="F450" s="20"/>
      <c r="G450" s="124"/>
      <c r="H450" s="20"/>
      <c r="I450" s="20"/>
      <c r="J450" s="20"/>
      <c r="K450" s="124"/>
      <c r="L450" s="127"/>
      <c r="M450" s="20"/>
      <c r="N450" s="20"/>
      <c r="O450" s="20"/>
      <c r="P450" s="124"/>
      <c r="Q450" s="127"/>
      <c r="R450" s="20"/>
      <c r="S450" s="20"/>
      <c r="T450" s="20"/>
      <c r="U450" s="124"/>
      <c r="V450" s="127"/>
      <c r="W450" s="20"/>
      <c r="X450" s="20"/>
      <c r="Y450" s="20"/>
      <c r="Z450" s="20"/>
      <c r="AA450" s="20"/>
      <c r="AB450" s="20"/>
      <c r="AC450" s="20"/>
      <c r="AD450" s="20"/>
      <c r="AE450" s="20"/>
    </row>
    <row r="451" spans="1:31" ht="19.5">
      <c r="A451" s="20"/>
      <c r="B451" s="20"/>
      <c r="C451" s="20"/>
      <c r="D451" s="20"/>
      <c r="E451" s="20"/>
      <c r="F451" s="20"/>
      <c r="G451" s="124"/>
      <c r="H451" s="20"/>
      <c r="I451" s="20"/>
      <c r="J451" s="20"/>
      <c r="K451" s="124"/>
      <c r="L451" s="127"/>
      <c r="M451" s="20"/>
      <c r="N451" s="20"/>
      <c r="O451" s="20"/>
      <c r="P451" s="124"/>
      <c r="Q451" s="127"/>
      <c r="R451" s="20"/>
      <c r="S451" s="20"/>
      <c r="T451" s="20"/>
      <c r="U451" s="124"/>
      <c r="V451" s="127"/>
      <c r="W451" s="20"/>
      <c r="X451" s="20"/>
      <c r="Y451" s="20"/>
      <c r="Z451" s="20"/>
      <c r="AA451" s="20"/>
      <c r="AB451" s="20"/>
      <c r="AC451" s="20"/>
      <c r="AD451" s="20"/>
      <c r="AE451" s="20"/>
    </row>
    <row r="452" spans="1:31" ht="19.5">
      <c r="A452" s="20"/>
      <c r="B452" s="20"/>
      <c r="C452" s="20"/>
      <c r="D452" s="20"/>
      <c r="E452" s="20"/>
      <c r="F452" s="20"/>
      <c r="G452" s="124"/>
      <c r="H452" s="20"/>
      <c r="I452" s="20"/>
      <c r="J452" s="20"/>
      <c r="K452" s="124"/>
      <c r="L452" s="127"/>
      <c r="M452" s="20"/>
      <c r="N452" s="20"/>
      <c r="O452" s="20"/>
      <c r="P452" s="124"/>
      <c r="Q452" s="127"/>
      <c r="R452" s="20"/>
      <c r="S452" s="20"/>
      <c r="T452" s="20"/>
      <c r="U452" s="124"/>
      <c r="V452" s="127"/>
      <c r="W452" s="20"/>
      <c r="X452" s="20"/>
      <c r="Y452" s="20"/>
      <c r="Z452" s="20"/>
      <c r="AA452" s="20"/>
      <c r="AB452" s="20"/>
      <c r="AC452" s="20"/>
      <c r="AD452" s="20"/>
      <c r="AE452" s="20"/>
    </row>
    <row r="453" spans="1:31" ht="19.5">
      <c r="A453" s="20"/>
      <c r="B453" s="20"/>
      <c r="C453" s="20"/>
      <c r="D453" s="20"/>
      <c r="E453" s="20"/>
      <c r="F453" s="20"/>
      <c r="G453" s="124"/>
      <c r="H453" s="20"/>
      <c r="I453" s="20"/>
      <c r="J453" s="20"/>
      <c r="K453" s="124"/>
      <c r="L453" s="127"/>
      <c r="M453" s="20"/>
      <c r="N453" s="20"/>
      <c r="O453" s="20"/>
      <c r="P453" s="124"/>
      <c r="Q453" s="127"/>
      <c r="R453" s="20"/>
      <c r="S453" s="20"/>
      <c r="T453" s="20"/>
      <c r="U453" s="124"/>
      <c r="V453" s="127"/>
      <c r="W453" s="20"/>
      <c r="X453" s="20"/>
      <c r="Y453" s="20"/>
      <c r="Z453" s="20"/>
      <c r="AA453" s="20"/>
      <c r="AB453" s="20"/>
      <c r="AC453" s="20"/>
      <c r="AD453" s="20"/>
      <c r="AE453" s="20"/>
    </row>
    <row r="454" spans="1:31" ht="19.5">
      <c r="A454" s="20"/>
      <c r="B454" s="20"/>
      <c r="C454" s="20"/>
      <c r="D454" s="20"/>
      <c r="E454" s="20"/>
      <c r="F454" s="20"/>
      <c r="G454" s="124"/>
      <c r="H454" s="20"/>
      <c r="I454" s="20"/>
      <c r="J454" s="20"/>
      <c r="K454" s="124"/>
      <c r="L454" s="127"/>
      <c r="M454" s="20"/>
      <c r="N454" s="20"/>
      <c r="O454" s="20"/>
      <c r="P454" s="124"/>
      <c r="Q454" s="127"/>
      <c r="R454" s="20"/>
      <c r="S454" s="20"/>
      <c r="T454" s="20"/>
      <c r="U454" s="124"/>
      <c r="V454" s="127"/>
      <c r="W454" s="20"/>
      <c r="X454" s="20"/>
      <c r="Y454" s="20"/>
      <c r="Z454" s="20"/>
      <c r="AA454" s="20"/>
      <c r="AB454" s="20"/>
      <c r="AC454" s="20"/>
      <c r="AD454" s="20"/>
      <c r="AE454" s="20"/>
    </row>
    <row r="455" spans="1:31" ht="19.5">
      <c r="A455" s="20"/>
      <c r="B455" s="20"/>
      <c r="C455" s="20"/>
      <c r="D455" s="20"/>
      <c r="E455" s="20"/>
      <c r="F455" s="20"/>
      <c r="G455" s="124"/>
      <c r="H455" s="20"/>
      <c r="I455" s="20"/>
      <c r="J455" s="20"/>
      <c r="K455" s="124"/>
      <c r="L455" s="127"/>
      <c r="M455" s="20"/>
      <c r="N455" s="20"/>
      <c r="O455" s="20"/>
      <c r="P455" s="124"/>
      <c r="Q455" s="127"/>
      <c r="R455" s="20"/>
      <c r="S455" s="20"/>
      <c r="T455" s="20"/>
      <c r="U455" s="124"/>
      <c r="V455" s="127"/>
      <c r="W455" s="20"/>
      <c r="X455" s="20"/>
      <c r="Y455" s="20"/>
      <c r="Z455" s="20"/>
      <c r="AA455" s="20"/>
      <c r="AB455" s="20"/>
      <c r="AC455" s="20"/>
      <c r="AD455" s="20"/>
      <c r="AE455" s="20"/>
    </row>
    <row r="456" spans="1:31" ht="19.5">
      <c r="A456" s="20"/>
      <c r="B456" s="20"/>
      <c r="C456" s="20"/>
      <c r="D456" s="20"/>
      <c r="E456" s="20"/>
      <c r="F456" s="20"/>
      <c r="G456" s="124"/>
      <c r="H456" s="20"/>
      <c r="I456" s="20"/>
      <c r="J456" s="20"/>
      <c r="K456" s="124"/>
      <c r="L456" s="127"/>
      <c r="M456" s="20"/>
      <c r="N456" s="20"/>
      <c r="O456" s="20"/>
      <c r="P456" s="124"/>
      <c r="Q456" s="127"/>
      <c r="R456" s="20"/>
      <c r="S456" s="20"/>
      <c r="T456" s="20"/>
      <c r="U456" s="124"/>
      <c r="V456" s="127"/>
      <c r="W456" s="20"/>
      <c r="X456" s="20"/>
      <c r="Y456" s="20"/>
      <c r="Z456" s="20"/>
      <c r="AA456" s="20"/>
      <c r="AB456" s="20"/>
      <c r="AC456" s="20"/>
      <c r="AD456" s="20"/>
      <c r="AE456" s="20"/>
    </row>
    <row r="457" spans="1:31" ht="19.5">
      <c r="A457" s="20"/>
      <c r="B457" s="20"/>
      <c r="C457" s="20"/>
      <c r="D457" s="20"/>
      <c r="E457" s="20"/>
      <c r="F457" s="20"/>
      <c r="G457" s="124"/>
      <c r="H457" s="20"/>
      <c r="I457" s="20"/>
      <c r="J457" s="20"/>
      <c r="K457" s="124"/>
      <c r="L457" s="127"/>
      <c r="M457" s="20"/>
      <c r="N457" s="20"/>
      <c r="O457" s="20"/>
      <c r="P457" s="124"/>
      <c r="Q457" s="127"/>
      <c r="R457" s="20"/>
      <c r="S457" s="20"/>
      <c r="T457" s="20"/>
      <c r="U457" s="124"/>
      <c r="V457" s="127"/>
      <c r="W457" s="20"/>
      <c r="X457" s="20"/>
      <c r="Y457" s="20"/>
      <c r="Z457" s="20"/>
      <c r="AA457" s="20"/>
      <c r="AB457" s="20"/>
      <c r="AC457" s="20"/>
      <c r="AD457" s="20"/>
      <c r="AE457" s="20"/>
    </row>
    <row r="458" spans="1:31" ht="19.5">
      <c r="A458" s="20"/>
      <c r="B458" s="20"/>
      <c r="C458" s="20"/>
      <c r="D458" s="20"/>
      <c r="E458" s="20"/>
      <c r="F458" s="20"/>
      <c r="G458" s="124"/>
      <c r="H458" s="20"/>
      <c r="I458" s="20"/>
      <c r="J458" s="20"/>
      <c r="K458" s="124"/>
      <c r="L458" s="127"/>
      <c r="M458" s="20"/>
      <c r="N458" s="20"/>
      <c r="O458" s="20"/>
      <c r="P458" s="124"/>
      <c r="Q458" s="127"/>
      <c r="R458" s="20"/>
      <c r="S458" s="20"/>
      <c r="T458" s="20"/>
      <c r="U458" s="124"/>
      <c r="V458" s="127"/>
      <c r="W458" s="20"/>
      <c r="X458" s="20"/>
      <c r="Y458" s="20"/>
      <c r="Z458" s="20"/>
      <c r="AA458" s="20"/>
      <c r="AB458" s="20"/>
      <c r="AC458" s="20"/>
      <c r="AD458" s="20"/>
      <c r="AE458" s="20"/>
    </row>
    <row r="459" spans="1:31" ht="19.5">
      <c r="A459" s="20"/>
      <c r="B459" s="20"/>
      <c r="C459" s="20"/>
      <c r="D459" s="20"/>
      <c r="E459" s="20"/>
      <c r="F459" s="20"/>
      <c r="G459" s="124"/>
      <c r="H459" s="20"/>
      <c r="I459" s="20"/>
      <c r="J459" s="20"/>
      <c r="K459" s="124"/>
      <c r="L459" s="127"/>
      <c r="M459" s="20"/>
      <c r="N459" s="20"/>
      <c r="O459" s="20"/>
      <c r="P459" s="124"/>
      <c r="Q459" s="127"/>
      <c r="R459" s="20"/>
      <c r="S459" s="20"/>
      <c r="T459" s="20"/>
      <c r="U459" s="124"/>
      <c r="V459" s="127"/>
      <c r="W459" s="20"/>
      <c r="X459" s="20"/>
      <c r="Y459" s="20"/>
      <c r="Z459" s="20"/>
      <c r="AA459" s="20"/>
      <c r="AB459" s="20"/>
      <c r="AC459" s="20"/>
      <c r="AD459" s="20"/>
      <c r="AE459" s="20"/>
    </row>
    <row r="460" spans="1:31" ht="19.5">
      <c r="A460" s="20"/>
      <c r="B460" s="20"/>
      <c r="C460" s="20"/>
      <c r="D460" s="20"/>
      <c r="E460" s="20"/>
      <c r="F460" s="20"/>
      <c r="G460" s="124"/>
      <c r="H460" s="20"/>
      <c r="I460" s="20"/>
      <c r="J460" s="20"/>
      <c r="K460" s="124"/>
      <c r="L460" s="127"/>
      <c r="M460" s="20"/>
      <c r="N460" s="20"/>
      <c r="O460" s="20"/>
      <c r="P460" s="124"/>
      <c r="Q460" s="127"/>
      <c r="R460" s="20"/>
      <c r="S460" s="20"/>
      <c r="T460" s="20"/>
      <c r="U460" s="124"/>
      <c r="V460" s="127"/>
      <c r="W460" s="20"/>
      <c r="X460" s="20"/>
      <c r="Y460" s="20"/>
      <c r="Z460" s="20"/>
      <c r="AA460" s="20"/>
      <c r="AB460" s="20"/>
      <c r="AC460" s="20"/>
      <c r="AD460" s="20"/>
      <c r="AE460" s="20"/>
    </row>
    <row r="461" spans="1:31" ht="19.5">
      <c r="A461" s="20"/>
      <c r="B461" s="20"/>
      <c r="C461" s="20"/>
      <c r="D461" s="20"/>
      <c r="E461" s="20"/>
      <c r="F461" s="20"/>
      <c r="G461" s="124"/>
      <c r="H461" s="20"/>
      <c r="I461" s="20"/>
      <c r="J461" s="20"/>
      <c r="K461" s="124"/>
      <c r="L461" s="127"/>
      <c r="M461" s="20"/>
      <c r="N461" s="20"/>
      <c r="O461" s="20"/>
      <c r="P461" s="124"/>
      <c r="Q461" s="127"/>
      <c r="R461" s="20"/>
      <c r="S461" s="20"/>
      <c r="T461" s="20"/>
      <c r="U461" s="124"/>
      <c r="V461" s="127"/>
      <c r="W461" s="20"/>
      <c r="X461" s="20"/>
      <c r="Y461" s="20"/>
      <c r="Z461" s="20"/>
      <c r="AA461" s="20"/>
      <c r="AB461" s="20"/>
      <c r="AC461" s="20"/>
      <c r="AD461" s="20"/>
      <c r="AE461" s="20"/>
    </row>
    <row r="462" spans="1:31" ht="19.5">
      <c r="A462" s="20"/>
      <c r="B462" s="20"/>
      <c r="C462" s="20"/>
      <c r="D462" s="20"/>
      <c r="E462" s="20"/>
      <c r="F462" s="20"/>
      <c r="G462" s="124"/>
      <c r="H462" s="20"/>
      <c r="I462" s="20"/>
      <c r="J462" s="20"/>
      <c r="K462" s="124"/>
      <c r="L462" s="127"/>
      <c r="M462" s="20"/>
      <c r="N462" s="20"/>
      <c r="O462" s="20"/>
      <c r="P462" s="124"/>
      <c r="Q462" s="127"/>
      <c r="R462" s="20"/>
      <c r="S462" s="20"/>
      <c r="T462" s="20"/>
      <c r="U462" s="124"/>
      <c r="V462" s="127"/>
      <c r="W462" s="20"/>
      <c r="X462" s="20"/>
      <c r="Y462" s="20"/>
      <c r="Z462" s="20"/>
      <c r="AA462" s="20"/>
      <c r="AB462" s="20"/>
      <c r="AC462" s="20"/>
      <c r="AD462" s="20"/>
      <c r="AE462" s="20"/>
    </row>
    <row r="463" spans="1:31" ht="19.5">
      <c r="A463" s="20"/>
      <c r="B463" s="20"/>
      <c r="C463" s="20"/>
      <c r="D463" s="20"/>
      <c r="E463" s="20"/>
      <c r="F463" s="20"/>
      <c r="G463" s="124"/>
      <c r="H463" s="20"/>
      <c r="I463" s="20"/>
      <c r="J463" s="20"/>
      <c r="K463" s="124"/>
      <c r="L463" s="127"/>
      <c r="M463" s="20"/>
      <c r="N463" s="20"/>
      <c r="O463" s="20"/>
      <c r="P463" s="124"/>
      <c r="Q463" s="127"/>
      <c r="R463" s="20"/>
      <c r="S463" s="20"/>
      <c r="T463" s="20"/>
      <c r="U463" s="124"/>
      <c r="V463" s="127"/>
      <c r="W463" s="20"/>
      <c r="X463" s="20"/>
      <c r="Y463" s="20"/>
      <c r="Z463" s="20"/>
      <c r="AA463" s="20"/>
      <c r="AB463" s="20"/>
      <c r="AC463" s="20"/>
      <c r="AD463" s="20"/>
      <c r="AE463" s="20"/>
    </row>
    <row r="464" spans="1:31" ht="19.5">
      <c r="A464" s="20"/>
      <c r="B464" s="20"/>
      <c r="C464" s="20"/>
      <c r="D464" s="20"/>
      <c r="E464" s="20"/>
      <c r="F464" s="20"/>
      <c r="G464" s="124"/>
      <c r="H464" s="20"/>
      <c r="I464" s="20"/>
      <c r="J464" s="20"/>
      <c r="K464" s="124"/>
      <c r="L464" s="127"/>
      <c r="M464" s="20"/>
      <c r="N464" s="20"/>
      <c r="O464" s="20"/>
      <c r="P464" s="124"/>
      <c r="Q464" s="127"/>
      <c r="R464" s="20"/>
      <c r="S464" s="20"/>
      <c r="T464" s="20"/>
      <c r="U464" s="124"/>
      <c r="V464" s="127"/>
      <c r="W464" s="20"/>
      <c r="X464" s="20"/>
      <c r="Y464" s="20"/>
      <c r="Z464" s="20"/>
      <c r="AA464" s="20"/>
      <c r="AB464" s="20"/>
      <c r="AC464" s="20"/>
      <c r="AD464" s="20"/>
      <c r="AE464" s="20"/>
    </row>
    <row r="465" spans="1:31" ht="19.5">
      <c r="A465" s="20"/>
      <c r="B465" s="20"/>
      <c r="C465" s="20"/>
      <c r="D465" s="20"/>
      <c r="E465" s="20"/>
      <c r="F465" s="20"/>
      <c r="G465" s="124"/>
      <c r="H465" s="20"/>
      <c r="I465" s="20"/>
      <c r="J465" s="20"/>
      <c r="K465" s="124"/>
      <c r="L465" s="127"/>
      <c r="M465" s="20"/>
      <c r="N465" s="20"/>
      <c r="O465" s="20"/>
      <c r="P465" s="124"/>
      <c r="Q465" s="127"/>
      <c r="R465" s="20"/>
      <c r="S465" s="20"/>
      <c r="T465" s="20"/>
      <c r="U465" s="124"/>
      <c r="V465" s="127"/>
      <c r="W465" s="20"/>
      <c r="X465" s="20"/>
      <c r="Y465" s="20"/>
      <c r="Z465" s="20"/>
      <c r="AA465" s="20"/>
      <c r="AB465" s="20"/>
      <c r="AC465" s="20"/>
      <c r="AD465" s="20"/>
      <c r="AE465" s="20"/>
    </row>
    <row r="466" spans="1:31" ht="19.5">
      <c r="A466" s="20"/>
      <c r="B466" s="20"/>
      <c r="C466" s="20"/>
      <c r="D466" s="20"/>
      <c r="E466" s="20"/>
      <c r="F466" s="20"/>
      <c r="G466" s="124"/>
      <c r="H466" s="20"/>
      <c r="I466" s="20"/>
      <c r="J466" s="20"/>
      <c r="K466" s="124"/>
      <c r="L466" s="127"/>
      <c r="M466" s="20"/>
      <c r="N466" s="20"/>
      <c r="O466" s="20"/>
      <c r="P466" s="124"/>
      <c r="Q466" s="127"/>
      <c r="R466" s="20"/>
      <c r="S466" s="20"/>
      <c r="T466" s="20"/>
      <c r="U466" s="124"/>
      <c r="V466" s="127"/>
      <c r="W466" s="20"/>
      <c r="X466" s="20"/>
      <c r="Y466" s="20"/>
      <c r="Z466" s="20"/>
      <c r="AA466" s="20"/>
      <c r="AB466" s="20"/>
      <c r="AC466" s="20"/>
      <c r="AD466" s="20"/>
      <c r="AE466" s="20"/>
    </row>
    <row r="467" spans="1:31" ht="19.5">
      <c r="A467" s="20"/>
      <c r="B467" s="20"/>
      <c r="C467" s="20"/>
      <c r="D467" s="20"/>
      <c r="E467" s="20"/>
      <c r="F467" s="20"/>
      <c r="G467" s="124"/>
      <c r="H467" s="20"/>
      <c r="I467" s="20"/>
      <c r="J467" s="20"/>
      <c r="K467" s="124"/>
      <c r="L467" s="127"/>
      <c r="M467" s="20"/>
      <c r="N467" s="20"/>
      <c r="O467" s="20"/>
      <c r="P467" s="124"/>
      <c r="Q467" s="127"/>
      <c r="R467" s="20"/>
      <c r="S467" s="20"/>
      <c r="T467" s="20"/>
      <c r="U467" s="124"/>
      <c r="V467" s="127"/>
      <c r="W467" s="20"/>
      <c r="X467" s="20"/>
      <c r="Y467" s="20"/>
      <c r="Z467" s="20"/>
      <c r="AA467" s="20"/>
      <c r="AB467" s="20"/>
      <c r="AC467" s="20"/>
      <c r="AD467" s="20"/>
      <c r="AE467" s="20"/>
    </row>
    <row r="468" spans="1:31" ht="19.5">
      <c r="A468" s="20"/>
      <c r="B468" s="20"/>
      <c r="C468" s="20"/>
      <c r="D468" s="20"/>
      <c r="E468" s="20"/>
      <c r="F468" s="20"/>
      <c r="G468" s="124"/>
      <c r="H468" s="20"/>
      <c r="I468" s="20"/>
      <c r="J468" s="20"/>
      <c r="K468" s="124"/>
      <c r="L468" s="127"/>
      <c r="M468" s="20"/>
      <c r="N468" s="20"/>
      <c r="O468" s="20"/>
      <c r="P468" s="124"/>
      <c r="Q468" s="127"/>
      <c r="R468" s="20"/>
      <c r="S468" s="20"/>
      <c r="T468" s="20"/>
      <c r="U468" s="124"/>
      <c r="V468" s="127"/>
      <c r="W468" s="20"/>
      <c r="X468" s="20"/>
      <c r="Y468" s="20"/>
      <c r="Z468" s="20"/>
      <c r="AA468" s="20"/>
      <c r="AB468" s="20"/>
      <c r="AC468" s="20"/>
      <c r="AD468" s="20"/>
      <c r="AE468" s="20"/>
    </row>
    <row r="469" spans="1:31" ht="19.5">
      <c r="A469" s="20"/>
      <c r="B469" s="20"/>
      <c r="C469" s="20"/>
      <c r="D469" s="20"/>
      <c r="E469" s="20"/>
      <c r="F469" s="20"/>
      <c r="G469" s="124"/>
      <c r="H469" s="20"/>
      <c r="I469" s="20"/>
      <c r="J469" s="20"/>
      <c r="K469" s="124"/>
      <c r="L469" s="127"/>
      <c r="M469" s="20"/>
      <c r="N469" s="20"/>
      <c r="O469" s="20"/>
      <c r="P469" s="124"/>
      <c r="Q469" s="127"/>
      <c r="R469" s="20"/>
      <c r="S469" s="20"/>
      <c r="T469" s="20"/>
      <c r="U469" s="124"/>
      <c r="V469" s="127"/>
      <c r="W469" s="20"/>
      <c r="X469" s="20"/>
      <c r="Y469" s="20"/>
      <c r="Z469" s="20"/>
      <c r="AA469" s="20"/>
      <c r="AB469" s="20"/>
      <c r="AC469" s="20"/>
      <c r="AD469" s="20"/>
      <c r="AE469" s="20"/>
    </row>
    <row r="470" spans="1:31" ht="19.5">
      <c r="A470" s="20"/>
      <c r="B470" s="20"/>
      <c r="C470" s="20"/>
      <c r="D470" s="20"/>
      <c r="E470" s="20"/>
      <c r="F470" s="20"/>
      <c r="G470" s="124"/>
      <c r="H470" s="20"/>
      <c r="I470" s="20"/>
      <c r="J470" s="20"/>
      <c r="K470" s="124"/>
      <c r="L470" s="127"/>
      <c r="M470" s="20"/>
      <c r="N470" s="20"/>
      <c r="O470" s="20"/>
      <c r="P470" s="124"/>
      <c r="Q470" s="127"/>
      <c r="R470" s="20"/>
      <c r="S470" s="20"/>
      <c r="T470" s="20"/>
      <c r="U470" s="124"/>
      <c r="V470" s="127"/>
      <c r="W470" s="20"/>
      <c r="X470" s="20"/>
      <c r="Y470" s="20"/>
      <c r="Z470" s="20"/>
      <c r="AA470" s="20"/>
      <c r="AB470" s="20"/>
      <c r="AC470" s="20"/>
      <c r="AD470" s="20"/>
      <c r="AE470" s="20"/>
    </row>
    <row r="471" spans="1:31" ht="19.5">
      <c r="A471" s="20"/>
      <c r="B471" s="20"/>
      <c r="C471" s="20"/>
      <c r="D471" s="20"/>
      <c r="E471" s="20"/>
      <c r="F471" s="20"/>
      <c r="G471" s="124"/>
      <c r="H471" s="20"/>
      <c r="I471" s="20"/>
      <c r="J471" s="20"/>
      <c r="K471" s="124"/>
      <c r="L471" s="127"/>
      <c r="M471" s="20"/>
      <c r="N471" s="20"/>
      <c r="O471" s="20"/>
      <c r="P471" s="124"/>
      <c r="Q471" s="127"/>
      <c r="R471" s="20"/>
      <c r="S471" s="20"/>
      <c r="T471" s="20"/>
      <c r="U471" s="124"/>
      <c r="V471" s="127"/>
      <c r="W471" s="20"/>
      <c r="X471" s="20"/>
      <c r="Y471" s="20"/>
      <c r="Z471" s="20"/>
      <c r="AA471" s="20"/>
      <c r="AB471" s="20"/>
      <c r="AC471" s="20"/>
      <c r="AD471" s="20"/>
      <c r="AE471" s="20"/>
    </row>
    <row r="472" spans="1:31" ht="19.5">
      <c r="A472" s="20"/>
      <c r="B472" s="20"/>
      <c r="C472" s="20"/>
      <c r="D472" s="20"/>
      <c r="E472" s="20"/>
      <c r="F472" s="20"/>
      <c r="G472" s="124"/>
      <c r="H472" s="20"/>
      <c r="I472" s="20"/>
      <c r="J472" s="20"/>
      <c r="K472" s="124"/>
      <c r="L472" s="127"/>
      <c r="M472" s="20"/>
      <c r="N472" s="20"/>
      <c r="O472" s="20"/>
      <c r="P472" s="124"/>
      <c r="Q472" s="127"/>
      <c r="R472" s="20"/>
      <c r="S472" s="20"/>
      <c r="T472" s="20"/>
      <c r="U472" s="124"/>
      <c r="V472" s="127"/>
      <c r="W472" s="20"/>
      <c r="X472" s="20"/>
      <c r="Y472" s="20"/>
      <c r="Z472" s="20"/>
      <c r="AA472" s="20"/>
      <c r="AB472" s="20"/>
      <c r="AC472" s="20"/>
      <c r="AD472" s="20"/>
      <c r="AE472" s="20"/>
    </row>
    <row r="473" spans="1:31" ht="19.5">
      <c r="A473" s="20"/>
      <c r="B473" s="20"/>
      <c r="C473" s="20"/>
      <c r="D473" s="20"/>
      <c r="E473" s="20"/>
      <c r="F473" s="20"/>
      <c r="G473" s="124"/>
      <c r="H473" s="20"/>
      <c r="I473" s="20"/>
      <c r="J473" s="20"/>
      <c r="K473" s="124"/>
      <c r="L473" s="127"/>
      <c r="M473" s="20"/>
      <c r="N473" s="20"/>
      <c r="O473" s="20"/>
      <c r="P473" s="124"/>
      <c r="Q473" s="127"/>
      <c r="R473" s="20"/>
      <c r="S473" s="20"/>
      <c r="T473" s="20"/>
      <c r="U473" s="124"/>
      <c r="V473" s="127"/>
      <c r="W473" s="20"/>
      <c r="X473" s="20"/>
      <c r="Y473" s="20"/>
      <c r="Z473" s="20"/>
      <c r="AA473" s="20"/>
      <c r="AB473" s="20"/>
      <c r="AC473" s="20"/>
      <c r="AD473" s="20"/>
      <c r="AE473" s="20"/>
    </row>
    <row r="474" spans="1:31" ht="19.5">
      <c r="A474" s="20"/>
      <c r="B474" s="20"/>
      <c r="C474" s="20"/>
      <c r="D474" s="20"/>
      <c r="E474" s="20"/>
      <c r="F474" s="20"/>
      <c r="G474" s="124"/>
      <c r="H474" s="20"/>
      <c r="I474" s="20"/>
      <c r="J474" s="20"/>
      <c r="K474" s="124"/>
      <c r="L474" s="127"/>
      <c r="M474" s="20"/>
      <c r="N474" s="20"/>
      <c r="O474" s="20"/>
      <c r="P474" s="124"/>
      <c r="Q474" s="127"/>
      <c r="R474" s="20"/>
      <c r="S474" s="20"/>
      <c r="T474" s="20"/>
      <c r="U474" s="124"/>
      <c r="V474" s="127"/>
      <c r="W474" s="20"/>
      <c r="X474" s="20"/>
      <c r="Y474" s="20"/>
      <c r="Z474" s="20"/>
      <c r="AA474" s="20"/>
      <c r="AB474" s="20"/>
      <c r="AC474" s="20"/>
      <c r="AD474" s="20"/>
      <c r="AE474" s="20"/>
    </row>
    <row r="475" spans="1:31" ht="19.5">
      <c r="A475" s="20"/>
      <c r="B475" s="20"/>
      <c r="C475" s="20"/>
      <c r="D475" s="20"/>
      <c r="E475" s="20"/>
      <c r="F475" s="20"/>
      <c r="G475" s="124"/>
      <c r="H475" s="20"/>
      <c r="I475" s="20"/>
      <c r="J475" s="20"/>
      <c r="K475" s="124"/>
      <c r="L475" s="127"/>
      <c r="M475" s="20"/>
      <c r="N475" s="20"/>
      <c r="O475" s="20"/>
      <c r="P475" s="124"/>
      <c r="Q475" s="127"/>
      <c r="R475" s="20"/>
      <c r="S475" s="20"/>
      <c r="T475" s="20"/>
      <c r="U475" s="124"/>
      <c r="V475" s="127"/>
      <c r="W475" s="20"/>
      <c r="X475" s="20"/>
      <c r="Y475" s="20"/>
      <c r="Z475" s="20"/>
      <c r="AA475" s="20"/>
      <c r="AB475" s="20"/>
      <c r="AC475" s="20"/>
      <c r="AD475" s="20"/>
      <c r="AE475" s="20"/>
    </row>
    <row r="476" spans="1:31" ht="19.5">
      <c r="A476" s="20"/>
      <c r="B476" s="20"/>
      <c r="C476" s="20"/>
      <c r="D476" s="20"/>
      <c r="E476" s="20"/>
      <c r="F476" s="20"/>
      <c r="G476" s="124"/>
      <c r="H476" s="20"/>
      <c r="I476" s="20"/>
      <c r="J476" s="20"/>
      <c r="K476" s="124"/>
      <c r="L476" s="127"/>
      <c r="M476" s="20"/>
      <c r="N476" s="20"/>
      <c r="O476" s="20"/>
      <c r="P476" s="124"/>
      <c r="Q476" s="127"/>
      <c r="R476" s="20"/>
      <c r="S476" s="20"/>
      <c r="T476" s="20"/>
      <c r="U476" s="124"/>
      <c r="V476" s="127"/>
      <c r="W476" s="20"/>
      <c r="X476" s="20"/>
      <c r="Y476" s="20"/>
      <c r="Z476" s="20"/>
      <c r="AA476" s="20"/>
      <c r="AB476" s="20"/>
      <c r="AC476" s="20"/>
      <c r="AD476" s="20"/>
      <c r="AE476" s="20"/>
    </row>
    <row r="477" spans="1:31" ht="19.5">
      <c r="A477" s="20"/>
      <c r="B477" s="20"/>
      <c r="C477" s="20"/>
      <c r="D477" s="20"/>
      <c r="E477" s="20"/>
      <c r="F477" s="20"/>
      <c r="G477" s="124"/>
      <c r="H477" s="20"/>
      <c r="I477" s="20"/>
      <c r="J477" s="20"/>
      <c r="K477" s="124"/>
      <c r="L477" s="127"/>
      <c r="M477" s="20"/>
      <c r="N477" s="20"/>
      <c r="O477" s="20"/>
      <c r="P477" s="124"/>
      <c r="Q477" s="127"/>
      <c r="R477" s="20"/>
      <c r="S477" s="20"/>
      <c r="T477" s="20"/>
      <c r="U477" s="124"/>
      <c r="V477" s="127"/>
      <c r="W477" s="20"/>
      <c r="X477" s="20"/>
      <c r="Y477" s="20"/>
      <c r="Z477" s="20"/>
      <c r="AA477" s="20"/>
      <c r="AB477" s="20"/>
      <c r="AC477" s="20"/>
      <c r="AD477" s="20"/>
      <c r="AE477" s="20"/>
    </row>
    <row r="478" spans="1:31" ht="19.5">
      <c r="A478" s="20"/>
      <c r="B478" s="20"/>
      <c r="C478" s="20"/>
      <c r="D478" s="20"/>
      <c r="E478" s="20"/>
      <c r="F478" s="20"/>
      <c r="G478" s="124"/>
      <c r="H478" s="20"/>
      <c r="I478" s="20"/>
      <c r="J478" s="20"/>
      <c r="K478" s="124"/>
      <c r="L478" s="127"/>
      <c r="M478" s="20"/>
      <c r="N478" s="20"/>
      <c r="O478" s="20"/>
      <c r="P478" s="124"/>
      <c r="Q478" s="127"/>
      <c r="R478" s="20"/>
      <c r="S478" s="20"/>
      <c r="T478" s="20"/>
      <c r="U478" s="124"/>
      <c r="V478" s="127"/>
      <c r="W478" s="20"/>
      <c r="X478" s="20"/>
      <c r="Y478" s="20"/>
      <c r="Z478" s="20"/>
      <c r="AA478" s="20"/>
      <c r="AB478" s="20"/>
      <c r="AC478" s="20"/>
      <c r="AD478" s="20"/>
      <c r="AE478" s="20"/>
    </row>
    <row r="479" spans="1:31" ht="19.5">
      <c r="A479" s="20"/>
      <c r="B479" s="20"/>
      <c r="C479" s="20"/>
      <c r="D479" s="20"/>
      <c r="E479" s="20"/>
      <c r="F479" s="20"/>
      <c r="G479" s="124"/>
      <c r="H479" s="20"/>
      <c r="I479" s="20"/>
      <c r="J479" s="20"/>
      <c r="K479" s="124"/>
      <c r="L479" s="127"/>
      <c r="M479" s="20"/>
      <c r="N479" s="20"/>
      <c r="O479" s="20"/>
      <c r="P479" s="124"/>
      <c r="Q479" s="127"/>
      <c r="R479" s="20"/>
      <c r="S479" s="20"/>
      <c r="T479" s="20"/>
      <c r="U479" s="124"/>
      <c r="V479" s="127"/>
      <c r="W479" s="20"/>
      <c r="X479" s="20"/>
      <c r="Y479" s="20"/>
      <c r="Z479" s="20"/>
      <c r="AA479" s="20"/>
      <c r="AB479" s="20"/>
      <c r="AC479" s="20"/>
      <c r="AD479" s="20"/>
      <c r="AE479" s="20"/>
    </row>
    <row r="480" spans="1:31" ht="19.5">
      <c r="A480" s="20"/>
      <c r="B480" s="20"/>
      <c r="C480" s="20"/>
      <c r="D480" s="20"/>
      <c r="E480" s="20"/>
      <c r="F480" s="20"/>
      <c r="G480" s="124"/>
      <c r="H480" s="20"/>
      <c r="I480" s="20"/>
      <c r="J480" s="20"/>
      <c r="K480" s="124"/>
      <c r="L480" s="127"/>
      <c r="M480" s="20"/>
      <c r="N480" s="20"/>
      <c r="O480" s="20"/>
      <c r="P480" s="124"/>
      <c r="Q480" s="127"/>
      <c r="R480" s="20"/>
      <c r="S480" s="20"/>
      <c r="T480" s="20"/>
      <c r="U480" s="124"/>
      <c r="V480" s="127"/>
      <c r="W480" s="20"/>
      <c r="X480" s="20"/>
      <c r="Y480" s="20"/>
      <c r="Z480" s="20"/>
      <c r="AA480" s="20"/>
      <c r="AB480" s="20"/>
      <c r="AC480" s="20"/>
      <c r="AD480" s="20"/>
      <c r="AE480" s="20"/>
    </row>
    <row r="481" spans="1:31" ht="19.5">
      <c r="A481" s="20"/>
      <c r="B481" s="20"/>
      <c r="C481" s="20"/>
      <c r="D481" s="20"/>
      <c r="E481" s="20"/>
      <c r="F481" s="20"/>
      <c r="G481" s="124"/>
      <c r="H481" s="20"/>
      <c r="I481" s="20"/>
      <c r="J481" s="20"/>
      <c r="K481" s="124"/>
      <c r="L481" s="127"/>
      <c r="M481" s="20"/>
      <c r="N481" s="20"/>
      <c r="O481" s="20"/>
      <c r="P481" s="124"/>
      <c r="Q481" s="127"/>
      <c r="R481" s="20"/>
      <c r="S481" s="20"/>
      <c r="T481" s="20"/>
      <c r="U481" s="124"/>
      <c r="V481" s="127"/>
      <c r="W481" s="20"/>
      <c r="X481" s="20"/>
      <c r="Y481" s="20"/>
      <c r="Z481" s="20"/>
      <c r="AA481" s="20"/>
      <c r="AB481" s="20"/>
      <c r="AC481" s="20"/>
      <c r="AD481" s="20"/>
      <c r="AE481" s="20"/>
    </row>
    <row r="482" spans="1:31" ht="19.5">
      <c r="A482" s="20"/>
      <c r="B482" s="20"/>
      <c r="C482" s="20"/>
      <c r="D482" s="20"/>
      <c r="E482" s="20"/>
      <c r="F482" s="20"/>
      <c r="G482" s="124"/>
      <c r="H482" s="20"/>
      <c r="I482" s="20"/>
      <c r="J482" s="20"/>
      <c r="K482" s="124"/>
      <c r="L482" s="127"/>
      <c r="M482" s="20"/>
      <c r="N482" s="20"/>
      <c r="O482" s="20"/>
      <c r="P482" s="124"/>
      <c r="Q482" s="127"/>
      <c r="R482" s="20"/>
      <c r="S482" s="20"/>
      <c r="T482" s="20"/>
      <c r="U482" s="124"/>
      <c r="V482" s="127"/>
      <c r="W482" s="20"/>
      <c r="X482" s="20"/>
      <c r="Y482" s="20"/>
      <c r="Z482" s="20"/>
      <c r="AA482" s="20"/>
      <c r="AB482" s="20"/>
      <c r="AC482" s="20"/>
      <c r="AD482" s="20"/>
      <c r="AE482" s="20"/>
    </row>
    <row r="483" spans="1:31" ht="19.5">
      <c r="A483" s="20"/>
      <c r="B483" s="20"/>
      <c r="C483" s="20"/>
      <c r="D483" s="20"/>
      <c r="E483" s="20"/>
      <c r="F483" s="20"/>
      <c r="G483" s="124"/>
      <c r="H483" s="20"/>
      <c r="I483" s="20"/>
      <c r="J483" s="20"/>
      <c r="K483" s="124"/>
      <c r="L483" s="127"/>
      <c r="M483" s="20"/>
      <c r="N483" s="20"/>
      <c r="O483" s="20"/>
      <c r="P483" s="124"/>
      <c r="Q483" s="127"/>
      <c r="R483" s="20"/>
      <c r="S483" s="20"/>
      <c r="T483" s="20"/>
      <c r="U483" s="124"/>
      <c r="V483" s="127"/>
      <c r="W483" s="20"/>
      <c r="X483" s="20"/>
      <c r="Y483" s="20"/>
      <c r="Z483" s="20"/>
      <c r="AA483" s="20"/>
      <c r="AB483" s="20"/>
      <c r="AC483" s="20"/>
      <c r="AD483" s="20"/>
      <c r="AE483" s="20"/>
    </row>
    <row r="484" spans="1:31" ht="19.5">
      <c r="A484" s="20"/>
      <c r="B484" s="20"/>
      <c r="C484" s="20"/>
      <c r="D484" s="20"/>
      <c r="E484" s="20"/>
      <c r="F484" s="20"/>
      <c r="G484" s="124"/>
      <c r="H484" s="20"/>
      <c r="I484" s="20"/>
      <c r="J484" s="20"/>
      <c r="K484" s="124"/>
      <c r="L484" s="127"/>
      <c r="M484" s="20"/>
      <c r="N484" s="20"/>
      <c r="O484" s="20"/>
      <c r="P484" s="124"/>
      <c r="Q484" s="127"/>
      <c r="R484" s="20"/>
      <c r="S484" s="20"/>
      <c r="T484" s="20"/>
      <c r="U484" s="124"/>
      <c r="V484" s="127"/>
      <c r="W484" s="20"/>
      <c r="X484" s="20"/>
      <c r="Y484" s="20"/>
      <c r="Z484" s="20"/>
      <c r="AA484" s="20"/>
      <c r="AB484" s="20"/>
      <c r="AC484" s="20"/>
      <c r="AD484" s="20"/>
      <c r="AE484" s="20"/>
    </row>
    <row r="485" spans="1:31" ht="19.5">
      <c r="A485" s="20"/>
      <c r="B485" s="20"/>
      <c r="C485" s="20"/>
      <c r="D485" s="20"/>
      <c r="E485" s="20"/>
      <c r="F485" s="20"/>
      <c r="G485" s="124"/>
      <c r="H485" s="20"/>
      <c r="I485" s="20"/>
      <c r="J485" s="20"/>
      <c r="K485" s="124"/>
      <c r="L485" s="127"/>
      <c r="M485" s="20"/>
      <c r="N485" s="20"/>
      <c r="O485" s="20"/>
      <c r="P485" s="124"/>
      <c r="Q485" s="127"/>
      <c r="R485" s="20"/>
      <c r="S485" s="20"/>
      <c r="T485" s="20"/>
      <c r="U485" s="124"/>
      <c r="V485" s="127"/>
      <c r="W485" s="20"/>
      <c r="X485" s="20"/>
      <c r="Y485" s="20"/>
      <c r="Z485" s="20"/>
      <c r="AA485" s="20"/>
      <c r="AB485" s="20"/>
      <c r="AC485" s="20"/>
      <c r="AD485" s="20"/>
      <c r="AE485" s="20"/>
    </row>
    <row r="486" spans="1:31" ht="19.5">
      <c r="A486" s="20"/>
      <c r="B486" s="20"/>
      <c r="C486" s="20"/>
      <c r="D486" s="20"/>
      <c r="E486" s="20"/>
      <c r="F486" s="20"/>
      <c r="G486" s="124"/>
      <c r="H486" s="20"/>
      <c r="I486" s="20"/>
      <c r="J486" s="20"/>
      <c r="K486" s="124"/>
      <c r="L486" s="127"/>
      <c r="M486" s="20"/>
      <c r="N486" s="20"/>
      <c r="O486" s="20"/>
      <c r="P486" s="124"/>
      <c r="Q486" s="127"/>
      <c r="R486" s="20"/>
      <c r="S486" s="20"/>
      <c r="T486" s="20"/>
      <c r="U486" s="124"/>
      <c r="V486" s="127"/>
      <c r="W486" s="20"/>
      <c r="X486" s="20"/>
      <c r="Y486" s="20"/>
      <c r="Z486" s="20"/>
      <c r="AA486" s="20"/>
      <c r="AB486" s="20"/>
      <c r="AC486" s="20"/>
      <c r="AD486" s="20"/>
      <c r="AE486" s="20"/>
    </row>
    <row r="487" spans="1:31" ht="19.5">
      <c r="A487" s="20"/>
      <c r="B487" s="20"/>
      <c r="C487" s="20"/>
      <c r="D487" s="20"/>
      <c r="E487" s="20"/>
      <c r="F487" s="20"/>
      <c r="G487" s="124"/>
      <c r="H487" s="20"/>
      <c r="I487" s="20"/>
      <c r="J487" s="20"/>
      <c r="K487" s="124"/>
      <c r="L487" s="127"/>
      <c r="M487" s="20"/>
      <c r="N487" s="20"/>
      <c r="O487" s="20"/>
      <c r="P487" s="124"/>
      <c r="Q487" s="127"/>
      <c r="R487" s="20"/>
      <c r="S487" s="20"/>
      <c r="T487" s="20"/>
      <c r="U487" s="124"/>
      <c r="V487" s="127"/>
      <c r="W487" s="20"/>
      <c r="X487" s="20"/>
      <c r="Y487" s="20"/>
      <c r="Z487" s="20"/>
      <c r="AA487" s="20"/>
      <c r="AB487" s="20"/>
      <c r="AC487" s="20"/>
      <c r="AD487" s="20"/>
      <c r="AE487" s="20"/>
    </row>
    <row r="488" spans="1:31" ht="19.5">
      <c r="A488" s="20"/>
      <c r="B488" s="20"/>
      <c r="C488" s="20"/>
      <c r="D488" s="20"/>
      <c r="E488" s="20"/>
      <c r="F488" s="20"/>
      <c r="G488" s="124"/>
      <c r="H488" s="20"/>
      <c r="I488" s="20"/>
      <c r="J488" s="20"/>
      <c r="K488" s="124"/>
      <c r="L488" s="127"/>
      <c r="M488" s="20"/>
      <c r="N488" s="20"/>
      <c r="O488" s="20"/>
      <c r="P488" s="124"/>
      <c r="Q488" s="127"/>
      <c r="R488" s="20"/>
      <c r="S488" s="20"/>
      <c r="T488" s="20"/>
      <c r="U488" s="124"/>
      <c r="V488" s="127"/>
      <c r="W488" s="20"/>
      <c r="X488" s="20"/>
      <c r="Y488" s="20"/>
      <c r="Z488" s="20"/>
      <c r="AA488" s="20"/>
      <c r="AB488" s="20"/>
      <c r="AC488" s="20"/>
      <c r="AD488" s="20"/>
      <c r="AE488" s="20"/>
    </row>
    <row r="489" spans="1:31" ht="19.5">
      <c r="A489" s="20"/>
      <c r="B489" s="20"/>
      <c r="C489" s="20"/>
      <c r="D489" s="20"/>
      <c r="E489" s="20"/>
      <c r="F489" s="20"/>
      <c r="G489" s="124"/>
      <c r="H489" s="20"/>
      <c r="I489" s="20"/>
      <c r="J489" s="20"/>
      <c r="K489" s="124"/>
      <c r="L489" s="127"/>
      <c r="M489" s="20"/>
      <c r="N489" s="20"/>
      <c r="O489" s="20"/>
      <c r="P489" s="124"/>
      <c r="Q489" s="127"/>
      <c r="R489" s="20"/>
      <c r="S489" s="20"/>
      <c r="T489" s="20"/>
      <c r="U489" s="124"/>
      <c r="V489" s="127"/>
      <c r="W489" s="20"/>
      <c r="X489" s="20"/>
      <c r="Y489" s="20"/>
      <c r="Z489" s="20"/>
      <c r="AA489" s="20"/>
      <c r="AB489" s="20"/>
      <c r="AC489" s="20"/>
      <c r="AD489" s="20"/>
      <c r="AE489" s="20"/>
    </row>
    <row r="490" spans="1:31" ht="19.5">
      <c r="A490" s="20"/>
      <c r="B490" s="20"/>
      <c r="C490" s="20"/>
      <c r="D490" s="20"/>
      <c r="E490" s="20"/>
      <c r="F490" s="20"/>
      <c r="G490" s="124"/>
      <c r="H490" s="20"/>
      <c r="I490" s="20"/>
      <c r="J490" s="20"/>
      <c r="K490" s="124"/>
      <c r="L490" s="127"/>
      <c r="M490" s="20"/>
      <c r="N490" s="20"/>
      <c r="O490" s="20"/>
      <c r="P490" s="124"/>
      <c r="Q490" s="127"/>
      <c r="R490" s="20"/>
      <c r="S490" s="20"/>
      <c r="T490" s="20"/>
      <c r="U490" s="124"/>
      <c r="V490" s="127"/>
      <c r="W490" s="20"/>
      <c r="X490" s="20"/>
      <c r="Y490" s="20"/>
      <c r="Z490" s="20"/>
      <c r="AA490" s="20"/>
      <c r="AB490" s="20"/>
      <c r="AC490" s="20"/>
      <c r="AD490" s="20"/>
      <c r="AE490" s="20"/>
    </row>
    <row r="491" spans="1:31" ht="19.5">
      <c r="A491" s="20"/>
      <c r="B491" s="20"/>
      <c r="C491" s="20"/>
      <c r="D491" s="20"/>
      <c r="E491" s="20"/>
      <c r="F491" s="20"/>
      <c r="G491" s="124"/>
      <c r="H491" s="20"/>
      <c r="I491" s="20"/>
      <c r="J491" s="20"/>
      <c r="K491" s="124"/>
      <c r="L491" s="127"/>
      <c r="M491" s="20"/>
      <c r="N491" s="20"/>
      <c r="O491" s="20"/>
      <c r="P491" s="124"/>
      <c r="Q491" s="127"/>
      <c r="R491" s="20"/>
      <c r="S491" s="20"/>
      <c r="T491" s="20"/>
      <c r="U491" s="124"/>
      <c r="V491" s="127"/>
      <c r="W491" s="20"/>
      <c r="X491" s="20"/>
      <c r="Y491" s="20"/>
      <c r="Z491" s="20"/>
      <c r="AA491" s="20"/>
      <c r="AB491" s="20"/>
      <c r="AC491" s="20"/>
      <c r="AD491" s="20"/>
      <c r="AE491" s="20"/>
    </row>
    <row r="492" spans="1:31" ht="19.5">
      <c r="A492" s="20"/>
      <c r="B492" s="20"/>
      <c r="C492" s="20"/>
      <c r="D492" s="20"/>
      <c r="E492" s="20"/>
      <c r="F492" s="20"/>
      <c r="G492" s="124"/>
      <c r="H492" s="20"/>
      <c r="I492" s="20"/>
      <c r="J492" s="20"/>
      <c r="K492" s="124"/>
      <c r="L492" s="127"/>
      <c r="M492" s="20"/>
      <c r="N492" s="20"/>
      <c r="O492" s="20"/>
      <c r="P492" s="124"/>
      <c r="Q492" s="127"/>
      <c r="R492" s="20"/>
      <c r="S492" s="20"/>
      <c r="T492" s="20"/>
      <c r="U492" s="124"/>
      <c r="V492" s="127"/>
      <c r="W492" s="20"/>
      <c r="X492" s="20"/>
      <c r="Y492" s="20"/>
      <c r="Z492" s="20"/>
      <c r="AA492" s="20"/>
      <c r="AB492" s="20"/>
      <c r="AC492" s="20"/>
      <c r="AD492" s="20"/>
      <c r="AE492" s="20"/>
    </row>
    <row r="493" spans="1:31" ht="19.5">
      <c r="A493" s="20"/>
      <c r="B493" s="20"/>
      <c r="C493" s="20"/>
      <c r="D493" s="20"/>
      <c r="E493" s="20"/>
      <c r="F493" s="20"/>
      <c r="G493" s="124"/>
      <c r="H493" s="20"/>
      <c r="I493" s="20"/>
      <c r="J493" s="20"/>
      <c r="K493" s="124"/>
      <c r="L493" s="127"/>
      <c r="M493" s="20"/>
      <c r="N493" s="20"/>
      <c r="O493" s="20"/>
      <c r="P493" s="124"/>
      <c r="Q493" s="127"/>
      <c r="R493" s="20"/>
      <c r="S493" s="20"/>
      <c r="T493" s="20"/>
      <c r="U493" s="124"/>
      <c r="V493" s="127"/>
      <c r="W493" s="20"/>
      <c r="X493" s="20"/>
      <c r="Y493" s="20"/>
      <c r="Z493" s="20"/>
      <c r="AA493" s="20"/>
      <c r="AB493" s="20"/>
      <c r="AC493" s="20"/>
      <c r="AD493" s="20"/>
      <c r="AE493" s="20"/>
    </row>
    <row r="494" spans="1:31" ht="19.5">
      <c r="A494" s="20"/>
      <c r="B494" s="20"/>
      <c r="C494" s="20"/>
      <c r="D494" s="20"/>
      <c r="E494" s="20"/>
      <c r="F494" s="20"/>
      <c r="G494" s="124"/>
      <c r="H494" s="20"/>
      <c r="I494" s="20"/>
      <c r="J494" s="20"/>
      <c r="K494" s="124"/>
      <c r="L494" s="127"/>
      <c r="M494" s="20"/>
      <c r="N494" s="20"/>
      <c r="O494" s="20"/>
      <c r="P494" s="124"/>
      <c r="Q494" s="127"/>
      <c r="R494" s="20"/>
      <c r="S494" s="20"/>
      <c r="T494" s="20"/>
      <c r="U494" s="124"/>
      <c r="V494" s="127"/>
      <c r="W494" s="20"/>
      <c r="X494" s="20"/>
      <c r="Y494" s="20"/>
      <c r="Z494" s="20"/>
      <c r="AA494" s="20"/>
      <c r="AB494" s="20"/>
      <c r="AC494" s="20"/>
      <c r="AD494" s="20"/>
      <c r="AE494" s="20"/>
    </row>
    <row r="495" spans="1:31" ht="19.5">
      <c r="A495" s="20"/>
      <c r="B495" s="20"/>
      <c r="C495" s="20"/>
      <c r="D495" s="20"/>
      <c r="E495" s="20"/>
      <c r="F495" s="20"/>
      <c r="G495" s="124"/>
      <c r="H495" s="20"/>
      <c r="I495" s="20"/>
      <c r="J495" s="20"/>
      <c r="K495" s="124"/>
      <c r="L495" s="127"/>
      <c r="M495" s="20"/>
      <c r="N495" s="20"/>
      <c r="O495" s="20"/>
      <c r="P495" s="124"/>
      <c r="Q495" s="127"/>
      <c r="R495" s="20"/>
      <c r="S495" s="20"/>
      <c r="T495" s="20"/>
      <c r="U495" s="124"/>
      <c r="V495" s="127"/>
      <c r="W495" s="20"/>
      <c r="X495" s="20"/>
      <c r="Y495" s="20"/>
      <c r="Z495" s="20"/>
      <c r="AA495" s="20"/>
      <c r="AB495" s="20"/>
      <c r="AC495" s="20"/>
      <c r="AD495" s="20"/>
      <c r="AE495" s="20"/>
    </row>
    <row r="496" spans="1:31" ht="19.5">
      <c r="A496" s="20"/>
      <c r="B496" s="20"/>
      <c r="C496" s="20"/>
      <c r="D496" s="20"/>
      <c r="E496" s="20"/>
      <c r="F496" s="20"/>
      <c r="G496" s="124"/>
      <c r="H496" s="20"/>
      <c r="I496" s="20"/>
      <c r="J496" s="20"/>
      <c r="K496" s="124"/>
      <c r="L496" s="127"/>
      <c r="M496" s="20"/>
      <c r="N496" s="20"/>
      <c r="O496" s="20"/>
      <c r="P496" s="124"/>
      <c r="Q496" s="127"/>
      <c r="R496" s="20"/>
      <c r="S496" s="20"/>
      <c r="T496" s="20"/>
      <c r="U496" s="124"/>
      <c r="V496" s="127"/>
      <c r="W496" s="20"/>
      <c r="X496" s="20"/>
      <c r="Y496" s="20"/>
      <c r="Z496" s="20"/>
      <c r="AA496" s="20"/>
      <c r="AB496" s="20"/>
      <c r="AC496" s="20"/>
      <c r="AD496" s="20"/>
      <c r="AE496" s="20"/>
    </row>
    <row r="497" spans="1:31" ht="19.5">
      <c r="A497" s="20"/>
      <c r="B497" s="20"/>
      <c r="C497" s="20"/>
      <c r="D497" s="20"/>
      <c r="E497" s="20"/>
      <c r="F497" s="20"/>
      <c r="G497" s="124"/>
      <c r="H497" s="20"/>
      <c r="I497" s="20"/>
      <c r="J497" s="20"/>
      <c r="K497" s="124"/>
      <c r="L497" s="127"/>
      <c r="M497" s="20"/>
      <c r="N497" s="20"/>
      <c r="O497" s="20"/>
      <c r="P497" s="124"/>
      <c r="Q497" s="127"/>
      <c r="R497" s="20"/>
      <c r="S497" s="20"/>
      <c r="T497" s="20"/>
      <c r="U497" s="124"/>
      <c r="V497" s="127"/>
      <c r="W497" s="20"/>
      <c r="X497" s="20"/>
      <c r="Y497" s="20"/>
      <c r="Z497" s="20"/>
      <c r="AA497" s="20"/>
      <c r="AB497" s="20"/>
      <c r="AC497" s="20"/>
      <c r="AD497" s="20"/>
      <c r="AE497" s="20"/>
    </row>
    <row r="498" spans="1:31" ht="19.5">
      <c r="A498" s="20"/>
      <c r="B498" s="20"/>
      <c r="C498" s="20"/>
      <c r="D498" s="20"/>
      <c r="E498" s="20"/>
      <c r="F498" s="20"/>
      <c r="G498" s="124"/>
      <c r="H498" s="20"/>
      <c r="I498" s="20"/>
      <c r="J498" s="20"/>
      <c r="K498" s="124"/>
      <c r="L498" s="127"/>
      <c r="M498" s="20"/>
      <c r="N498" s="20"/>
      <c r="O498" s="20"/>
      <c r="P498" s="124"/>
      <c r="Q498" s="127"/>
      <c r="R498" s="20"/>
      <c r="S498" s="20"/>
      <c r="T498" s="20"/>
      <c r="U498" s="124"/>
      <c r="V498" s="127"/>
      <c r="W498" s="20"/>
      <c r="X498" s="20"/>
      <c r="Y498" s="20"/>
      <c r="Z498" s="20"/>
      <c r="AA498" s="20"/>
      <c r="AB498" s="20"/>
      <c r="AC498" s="20"/>
      <c r="AD498" s="20"/>
      <c r="AE498" s="20"/>
    </row>
    <row r="499" spans="1:31" ht="19.5">
      <c r="A499" s="20"/>
      <c r="B499" s="20"/>
      <c r="C499" s="20"/>
      <c r="D499" s="20"/>
      <c r="E499" s="20"/>
      <c r="F499" s="20"/>
      <c r="G499" s="124"/>
      <c r="H499" s="20"/>
      <c r="I499" s="20"/>
      <c r="J499" s="20"/>
      <c r="K499" s="124"/>
      <c r="L499" s="127"/>
      <c r="M499" s="20"/>
      <c r="N499" s="20"/>
      <c r="O499" s="20"/>
      <c r="P499" s="124"/>
      <c r="Q499" s="127"/>
      <c r="R499" s="20"/>
      <c r="S499" s="20"/>
      <c r="T499" s="20"/>
      <c r="U499" s="124"/>
      <c r="V499" s="127"/>
      <c r="W499" s="20"/>
      <c r="X499" s="20"/>
      <c r="Y499" s="20"/>
      <c r="Z499" s="20"/>
      <c r="AA499" s="20"/>
      <c r="AB499" s="20"/>
      <c r="AC499" s="20"/>
      <c r="AD499" s="20"/>
      <c r="AE499" s="20"/>
    </row>
    <row r="500" spans="1:31" ht="19.5">
      <c r="A500" s="20"/>
      <c r="B500" s="20"/>
      <c r="C500" s="20"/>
      <c r="D500" s="20"/>
      <c r="E500" s="20"/>
      <c r="F500" s="20"/>
      <c r="G500" s="124"/>
      <c r="H500" s="20"/>
      <c r="I500" s="20"/>
      <c r="J500" s="20"/>
      <c r="K500" s="124"/>
      <c r="L500" s="127"/>
      <c r="M500" s="20"/>
      <c r="N500" s="20"/>
      <c r="O500" s="20"/>
      <c r="P500" s="124"/>
      <c r="Q500" s="127"/>
      <c r="R500" s="20"/>
      <c r="S500" s="20"/>
      <c r="T500" s="20"/>
      <c r="U500" s="124"/>
      <c r="V500" s="127"/>
      <c r="W500" s="20"/>
      <c r="X500" s="20"/>
      <c r="Y500" s="20"/>
      <c r="Z500" s="20"/>
      <c r="AA500" s="20"/>
      <c r="AB500" s="20"/>
      <c r="AC500" s="20"/>
      <c r="AD500" s="20"/>
      <c r="AE500" s="20"/>
    </row>
    <row r="501" spans="1:31" ht="19.5">
      <c r="A501" s="20"/>
      <c r="B501" s="20"/>
      <c r="C501" s="20"/>
      <c r="D501" s="20"/>
      <c r="E501" s="20"/>
      <c r="F501" s="20"/>
      <c r="G501" s="124"/>
      <c r="H501" s="20"/>
      <c r="I501" s="20"/>
      <c r="J501" s="20"/>
      <c r="K501" s="124"/>
      <c r="L501" s="127"/>
      <c r="M501" s="20"/>
      <c r="N501" s="20"/>
      <c r="O501" s="20"/>
      <c r="P501" s="124"/>
      <c r="Q501" s="127"/>
      <c r="R501" s="20"/>
      <c r="S501" s="20"/>
      <c r="T501" s="20"/>
      <c r="U501" s="124"/>
      <c r="V501" s="127"/>
      <c r="W501" s="20"/>
      <c r="X501" s="20"/>
      <c r="Y501" s="20"/>
      <c r="Z501" s="20"/>
      <c r="AA501" s="20"/>
      <c r="AB501" s="20"/>
      <c r="AC501" s="20"/>
      <c r="AD501" s="20"/>
      <c r="AE501" s="20"/>
    </row>
    <row r="502" spans="1:31" ht="19.5">
      <c r="A502" s="20"/>
      <c r="B502" s="20"/>
      <c r="C502" s="20"/>
      <c r="D502" s="20"/>
      <c r="E502" s="20"/>
      <c r="F502" s="20"/>
      <c r="G502" s="124"/>
      <c r="H502" s="20"/>
      <c r="I502" s="20"/>
      <c r="J502" s="20"/>
      <c r="K502" s="124"/>
      <c r="L502" s="127"/>
      <c r="M502" s="20"/>
      <c r="N502" s="20"/>
      <c r="O502" s="20"/>
      <c r="P502" s="124"/>
      <c r="Q502" s="127"/>
      <c r="R502" s="20"/>
      <c r="S502" s="20"/>
      <c r="T502" s="20"/>
      <c r="U502" s="124"/>
      <c r="V502" s="127"/>
      <c r="W502" s="20"/>
      <c r="X502" s="20"/>
      <c r="Y502" s="20"/>
      <c r="Z502" s="20"/>
      <c r="AA502" s="20"/>
      <c r="AB502" s="20"/>
      <c r="AC502" s="20"/>
      <c r="AD502" s="20"/>
      <c r="AE502" s="20"/>
    </row>
    <row r="503" spans="1:31" ht="19.5">
      <c r="A503" s="20"/>
      <c r="B503" s="20"/>
      <c r="C503" s="20"/>
      <c r="D503" s="20"/>
      <c r="E503" s="20"/>
      <c r="F503" s="20"/>
      <c r="G503" s="124"/>
      <c r="H503" s="20"/>
      <c r="I503" s="20"/>
      <c r="J503" s="20"/>
      <c r="K503" s="124"/>
      <c r="L503" s="127"/>
      <c r="M503" s="20"/>
      <c r="N503" s="20"/>
      <c r="O503" s="20"/>
      <c r="P503" s="124"/>
      <c r="Q503" s="127"/>
      <c r="R503" s="20"/>
      <c r="S503" s="20"/>
      <c r="T503" s="20"/>
      <c r="U503" s="124"/>
      <c r="V503" s="127"/>
      <c r="W503" s="20"/>
      <c r="X503" s="20"/>
      <c r="Y503" s="20"/>
      <c r="Z503" s="20"/>
      <c r="AA503" s="20"/>
      <c r="AB503" s="20"/>
      <c r="AC503" s="20"/>
      <c r="AD503" s="20"/>
      <c r="AE503" s="20"/>
    </row>
    <row r="504" spans="1:31" ht="19.5">
      <c r="A504" s="20"/>
      <c r="B504" s="20"/>
      <c r="C504" s="20"/>
      <c r="D504" s="20"/>
      <c r="E504" s="20"/>
      <c r="F504" s="20"/>
      <c r="G504" s="124"/>
      <c r="H504" s="20"/>
      <c r="I504" s="20"/>
      <c r="J504" s="20"/>
      <c r="K504" s="124"/>
      <c r="L504" s="127"/>
      <c r="M504" s="20"/>
      <c r="N504" s="20"/>
      <c r="O504" s="20"/>
      <c r="P504" s="124"/>
      <c r="Q504" s="127"/>
      <c r="R504" s="20"/>
      <c r="S504" s="20"/>
      <c r="T504" s="20"/>
      <c r="U504" s="124"/>
      <c r="V504" s="127"/>
      <c r="W504" s="20"/>
      <c r="X504" s="20"/>
      <c r="Y504" s="20"/>
      <c r="Z504" s="20"/>
      <c r="AA504" s="20"/>
      <c r="AB504" s="20"/>
      <c r="AC504" s="20"/>
      <c r="AD504" s="20"/>
      <c r="AE504" s="20"/>
    </row>
    <row r="505" spans="1:31" ht="19.5">
      <c r="A505" s="20"/>
      <c r="B505" s="20"/>
      <c r="C505" s="20"/>
      <c r="D505" s="20"/>
      <c r="E505" s="20"/>
      <c r="F505" s="20"/>
      <c r="G505" s="124"/>
      <c r="H505" s="20"/>
      <c r="I505" s="20"/>
      <c r="J505" s="20"/>
      <c r="K505" s="124"/>
      <c r="L505" s="127"/>
      <c r="M505" s="20"/>
      <c r="N505" s="20"/>
      <c r="O505" s="20"/>
      <c r="P505" s="124"/>
      <c r="Q505" s="127"/>
      <c r="R505" s="20"/>
      <c r="S505" s="20"/>
      <c r="T505" s="20"/>
      <c r="U505" s="124"/>
      <c r="V505" s="127"/>
      <c r="W505" s="20"/>
      <c r="X505" s="20"/>
      <c r="Y505" s="20"/>
      <c r="Z505" s="20"/>
      <c r="AA505" s="20"/>
      <c r="AB505" s="20"/>
      <c r="AC505" s="20"/>
      <c r="AD505" s="20"/>
      <c r="AE505" s="20"/>
    </row>
    <row r="506" spans="1:31" ht="19.5">
      <c r="A506" s="20"/>
      <c r="B506" s="20"/>
      <c r="C506" s="20"/>
      <c r="D506" s="20"/>
      <c r="E506" s="20"/>
      <c r="F506" s="20"/>
      <c r="G506" s="124"/>
      <c r="H506" s="20"/>
      <c r="I506" s="20"/>
      <c r="J506" s="20"/>
      <c r="K506" s="124"/>
      <c r="L506" s="127"/>
      <c r="M506" s="20"/>
      <c r="N506" s="20"/>
      <c r="O506" s="20"/>
      <c r="P506" s="124"/>
      <c r="Q506" s="127"/>
      <c r="R506" s="20"/>
      <c r="S506" s="20"/>
      <c r="T506" s="20"/>
      <c r="U506" s="124"/>
      <c r="V506" s="127"/>
      <c r="W506" s="20"/>
      <c r="X506" s="20"/>
      <c r="Y506" s="20"/>
      <c r="Z506" s="20"/>
      <c r="AA506" s="20"/>
      <c r="AB506" s="20"/>
      <c r="AC506" s="20"/>
      <c r="AD506" s="20"/>
      <c r="AE506" s="20"/>
    </row>
    <row r="507" spans="1:31" ht="19.5">
      <c r="A507" s="20"/>
      <c r="B507" s="20"/>
      <c r="C507" s="20"/>
      <c r="D507" s="20"/>
      <c r="E507" s="20"/>
      <c r="F507" s="20"/>
      <c r="G507" s="124"/>
      <c r="H507" s="20"/>
      <c r="I507" s="20"/>
      <c r="J507" s="20"/>
      <c r="K507" s="124"/>
      <c r="L507" s="127"/>
      <c r="M507" s="20"/>
      <c r="N507" s="20"/>
      <c r="O507" s="20"/>
      <c r="P507" s="124"/>
      <c r="Q507" s="127"/>
      <c r="R507" s="20"/>
      <c r="S507" s="20"/>
      <c r="T507" s="20"/>
      <c r="U507" s="124"/>
      <c r="V507" s="127"/>
      <c r="W507" s="20"/>
      <c r="X507" s="20"/>
      <c r="Y507" s="20"/>
      <c r="Z507" s="20"/>
      <c r="AA507" s="20"/>
      <c r="AB507" s="20"/>
      <c r="AC507" s="20"/>
      <c r="AD507" s="20"/>
      <c r="AE507" s="20"/>
    </row>
    <row r="508" spans="1:31" ht="19.5">
      <c r="A508" s="20"/>
      <c r="B508" s="20"/>
      <c r="C508" s="20"/>
      <c r="D508" s="20"/>
      <c r="E508" s="20"/>
      <c r="F508" s="20"/>
      <c r="G508" s="124"/>
      <c r="H508" s="20"/>
      <c r="I508" s="20"/>
      <c r="J508" s="20"/>
      <c r="K508" s="124"/>
      <c r="L508" s="127"/>
      <c r="M508" s="20"/>
      <c r="N508" s="20"/>
      <c r="O508" s="20"/>
      <c r="P508" s="124"/>
      <c r="Q508" s="127"/>
      <c r="R508" s="20"/>
      <c r="S508" s="20"/>
      <c r="T508" s="20"/>
      <c r="U508" s="124"/>
      <c r="V508" s="127"/>
      <c r="W508" s="20"/>
      <c r="X508" s="20"/>
      <c r="Y508" s="20"/>
      <c r="Z508" s="20"/>
      <c r="AA508" s="20"/>
      <c r="AB508" s="20"/>
      <c r="AC508" s="20"/>
      <c r="AD508" s="20"/>
      <c r="AE508" s="20"/>
    </row>
    <row r="509" spans="1:31" ht="19.5">
      <c r="A509" s="20"/>
      <c r="B509" s="20"/>
      <c r="C509" s="20"/>
      <c r="D509" s="20"/>
      <c r="E509" s="20"/>
      <c r="F509" s="20"/>
      <c r="G509" s="124"/>
      <c r="H509" s="20"/>
      <c r="I509" s="20"/>
      <c r="J509" s="20"/>
      <c r="K509" s="124"/>
      <c r="L509" s="127"/>
      <c r="M509" s="20"/>
      <c r="N509" s="20"/>
      <c r="O509" s="20"/>
      <c r="P509" s="124"/>
      <c r="Q509" s="127"/>
      <c r="R509" s="20"/>
      <c r="S509" s="20"/>
      <c r="T509" s="20"/>
      <c r="U509" s="124"/>
      <c r="V509" s="127"/>
      <c r="W509" s="20"/>
      <c r="X509" s="20"/>
      <c r="Y509" s="20"/>
      <c r="Z509" s="20"/>
      <c r="AA509" s="20"/>
      <c r="AB509" s="20"/>
      <c r="AC509" s="20"/>
      <c r="AD509" s="20"/>
      <c r="AE509" s="20"/>
    </row>
    <row r="510" spans="1:31" ht="19.5">
      <c r="A510" s="20"/>
      <c r="B510" s="20"/>
      <c r="C510" s="20"/>
      <c r="D510" s="20"/>
      <c r="E510" s="20"/>
      <c r="F510" s="20"/>
      <c r="G510" s="124"/>
      <c r="H510" s="20"/>
      <c r="I510" s="20"/>
      <c r="J510" s="20"/>
      <c r="K510" s="124"/>
      <c r="L510" s="127"/>
      <c r="M510" s="20"/>
      <c r="N510" s="20"/>
      <c r="O510" s="20"/>
      <c r="P510" s="124"/>
      <c r="Q510" s="127"/>
      <c r="R510" s="20"/>
      <c r="S510" s="20"/>
      <c r="T510" s="20"/>
      <c r="U510" s="124"/>
      <c r="V510" s="127"/>
      <c r="W510" s="20"/>
      <c r="X510" s="20"/>
      <c r="Y510" s="20"/>
      <c r="Z510" s="20"/>
      <c r="AA510" s="20"/>
      <c r="AB510" s="20"/>
      <c r="AC510" s="20"/>
      <c r="AD510" s="20"/>
      <c r="AE510" s="20"/>
    </row>
    <row r="511" spans="1:31" ht="19.5">
      <c r="A511" s="20"/>
      <c r="B511" s="20"/>
      <c r="C511" s="20"/>
      <c r="D511" s="20"/>
      <c r="E511" s="20"/>
      <c r="F511" s="20"/>
      <c r="G511" s="124"/>
      <c r="H511" s="20"/>
      <c r="I511" s="20"/>
      <c r="J511" s="20"/>
      <c r="K511" s="124"/>
      <c r="L511" s="127"/>
      <c r="M511" s="20"/>
      <c r="N511" s="20"/>
      <c r="O511" s="20"/>
      <c r="P511" s="124"/>
      <c r="Q511" s="127"/>
      <c r="R511" s="20"/>
      <c r="S511" s="20"/>
      <c r="T511" s="20"/>
      <c r="U511" s="124"/>
      <c r="V511" s="127"/>
      <c r="W511" s="20"/>
      <c r="X511" s="20"/>
      <c r="Y511" s="20"/>
      <c r="Z511" s="20"/>
      <c r="AA511" s="20"/>
      <c r="AB511" s="20"/>
      <c r="AC511" s="20"/>
      <c r="AD511" s="20"/>
      <c r="AE511" s="20"/>
    </row>
    <row r="512" spans="1:31" ht="19.5">
      <c r="A512" s="20"/>
      <c r="B512" s="20"/>
      <c r="C512" s="20"/>
      <c r="D512" s="20"/>
      <c r="E512" s="20"/>
      <c r="F512" s="20"/>
      <c r="G512" s="124"/>
      <c r="H512" s="20"/>
      <c r="I512" s="20"/>
      <c r="J512" s="20"/>
      <c r="K512" s="124"/>
      <c r="L512" s="127"/>
      <c r="M512" s="20"/>
      <c r="N512" s="20"/>
      <c r="O512" s="20"/>
      <c r="P512" s="124"/>
      <c r="Q512" s="127"/>
      <c r="R512" s="20"/>
      <c r="S512" s="20"/>
      <c r="T512" s="20"/>
      <c r="U512" s="124"/>
      <c r="V512" s="127"/>
      <c r="W512" s="20"/>
      <c r="X512" s="20"/>
      <c r="Y512" s="20"/>
      <c r="Z512" s="20"/>
      <c r="AA512" s="20"/>
      <c r="AB512" s="20"/>
      <c r="AC512" s="20"/>
      <c r="AD512" s="20"/>
      <c r="AE512" s="20"/>
    </row>
    <row r="513" spans="1:31" ht="19.5">
      <c r="A513" s="20"/>
      <c r="B513" s="20"/>
      <c r="C513" s="20"/>
      <c r="D513" s="20"/>
      <c r="E513" s="20"/>
      <c r="F513" s="20"/>
      <c r="G513" s="124"/>
      <c r="H513" s="20"/>
      <c r="I513" s="20"/>
      <c r="J513" s="20"/>
      <c r="K513" s="124"/>
      <c r="L513" s="127"/>
      <c r="M513" s="20"/>
      <c r="N513" s="20"/>
      <c r="O513" s="20"/>
      <c r="P513" s="124"/>
      <c r="Q513" s="127"/>
      <c r="R513" s="20"/>
      <c r="S513" s="20"/>
      <c r="T513" s="20"/>
      <c r="U513" s="124"/>
      <c r="V513" s="127"/>
      <c r="W513" s="20"/>
      <c r="X513" s="20"/>
      <c r="Y513" s="20"/>
      <c r="Z513" s="20"/>
      <c r="AA513" s="20"/>
      <c r="AB513" s="20"/>
      <c r="AC513" s="20"/>
      <c r="AD513" s="20"/>
      <c r="AE513" s="20"/>
    </row>
    <row r="514" spans="1:31" ht="19.5">
      <c r="A514" s="20"/>
      <c r="B514" s="20"/>
      <c r="C514" s="20"/>
      <c r="D514" s="20"/>
      <c r="E514" s="20"/>
      <c r="F514" s="20"/>
      <c r="G514" s="124"/>
      <c r="H514" s="20"/>
      <c r="I514" s="20"/>
      <c r="J514" s="20"/>
      <c r="K514" s="124"/>
      <c r="L514" s="127"/>
      <c r="M514" s="20"/>
      <c r="N514" s="20"/>
      <c r="O514" s="20"/>
      <c r="P514" s="124"/>
      <c r="Q514" s="127"/>
      <c r="R514" s="20"/>
      <c r="S514" s="20"/>
      <c r="T514" s="20"/>
      <c r="U514" s="124"/>
      <c r="V514" s="127"/>
      <c r="W514" s="20"/>
      <c r="X514" s="20"/>
      <c r="Y514" s="20"/>
      <c r="Z514" s="20"/>
      <c r="AA514" s="20"/>
      <c r="AB514" s="20"/>
      <c r="AC514" s="20"/>
      <c r="AD514" s="20"/>
      <c r="AE514" s="20"/>
    </row>
    <row r="515" spans="1:31" ht="19.5">
      <c r="A515" s="20"/>
      <c r="B515" s="20"/>
      <c r="C515" s="20"/>
      <c r="D515" s="20"/>
      <c r="E515" s="20"/>
      <c r="F515" s="20"/>
      <c r="G515" s="124"/>
      <c r="H515" s="20"/>
      <c r="I515" s="20"/>
      <c r="J515" s="20"/>
      <c r="K515" s="124"/>
      <c r="L515" s="127"/>
      <c r="M515" s="20"/>
      <c r="N515" s="20"/>
      <c r="O515" s="20"/>
      <c r="P515" s="124"/>
      <c r="Q515" s="127"/>
      <c r="R515" s="20"/>
      <c r="S515" s="20"/>
      <c r="T515" s="20"/>
      <c r="U515" s="124"/>
      <c r="V515" s="127"/>
      <c r="W515" s="20"/>
      <c r="X515" s="20"/>
      <c r="Y515" s="20"/>
      <c r="Z515" s="20"/>
      <c r="AA515" s="20"/>
      <c r="AB515" s="20"/>
      <c r="AC515" s="20"/>
      <c r="AD515" s="20"/>
      <c r="AE515" s="20"/>
    </row>
    <row r="516" spans="1:31" ht="19.5">
      <c r="A516" s="20"/>
      <c r="B516" s="20"/>
      <c r="C516" s="20"/>
      <c r="D516" s="20"/>
      <c r="E516" s="20"/>
      <c r="F516" s="20"/>
      <c r="G516" s="124"/>
      <c r="H516" s="20"/>
      <c r="I516" s="20"/>
      <c r="J516" s="20"/>
      <c r="K516" s="124"/>
      <c r="L516" s="127"/>
      <c r="M516" s="20"/>
      <c r="N516" s="20"/>
      <c r="O516" s="20"/>
      <c r="P516" s="124"/>
      <c r="Q516" s="127"/>
      <c r="R516" s="20"/>
      <c r="S516" s="20"/>
      <c r="T516" s="20"/>
      <c r="U516" s="124"/>
      <c r="V516" s="127"/>
      <c r="W516" s="20"/>
      <c r="X516" s="20"/>
      <c r="Y516" s="20"/>
      <c r="Z516" s="20"/>
      <c r="AA516" s="20"/>
      <c r="AB516" s="20"/>
      <c r="AC516" s="20"/>
      <c r="AD516" s="20"/>
      <c r="AE516" s="20"/>
    </row>
    <row r="517" spans="1:31" ht="19.5">
      <c r="A517" s="20"/>
      <c r="B517" s="20"/>
      <c r="C517" s="20"/>
      <c r="D517" s="20"/>
      <c r="E517" s="20"/>
      <c r="F517" s="20"/>
      <c r="G517" s="124"/>
      <c r="H517" s="20"/>
      <c r="I517" s="20"/>
      <c r="J517" s="20"/>
      <c r="K517" s="124"/>
      <c r="L517" s="127"/>
      <c r="M517" s="20"/>
      <c r="N517" s="20"/>
      <c r="O517" s="20"/>
      <c r="P517" s="124"/>
      <c r="Q517" s="127"/>
      <c r="R517" s="20"/>
      <c r="S517" s="20"/>
      <c r="T517" s="20"/>
      <c r="U517" s="124"/>
      <c r="V517" s="127"/>
      <c r="W517" s="20"/>
      <c r="X517" s="20"/>
      <c r="Y517" s="20"/>
      <c r="Z517" s="20"/>
      <c r="AA517" s="20"/>
      <c r="AB517" s="20"/>
      <c r="AC517" s="20"/>
      <c r="AD517" s="20"/>
      <c r="AE517" s="20"/>
    </row>
    <row r="518" spans="1:31" ht="19.5">
      <c r="A518" s="20"/>
      <c r="B518" s="20"/>
      <c r="C518" s="20"/>
      <c r="D518" s="20"/>
      <c r="E518" s="20"/>
      <c r="F518" s="20"/>
      <c r="G518" s="124"/>
      <c r="H518" s="20"/>
      <c r="I518" s="20"/>
      <c r="J518" s="20"/>
      <c r="K518" s="124"/>
      <c r="L518" s="127"/>
      <c r="M518" s="20"/>
      <c r="N518" s="20"/>
      <c r="O518" s="20"/>
      <c r="P518" s="124"/>
      <c r="Q518" s="127"/>
      <c r="R518" s="20"/>
      <c r="S518" s="20"/>
      <c r="T518" s="20"/>
      <c r="U518" s="124"/>
      <c r="V518" s="127"/>
      <c r="W518" s="20"/>
      <c r="X518" s="20"/>
      <c r="Y518" s="20"/>
      <c r="Z518" s="20"/>
      <c r="AA518" s="20"/>
      <c r="AB518" s="20"/>
      <c r="AC518" s="20"/>
      <c r="AD518" s="20"/>
      <c r="AE518" s="20"/>
    </row>
    <row r="519" spans="1:31" ht="19.5">
      <c r="A519" s="20"/>
      <c r="B519" s="20"/>
      <c r="C519" s="20"/>
      <c r="D519" s="20"/>
      <c r="E519" s="20"/>
      <c r="F519" s="20"/>
      <c r="G519" s="124"/>
      <c r="H519" s="20"/>
      <c r="I519" s="20"/>
      <c r="J519" s="20"/>
      <c r="K519" s="124"/>
      <c r="L519" s="127"/>
      <c r="M519" s="20"/>
      <c r="N519" s="20"/>
      <c r="O519" s="20"/>
      <c r="P519" s="124"/>
      <c r="Q519" s="127"/>
      <c r="R519" s="20"/>
      <c r="S519" s="20"/>
      <c r="T519" s="20"/>
      <c r="U519" s="124"/>
      <c r="V519" s="127"/>
      <c r="W519" s="20"/>
      <c r="X519" s="20"/>
      <c r="Y519" s="20"/>
      <c r="Z519" s="20"/>
      <c r="AA519" s="20"/>
      <c r="AB519" s="20"/>
      <c r="AC519" s="20"/>
      <c r="AD519" s="20"/>
      <c r="AE519" s="20"/>
    </row>
    <row r="520" spans="1:31" ht="19.5">
      <c r="A520" s="20"/>
      <c r="B520" s="20"/>
      <c r="C520" s="20"/>
      <c r="D520" s="20"/>
      <c r="E520" s="20"/>
      <c r="F520" s="20"/>
      <c r="G520" s="124"/>
      <c r="H520" s="20"/>
      <c r="I520" s="20"/>
      <c r="J520" s="20"/>
      <c r="K520" s="124"/>
      <c r="L520" s="127"/>
      <c r="M520" s="20"/>
      <c r="N520" s="20"/>
      <c r="O520" s="20"/>
      <c r="P520" s="124"/>
      <c r="Q520" s="127"/>
      <c r="R520" s="20"/>
      <c r="S520" s="20"/>
      <c r="T520" s="20"/>
      <c r="U520" s="124"/>
      <c r="V520" s="127"/>
      <c r="W520" s="20"/>
      <c r="X520" s="20"/>
      <c r="Y520" s="20"/>
      <c r="Z520" s="20"/>
      <c r="AA520" s="20"/>
      <c r="AB520" s="20"/>
      <c r="AC520" s="20"/>
      <c r="AD520" s="20"/>
      <c r="AE520" s="20"/>
    </row>
    <row r="521" spans="1:31" ht="19.5">
      <c r="A521" s="20"/>
      <c r="B521" s="20"/>
      <c r="C521" s="20"/>
      <c r="D521" s="20"/>
      <c r="E521" s="20"/>
      <c r="F521" s="20"/>
      <c r="G521" s="124"/>
      <c r="H521" s="20"/>
      <c r="I521" s="20"/>
      <c r="J521" s="20"/>
      <c r="K521" s="124"/>
      <c r="L521" s="127"/>
      <c r="M521" s="20"/>
      <c r="N521" s="20"/>
      <c r="O521" s="20"/>
      <c r="P521" s="124"/>
      <c r="Q521" s="127"/>
      <c r="R521" s="20"/>
      <c r="S521" s="20"/>
      <c r="T521" s="20"/>
      <c r="U521" s="124"/>
      <c r="V521" s="127"/>
      <c r="W521" s="20"/>
      <c r="X521" s="20"/>
      <c r="Y521" s="20"/>
      <c r="Z521" s="20"/>
      <c r="AA521" s="20"/>
      <c r="AB521" s="20"/>
      <c r="AC521" s="20"/>
      <c r="AD521" s="20"/>
      <c r="AE521" s="20"/>
    </row>
    <row r="522" spans="1:31" ht="19.5">
      <c r="A522" s="20"/>
      <c r="B522" s="20"/>
      <c r="C522" s="20"/>
      <c r="D522" s="20"/>
      <c r="E522" s="20"/>
      <c r="F522" s="20"/>
      <c r="G522" s="124"/>
      <c r="H522" s="20"/>
      <c r="I522" s="20"/>
      <c r="J522" s="20"/>
      <c r="K522" s="124"/>
      <c r="L522" s="127"/>
      <c r="M522" s="20"/>
      <c r="N522" s="20"/>
      <c r="O522" s="20"/>
      <c r="P522" s="124"/>
      <c r="Q522" s="127"/>
      <c r="R522" s="20"/>
      <c r="S522" s="20"/>
      <c r="T522" s="20"/>
      <c r="U522" s="124"/>
      <c r="V522" s="127"/>
      <c r="W522" s="20"/>
      <c r="X522" s="20"/>
      <c r="Y522" s="20"/>
      <c r="Z522" s="20"/>
      <c r="AA522" s="20"/>
      <c r="AB522" s="20"/>
      <c r="AC522" s="20"/>
      <c r="AD522" s="20"/>
      <c r="AE522" s="20"/>
    </row>
    <row r="523" spans="1:31" ht="19.5">
      <c r="A523" s="20"/>
      <c r="B523" s="20"/>
      <c r="C523" s="20"/>
      <c r="D523" s="20"/>
      <c r="E523" s="20"/>
      <c r="F523" s="20"/>
      <c r="G523" s="124"/>
      <c r="H523" s="20"/>
      <c r="I523" s="20"/>
      <c r="J523" s="20"/>
      <c r="K523" s="124"/>
      <c r="L523" s="127"/>
      <c r="M523" s="20"/>
      <c r="N523" s="20"/>
      <c r="O523" s="20"/>
      <c r="P523" s="124"/>
      <c r="Q523" s="127"/>
      <c r="R523" s="20"/>
      <c r="S523" s="20"/>
      <c r="T523" s="20"/>
      <c r="U523" s="124"/>
      <c r="V523" s="127"/>
      <c r="W523" s="20"/>
      <c r="X523" s="20"/>
      <c r="Y523" s="20"/>
      <c r="Z523" s="20"/>
      <c r="AA523" s="20"/>
      <c r="AB523" s="20"/>
      <c r="AC523" s="20"/>
      <c r="AD523" s="20"/>
      <c r="AE523" s="20"/>
    </row>
    <row r="524" spans="1:31" ht="19.5">
      <c r="A524" s="20"/>
      <c r="B524" s="20"/>
      <c r="C524" s="20"/>
      <c r="D524" s="20"/>
      <c r="E524" s="20"/>
      <c r="F524" s="20"/>
      <c r="G524" s="124"/>
      <c r="H524" s="20"/>
      <c r="I524" s="20"/>
      <c r="J524" s="20"/>
      <c r="K524" s="124"/>
      <c r="L524" s="127"/>
      <c r="M524" s="20"/>
      <c r="N524" s="20"/>
      <c r="O524" s="20"/>
      <c r="P524" s="124"/>
      <c r="Q524" s="127"/>
      <c r="R524" s="20"/>
      <c r="S524" s="20"/>
      <c r="T524" s="20"/>
      <c r="U524" s="124"/>
      <c r="V524" s="127"/>
      <c r="W524" s="20"/>
      <c r="X524" s="20"/>
      <c r="Y524" s="20"/>
      <c r="Z524" s="20"/>
      <c r="AA524" s="20"/>
      <c r="AB524" s="20"/>
      <c r="AC524" s="20"/>
      <c r="AD524" s="20"/>
      <c r="AE524" s="20"/>
    </row>
    <row r="525" spans="1:31" ht="19.5">
      <c r="A525" s="20"/>
      <c r="B525" s="20"/>
      <c r="C525" s="20"/>
      <c r="D525" s="20"/>
      <c r="E525" s="20"/>
      <c r="F525" s="20"/>
      <c r="G525" s="124"/>
      <c r="H525" s="20"/>
      <c r="I525" s="20"/>
      <c r="J525" s="20"/>
      <c r="K525" s="124"/>
      <c r="L525" s="127"/>
      <c r="M525" s="20"/>
      <c r="N525" s="20"/>
      <c r="O525" s="20"/>
      <c r="P525" s="124"/>
      <c r="Q525" s="127"/>
      <c r="R525" s="20"/>
      <c r="S525" s="20"/>
      <c r="T525" s="20"/>
      <c r="U525" s="124"/>
      <c r="V525" s="127"/>
      <c r="W525" s="20"/>
      <c r="X525" s="20"/>
      <c r="Y525" s="20"/>
      <c r="Z525" s="20"/>
      <c r="AA525" s="20"/>
      <c r="AB525" s="20"/>
      <c r="AC525" s="20"/>
      <c r="AD525" s="20"/>
      <c r="AE525" s="20"/>
    </row>
    <row r="526" spans="1:31" ht="19.5">
      <c r="A526" s="20"/>
      <c r="B526" s="20"/>
      <c r="C526" s="20"/>
      <c r="D526" s="20"/>
      <c r="E526" s="20"/>
      <c r="F526" s="20"/>
      <c r="G526" s="124"/>
      <c r="H526" s="20"/>
      <c r="I526" s="20"/>
      <c r="J526" s="20"/>
      <c r="K526" s="124"/>
      <c r="L526" s="127"/>
      <c r="M526" s="20"/>
      <c r="N526" s="20"/>
      <c r="O526" s="20"/>
      <c r="P526" s="124"/>
      <c r="Q526" s="127"/>
      <c r="R526" s="20"/>
      <c r="S526" s="20"/>
      <c r="T526" s="20"/>
      <c r="U526" s="124"/>
      <c r="V526" s="127"/>
      <c r="W526" s="20"/>
      <c r="X526" s="20"/>
      <c r="Y526" s="20"/>
      <c r="Z526" s="20"/>
      <c r="AA526" s="20"/>
      <c r="AB526" s="20"/>
      <c r="AC526" s="20"/>
      <c r="AD526" s="20"/>
      <c r="AE526" s="20"/>
    </row>
    <row r="527" spans="1:31" ht="19.5">
      <c r="A527" s="20"/>
      <c r="B527" s="20"/>
      <c r="C527" s="20"/>
      <c r="D527" s="20"/>
      <c r="E527" s="20"/>
      <c r="F527" s="20"/>
      <c r="G527" s="124"/>
      <c r="H527" s="20"/>
      <c r="I527" s="20"/>
      <c r="J527" s="20"/>
      <c r="K527" s="124"/>
      <c r="L527" s="127"/>
      <c r="M527" s="20"/>
      <c r="N527" s="20"/>
      <c r="O527" s="20"/>
      <c r="P527" s="124"/>
      <c r="Q527" s="127"/>
      <c r="R527" s="20"/>
      <c r="S527" s="20"/>
      <c r="T527" s="20"/>
      <c r="U527" s="124"/>
      <c r="V527" s="127"/>
      <c r="W527" s="20"/>
      <c r="X527" s="20"/>
      <c r="Y527" s="20"/>
      <c r="Z527" s="20"/>
      <c r="AA527" s="20"/>
      <c r="AB527" s="20"/>
      <c r="AC527" s="20"/>
      <c r="AD527" s="20"/>
      <c r="AE527" s="20"/>
    </row>
    <row r="528" spans="1:31" ht="19.5">
      <c r="A528" s="20"/>
      <c r="B528" s="20"/>
      <c r="C528" s="20"/>
      <c r="D528" s="20"/>
      <c r="E528" s="20"/>
      <c r="F528" s="20"/>
      <c r="G528" s="124"/>
      <c r="H528" s="20"/>
      <c r="I528" s="20"/>
      <c r="J528" s="20"/>
      <c r="K528" s="124"/>
      <c r="L528" s="127"/>
      <c r="M528" s="20"/>
      <c r="N528" s="20"/>
      <c r="O528" s="20"/>
      <c r="P528" s="124"/>
      <c r="Q528" s="127"/>
      <c r="R528" s="20"/>
      <c r="S528" s="20"/>
      <c r="T528" s="20"/>
      <c r="U528" s="124"/>
      <c r="V528" s="127"/>
      <c r="W528" s="20"/>
      <c r="X528" s="20"/>
      <c r="Y528" s="20"/>
      <c r="Z528" s="20"/>
      <c r="AA528" s="20"/>
      <c r="AB528" s="20"/>
      <c r="AC528" s="20"/>
      <c r="AD528" s="20"/>
      <c r="AE528" s="20"/>
    </row>
    <row r="529" spans="1:31" ht="19.5">
      <c r="A529" s="20"/>
      <c r="B529" s="20"/>
      <c r="C529" s="20"/>
      <c r="D529" s="20"/>
      <c r="E529" s="20"/>
      <c r="F529" s="20"/>
      <c r="G529" s="124"/>
      <c r="H529" s="20"/>
      <c r="I529" s="20"/>
      <c r="J529" s="20"/>
      <c r="K529" s="124"/>
      <c r="L529" s="127"/>
      <c r="M529" s="20"/>
      <c r="N529" s="20"/>
      <c r="O529" s="20"/>
      <c r="P529" s="124"/>
      <c r="Q529" s="127"/>
      <c r="R529" s="20"/>
      <c r="S529" s="20"/>
      <c r="T529" s="20"/>
      <c r="U529" s="124"/>
      <c r="V529" s="127"/>
      <c r="W529" s="20"/>
      <c r="X529" s="20"/>
      <c r="Y529" s="20"/>
      <c r="Z529" s="20"/>
      <c r="AA529" s="20"/>
      <c r="AB529" s="20"/>
      <c r="AC529" s="20"/>
      <c r="AD529" s="20"/>
      <c r="AE529" s="20"/>
    </row>
    <row r="530" spans="1:31" ht="19.5">
      <c r="A530" s="20"/>
      <c r="B530" s="20"/>
      <c r="C530" s="20"/>
      <c r="D530" s="20"/>
      <c r="E530" s="20"/>
      <c r="F530" s="20"/>
      <c r="G530" s="124"/>
      <c r="H530" s="20"/>
      <c r="I530" s="20"/>
      <c r="J530" s="20"/>
      <c r="K530" s="124"/>
      <c r="L530" s="127"/>
      <c r="M530" s="20"/>
      <c r="N530" s="20"/>
      <c r="O530" s="20"/>
      <c r="P530" s="124"/>
      <c r="Q530" s="127"/>
      <c r="R530" s="20"/>
      <c r="S530" s="20"/>
      <c r="T530" s="20"/>
      <c r="U530" s="124"/>
      <c r="V530" s="127"/>
      <c r="W530" s="20"/>
      <c r="X530" s="20"/>
      <c r="Y530" s="20"/>
      <c r="Z530" s="20"/>
      <c r="AA530" s="20"/>
      <c r="AB530" s="20"/>
      <c r="AC530" s="20"/>
      <c r="AD530" s="20"/>
      <c r="AE530" s="20"/>
    </row>
    <row r="531" spans="1:31" ht="19.5">
      <c r="A531" s="20"/>
      <c r="B531" s="20"/>
      <c r="C531" s="20"/>
      <c r="D531" s="20"/>
      <c r="E531" s="20"/>
      <c r="F531" s="20"/>
      <c r="G531" s="124"/>
      <c r="H531" s="20"/>
      <c r="I531" s="20"/>
      <c r="J531" s="20"/>
      <c r="K531" s="124"/>
      <c r="L531" s="127"/>
      <c r="M531" s="20"/>
      <c r="N531" s="20"/>
      <c r="O531" s="20"/>
      <c r="P531" s="124"/>
      <c r="Q531" s="127"/>
      <c r="R531" s="20"/>
      <c r="S531" s="20"/>
      <c r="T531" s="20"/>
      <c r="U531" s="124"/>
      <c r="V531" s="127"/>
      <c r="W531" s="20"/>
      <c r="X531" s="20"/>
      <c r="Y531" s="20"/>
      <c r="Z531" s="20"/>
      <c r="AA531" s="20"/>
      <c r="AB531" s="20"/>
      <c r="AC531" s="20"/>
      <c r="AD531" s="20"/>
      <c r="AE531" s="20"/>
    </row>
    <row r="532" spans="1:31" ht="19.5">
      <c r="A532" s="20"/>
      <c r="B532" s="20"/>
      <c r="C532" s="20"/>
      <c r="D532" s="20"/>
      <c r="E532" s="20"/>
      <c r="F532" s="20"/>
      <c r="G532" s="124"/>
      <c r="H532" s="20"/>
      <c r="I532" s="20"/>
      <c r="J532" s="20"/>
      <c r="K532" s="124"/>
      <c r="L532" s="127"/>
      <c r="M532" s="20"/>
      <c r="N532" s="20"/>
      <c r="O532" s="20"/>
      <c r="P532" s="124"/>
      <c r="Q532" s="127"/>
      <c r="R532" s="20"/>
      <c r="S532" s="20"/>
      <c r="T532" s="20"/>
      <c r="U532" s="124"/>
      <c r="V532" s="127"/>
      <c r="W532" s="20"/>
      <c r="X532" s="20"/>
      <c r="Y532" s="20"/>
      <c r="Z532" s="20"/>
      <c r="AA532" s="20"/>
      <c r="AB532" s="20"/>
      <c r="AC532" s="20"/>
      <c r="AD532" s="20"/>
      <c r="AE532" s="20"/>
    </row>
    <row r="533" spans="1:31" ht="19.5">
      <c r="A533" s="20"/>
      <c r="B533" s="20"/>
      <c r="C533" s="20"/>
      <c r="D533" s="20"/>
      <c r="E533" s="20"/>
      <c r="F533" s="20"/>
      <c r="G533" s="124"/>
      <c r="H533" s="20"/>
      <c r="I533" s="20"/>
      <c r="J533" s="20"/>
      <c r="K533" s="124"/>
      <c r="L533" s="127"/>
      <c r="M533" s="20"/>
      <c r="N533" s="20"/>
      <c r="O533" s="20"/>
      <c r="P533" s="124"/>
      <c r="Q533" s="127"/>
      <c r="R533" s="20"/>
      <c r="S533" s="20"/>
      <c r="T533" s="20"/>
      <c r="U533" s="124"/>
      <c r="V533" s="127"/>
      <c r="W533" s="20"/>
      <c r="X533" s="20"/>
      <c r="Y533" s="20"/>
      <c r="Z533" s="20"/>
      <c r="AA533" s="20"/>
      <c r="AB533" s="20"/>
      <c r="AC533" s="20"/>
      <c r="AD533" s="20"/>
      <c r="AE533" s="20"/>
    </row>
    <row r="534" spans="1:31" ht="19.5">
      <c r="A534" s="20"/>
      <c r="B534" s="20"/>
      <c r="C534" s="20"/>
      <c r="D534" s="20"/>
      <c r="E534" s="20"/>
      <c r="F534" s="20"/>
      <c r="G534" s="124"/>
      <c r="H534" s="20"/>
      <c r="I534" s="20"/>
      <c r="J534" s="20"/>
      <c r="K534" s="124"/>
      <c r="L534" s="127"/>
      <c r="M534" s="20"/>
      <c r="N534" s="20"/>
      <c r="O534" s="20"/>
      <c r="P534" s="124"/>
      <c r="Q534" s="127"/>
      <c r="R534" s="20"/>
      <c r="S534" s="20"/>
      <c r="T534" s="20"/>
      <c r="U534" s="124"/>
      <c r="V534" s="127"/>
      <c r="W534" s="20"/>
      <c r="X534" s="20"/>
      <c r="Y534" s="20"/>
      <c r="Z534" s="20"/>
      <c r="AA534" s="20"/>
      <c r="AB534" s="20"/>
      <c r="AC534" s="20"/>
      <c r="AD534" s="20"/>
      <c r="AE534" s="20"/>
    </row>
    <row r="535" spans="1:31" ht="19.5">
      <c r="A535" s="20"/>
      <c r="B535" s="20"/>
      <c r="C535" s="20"/>
      <c r="D535" s="20"/>
      <c r="E535" s="20"/>
      <c r="F535" s="20"/>
      <c r="G535" s="124"/>
      <c r="H535" s="20"/>
      <c r="I535" s="20"/>
      <c r="J535" s="20"/>
      <c r="K535" s="124"/>
      <c r="L535" s="127"/>
      <c r="M535" s="20"/>
      <c r="N535" s="20"/>
      <c r="O535" s="20"/>
      <c r="P535" s="124"/>
      <c r="Q535" s="127"/>
      <c r="R535" s="20"/>
      <c r="S535" s="20"/>
      <c r="T535" s="20"/>
      <c r="U535" s="124"/>
      <c r="V535" s="127"/>
      <c r="W535" s="20"/>
      <c r="X535" s="20"/>
      <c r="Y535" s="20"/>
      <c r="Z535" s="20"/>
      <c r="AA535" s="20"/>
      <c r="AB535" s="20"/>
      <c r="AC535" s="20"/>
      <c r="AD535" s="20"/>
      <c r="AE535" s="20"/>
    </row>
    <row r="536" spans="1:31" ht="19.5">
      <c r="A536" s="20"/>
      <c r="B536" s="20"/>
      <c r="C536" s="20"/>
      <c r="D536" s="20"/>
      <c r="E536" s="20"/>
      <c r="F536" s="20"/>
      <c r="G536" s="124"/>
      <c r="H536" s="20"/>
      <c r="I536" s="20"/>
      <c r="J536" s="20"/>
      <c r="K536" s="124"/>
      <c r="L536" s="127"/>
      <c r="M536" s="20"/>
      <c r="N536" s="20"/>
      <c r="O536" s="20"/>
      <c r="P536" s="124"/>
      <c r="Q536" s="127"/>
      <c r="R536" s="20"/>
      <c r="S536" s="20"/>
      <c r="T536" s="20"/>
      <c r="U536" s="124"/>
      <c r="V536" s="127"/>
      <c r="W536" s="20"/>
      <c r="X536" s="20"/>
      <c r="Y536" s="20"/>
      <c r="Z536" s="20"/>
      <c r="AA536" s="20"/>
      <c r="AB536" s="20"/>
      <c r="AC536" s="20"/>
      <c r="AD536" s="20"/>
      <c r="AE536" s="20"/>
    </row>
    <row r="537" spans="1:31" ht="19.5">
      <c r="A537" s="20"/>
      <c r="B537" s="20"/>
      <c r="C537" s="20"/>
      <c r="D537" s="20"/>
      <c r="E537" s="20"/>
      <c r="F537" s="20"/>
      <c r="G537" s="124"/>
      <c r="H537" s="20"/>
      <c r="I537" s="20"/>
      <c r="J537" s="20"/>
      <c r="K537" s="124"/>
      <c r="L537" s="127"/>
      <c r="M537" s="20"/>
      <c r="N537" s="20"/>
      <c r="O537" s="20"/>
      <c r="P537" s="124"/>
      <c r="Q537" s="127"/>
      <c r="R537" s="20"/>
      <c r="S537" s="20"/>
      <c r="T537" s="20"/>
      <c r="U537" s="124"/>
      <c r="V537" s="127"/>
      <c r="W537" s="20"/>
      <c r="X537" s="20"/>
      <c r="Y537" s="20"/>
      <c r="Z537" s="20"/>
      <c r="AA537" s="20"/>
      <c r="AB537" s="20"/>
      <c r="AC537" s="20"/>
      <c r="AD537" s="20"/>
      <c r="AE537" s="20"/>
    </row>
    <row r="538" spans="1:31" ht="19.5">
      <c r="A538" s="20"/>
      <c r="B538" s="20"/>
      <c r="C538" s="20"/>
      <c r="D538" s="20"/>
      <c r="E538" s="20"/>
      <c r="F538" s="20"/>
      <c r="G538" s="124"/>
      <c r="H538" s="20"/>
      <c r="I538" s="20"/>
      <c r="J538" s="20"/>
      <c r="K538" s="124"/>
      <c r="L538" s="127"/>
      <c r="M538" s="20"/>
      <c r="N538" s="20"/>
      <c r="O538" s="20"/>
      <c r="P538" s="124"/>
      <c r="Q538" s="127"/>
      <c r="R538" s="20"/>
      <c r="S538" s="20"/>
      <c r="T538" s="20"/>
      <c r="U538" s="124"/>
      <c r="V538" s="127"/>
      <c r="W538" s="20"/>
      <c r="X538" s="20"/>
      <c r="Y538" s="20"/>
      <c r="Z538" s="20"/>
      <c r="AA538" s="20"/>
      <c r="AB538" s="20"/>
      <c r="AC538" s="20"/>
      <c r="AD538" s="20"/>
      <c r="AE538" s="20"/>
    </row>
    <row r="539" spans="1:31" ht="19.5">
      <c r="A539" s="20"/>
      <c r="B539" s="20"/>
      <c r="C539" s="20"/>
      <c r="D539" s="20"/>
      <c r="E539" s="20"/>
      <c r="F539" s="20"/>
      <c r="G539" s="124"/>
      <c r="H539" s="20"/>
      <c r="I539" s="20"/>
      <c r="J539" s="20"/>
      <c r="K539" s="124"/>
      <c r="L539" s="127"/>
      <c r="M539" s="20"/>
      <c r="N539" s="20"/>
      <c r="O539" s="20"/>
      <c r="P539" s="124"/>
      <c r="Q539" s="127"/>
      <c r="R539" s="20"/>
      <c r="S539" s="20"/>
      <c r="T539" s="20"/>
      <c r="U539" s="124"/>
      <c r="V539" s="127"/>
      <c r="W539" s="20"/>
      <c r="X539" s="20"/>
      <c r="Y539" s="20"/>
      <c r="Z539" s="20"/>
      <c r="AA539" s="20"/>
      <c r="AB539" s="20"/>
      <c r="AC539" s="20"/>
      <c r="AD539" s="20"/>
      <c r="AE539" s="20"/>
    </row>
    <row r="540" spans="1:31" ht="19.5">
      <c r="A540" s="20"/>
      <c r="B540" s="20"/>
      <c r="C540" s="20"/>
      <c r="D540" s="20"/>
      <c r="E540" s="20"/>
      <c r="F540" s="20"/>
      <c r="G540" s="124"/>
      <c r="H540" s="20"/>
      <c r="I540" s="20"/>
      <c r="J540" s="20"/>
      <c r="K540" s="124"/>
      <c r="L540" s="127"/>
      <c r="M540" s="20"/>
      <c r="N540" s="20"/>
      <c r="O540" s="20"/>
      <c r="P540" s="124"/>
      <c r="Q540" s="127"/>
      <c r="R540" s="20"/>
      <c r="S540" s="20"/>
      <c r="T540" s="20"/>
      <c r="U540" s="124"/>
      <c r="V540" s="127"/>
      <c r="W540" s="20"/>
      <c r="X540" s="20"/>
      <c r="Y540" s="20"/>
      <c r="Z540" s="20"/>
      <c r="AA540" s="20"/>
      <c r="AB540" s="20"/>
      <c r="AC540" s="20"/>
      <c r="AD540" s="20"/>
      <c r="AE540" s="20"/>
    </row>
    <row r="541" spans="1:31" ht="19.5">
      <c r="A541" s="20"/>
      <c r="B541" s="20"/>
      <c r="C541" s="20"/>
      <c r="D541" s="20"/>
      <c r="E541" s="20"/>
      <c r="F541" s="20"/>
      <c r="G541" s="124"/>
      <c r="H541" s="20"/>
      <c r="I541" s="20"/>
      <c r="J541" s="20"/>
      <c r="K541" s="124"/>
      <c r="L541" s="127"/>
      <c r="M541" s="20"/>
      <c r="N541" s="20"/>
      <c r="O541" s="20"/>
      <c r="P541" s="124"/>
      <c r="Q541" s="127"/>
      <c r="R541" s="20"/>
      <c r="S541" s="20"/>
      <c r="T541" s="20"/>
      <c r="U541" s="124"/>
      <c r="V541" s="127"/>
      <c r="W541" s="20"/>
      <c r="X541" s="20"/>
      <c r="Y541" s="20"/>
      <c r="Z541" s="20"/>
      <c r="AA541" s="20"/>
      <c r="AB541" s="20"/>
      <c r="AC541" s="20"/>
      <c r="AD541" s="20"/>
      <c r="AE541" s="20"/>
    </row>
    <row r="542" spans="1:31" ht="19.5">
      <c r="A542" s="20"/>
      <c r="B542" s="20"/>
      <c r="C542" s="20"/>
      <c r="D542" s="20"/>
      <c r="E542" s="20"/>
      <c r="F542" s="20"/>
      <c r="G542" s="124"/>
      <c r="H542" s="20"/>
      <c r="I542" s="20"/>
      <c r="J542" s="20"/>
      <c r="K542" s="124"/>
      <c r="L542" s="127"/>
      <c r="M542" s="20"/>
      <c r="N542" s="20"/>
      <c r="O542" s="20"/>
      <c r="P542" s="124"/>
      <c r="Q542" s="127"/>
      <c r="R542" s="20"/>
      <c r="S542" s="20"/>
      <c r="T542" s="20"/>
      <c r="U542" s="124"/>
      <c r="V542" s="127"/>
      <c r="W542" s="20"/>
      <c r="X542" s="20"/>
      <c r="Y542" s="20"/>
      <c r="Z542" s="20"/>
      <c r="AA542" s="20"/>
      <c r="AB542" s="20"/>
      <c r="AC542" s="20"/>
      <c r="AD542" s="20"/>
      <c r="AE542" s="20"/>
    </row>
    <row r="543" spans="1:31" ht="19.5">
      <c r="A543" s="20"/>
      <c r="B543" s="20"/>
      <c r="C543" s="20"/>
      <c r="D543" s="20"/>
      <c r="E543" s="20"/>
      <c r="F543" s="20"/>
      <c r="G543" s="124"/>
      <c r="H543" s="20"/>
      <c r="I543" s="20"/>
      <c r="J543" s="20"/>
      <c r="K543" s="124"/>
      <c r="L543" s="127"/>
      <c r="M543" s="20"/>
      <c r="N543" s="20"/>
      <c r="O543" s="20"/>
      <c r="P543" s="124"/>
      <c r="Q543" s="127"/>
      <c r="R543" s="20"/>
      <c r="S543" s="20"/>
      <c r="T543" s="20"/>
      <c r="U543" s="124"/>
      <c r="V543" s="127"/>
      <c r="W543" s="20"/>
      <c r="X543" s="20"/>
      <c r="Y543" s="20"/>
      <c r="Z543" s="20"/>
      <c r="AA543" s="20"/>
      <c r="AB543" s="20"/>
      <c r="AC543" s="20"/>
      <c r="AD543" s="20"/>
      <c r="AE543" s="20"/>
    </row>
    <row r="544" spans="1:31" ht="19.5">
      <c r="A544" s="20"/>
      <c r="B544" s="20"/>
      <c r="C544" s="20"/>
      <c r="D544" s="20"/>
      <c r="E544" s="20"/>
      <c r="F544" s="20"/>
      <c r="G544" s="124"/>
      <c r="H544" s="20"/>
      <c r="I544" s="20"/>
      <c r="J544" s="20"/>
      <c r="K544" s="124"/>
      <c r="L544" s="127"/>
      <c r="M544" s="20"/>
      <c r="N544" s="20"/>
      <c r="O544" s="20"/>
      <c r="P544" s="124"/>
      <c r="Q544" s="127"/>
      <c r="R544" s="20"/>
      <c r="S544" s="20"/>
      <c r="T544" s="20"/>
      <c r="U544" s="124"/>
      <c r="V544" s="127"/>
      <c r="W544" s="20"/>
      <c r="X544" s="20"/>
      <c r="Y544" s="20"/>
      <c r="Z544" s="20"/>
      <c r="AA544" s="20"/>
      <c r="AB544" s="20"/>
      <c r="AC544" s="20"/>
      <c r="AD544" s="20"/>
      <c r="AE544" s="20"/>
    </row>
    <row r="545" spans="1:31" ht="19.5">
      <c r="A545" s="20"/>
      <c r="B545" s="20"/>
      <c r="C545" s="20"/>
      <c r="D545" s="20"/>
      <c r="E545" s="20"/>
      <c r="F545" s="20"/>
      <c r="G545" s="124"/>
      <c r="H545" s="20"/>
      <c r="I545" s="20"/>
      <c r="J545" s="20"/>
      <c r="K545" s="124"/>
      <c r="L545" s="127"/>
      <c r="M545" s="20"/>
      <c r="N545" s="20"/>
      <c r="O545" s="20"/>
      <c r="P545" s="124"/>
      <c r="Q545" s="127"/>
      <c r="R545" s="20"/>
      <c r="S545" s="20"/>
      <c r="T545" s="20"/>
      <c r="U545" s="124"/>
      <c r="V545" s="127"/>
      <c r="W545" s="20"/>
      <c r="X545" s="20"/>
      <c r="Y545" s="20"/>
      <c r="Z545" s="20"/>
      <c r="AA545" s="20"/>
      <c r="AB545" s="20"/>
      <c r="AC545" s="20"/>
      <c r="AD545" s="20"/>
      <c r="AE545" s="20"/>
    </row>
    <row r="546" spans="1:31" ht="19.5">
      <c r="A546" s="20"/>
      <c r="B546" s="20"/>
      <c r="C546" s="20"/>
      <c r="D546" s="20"/>
      <c r="E546" s="20"/>
      <c r="F546" s="20"/>
      <c r="G546" s="124"/>
      <c r="H546" s="20"/>
      <c r="I546" s="20"/>
      <c r="J546" s="20"/>
      <c r="K546" s="124"/>
      <c r="L546" s="127"/>
      <c r="M546" s="20"/>
      <c r="N546" s="20"/>
      <c r="O546" s="20"/>
      <c r="P546" s="124"/>
      <c r="Q546" s="127"/>
      <c r="R546" s="20"/>
      <c r="S546" s="20"/>
      <c r="T546" s="20"/>
      <c r="U546" s="124"/>
      <c r="V546" s="127"/>
      <c r="W546" s="20"/>
      <c r="X546" s="20"/>
      <c r="Y546" s="20"/>
      <c r="Z546" s="20"/>
      <c r="AA546" s="20"/>
      <c r="AB546" s="20"/>
      <c r="AC546" s="20"/>
      <c r="AD546" s="20"/>
      <c r="AE546" s="20"/>
    </row>
    <row r="547" spans="1:31" ht="19.5">
      <c r="A547" s="20"/>
      <c r="B547" s="20"/>
      <c r="C547" s="20"/>
      <c r="D547" s="20"/>
      <c r="E547" s="20"/>
      <c r="F547" s="20"/>
      <c r="G547" s="124"/>
      <c r="H547" s="20"/>
      <c r="I547" s="20"/>
      <c r="J547" s="20"/>
      <c r="K547" s="124"/>
      <c r="L547" s="127"/>
      <c r="M547" s="20"/>
      <c r="N547" s="20"/>
      <c r="O547" s="20"/>
      <c r="P547" s="124"/>
      <c r="Q547" s="127"/>
      <c r="R547" s="20"/>
      <c r="S547" s="20"/>
      <c r="T547" s="20"/>
      <c r="U547" s="124"/>
      <c r="V547" s="127"/>
      <c r="W547" s="20"/>
      <c r="X547" s="20"/>
      <c r="Y547" s="20"/>
      <c r="Z547" s="20"/>
      <c r="AA547" s="20"/>
      <c r="AB547" s="20"/>
      <c r="AC547" s="20"/>
      <c r="AD547" s="20"/>
      <c r="AE547" s="20"/>
    </row>
    <row r="548" spans="1:31" ht="19.5">
      <c r="A548" s="20"/>
      <c r="B548" s="20"/>
      <c r="C548" s="20"/>
      <c r="D548" s="20"/>
      <c r="E548" s="20"/>
      <c r="F548" s="20"/>
      <c r="G548" s="124"/>
      <c r="H548" s="20"/>
      <c r="I548" s="20"/>
      <c r="J548" s="20"/>
      <c r="K548" s="124"/>
      <c r="L548" s="127"/>
      <c r="M548" s="20"/>
      <c r="N548" s="20"/>
      <c r="O548" s="20"/>
      <c r="P548" s="124"/>
      <c r="Q548" s="127"/>
      <c r="R548" s="20"/>
      <c r="S548" s="20"/>
      <c r="T548" s="20"/>
      <c r="U548" s="124"/>
      <c r="V548" s="127"/>
      <c r="W548" s="20"/>
      <c r="X548" s="20"/>
      <c r="Y548" s="20"/>
      <c r="Z548" s="20"/>
      <c r="AA548" s="20"/>
      <c r="AB548" s="20"/>
      <c r="AC548" s="20"/>
      <c r="AD548" s="20"/>
      <c r="AE548" s="20"/>
    </row>
    <row r="549" spans="1:31" ht="19.5">
      <c r="A549" s="20"/>
      <c r="B549" s="20"/>
      <c r="C549" s="20"/>
      <c r="D549" s="20"/>
      <c r="E549" s="20"/>
      <c r="F549" s="20"/>
      <c r="G549" s="124"/>
      <c r="H549" s="20"/>
      <c r="I549" s="20"/>
      <c r="J549" s="20"/>
      <c r="K549" s="124"/>
      <c r="L549" s="127"/>
      <c r="M549" s="20"/>
      <c r="N549" s="20"/>
      <c r="O549" s="20"/>
      <c r="P549" s="124"/>
      <c r="Q549" s="127"/>
      <c r="R549" s="20"/>
      <c r="S549" s="20"/>
      <c r="T549" s="20"/>
      <c r="U549" s="124"/>
      <c r="V549" s="127"/>
      <c r="W549" s="20"/>
      <c r="X549" s="20"/>
      <c r="Y549" s="20"/>
      <c r="Z549" s="20"/>
      <c r="AA549" s="20"/>
      <c r="AB549" s="20"/>
      <c r="AC549" s="20"/>
      <c r="AD549" s="20"/>
      <c r="AE549" s="20"/>
    </row>
    <row r="550" spans="1:31" ht="19.5">
      <c r="A550" s="20"/>
      <c r="B550" s="20"/>
      <c r="C550" s="20"/>
      <c r="D550" s="20"/>
      <c r="E550" s="20"/>
      <c r="F550" s="20"/>
      <c r="G550" s="124"/>
      <c r="H550" s="20"/>
      <c r="I550" s="20"/>
      <c r="J550" s="20"/>
      <c r="K550" s="124"/>
      <c r="L550" s="127"/>
      <c r="M550" s="20"/>
      <c r="N550" s="20"/>
      <c r="O550" s="20"/>
      <c r="P550" s="124"/>
      <c r="Q550" s="127"/>
      <c r="R550" s="20"/>
      <c r="S550" s="20"/>
      <c r="T550" s="20"/>
      <c r="U550" s="124"/>
      <c r="V550" s="127"/>
      <c r="W550" s="20"/>
      <c r="X550" s="20"/>
      <c r="Y550" s="20"/>
      <c r="Z550" s="20"/>
      <c r="AA550" s="20"/>
      <c r="AB550" s="20"/>
      <c r="AC550" s="20"/>
      <c r="AD550" s="20"/>
      <c r="AE550" s="20"/>
    </row>
    <row r="551" spans="1:31" ht="19.5">
      <c r="A551" s="20"/>
      <c r="B551" s="20"/>
      <c r="C551" s="20"/>
      <c r="D551" s="20"/>
      <c r="E551" s="20"/>
      <c r="F551" s="20"/>
      <c r="G551" s="124"/>
      <c r="H551" s="20"/>
      <c r="I551" s="20"/>
      <c r="J551" s="20"/>
      <c r="K551" s="124"/>
      <c r="L551" s="127"/>
      <c r="M551" s="20"/>
      <c r="N551" s="20"/>
      <c r="O551" s="20"/>
      <c r="P551" s="124"/>
      <c r="Q551" s="127"/>
      <c r="R551" s="20"/>
      <c r="S551" s="20"/>
      <c r="T551" s="20"/>
      <c r="U551" s="124"/>
      <c r="V551" s="127"/>
      <c r="W551" s="20"/>
      <c r="X551" s="20"/>
      <c r="Y551" s="20"/>
      <c r="Z551" s="20"/>
      <c r="AA551" s="20"/>
      <c r="AB551" s="20"/>
      <c r="AC551" s="20"/>
      <c r="AD551" s="20"/>
      <c r="AE551" s="20"/>
    </row>
    <row r="552" spans="1:31" ht="19.5">
      <c r="A552" s="20"/>
      <c r="B552" s="20"/>
      <c r="C552" s="20"/>
      <c r="D552" s="20"/>
      <c r="E552" s="20"/>
      <c r="F552" s="20"/>
      <c r="G552" s="124"/>
      <c r="H552" s="20"/>
      <c r="I552" s="20"/>
      <c r="J552" s="20"/>
      <c r="K552" s="124"/>
      <c r="L552" s="127"/>
      <c r="M552" s="20"/>
      <c r="N552" s="20"/>
      <c r="O552" s="20"/>
      <c r="P552" s="124"/>
      <c r="Q552" s="127"/>
      <c r="R552" s="20"/>
      <c r="S552" s="20"/>
      <c r="T552" s="20"/>
      <c r="U552" s="124"/>
      <c r="V552" s="127"/>
      <c r="W552" s="20"/>
      <c r="X552" s="20"/>
      <c r="Y552" s="20"/>
      <c r="Z552" s="20"/>
      <c r="AA552" s="20"/>
      <c r="AB552" s="20"/>
      <c r="AC552" s="20"/>
      <c r="AD552" s="20"/>
      <c r="AE552" s="20"/>
    </row>
    <row r="553" spans="1:31" ht="19.5">
      <c r="A553" s="20"/>
      <c r="B553" s="20"/>
      <c r="C553" s="20"/>
      <c r="D553" s="20"/>
      <c r="E553" s="20"/>
      <c r="F553" s="20"/>
      <c r="G553" s="124"/>
      <c r="H553" s="20"/>
      <c r="I553" s="20"/>
      <c r="J553" s="20"/>
      <c r="K553" s="124"/>
      <c r="L553" s="127"/>
      <c r="M553" s="20"/>
      <c r="N553" s="20"/>
      <c r="O553" s="20"/>
      <c r="P553" s="124"/>
      <c r="Q553" s="127"/>
      <c r="R553" s="20"/>
      <c r="S553" s="20"/>
      <c r="T553" s="20"/>
      <c r="U553" s="124"/>
      <c r="V553" s="127"/>
      <c r="W553" s="20"/>
      <c r="X553" s="20"/>
      <c r="Y553" s="20"/>
      <c r="Z553" s="20"/>
      <c r="AA553" s="20"/>
      <c r="AB553" s="20"/>
      <c r="AC553" s="20"/>
      <c r="AD553" s="20"/>
      <c r="AE553" s="20"/>
    </row>
    <row r="554" spans="1:31" ht="19.5">
      <c r="A554" s="20"/>
      <c r="B554" s="20"/>
      <c r="C554" s="20"/>
      <c r="D554" s="20"/>
      <c r="E554" s="20"/>
      <c r="F554" s="20"/>
      <c r="G554" s="124"/>
      <c r="H554" s="20"/>
      <c r="I554" s="20"/>
      <c r="J554" s="20"/>
      <c r="K554" s="124"/>
      <c r="L554" s="127"/>
      <c r="M554" s="20"/>
      <c r="N554" s="20"/>
      <c r="O554" s="20"/>
      <c r="P554" s="124"/>
      <c r="Q554" s="127"/>
      <c r="R554" s="20"/>
      <c r="S554" s="20"/>
      <c r="T554" s="20"/>
      <c r="U554" s="124"/>
      <c r="V554" s="127"/>
      <c r="W554" s="20"/>
      <c r="X554" s="20"/>
      <c r="Y554" s="20"/>
      <c r="Z554" s="20"/>
      <c r="AA554" s="20"/>
      <c r="AB554" s="20"/>
      <c r="AC554" s="20"/>
      <c r="AD554" s="20"/>
      <c r="AE554" s="20"/>
    </row>
    <row r="555" spans="1:31" ht="19.5">
      <c r="A555" s="20"/>
      <c r="B555" s="20"/>
      <c r="C555" s="20"/>
      <c r="D555" s="20"/>
      <c r="E555" s="20"/>
      <c r="F555" s="20"/>
      <c r="G555" s="124"/>
      <c r="H555" s="20"/>
      <c r="I555" s="20"/>
      <c r="J555" s="20"/>
      <c r="K555" s="124"/>
      <c r="L555" s="127"/>
      <c r="M555" s="20"/>
      <c r="N555" s="20"/>
      <c r="O555" s="20"/>
      <c r="P555" s="124"/>
      <c r="Q555" s="127"/>
      <c r="R555" s="20"/>
      <c r="S555" s="20"/>
      <c r="T555" s="20"/>
      <c r="U555" s="124"/>
      <c r="V555" s="127"/>
      <c r="W555" s="20"/>
      <c r="X555" s="20"/>
      <c r="Y555" s="20"/>
      <c r="Z555" s="20"/>
      <c r="AA555" s="20"/>
      <c r="AB555" s="20"/>
      <c r="AC555" s="20"/>
      <c r="AD555" s="20"/>
      <c r="AE555" s="20"/>
    </row>
    <row r="556" spans="1:31" ht="19.5">
      <c r="A556" s="20"/>
      <c r="B556" s="20"/>
      <c r="C556" s="20"/>
      <c r="D556" s="20"/>
      <c r="E556" s="20"/>
      <c r="F556" s="20"/>
      <c r="G556" s="124"/>
      <c r="H556" s="20"/>
      <c r="I556" s="20"/>
      <c r="J556" s="20"/>
      <c r="K556" s="124"/>
      <c r="L556" s="127"/>
      <c r="M556" s="20"/>
      <c r="N556" s="20"/>
      <c r="O556" s="20"/>
      <c r="P556" s="124"/>
      <c r="Q556" s="127"/>
      <c r="R556" s="20"/>
      <c r="S556" s="20"/>
      <c r="T556" s="20"/>
      <c r="U556" s="124"/>
      <c r="V556" s="127"/>
      <c r="W556" s="20"/>
      <c r="X556" s="20"/>
      <c r="Y556" s="20"/>
      <c r="Z556" s="20"/>
      <c r="AA556" s="20"/>
      <c r="AB556" s="20"/>
      <c r="AC556" s="20"/>
      <c r="AD556" s="20"/>
      <c r="AE556" s="20"/>
    </row>
    <row r="557" spans="1:31" ht="19.5">
      <c r="A557" s="20"/>
      <c r="B557" s="20"/>
      <c r="C557" s="20"/>
      <c r="D557" s="20"/>
      <c r="E557" s="20"/>
      <c r="F557" s="20"/>
      <c r="G557" s="124"/>
      <c r="H557" s="20"/>
      <c r="I557" s="20"/>
      <c r="J557" s="20"/>
      <c r="K557" s="124"/>
      <c r="L557" s="127"/>
      <c r="M557" s="20"/>
      <c r="N557" s="20"/>
      <c r="O557" s="20"/>
      <c r="P557" s="124"/>
      <c r="Q557" s="127"/>
      <c r="R557" s="20"/>
      <c r="S557" s="20"/>
      <c r="T557" s="20"/>
      <c r="U557" s="124"/>
      <c r="V557" s="127"/>
      <c r="W557" s="20"/>
      <c r="X557" s="20"/>
      <c r="Y557" s="20"/>
      <c r="Z557" s="20"/>
      <c r="AA557" s="20"/>
      <c r="AB557" s="20"/>
      <c r="AC557" s="20"/>
      <c r="AD557" s="20"/>
      <c r="AE557" s="20"/>
    </row>
    <row r="558" spans="1:31" ht="19.5">
      <c r="A558" s="20"/>
      <c r="B558" s="20"/>
      <c r="C558" s="20"/>
      <c r="D558" s="20"/>
      <c r="E558" s="20"/>
      <c r="F558" s="20"/>
      <c r="G558" s="124"/>
      <c r="H558" s="20"/>
      <c r="I558" s="20"/>
      <c r="J558" s="20"/>
      <c r="K558" s="124"/>
      <c r="L558" s="127"/>
      <c r="M558" s="20"/>
      <c r="N558" s="20"/>
      <c r="O558" s="20"/>
      <c r="P558" s="124"/>
      <c r="Q558" s="127"/>
      <c r="R558" s="20"/>
      <c r="S558" s="20"/>
      <c r="T558" s="20"/>
      <c r="U558" s="124"/>
      <c r="V558" s="127"/>
      <c r="W558" s="20"/>
      <c r="X558" s="20"/>
      <c r="Y558" s="20"/>
      <c r="Z558" s="20"/>
      <c r="AA558" s="20"/>
      <c r="AB558" s="20"/>
      <c r="AC558" s="20"/>
      <c r="AD558" s="20"/>
      <c r="AE558" s="20"/>
    </row>
    <row r="559" spans="1:31" ht="19.5">
      <c r="A559" s="20"/>
      <c r="B559" s="20"/>
      <c r="C559" s="20"/>
      <c r="D559" s="20"/>
      <c r="E559" s="20"/>
      <c r="F559" s="20"/>
      <c r="G559" s="124"/>
      <c r="H559" s="20"/>
      <c r="I559" s="20"/>
      <c r="J559" s="20"/>
      <c r="K559" s="124"/>
      <c r="L559" s="127"/>
      <c r="M559" s="20"/>
      <c r="N559" s="20"/>
      <c r="O559" s="20"/>
      <c r="P559" s="124"/>
      <c r="Q559" s="127"/>
      <c r="R559" s="20"/>
      <c r="S559" s="20"/>
      <c r="T559" s="20"/>
      <c r="U559" s="124"/>
      <c r="V559" s="127"/>
      <c r="W559" s="20"/>
      <c r="X559" s="20"/>
      <c r="Y559" s="20"/>
      <c r="Z559" s="20"/>
      <c r="AA559" s="20"/>
      <c r="AB559" s="20"/>
      <c r="AC559" s="20"/>
      <c r="AD559" s="20"/>
      <c r="AE559" s="20"/>
    </row>
    <row r="560" spans="1:31" ht="19.5">
      <c r="A560" s="20"/>
      <c r="B560" s="20"/>
      <c r="C560" s="20"/>
      <c r="D560" s="20"/>
      <c r="E560" s="20"/>
      <c r="F560" s="20"/>
      <c r="G560" s="124"/>
      <c r="H560" s="20"/>
      <c r="I560" s="20"/>
      <c r="J560" s="20"/>
      <c r="K560" s="124"/>
      <c r="L560" s="127"/>
      <c r="M560" s="20"/>
      <c r="N560" s="20"/>
      <c r="O560" s="20"/>
      <c r="P560" s="124"/>
      <c r="Q560" s="127"/>
      <c r="R560" s="20"/>
      <c r="S560" s="20"/>
      <c r="T560" s="20"/>
      <c r="U560" s="124"/>
      <c r="V560" s="127"/>
      <c r="W560" s="20"/>
      <c r="X560" s="20"/>
      <c r="Y560" s="20"/>
      <c r="Z560" s="20"/>
      <c r="AA560" s="20"/>
      <c r="AB560" s="20"/>
      <c r="AC560" s="20"/>
      <c r="AD560" s="20"/>
      <c r="AE560" s="20"/>
    </row>
    <row r="561" spans="1:31" ht="19.5">
      <c r="A561" s="20"/>
      <c r="B561" s="20"/>
      <c r="C561" s="20"/>
      <c r="D561" s="20"/>
      <c r="E561" s="20"/>
      <c r="F561" s="20"/>
      <c r="G561" s="124"/>
      <c r="H561" s="20"/>
      <c r="I561" s="20"/>
      <c r="J561" s="20"/>
      <c r="K561" s="124"/>
      <c r="L561" s="127"/>
      <c r="M561" s="20"/>
      <c r="N561" s="20"/>
      <c r="O561" s="20"/>
      <c r="P561" s="124"/>
      <c r="Q561" s="127"/>
      <c r="R561" s="20"/>
      <c r="S561" s="20"/>
      <c r="T561" s="20"/>
      <c r="U561" s="124"/>
      <c r="V561" s="127"/>
      <c r="W561" s="20"/>
      <c r="X561" s="20"/>
      <c r="Y561" s="20"/>
      <c r="Z561" s="20"/>
      <c r="AA561" s="20"/>
      <c r="AB561" s="20"/>
      <c r="AC561" s="20"/>
      <c r="AD561" s="20"/>
      <c r="AE561" s="20"/>
    </row>
    <row r="562" spans="1:31" ht="19.5">
      <c r="A562" s="20"/>
      <c r="B562" s="20"/>
      <c r="C562" s="20"/>
      <c r="D562" s="20"/>
      <c r="E562" s="20"/>
      <c r="F562" s="20"/>
      <c r="G562" s="124"/>
      <c r="H562" s="20"/>
      <c r="I562" s="20"/>
      <c r="J562" s="20"/>
      <c r="K562" s="124"/>
      <c r="L562" s="127"/>
      <c r="M562" s="20"/>
      <c r="N562" s="20"/>
      <c r="O562" s="20"/>
      <c r="P562" s="124"/>
      <c r="Q562" s="127"/>
      <c r="R562" s="20"/>
      <c r="S562" s="20"/>
      <c r="T562" s="20"/>
      <c r="U562" s="124"/>
      <c r="V562" s="127"/>
      <c r="W562" s="20"/>
      <c r="X562" s="20"/>
      <c r="Y562" s="20"/>
      <c r="Z562" s="20"/>
      <c r="AA562" s="20"/>
      <c r="AB562" s="20"/>
      <c r="AC562" s="20"/>
      <c r="AD562" s="20"/>
      <c r="AE562" s="20"/>
    </row>
    <row r="563" spans="1:31" ht="19.5">
      <c r="A563" s="20"/>
      <c r="B563" s="20"/>
      <c r="C563" s="20"/>
      <c r="D563" s="20"/>
      <c r="E563" s="20"/>
      <c r="F563" s="20"/>
      <c r="G563" s="124"/>
      <c r="H563" s="20"/>
      <c r="I563" s="20"/>
      <c r="J563" s="20"/>
      <c r="K563" s="124"/>
      <c r="L563" s="127"/>
      <c r="M563" s="20"/>
      <c r="N563" s="20"/>
      <c r="O563" s="20"/>
      <c r="P563" s="124"/>
      <c r="Q563" s="127"/>
      <c r="R563" s="20"/>
      <c r="S563" s="20"/>
      <c r="T563" s="20"/>
      <c r="U563" s="124"/>
      <c r="V563" s="127"/>
      <c r="W563" s="20"/>
      <c r="X563" s="20"/>
      <c r="Y563" s="20"/>
      <c r="Z563" s="20"/>
      <c r="AA563" s="20"/>
      <c r="AB563" s="20"/>
      <c r="AC563" s="20"/>
      <c r="AD563" s="20"/>
      <c r="AE563" s="20"/>
    </row>
    <row r="564" spans="1:31" ht="19.5">
      <c r="A564" s="20"/>
      <c r="B564" s="20"/>
      <c r="C564" s="20"/>
      <c r="D564" s="20"/>
      <c r="E564" s="20"/>
      <c r="F564" s="20"/>
      <c r="G564" s="124"/>
      <c r="H564" s="20"/>
      <c r="I564" s="20"/>
      <c r="J564" s="20"/>
      <c r="K564" s="124"/>
      <c r="L564" s="127"/>
      <c r="M564" s="20"/>
      <c r="N564" s="20"/>
      <c r="O564" s="20"/>
      <c r="P564" s="124"/>
      <c r="Q564" s="127"/>
      <c r="R564" s="20"/>
      <c r="S564" s="20"/>
      <c r="T564" s="20"/>
      <c r="U564" s="124"/>
      <c r="V564" s="127"/>
      <c r="W564" s="20"/>
      <c r="X564" s="20"/>
      <c r="Y564" s="20"/>
      <c r="Z564" s="20"/>
      <c r="AA564" s="20"/>
      <c r="AB564" s="20"/>
      <c r="AC564" s="20"/>
      <c r="AD564" s="20"/>
      <c r="AE564" s="20"/>
    </row>
    <row r="565" spans="1:31" ht="19.5">
      <c r="A565" s="20"/>
      <c r="B565" s="20"/>
      <c r="C565" s="20"/>
      <c r="D565" s="20"/>
      <c r="E565" s="20"/>
      <c r="F565" s="20"/>
      <c r="G565" s="124"/>
      <c r="H565" s="20"/>
      <c r="I565" s="20"/>
      <c r="J565" s="20"/>
      <c r="K565" s="124"/>
      <c r="L565" s="127"/>
      <c r="M565" s="20"/>
      <c r="N565" s="20"/>
      <c r="O565" s="20"/>
      <c r="P565" s="124"/>
      <c r="Q565" s="127"/>
      <c r="R565" s="20"/>
      <c r="S565" s="20"/>
      <c r="T565" s="20"/>
      <c r="U565" s="124"/>
      <c r="V565" s="127"/>
      <c r="W565" s="20"/>
      <c r="X565" s="20"/>
      <c r="Y565" s="20"/>
      <c r="Z565" s="20"/>
      <c r="AA565" s="20"/>
      <c r="AB565" s="20"/>
      <c r="AC565" s="20"/>
      <c r="AD565" s="20"/>
      <c r="AE565" s="20"/>
    </row>
    <row r="566" spans="1:31" ht="19.5">
      <c r="A566" s="20"/>
      <c r="B566" s="20"/>
      <c r="C566" s="20"/>
      <c r="D566" s="20"/>
      <c r="E566" s="20"/>
      <c r="F566" s="20"/>
      <c r="G566" s="124"/>
      <c r="H566" s="20"/>
      <c r="I566" s="20"/>
      <c r="J566" s="20"/>
      <c r="K566" s="124"/>
      <c r="L566" s="127"/>
      <c r="M566" s="20"/>
      <c r="N566" s="20"/>
      <c r="O566" s="20"/>
      <c r="P566" s="124"/>
      <c r="Q566" s="127"/>
      <c r="R566" s="20"/>
      <c r="S566" s="20"/>
      <c r="T566" s="20"/>
      <c r="U566" s="124"/>
      <c r="V566" s="127"/>
      <c r="W566" s="20"/>
      <c r="X566" s="20"/>
      <c r="Y566" s="20"/>
      <c r="Z566" s="20"/>
      <c r="AA566" s="20"/>
      <c r="AB566" s="20"/>
      <c r="AC566" s="20"/>
      <c r="AD566" s="20"/>
      <c r="AE566" s="20"/>
    </row>
    <row r="567" spans="1:31" ht="19.5">
      <c r="A567" s="20"/>
      <c r="B567" s="20"/>
      <c r="C567" s="20"/>
      <c r="D567" s="20"/>
      <c r="E567" s="20"/>
      <c r="F567" s="20"/>
      <c r="G567" s="124"/>
      <c r="H567" s="20"/>
      <c r="I567" s="20"/>
      <c r="J567" s="20"/>
      <c r="K567" s="124"/>
      <c r="L567" s="127"/>
      <c r="M567" s="20"/>
      <c r="N567" s="20"/>
      <c r="O567" s="20"/>
      <c r="P567" s="124"/>
      <c r="Q567" s="127"/>
      <c r="R567" s="20"/>
      <c r="S567" s="20"/>
      <c r="T567" s="20"/>
      <c r="U567" s="124"/>
      <c r="V567" s="127"/>
      <c r="W567" s="20"/>
      <c r="X567" s="20"/>
      <c r="Y567" s="20"/>
      <c r="Z567" s="20"/>
      <c r="AA567" s="20"/>
      <c r="AB567" s="20"/>
      <c r="AC567" s="20"/>
      <c r="AD567" s="20"/>
      <c r="AE567" s="20"/>
    </row>
    <row r="568" spans="1:31" ht="19.5">
      <c r="A568" s="20"/>
      <c r="B568" s="20"/>
      <c r="C568" s="20"/>
      <c r="D568" s="20"/>
      <c r="E568" s="20"/>
      <c r="F568" s="20"/>
      <c r="G568" s="124"/>
      <c r="H568" s="20"/>
      <c r="I568" s="20"/>
      <c r="J568" s="20"/>
      <c r="K568" s="124"/>
      <c r="L568" s="127"/>
      <c r="M568" s="20"/>
      <c r="N568" s="20"/>
      <c r="O568" s="20"/>
      <c r="P568" s="124"/>
      <c r="Q568" s="127"/>
      <c r="R568" s="20"/>
      <c r="S568" s="20"/>
      <c r="T568" s="20"/>
      <c r="U568" s="124"/>
      <c r="V568" s="127"/>
      <c r="W568" s="20"/>
      <c r="X568" s="20"/>
      <c r="Y568" s="20"/>
      <c r="Z568" s="20"/>
      <c r="AA568" s="20"/>
      <c r="AB568" s="20"/>
      <c r="AC568" s="20"/>
      <c r="AD568" s="20"/>
      <c r="AE568" s="20"/>
    </row>
    <row r="569" spans="1:31" ht="19.5">
      <c r="A569" s="20"/>
      <c r="B569" s="20"/>
      <c r="C569" s="20"/>
      <c r="D569" s="20"/>
      <c r="E569" s="20"/>
      <c r="F569" s="20"/>
      <c r="G569" s="124"/>
      <c r="H569" s="20"/>
      <c r="I569" s="20"/>
      <c r="J569" s="20"/>
      <c r="K569" s="124"/>
      <c r="L569" s="127"/>
      <c r="M569" s="20"/>
      <c r="N569" s="20"/>
      <c r="O569" s="20"/>
      <c r="P569" s="124"/>
      <c r="Q569" s="127"/>
      <c r="R569" s="20"/>
      <c r="S569" s="20"/>
      <c r="T569" s="20"/>
      <c r="U569" s="124"/>
      <c r="V569" s="127"/>
      <c r="W569" s="20"/>
      <c r="X569" s="20"/>
      <c r="Y569" s="20"/>
      <c r="Z569" s="20"/>
      <c r="AA569" s="20"/>
      <c r="AB569" s="20"/>
      <c r="AC569" s="20"/>
      <c r="AD569" s="20"/>
      <c r="AE569" s="20"/>
    </row>
    <row r="570" spans="1:31" ht="19.5">
      <c r="A570" s="20"/>
      <c r="B570" s="20"/>
      <c r="C570" s="20"/>
      <c r="D570" s="20"/>
      <c r="E570" s="20"/>
      <c r="F570" s="20"/>
      <c r="G570" s="124"/>
      <c r="H570" s="20"/>
      <c r="I570" s="20"/>
      <c r="J570" s="20"/>
      <c r="K570" s="124"/>
      <c r="L570" s="127"/>
      <c r="M570" s="20"/>
      <c r="N570" s="20"/>
      <c r="O570" s="20"/>
      <c r="P570" s="124"/>
      <c r="Q570" s="127"/>
      <c r="R570" s="20"/>
      <c r="S570" s="20"/>
      <c r="T570" s="20"/>
      <c r="U570" s="124"/>
      <c r="V570" s="127"/>
      <c r="W570" s="20"/>
      <c r="X570" s="20"/>
      <c r="Y570" s="20"/>
      <c r="Z570" s="20"/>
      <c r="AA570" s="20"/>
      <c r="AB570" s="20"/>
      <c r="AC570" s="20"/>
      <c r="AD570" s="20"/>
      <c r="AE570" s="20"/>
    </row>
    <row r="571" spans="1:31" ht="19.5">
      <c r="A571" s="20"/>
      <c r="B571" s="20"/>
      <c r="C571" s="20"/>
      <c r="D571" s="20"/>
      <c r="E571" s="20"/>
      <c r="F571" s="20"/>
      <c r="G571" s="124"/>
      <c r="H571" s="20"/>
      <c r="I571" s="20"/>
      <c r="J571" s="20"/>
      <c r="K571" s="124"/>
      <c r="L571" s="127"/>
      <c r="M571" s="20"/>
      <c r="N571" s="20"/>
      <c r="O571" s="20"/>
      <c r="P571" s="124"/>
      <c r="Q571" s="127"/>
      <c r="R571" s="20"/>
      <c r="S571" s="20"/>
      <c r="T571" s="20"/>
      <c r="U571" s="124"/>
      <c r="V571" s="127"/>
      <c r="W571" s="20"/>
      <c r="X571" s="20"/>
      <c r="Y571" s="20"/>
      <c r="Z571" s="20"/>
      <c r="AA571" s="20"/>
      <c r="AB571" s="20"/>
      <c r="AC571" s="20"/>
      <c r="AD571" s="20"/>
      <c r="AE571" s="20"/>
    </row>
    <row r="572" spans="1:31" ht="19.5">
      <c r="A572" s="20"/>
      <c r="B572" s="20"/>
      <c r="C572" s="20"/>
      <c r="D572" s="20"/>
      <c r="E572" s="20"/>
      <c r="F572" s="20"/>
      <c r="G572" s="124"/>
      <c r="H572" s="20"/>
      <c r="I572" s="20"/>
      <c r="J572" s="20"/>
      <c r="K572" s="124"/>
      <c r="L572" s="127"/>
      <c r="M572" s="20"/>
      <c r="N572" s="20"/>
      <c r="O572" s="20"/>
      <c r="P572" s="124"/>
      <c r="Q572" s="127"/>
      <c r="R572" s="20"/>
      <c r="S572" s="20"/>
      <c r="T572" s="20"/>
      <c r="U572" s="124"/>
      <c r="V572" s="127"/>
      <c r="W572" s="20"/>
      <c r="X572" s="20"/>
      <c r="Y572" s="20"/>
      <c r="Z572" s="20"/>
      <c r="AA572" s="20"/>
      <c r="AB572" s="20"/>
      <c r="AC572" s="20"/>
      <c r="AD572" s="20"/>
      <c r="AE572" s="20"/>
    </row>
    <row r="573" spans="1:31" ht="19.5">
      <c r="A573" s="20"/>
      <c r="B573" s="20"/>
      <c r="C573" s="20"/>
      <c r="D573" s="20"/>
      <c r="E573" s="20"/>
      <c r="F573" s="20"/>
      <c r="G573" s="124"/>
      <c r="H573" s="20"/>
      <c r="I573" s="20"/>
      <c r="J573" s="20"/>
      <c r="K573" s="124"/>
      <c r="L573" s="127"/>
      <c r="M573" s="20"/>
      <c r="N573" s="20"/>
      <c r="O573" s="20"/>
      <c r="P573" s="124"/>
      <c r="Q573" s="127"/>
      <c r="R573" s="20"/>
      <c r="S573" s="20"/>
      <c r="T573" s="20"/>
      <c r="U573" s="124"/>
      <c r="V573" s="127"/>
      <c r="W573" s="20"/>
      <c r="X573" s="20"/>
      <c r="Y573" s="20"/>
      <c r="Z573" s="20"/>
      <c r="AA573" s="20"/>
      <c r="AB573" s="20"/>
      <c r="AC573" s="20"/>
      <c r="AD573" s="20"/>
      <c r="AE573" s="20"/>
    </row>
    <row r="574" spans="1:31" ht="19.5">
      <c r="A574" s="20"/>
      <c r="B574" s="20"/>
      <c r="C574" s="20"/>
      <c r="D574" s="20"/>
      <c r="E574" s="20"/>
      <c r="F574" s="20"/>
      <c r="G574" s="124"/>
      <c r="H574" s="20"/>
      <c r="I574" s="20"/>
      <c r="J574" s="20"/>
      <c r="K574" s="124"/>
      <c r="L574" s="127"/>
      <c r="M574" s="20"/>
      <c r="N574" s="20"/>
      <c r="O574" s="20"/>
      <c r="P574" s="124"/>
      <c r="Q574" s="127"/>
      <c r="R574" s="20"/>
      <c r="S574" s="20"/>
      <c r="T574" s="20"/>
      <c r="U574" s="124"/>
      <c r="V574" s="127"/>
      <c r="W574" s="20"/>
      <c r="X574" s="20"/>
      <c r="Y574" s="20"/>
      <c r="Z574" s="20"/>
      <c r="AA574" s="20"/>
      <c r="AB574" s="20"/>
      <c r="AC574" s="20"/>
      <c r="AD574" s="20"/>
      <c r="AE574" s="20"/>
    </row>
    <row r="575" spans="1:31" ht="19.5">
      <c r="A575" s="20"/>
      <c r="B575" s="20"/>
      <c r="C575" s="20"/>
      <c r="D575" s="20"/>
      <c r="E575" s="20"/>
      <c r="F575" s="20"/>
      <c r="G575" s="124"/>
      <c r="H575" s="20"/>
      <c r="I575" s="20"/>
      <c r="J575" s="20"/>
      <c r="K575" s="124"/>
      <c r="L575" s="127"/>
      <c r="M575" s="20"/>
      <c r="N575" s="20"/>
      <c r="O575" s="20"/>
      <c r="P575" s="124"/>
      <c r="Q575" s="127"/>
      <c r="R575" s="20"/>
      <c r="S575" s="20"/>
      <c r="T575" s="20"/>
      <c r="U575" s="124"/>
      <c r="V575" s="127"/>
      <c r="W575" s="20"/>
      <c r="X575" s="20"/>
      <c r="Y575" s="20"/>
      <c r="Z575" s="20"/>
      <c r="AA575" s="20"/>
      <c r="AB575" s="20"/>
      <c r="AC575" s="20"/>
      <c r="AD575" s="20"/>
      <c r="AE575" s="20"/>
    </row>
    <row r="576" spans="1:31" ht="19.5">
      <c r="A576" s="20"/>
      <c r="B576" s="20"/>
      <c r="C576" s="20"/>
      <c r="D576" s="20"/>
      <c r="E576" s="20"/>
      <c r="F576" s="20"/>
      <c r="G576" s="124"/>
      <c r="H576" s="20"/>
      <c r="I576" s="20"/>
      <c r="J576" s="20"/>
      <c r="K576" s="124"/>
      <c r="L576" s="127"/>
      <c r="M576" s="20"/>
      <c r="N576" s="20"/>
      <c r="O576" s="20"/>
      <c r="P576" s="124"/>
      <c r="Q576" s="127"/>
      <c r="R576" s="20"/>
      <c r="S576" s="20"/>
      <c r="T576" s="20"/>
      <c r="U576" s="124"/>
      <c r="V576" s="127"/>
      <c r="W576" s="20"/>
      <c r="X576" s="20"/>
      <c r="Y576" s="20"/>
      <c r="Z576" s="20"/>
      <c r="AA576" s="20"/>
      <c r="AB576" s="20"/>
      <c r="AC576" s="20"/>
      <c r="AD576" s="20"/>
      <c r="AE576" s="20"/>
    </row>
    <row r="577" spans="1:31" ht="19.5">
      <c r="A577" s="20"/>
      <c r="B577" s="20"/>
      <c r="C577" s="20"/>
      <c r="D577" s="20"/>
      <c r="E577" s="20"/>
      <c r="F577" s="20"/>
      <c r="G577" s="124"/>
      <c r="H577" s="20"/>
      <c r="I577" s="20"/>
      <c r="J577" s="20"/>
      <c r="K577" s="124"/>
      <c r="L577" s="127"/>
      <c r="M577" s="20"/>
      <c r="N577" s="20"/>
      <c r="O577" s="20"/>
      <c r="P577" s="124"/>
      <c r="Q577" s="127"/>
      <c r="R577" s="20"/>
      <c r="S577" s="20"/>
      <c r="T577" s="20"/>
      <c r="U577" s="124"/>
      <c r="V577" s="127"/>
      <c r="W577" s="20"/>
      <c r="X577" s="20"/>
      <c r="Y577" s="20"/>
      <c r="Z577" s="20"/>
      <c r="AA577" s="20"/>
      <c r="AB577" s="20"/>
      <c r="AC577" s="20"/>
      <c r="AD577" s="20"/>
      <c r="AE577" s="20"/>
    </row>
    <row r="578" spans="1:31" ht="19.5">
      <c r="A578" s="20"/>
      <c r="B578" s="20"/>
      <c r="C578" s="20"/>
      <c r="D578" s="20"/>
      <c r="E578" s="20"/>
      <c r="F578" s="20"/>
      <c r="G578" s="124"/>
      <c r="H578" s="20"/>
      <c r="I578" s="20"/>
      <c r="J578" s="20"/>
      <c r="K578" s="124"/>
      <c r="L578" s="127"/>
      <c r="M578" s="20"/>
      <c r="N578" s="20"/>
      <c r="O578" s="20"/>
      <c r="P578" s="124"/>
      <c r="Q578" s="127"/>
      <c r="R578" s="20"/>
      <c r="S578" s="20"/>
      <c r="T578" s="20"/>
      <c r="U578" s="124"/>
      <c r="V578" s="127"/>
      <c r="W578" s="20"/>
      <c r="X578" s="20"/>
      <c r="Y578" s="20"/>
      <c r="Z578" s="20"/>
      <c r="AA578" s="20"/>
      <c r="AB578" s="20"/>
      <c r="AC578" s="20"/>
      <c r="AD578" s="20"/>
      <c r="AE578" s="20"/>
    </row>
    <row r="579" spans="1:31" ht="19.5">
      <c r="A579" s="20"/>
      <c r="B579" s="20"/>
      <c r="C579" s="20"/>
      <c r="D579" s="20"/>
      <c r="E579" s="20"/>
      <c r="F579" s="20"/>
      <c r="G579" s="124"/>
      <c r="H579" s="20"/>
      <c r="I579" s="20"/>
      <c r="J579" s="20"/>
      <c r="K579" s="124"/>
      <c r="L579" s="127"/>
      <c r="M579" s="20"/>
      <c r="N579" s="20"/>
      <c r="O579" s="20"/>
      <c r="P579" s="124"/>
      <c r="Q579" s="127"/>
      <c r="R579" s="20"/>
      <c r="S579" s="20"/>
      <c r="T579" s="20"/>
      <c r="U579" s="124"/>
      <c r="V579" s="127"/>
      <c r="W579" s="20"/>
      <c r="X579" s="20"/>
      <c r="Y579" s="20"/>
      <c r="Z579" s="20"/>
      <c r="AA579" s="20"/>
      <c r="AB579" s="20"/>
      <c r="AC579" s="20"/>
      <c r="AD579" s="20"/>
      <c r="AE579" s="20"/>
    </row>
    <row r="580" spans="1:31" ht="19.5">
      <c r="A580" s="20"/>
      <c r="B580" s="20"/>
      <c r="C580" s="20"/>
      <c r="D580" s="20"/>
      <c r="E580" s="20"/>
      <c r="F580" s="20"/>
      <c r="G580" s="124"/>
      <c r="H580" s="20"/>
      <c r="I580" s="20"/>
      <c r="J580" s="20"/>
      <c r="K580" s="124"/>
      <c r="L580" s="127"/>
      <c r="M580" s="20"/>
      <c r="N580" s="20"/>
      <c r="O580" s="20"/>
      <c r="P580" s="124"/>
      <c r="Q580" s="127"/>
      <c r="R580" s="20"/>
      <c r="S580" s="20"/>
      <c r="T580" s="20"/>
      <c r="U580" s="124"/>
      <c r="V580" s="127"/>
      <c r="W580" s="20"/>
      <c r="X580" s="20"/>
      <c r="Y580" s="20"/>
      <c r="Z580" s="20"/>
      <c r="AA580" s="20"/>
      <c r="AB580" s="20"/>
      <c r="AC580" s="20"/>
      <c r="AD580" s="20"/>
      <c r="AE580" s="20"/>
    </row>
    <row r="581" spans="1:31" ht="19.5">
      <c r="A581" s="20"/>
      <c r="B581" s="20"/>
      <c r="C581" s="20"/>
      <c r="D581" s="20"/>
      <c r="E581" s="20"/>
      <c r="F581" s="20"/>
      <c r="G581" s="124"/>
      <c r="H581" s="20"/>
      <c r="I581" s="20"/>
      <c r="J581" s="20"/>
      <c r="K581" s="124"/>
      <c r="L581" s="127"/>
      <c r="M581" s="20"/>
      <c r="N581" s="20"/>
      <c r="O581" s="20"/>
      <c r="P581" s="124"/>
      <c r="Q581" s="127"/>
      <c r="R581" s="20"/>
      <c r="S581" s="20"/>
      <c r="T581" s="20"/>
      <c r="U581" s="124"/>
      <c r="V581" s="127"/>
      <c r="W581" s="20"/>
      <c r="X581" s="20"/>
      <c r="Y581" s="20"/>
      <c r="Z581" s="20"/>
      <c r="AA581" s="20"/>
      <c r="AB581" s="20"/>
      <c r="AC581" s="20"/>
      <c r="AD581" s="20"/>
      <c r="AE581" s="20"/>
    </row>
    <row r="582" spans="1:31" ht="19.5">
      <c r="A582" s="20"/>
      <c r="B582" s="20"/>
      <c r="C582" s="20"/>
      <c r="D582" s="20"/>
      <c r="E582" s="20"/>
      <c r="F582" s="20"/>
      <c r="G582" s="124"/>
      <c r="H582" s="20"/>
      <c r="I582" s="20"/>
      <c r="J582" s="20"/>
      <c r="K582" s="124"/>
      <c r="L582" s="127"/>
      <c r="M582" s="20"/>
      <c r="N582" s="20"/>
      <c r="O582" s="20"/>
      <c r="P582" s="124"/>
      <c r="Q582" s="127"/>
      <c r="R582" s="20"/>
      <c r="S582" s="20"/>
      <c r="T582" s="20"/>
      <c r="U582" s="124"/>
      <c r="V582" s="127"/>
      <c r="W582" s="20"/>
      <c r="X582" s="20"/>
      <c r="Y582" s="20"/>
      <c r="Z582" s="20"/>
      <c r="AA582" s="20"/>
      <c r="AB582" s="20"/>
      <c r="AC582" s="20"/>
      <c r="AD582" s="20"/>
      <c r="AE582" s="20"/>
    </row>
    <row r="583" spans="1:31" ht="19.5">
      <c r="A583" s="20"/>
      <c r="B583" s="20"/>
      <c r="C583" s="20"/>
      <c r="D583" s="20"/>
      <c r="E583" s="20"/>
      <c r="F583" s="20"/>
      <c r="G583" s="124"/>
      <c r="H583" s="20"/>
      <c r="I583" s="20"/>
      <c r="J583" s="20"/>
      <c r="K583" s="124"/>
      <c r="L583" s="127"/>
      <c r="M583" s="20"/>
      <c r="N583" s="20"/>
      <c r="O583" s="20"/>
      <c r="P583" s="124"/>
      <c r="Q583" s="127"/>
      <c r="R583" s="20"/>
      <c r="S583" s="20"/>
      <c r="T583" s="20"/>
      <c r="U583" s="124"/>
      <c r="V583" s="127"/>
      <c r="W583" s="20"/>
      <c r="X583" s="20"/>
      <c r="Y583" s="20"/>
      <c r="Z583" s="20"/>
      <c r="AA583" s="20"/>
      <c r="AB583" s="20"/>
      <c r="AC583" s="20"/>
      <c r="AD583" s="20"/>
      <c r="AE583" s="20"/>
    </row>
    <row r="584" spans="1:31" ht="19.5">
      <c r="A584" s="20"/>
      <c r="B584" s="20"/>
      <c r="C584" s="20"/>
      <c r="D584" s="20"/>
      <c r="E584" s="20"/>
      <c r="F584" s="20"/>
      <c r="G584" s="124"/>
      <c r="H584" s="20"/>
      <c r="I584" s="20"/>
      <c r="J584" s="20"/>
      <c r="K584" s="124"/>
      <c r="L584" s="127"/>
      <c r="M584" s="20"/>
      <c r="N584" s="20"/>
      <c r="O584" s="20"/>
      <c r="P584" s="124"/>
      <c r="Q584" s="127"/>
      <c r="R584" s="20"/>
      <c r="S584" s="20"/>
      <c r="T584" s="20"/>
      <c r="U584" s="124"/>
      <c r="V584" s="127"/>
      <c r="W584" s="20"/>
      <c r="X584" s="20"/>
      <c r="Y584" s="20"/>
      <c r="Z584" s="20"/>
      <c r="AA584" s="20"/>
      <c r="AB584" s="20"/>
      <c r="AC584" s="20"/>
      <c r="AD584" s="20"/>
      <c r="AE584" s="20"/>
    </row>
    <row r="585" spans="1:31" ht="19.5">
      <c r="A585" s="20"/>
      <c r="B585" s="20"/>
      <c r="C585" s="20"/>
      <c r="D585" s="20"/>
      <c r="E585" s="20"/>
      <c r="F585" s="20"/>
      <c r="G585" s="124"/>
      <c r="H585" s="20"/>
      <c r="I585" s="20"/>
      <c r="J585" s="20"/>
      <c r="K585" s="124"/>
      <c r="L585" s="127"/>
      <c r="M585" s="20"/>
      <c r="N585" s="20"/>
      <c r="O585" s="20"/>
      <c r="P585" s="124"/>
      <c r="Q585" s="127"/>
      <c r="R585" s="20"/>
      <c r="S585" s="20"/>
      <c r="T585" s="20"/>
      <c r="U585" s="124"/>
      <c r="V585" s="127"/>
      <c r="W585" s="20"/>
      <c r="X585" s="20"/>
      <c r="Y585" s="20"/>
      <c r="Z585" s="20"/>
      <c r="AA585" s="20"/>
      <c r="AB585" s="20"/>
      <c r="AC585" s="20"/>
      <c r="AD585" s="20"/>
      <c r="AE585" s="20"/>
    </row>
    <row r="586" spans="1:31" ht="19.5">
      <c r="A586" s="20"/>
      <c r="B586" s="20"/>
      <c r="C586" s="20"/>
      <c r="D586" s="20"/>
      <c r="E586" s="20"/>
      <c r="F586" s="20"/>
      <c r="G586" s="124"/>
      <c r="H586" s="20"/>
      <c r="I586" s="20"/>
      <c r="J586" s="20"/>
      <c r="K586" s="124"/>
      <c r="L586" s="127"/>
      <c r="M586" s="20"/>
      <c r="N586" s="20"/>
      <c r="O586" s="20"/>
      <c r="P586" s="124"/>
      <c r="Q586" s="127"/>
      <c r="R586" s="20"/>
      <c r="S586" s="20"/>
      <c r="T586" s="20"/>
      <c r="U586" s="124"/>
      <c r="V586" s="127"/>
      <c r="W586" s="20"/>
      <c r="X586" s="20"/>
      <c r="Y586" s="20"/>
      <c r="Z586" s="20"/>
      <c r="AA586" s="20"/>
      <c r="AB586" s="20"/>
      <c r="AC586" s="20"/>
      <c r="AD586" s="20"/>
      <c r="AE586" s="20"/>
    </row>
    <row r="587" spans="1:31" ht="19.5">
      <c r="A587" s="20"/>
      <c r="B587" s="20"/>
      <c r="C587" s="20"/>
      <c r="D587" s="20"/>
      <c r="E587" s="20"/>
      <c r="F587" s="20"/>
      <c r="G587" s="124"/>
      <c r="H587" s="20"/>
      <c r="I587" s="20"/>
      <c r="J587" s="20"/>
      <c r="K587" s="124"/>
      <c r="L587" s="127"/>
      <c r="M587" s="20"/>
      <c r="N587" s="20"/>
      <c r="O587" s="20"/>
      <c r="P587" s="124"/>
      <c r="Q587" s="127"/>
      <c r="R587" s="20"/>
      <c r="S587" s="20"/>
      <c r="T587" s="20"/>
      <c r="U587" s="124"/>
      <c r="V587" s="127"/>
      <c r="W587" s="20"/>
      <c r="X587" s="20"/>
      <c r="Y587" s="20"/>
      <c r="Z587" s="20"/>
      <c r="AA587" s="20"/>
      <c r="AB587" s="20"/>
      <c r="AC587" s="20"/>
      <c r="AD587" s="20"/>
      <c r="AE587" s="20"/>
    </row>
    <row r="588" spans="1:31" ht="19.5">
      <c r="A588" s="20"/>
      <c r="B588" s="20"/>
      <c r="C588" s="20"/>
      <c r="D588" s="20"/>
      <c r="E588" s="20"/>
      <c r="F588" s="20"/>
      <c r="G588" s="124"/>
      <c r="H588" s="20"/>
      <c r="I588" s="20"/>
      <c r="J588" s="20"/>
      <c r="K588" s="124"/>
      <c r="L588" s="127"/>
      <c r="M588" s="20"/>
      <c r="N588" s="20"/>
      <c r="O588" s="20"/>
      <c r="P588" s="124"/>
      <c r="Q588" s="127"/>
      <c r="R588" s="20"/>
      <c r="S588" s="20"/>
      <c r="T588" s="20"/>
      <c r="U588" s="124"/>
      <c r="V588" s="127"/>
      <c r="W588" s="20"/>
      <c r="X588" s="20"/>
      <c r="Y588" s="20"/>
      <c r="Z588" s="20"/>
      <c r="AA588" s="20"/>
      <c r="AB588" s="20"/>
      <c r="AC588" s="20"/>
      <c r="AD588" s="20"/>
      <c r="AE588" s="20"/>
    </row>
    <row r="589" spans="1:31" ht="19.5">
      <c r="A589" s="20"/>
      <c r="B589" s="20"/>
      <c r="C589" s="20"/>
      <c r="D589" s="20"/>
      <c r="E589" s="20"/>
      <c r="F589" s="20"/>
      <c r="G589" s="124"/>
      <c r="H589" s="20"/>
      <c r="I589" s="20"/>
      <c r="J589" s="20"/>
      <c r="K589" s="124"/>
      <c r="L589" s="127"/>
      <c r="M589" s="20"/>
      <c r="N589" s="20"/>
      <c r="O589" s="20"/>
      <c r="P589" s="124"/>
      <c r="Q589" s="127"/>
      <c r="R589" s="20"/>
      <c r="S589" s="20"/>
      <c r="T589" s="20"/>
      <c r="U589" s="124"/>
      <c r="V589" s="127"/>
      <c r="W589" s="20"/>
      <c r="X589" s="20"/>
      <c r="Y589" s="20"/>
      <c r="Z589" s="20"/>
      <c r="AA589" s="20"/>
      <c r="AB589" s="20"/>
      <c r="AC589" s="20"/>
      <c r="AD589" s="20"/>
      <c r="AE589" s="20"/>
    </row>
    <row r="590" spans="1:31" ht="19.5">
      <c r="A590" s="20"/>
      <c r="B590" s="20"/>
      <c r="C590" s="20"/>
      <c r="D590" s="20"/>
      <c r="E590" s="20"/>
      <c r="F590" s="20"/>
      <c r="G590" s="124"/>
      <c r="H590" s="20"/>
      <c r="I590" s="20"/>
      <c r="J590" s="20"/>
      <c r="K590" s="124"/>
      <c r="L590" s="127"/>
      <c r="M590" s="20"/>
      <c r="N590" s="20"/>
      <c r="O590" s="20"/>
      <c r="P590" s="124"/>
      <c r="Q590" s="127"/>
      <c r="R590" s="20"/>
      <c r="S590" s="20"/>
      <c r="T590" s="20"/>
      <c r="U590" s="124"/>
      <c r="V590" s="127"/>
      <c r="W590" s="20"/>
      <c r="X590" s="20"/>
      <c r="Y590" s="20"/>
      <c r="Z590" s="20"/>
      <c r="AA590" s="20"/>
      <c r="AB590" s="20"/>
      <c r="AC590" s="20"/>
      <c r="AD590" s="20"/>
      <c r="AE590" s="20"/>
    </row>
    <row r="591" spans="1:31" ht="19.5">
      <c r="A591" s="20"/>
      <c r="B591" s="20"/>
      <c r="C591" s="20"/>
      <c r="D591" s="20"/>
      <c r="E591" s="20"/>
      <c r="F591" s="20"/>
      <c r="G591" s="124"/>
      <c r="H591" s="20"/>
      <c r="I591" s="20"/>
      <c r="J591" s="20"/>
      <c r="K591" s="124"/>
      <c r="L591" s="127"/>
      <c r="M591" s="20"/>
      <c r="N591" s="20"/>
      <c r="O591" s="20"/>
      <c r="P591" s="124"/>
      <c r="Q591" s="127"/>
      <c r="R591" s="20"/>
      <c r="S591" s="20"/>
      <c r="T591" s="20"/>
      <c r="U591" s="124"/>
      <c r="V591" s="127"/>
      <c r="W591" s="20"/>
      <c r="X591" s="20"/>
      <c r="Y591" s="20"/>
      <c r="Z591" s="20"/>
      <c r="AA591" s="20"/>
      <c r="AB591" s="20"/>
      <c r="AC591" s="20"/>
      <c r="AD591" s="20"/>
      <c r="AE591" s="20"/>
    </row>
    <row r="592" spans="1:31" ht="19.5">
      <c r="A592" s="20"/>
      <c r="B592" s="20"/>
      <c r="C592" s="20"/>
      <c r="D592" s="20"/>
      <c r="E592" s="20"/>
      <c r="F592" s="20"/>
      <c r="G592" s="124"/>
      <c r="H592" s="20"/>
      <c r="I592" s="20"/>
      <c r="J592" s="20"/>
      <c r="K592" s="124"/>
      <c r="L592" s="127"/>
      <c r="M592" s="20"/>
      <c r="N592" s="20"/>
      <c r="O592" s="20"/>
      <c r="P592" s="124"/>
      <c r="Q592" s="127"/>
      <c r="R592" s="20"/>
      <c r="S592" s="20"/>
      <c r="T592" s="20"/>
      <c r="U592" s="124"/>
      <c r="V592" s="127"/>
      <c r="W592" s="20"/>
      <c r="X592" s="20"/>
      <c r="Y592" s="20"/>
      <c r="Z592" s="20"/>
      <c r="AA592" s="20"/>
      <c r="AB592" s="20"/>
      <c r="AC592" s="20"/>
      <c r="AD592" s="20"/>
      <c r="AE592" s="20"/>
    </row>
    <row r="593" spans="1:31" ht="19.5">
      <c r="A593" s="20"/>
      <c r="B593" s="20"/>
      <c r="C593" s="20"/>
      <c r="D593" s="20"/>
      <c r="E593" s="20"/>
      <c r="F593" s="20"/>
      <c r="G593" s="124"/>
      <c r="H593" s="20"/>
      <c r="I593" s="20"/>
      <c r="J593" s="20"/>
      <c r="K593" s="124"/>
      <c r="L593" s="127"/>
      <c r="M593" s="20"/>
      <c r="N593" s="20"/>
      <c r="O593" s="20"/>
      <c r="P593" s="124"/>
      <c r="Q593" s="127"/>
      <c r="R593" s="20"/>
      <c r="S593" s="20"/>
      <c r="T593" s="20"/>
      <c r="U593" s="124"/>
      <c r="V593" s="127"/>
      <c r="W593" s="20"/>
      <c r="X593" s="20"/>
      <c r="Y593" s="20"/>
      <c r="Z593" s="20"/>
      <c r="AA593" s="20"/>
      <c r="AB593" s="20"/>
      <c r="AC593" s="20"/>
      <c r="AD593" s="20"/>
      <c r="AE593" s="20"/>
    </row>
    <row r="594" spans="1:31" ht="19.5">
      <c r="A594" s="20"/>
      <c r="B594" s="20"/>
      <c r="C594" s="20"/>
      <c r="D594" s="20"/>
      <c r="E594" s="20"/>
      <c r="F594" s="20"/>
      <c r="G594" s="124"/>
      <c r="H594" s="20"/>
      <c r="I594" s="20"/>
      <c r="J594" s="20"/>
      <c r="K594" s="124"/>
      <c r="L594" s="127"/>
      <c r="M594" s="20"/>
      <c r="N594" s="20"/>
      <c r="O594" s="20"/>
      <c r="P594" s="124"/>
      <c r="Q594" s="127"/>
      <c r="R594" s="20"/>
      <c r="S594" s="20"/>
      <c r="T594" s="20"/>
      <c r="U594" s="124"/>
      <c r="V594" s="127"/>
      <c r="W594" s="20"/>
      <c r="X594" s="20"/>
      <c r="Y594" s="20"/>
      <c r="Z594" s="20"/>
      <c r="AA594" s="20"/>
      <c r="AB594" s="20"/>
      <c r="AC594" s="20"/>
      <c r="AD594" s="20"/>
      <c r="AE594" s="20"/>
    </row>
    <row r="595" spans="1:31" ht="19.5">
      <c r="A595" s="20"/>
      <c r="B595" s="20"/>
      <c r="C595" s="20"/>
      <c r="D595" s="20"/>
      <c r="E595" s="20"/>
      <c r="F595" s="20"/>
      <c r="G595" s="124"/>
      <c r="H595" s="20"/>
      <c r="I595" s="20"/>
      <c r="J595" s="20"/>
      <c r="K595" s="124"/>
      <c r="L595" s="127"/>
      <c r="M595" s="20"/>
      <c r="N595" s="20"/>
      <c r="O595" s="20"/>
      <c r="P595" s="124"/>
      <c r="Q595" s="127"/>
      <c r="R595" s="20"/>
      <c r="S595" s="20"/>
      <c r="T595" s="20"/>
      <c r="U595" s="124"/>
      <c r="V595" s="127"/>
      <c r="W595" s="20"/>
      <c r="X595" s="20"/>
      <c r="Y595" s="20"/>
      <c r="Z595" s="20"/>
      <c r="AA595" s="20"/>
      <c r="AB595" s="20"/>
      <c r="AC595" s="20"/>
      <c r="AD595" s="20"/>
      <c r="AE595" s="20"/>
    </row>
    <row r="596" spans="1:31" ht="19.5">
      <c r="A596" s="20"/>
      <c r="B596" s="20"/>
      <c r="C596" s="20"/>
      <c r="D596" s="20"/>
      <c r="E596" s="20"/>
      <c r="F596" s="20"/>
      <c r="G596" s="124"/>
      <c r="H596" s="20"/>
      <c r="I596" s="20"/>
      <c r="J596" s="20"/>
      <c r="K596" s="124"/>
      <c r="L596" s="127"/>
      <c r="M596" s="20"/>
      <c r="N596" s="20"/>
      <c r="O596" s="20"/>
      <c r="P596" s="124"/>
      <c r="Q596" s="127"/>
      <c r="R596" s="20"/>
      <c r="S596" s="20"/>
      <c r="T596" s="20"/>
      <c r="U596" s="124"/>
      <c r="V596" s="127"/>
      <c r="W596" s="20"/>
      <c r="X596" s="20"/>
      <c r="Y596" s="20"/>
      <c r="Z596" s="20"/>
      <c r="AA596" s="20"/>
      <c r="AB596" s="20"/>
      <c r="AC596" s="20"/>
      <c r="AD596" s="20"/>
      <c r="AE596" s="20"/>
    </row>
    <row r="597" spans="1:31" ht="19.5">
      <c r="A597" s="20"/>
      <c r="B597" s="20"/>
      <c r="C597" s="20"/>
      <c r="D597" s="20"/>
      <c r="E597" s="20"/>
      <c r="F597" s="20"/>
      <c r="G597" s="124"/>
      <c r="H597" s="20"/>
      <c r="I597" s="20"/>
      <c r="J597" s="20"/>
      <c r="K597" s="124"/>
      <c r="L597" s="127"/>
      <c r="M597" s="20"/>
      <c r="N597" s="20"/>
      <c r="O597" s="20"/>
      <c r="P597" s="124"/>
      <c r="Q597" s="127"/>
      <c r="R597" s="20"/>
      <c r="S597" s="20"/>
      <c r="T597" s="20"/>
      <c r="U597" s="124"/>
      <c r="V597" s="127"/>
      <c r="W597" s="20"/>
      <c r="X597" s="20"/>
      <c r="Y597" s="20"/>
      <c r="Z597" s="20"/>
      <c r="AA597" s="20"/>
      <c r="AB597" s="20"/>
      <c r="AC597" s="20"/>
      <c r="AD597" s="20"/>
      <c r="AE597" s="20"/>
    </row>
    <row r="598" spans="1:31" ht="19.5">
      <c r="A598" s="20"/>
      <c r="B598" s="20"/>
      <c r="C598" s="20"/>
      <c r="D598" s="20"/>
      <c r="E598" s="20"/>
      <c r="F598" s="20"/>
      <c r="G598" s="124"/>
      <c r="H598" s="20"/>
      <c r="I598" s="20"/>
      <c r="J598" s="20"/>
      <c r="K598" s="124"/>
      <c r="L598" s="127"/>
      <c r="M598" s="20"/>
      <c r="N598" s="20"/>
      <c r="O598" s="20"/>
      <c r="P598" s="124"/>
      <c r="Q598" s="127"/>
      <c r="R598" s="20"/>
      <c r="S598" s="20"/>
      <c r="T598" s="20"/>
      <c r="U598" s="124"/>
      <c r="V598" s="127"/>
      <c r="W598" s="20"/>
      <c r="X598" s="20"/>
      <c r="Y598" s="20"/>
      <c r="Z598" s="20"/>
      <c r="AA598" s="20"/>
      <c r="AB598" s="20"/>
      <c r="AC598" s="20"/>
      <c r="AD598" s="20"/>
      <c r="AE598" s="20"/>
    </row>
    <row r="599" spans="1:31" ht="19.5">
      <c r="A599" s="20"/>
      <c r="B599" s="20"/>
      <c r="C599" s="20"/>
      <c r="D599" s="20"/>
      <c r="E599" s="20"/>
      <c r="F599" s="20"/>
      <c r="G599" s="124"/>
      <c r="H599" s="20"/>
      <c r="I599" s="20"/>
      <c r="J599" s="20"/>
      <c r="K599" s="124"/>
      <c r="L599" s="127"/>
      <c r="M599" s="20"/>
      <c r="N599" s="20"/>
      <c r="O599" s="20"/>
      <c r="P599" s="124"/>
      <c r="Q599" s="127"/>
      <c r="R599" s="20"/>
      <c r="S599" s="20"/>
      <c r="T599" s="20"/>
      <c r="U599" s="124"/>
      <c r="V599" s="127"/>
      <c r="W599" s="20"/>
      <c r="X599" s="20"/>
      <c r="Y599" s="20"/>
      <c r="Z599" s="20"/>
      <c r="AA599" s="20"/>
      <c r="AB599" s="20"/>
      <c r="AC599" s="20"/>
      <c r="AD599" s="20"/>
      <c r="AE599" s="20"/>
    </row>
    <row r="600" spans="1:31" ht="19.5">
      <c r="A600" s="20"/>
      <c r="B600" s="20"/>
      <c r="C600" s="20"/>
      <c r="D600" s="20"/>
      <c r="E600" s="20"/>
      <c r="F600" s="20"/>
      <c r="G600" s="124"/>
      <c r="H600" s="20"/>
      <c r="I600" s="20"/>
      <c r="J600" s="20"/>
      <c r="K600" s="124"/>
      <c r="L600" s="127"/>
      <c r="M600" s="20"/>
      <c r="N600" s="20"/>
      <c r="O600" s="20"/>
      <c r="P600" s="124"/>
      <c r="Q600" s="127"/>
      <c r="R600" s="20"/>
      <c r="S600" s="20"/>
      <c r="T600" s="20"/>
      <c r="U600" s="124"/>
      <c r="V600" s="127"/>
      <c r="W600" s="20"/>
      <c r="X600" s="20"/>
      <c r="Y600" s="20"/>
      <c r="Z600" s="20"/>
      <c r="AA600" s="20"/>
      <c r="AB600" s="20"/>
      <c r="AC600" s="20"/>
      <c r="AD600" s="20"/>
      <c r="AE600" s="20"/>
    </row>
    <row r="601" spans="1:31" ht="19.5">
      <c r="A601" s="20"/>
      <c r="B601" s="20"/>
      <c r="C601" s="20"/>
      <c r="D601" s="20"/>
      <c r="E601" s="20"/>
      <c r="F601" s="20"/>
      <c r="G601" s="124"/>
      <c r="H601" s="20"/>
      <c r="I601" s="20"/>
      <c r="J601" s="20"/>
      <c r="K601" s="124"/>
      <c r="L601" s="127"/>
      <c r="M601" s="20"/>
      <c r="N601" s="20"/>
      <c r="O601" s="20"/>
      <c r="P601" s="124"/>
      <c r="Q601" s="127"/>
      <c r="R601" s="20"/>
      <c r="S601" s="20"/>
      <c r="T601" s="20"/>
      <c r="U601" s="124"/>
      <c r="V601" s="127"/>
      <c r="W601" s="20"/>
      <c r="X601" s="20"/>
      <c r="Y601" s="20"/>
      <c r="Z601" s="20"/>
      <c r="AA601" s="20"/>
      <c r="AB601" s="20"/>
      <c r="AC601" s="20"/>
      <c r="AD601" s="20"/>
      <c r="AE601" s="20"/>
    </row>
    <row r="602" spans="1:31" ht="19.5">
      <c r="A602" s="20"/>
      <c r="B602" s="20"/>
      <c r="C602" s="20"/>
      <c r="D602" s="20"/>
      <c r="E602" s="20"/>
      <c r="F602" s="20"/>
      <c r="G602" s="124"/>
      <c r="H602" s="20"/>
      <c r="I602" s="20"/>
      <c r="J602" s="20"/>
      <c r="K602" s="124"/>
      <c r="L602" s="127"/>
      <c r="M602" s="20"/>
      <c r="N602" s="20"/>
      <c r="O602" s="20"/>
      <c r="P602" s="124"/>
      <c r="Q602" s="127"/>
      <c r="R602" s="20"/>
      <c r="S602" s="20"/>
      <c r="T602" s="20"/>
      <c r="U602" s="124"/>
      <c r="V602" s="127"/>
      <c r="W602" s="20"/>
      <c r="X602" s="20"/>
      <c r="Y602" s="20"/>
      <c r="Z602" s="20"/>
      <c r="AA602" s="20"/>
      <c r="AB602" s="20"/>
      <c r="AC602" s="20"/>
      <c r="AD602" s="20"/>
      <c r="AE602" s="20"/>
    </row>
    <row r="603" spans="1:31" ht="19.5">
      <c r="A603" s="20"/>
      <c r="B603" s="20"/>
      <c r="C603" s="20"/>
      <c r="D603" s="20"/>
      <c r="E603" s="20"/>
      <c r="F603" s="20"/>
      <c r="G603" s="124"/>
      <c r="H603" s="20"/>
      <c r="I603" s="20"/>
      <c r="J603" s="20"/>
      <c r="K603" s="124"/>
      <c r="L603" s="127"/>
      <c r="M603" s="20"/>
      <c r="N603" s="20"/>
      <c r="O603" s="20"/>
      <c r="P603" s="124"/>
      <c r="Q603" s="127"/>
      <c r="R603" s="20"/>
      <c r="S603" s="20"/>
      <c r="T603" s="20"/>
      <c r="U603" s="124"/>
      <c r="V603" s="127"/>
      <c r="W603" s="20"/>
      <c r="X603" s="20"/>
      <c r="Y603" s="20"/>
      <c r="Z603" s="20"/>
      <c r="AA603" s="20"/>
      <c r="AB603" s="20"/>
      <c r="AC603" s="20"/>
      <c r="AD603" s="20"/>
      <c r="AE603" s="20"/>
    </row>
    <row r="604" spans="1:31" ht="19.5">
      <c r="A604" s="20"/>
      <c r="B604" s="20"/>
      <c r="C604" s="20"/>
      <c r="D604" s="20"/>
      <c r="E604" s="20"/>
      <c r="F604" s="20"/>
      <c r="G604" s="124"/>
      <c r="H604" s="20"/>
      <c r="I604" s="20"/>
      <c r="J604" s="20"/>
      <c r="K604" s="124"/>
      <c r="L604" s="127"/>
      <c r="M604" s="20"/>
      <c r="N604" s="20"/>
      <c r="O604" s="20"/>
      <c r="P604" s="124"/>
      <c r="Q604" s="127"/>
      <c r="R604" s="20"/>
      <c r="S604" s="20"/>
      <c r="T604" s="20"/>
      <c r="U604" s="124"/>
      <c r="V604" s="127"/>
      <c r="W604" s="20"/>
      <c r="X604" s="20"/>
      <c r="Y604" s="20"/>
      <c r="Z604" s="20"/>
      <c r="AA604" s="20"/>
      <c r="AB604" s="20"/>
      <c r="AC604" s="20"/>
      <c r="AD604" s="20"/>
      <c r="AE604" s="20"/>
    </row>
    <row r="605" spans="1:31" ht="19.5">
      <c r="A605" s="20"/>
      <c r="B605" s="20"/>
      <c r="C605" s="20"/>
      <c r="D605" s="20"/>
      <c r="E605" s="20"/>
      <c r="F605" s="20"/>
      <c r="G605" s="124"/>
      <c r="H605" s="20"/>
      <c r="I605" s="20"/>
      <c r="J605" s="20"/>
      <c r="K605" s="124"/>
      <c r="L605" s="127"/>
      <c r="M605" s="20"/>
      <c r="N605" s="20"/>
      <c r="O605" s="20"/>
      <c r="P605" s="124"/>
      <c r="Q605" s="127"/>
      <c r="R605" s="20"/>
      <c r="S605" s="20"/>
      <c r="T605" s="20"/>
      <c r="U605" s="124"/>
      <c r="V605" s="127"/>
      <c r="W605" s="20"/>
      <c r="X605" s="20"/>
      <c r="Y605" s="20"/>
      <c r="Z605" s="20"/>
      <c r="AA605" s="20"/>
      <c r="AB605" s="20"/>
      <c r="AC605" s="20"/>
      <c r="AD605" s="20"/>
      <c r="AE605" s="20"/>
    </row>
    <row r="606" spans="1:31" ht="19.5">
      <c r="A606" s="20"/>
      <c r="B606" s="20"/>
      <c r="C606" s="20"/>
      <c r="D606" s="20"/>
      <c r="E606" s="20"/>
      <c r="F606" s="20"/>
      <c r="G606" s="124"/>
      <c r="H606" s="20"/>
      <c r="I606" s="20"/>
      <c r="J606" s="20"/>
      <c r="K606" s="124"/>
      <c r="L606" s="127"/>
      <c r="M606" s="20"/>
      <c r="N606" s="20"/>
      <c r="O606" s="20"/>
      <c r="P606" s="124"/>
      <c r="Q606" s="127"/>
      <c r="R606" s="20"/>
      <c r="S606" s="20"/>
      <c r="T606" s="20"/>
      <c r="U606" s="124"/>
      <c r="V606" s="127"/>
      <c r="W606" s="20"/>
      <c r="X606" s="20"/>
      <c r="Y606" s="20"/>
      <c r="Z606" s="20"/>
      <c r="AA606" s="20"/>
      <c r="AB606" s="20"/>
      <c r="AC606" s="20"/>
      <c r="AD606" s="20"/>
      <c r="AE606" s="20"/>
    </row>
    <row r="607" spans="1:31" ht="19.5">
      <c r="A607" s="20"/>
      <c r="B607" s="20"/>
      <c r="C607" s="20"/>
      <c r="D607" s="20"/>
      <c r="E607" s="20"/>
      <c r="F607" s="20"/>
      <c r="G607" s="124"/>
      <c r="H607" s="20"/>
      <c r="I607" s="20"/>
      <c r="J607" s="20"/>
      <c r="K607" s="124"/>
      <c r="L607" s="127"/>
      <c r="M607" s="20"/>
      <c r="N607" s="20"/>
      <c r="O607" s="20"/>
      <c r="P607" s="124"/>
      <c r="Q607" s="127"/>
      <c r="R607" s="20"/>
      <c r="S607" s="20"/>
      <c r="T607" s="20"/>
      <c r="U607" s="124"/>
      <c r="V607" s="127"/>
      <c r="W607" s="20"/>
      <c r="X607" s="20"/>
      <c r="Y607" s="20"/>
      <c r="Z607" s="20"/>
      <c r="AA607" s="20"/>
      <c r="AB607" s="20"/>
      <c r="AC607" s="20"/>
      <c r="AD607" s="20"/>
      <c r="AE607" s="20"/>
    </row>
    <row r="608" spans="1:31" ht="19.5">
      <c r="A608" s="20"/>
      <c r="B608" s="20"/>
      <c r="C608" s="20"/>
      <c r="D608" s="20"/>
      <c r="E608" s="20"/>
      <c r="F608" s="20"/>
      <c r="G608" s="124"/>
      <c r="H608" s="20"/>
      <c r="I608" s="20"/>
      <c r="J608" s="20"/>
      <c r="K608" s="124"/>
      <c r="L608" s="127"/>
      <c r="M608" s="20"/>
      <c r="N608" s="20"/>
      <c r="O608" s="20"/>
      <c r="P608" s="124"/>
      <c r="Q608" s="127"/>
      <c r="R608" s="20"/>
      <c r="S608" s="20"/>
      <c r="T608" s="20"/>
      <c r="U608" s="124"/>
      <c r="V608" s="127"/>
      <c r="W608" s="20"/>
      <c r="X608" s="20"/>
      <c r="Y608" s="20"/>
      <c r="Z608" s="20"/>
      <c r="AA608" s="20"/>
      <c r="AB608" s="20"/>
      <c r="AC608" s="20"/>
      <c r="AD608" s="20"/>
      <c r="AE608" s="20"/>
    </row>
    <row r="609" spans="1:31" ht="19.5">
      <c r="A609" s="20"/>
      <c r="B609" s="20"/>
      <c r="C609" s="20"/>
      <c r="D609" s="20"/>
      <c r="E609" s="20"/>
      <c r="F609" s="20"/>
      <c r="G609" s="124"/>
      <c r="H609" s="20"/>
      <c r="I609" s="20"/>
      <c r="J609" s="20"/>
      <c r="K609" s="124"/>
      <c r="L609" s="127"/>
      <c r="M609" s="20"/>
      <c r="N609" s="20"/>
      <c r="O609" s="20"/>
      <c r="P609" s="124"/>
      <c r="Q609" s="127"/>
      <c r="R609" s="20"/>
      <c r="S609" s="20"/>
      <c r="T609" s="20"/>
      <c r="U609" s="124"/>
      <c r="V609" s="127"/>
      <c r="W609" s="20"/>
      <c r="X609" s="20"/>
      <c r="Y609" s="20"/>
      <c r="Z609" s="20"/>
      <c r="AA609" s="20"/>
      <c r="AB609" s="20"/>
      <c r="AC609" s="20"/>
      <c r="AD609" s="20"/>
      <c r="AE609" s="20"/>
    </row>
    <row r="610" spans="1:31" ht="19.5">
      <c r="A610" s="20"/>
      <c r="B610" s="20"/>
      <c r="C610" s="20"/>
      <c r="D610" s="20"/>
      <c r="E610" s="20"/>
      <c r="F610" s="20"/>
      <c r="G610" s="124"/>
      <c r="H610" s="20"/>
      <c r="I610" s="20"/>
      <c r="J610" s="20"/>
      <c r="K610" s="124"/>
      <c r="L610" s="127"/>
      <c r="M610" s="20"/>
      <c r="N610" s="20"/>
      <c r="O610" s="20"/>
      <c r="P610" s="124"/>
      <c r="Q610" s="127"/>
      <c r="R610" s="20"/>
      <c r="S610" s="20"/>
      <c r="T610" s="20"/>
      <c r="U610" s="124"/>
      <c r="V610" s="127"/>
      <c r="W610" s="20"/>
      <c r="X610" s="20"/>
      <c r="Y610" s="20"/>
      <c r="Z610" s="20"/>
      <c r="AA610" s="20"/>
      <c r="AB610" s="20"/>
      <c r="AC610" s="20"/>
      <c r="AD610" s="20"/>
      <c r="AE610" s="20"/>
    </row>
    <row r="611" spans="1:31" ht="19.5">
      <c r="A611" s="20"/>
      <c r="B611" s="20"/>
      <c r="C611" s="20"/>
      <c r="D611" s="20"/>
      <c r="E611" s="20"/>
      <c r="F611" s="20"/>
      <c r="G611" s="124"/>
      <c r="H611" s="20"/>
      <c r="I611" s="20"/>
      <c r="J611" s="20"/>
      <c r="K611" s="124"/>
      <c r="L611" s="127"/>
      <c r="M611" s="20"/>
      <c r="N611" s="20"/>
      <c r="O611" s="20"/>
      <c r="P611" s="124"/>
      <c r="Q611" s="127"/>
      <c r="R611" s="20"/>
      <c r="S611" s="20"/>
      <c r="T611" s="20"/>
      <c r="U611" s="124"/>
      <c r="V611" s="127"/>
      <c r="W611" s="20"/>
      <c r="X611" s="20"/>
      <c r="Y611" s="20"/>
      <c r="Z611" s="20"/>
      <c r="AA611" s="20"/>
      <c r="AB611" s="20"/>
      <c r="AC611" s="20"/>
      <c r="AD611" s="20"/>
      <c r="AE611" s="20"/>
    </row>
    <row r="612" spans="1:31" ht="19.5">
      <c r="A612" s="20"/>
      <c r="B612" s="20"/>
      <c r="C612" s="20"/>
      <c r="D612" s="20"/>
      <c r="E612" s="20"/>
      <c r="F612" s="20"/>
      <c r="G612" s="124"/>
      <c r="H612" s="20"/>
      <c r="I612" s="20"/>
      <c r="J612" s="20"/>
      <c r="K612" s="124"/>
      <c r="L612" s="127"/>
      <c r="M612" s="20"/>
      <c r="N612" s="20"/>
      <c r="O612" s="20"/>
      <c r="P612" s="124"/>
      <c r="Q612" s="127"/>
      <c r="R612" s="20"/>
      <c r="S612" s="20"/>
      <c r="T612" s="20"/>
      <c r="U612" s="124"/>
      <c r="V612" s="127"/>
      <c r="W612" s="20"/>
      <c r="X612" s="20"/>
      <c r="Y612" s="20"/>
      <c r="Z612" s="20"/>
      <c r="AA612" s="20"/>
      <c r="AB612" s="20"/>
      <c r="AC612" s="20"/>
      <c r="AD612" s="20"/>
      <c r="AE612" s="20"/>
    </row>
    <row r="613" spans="1:31" ht="19.5">
      <c r="A613" s="20"/>
      <c r="B613" s="20"/>
      <c r="C613" s="20"/>
      <c r="D613" s="20"/>
      <c r="E613" s="20"/>
      <c r="F613" s="20"/>
      <c r="G613" s="124"/>
      <c r="H613" s="20"/>
      <c r="I613" s="20"/>
      <c r="J613" s="20"/>
      <c r="K613" s="124"/>
      <c r="L613" s="127"/>
      <c r="M613" s="20"/>
      <c r="N613" s="20"/>
      <c r="O613" s="20"/>
      <c r="P613" s="124"/>
      <c r="Q613" s="127"/>
      <c r="R613" s="20"/>
      <c r="S613" s="20"/>
      <c r="T613" s="20"/>
      <c r="U613" s="124"/>
      <c r="V613" s="127"/>
      <c r="W613" s="20"/>
      <c r="X613" s="20"/>
      <c r="Y613" s="20"/>
      <c r="Z613" s="20"/>
      <c r="AA613" s="20"/>
      <c r="AB613" s="20"/>
      <c r="AC613" s="20"/>
      <c r="AD613" s="20"/>
      <c r="AE613" s="20"/>
    </row>
    <row r="614" spans="1:31" ht="19.5">
      <c r="A614" s="20"/>
      <c r="B614" s="20"/>
      <c r="C614" s="20"/>
      <c r="D614" s="20"/>
      <c r="E614" s="20"/>
      <c r="F614" s="20"/>
      <c r="G614" s="124"/>
      <c r="H614" s="20"/>
      <c r="I614" s="20"/>
      <c r="J614" s="20"/>
      <c r="K614" s="124"/>
      <c r="L614" s="127"/>
      <c r="M614" s="20"/>
      <c r="N614" s="20"/>
      <c r="O614" s="20"/>
      <c r="P614" s="124"/>
      <c r="Q614" s="127"/>
      <c r="R614" s="20"/>
      <c r="S614" s="20"/>
      <c r="T614" s="20"/>
      <c r="U614" s="124"/>
      <c r="V614" s="127"/>
      <c r="W614" s="20"/>
      <c r="X614" s="20"/>
      <c r="Y614" s="20"/>
      <c r="Z614" s="20"/>
      <c r="AA614" s="20"/>
      <c r="AB614" s="20"/>
      <c r="AC614" s="20"/>
      <c r="AD614" s="20"/>
      <c r="AE614" s="20"/>
    </row>
    <row r="615" spans="1:31" ht="19.5">
      <c r="A615" s="20"/>
      <c r="B615" s="20"/>
      <c r="C615" s="20"/>
      <c r="D615" s="20"/>
      <c r="E615" s="20"/>
      <c r="F615" s="20"/>
      <c r="G615" s="124"/>
      <c r="H615" s="20"/>
      <c r="I615" s="20"/>
      <c r="J615" s="20"/>
      <c r="K615" s="124"/>
      <c r="L615" s="127"/>
      <c r="M615" s="20"/>
      <c r="N615" s="20"/>
      <c r="O615" s="20"/>
      <c r="P615" s="124"/>
      <c r="Q615" s="127"/>
      <c r="R615" s="20"/>
      <c r="S615" s="20"/>
      <c r="T615" s="20"/>
      <c r="U615" s="124"/>
      <c r="V615" s="127"/>
      <c r="W615" s="20"/>
      <c r="X615" s="20"/>
      <c r="Y615" s="20"/>
      <c r="Z615" s="20"/>
      <c r="AA615" s="20"/>
      <c r="AB615" s="20"/>
      <c r="AC615" s="20"/>
      <c r="AD615" s="20"/>
      <c r="AE615" s="20"/>
    </row>
    <row r="616" spans="1:31" ht="19.5">
      <c r="A616" s="20"/>
      <c r="B616" s="20"/>
      <c r="C616" s="20"/>
      <c r="D616" s="20"/>
      <c r="E616" s="20"/>
      <c r="F616" s="20"/>
      <c r="G616" s="124"/>
      <c r="H616" s="20"/>
      <c r="I616" s="20"/>
      <c r="J616" s="20"/>
      <c r="K616" s="124"/>
      <c r="L616" s="127"/>
      <c r="M616" s="20"/>
      <c r="N616" s="20"/>
      <c r="O616" s="20"/>
      <c r="P616" s="124"/>
      <c r="Q616" s="127"/>
      <c r="R616" s="20"/>
      <c r="S616" s="20"/>
      <c r="T616" s="20"/>
      <c r="U616" s="124"/>
      <c r="V616" s="127"/>
      <c r="W616" s="20"/>
      <c r="X616" s="20"/>
      <c r="Y616" s="20"/>
      <c r="Z616" s="20"/>
      <c r="AA616" s="20"/>
      <c r="AB616" s="20"/>
      <c r="AC616" s="20"/>
      <c r="AD616" s="20"/>
      <c r="AE616" s="20"/>
    </row>
    <row r="617" spans="1:31" ht="19.5">
      <c r="A617" s="20"/>
      <c r="B617" s="20"/>
      <c r="C617" s="20"/>
      <c r="D617" s="20"/>
      <c r="E617" s="20"/>
      <c r="F617" s="20"/>
      <c r="G617" s="124"/>
      <c r="H617" s="20"/>
      <c r="I617" s="20"/>
      <c r="J617" s="20"/>
      <c r="K617" s="124"/>
      <c r="L617" s="127"/>
      <c r="M617" s="20"/>
      <c r="N617" s="20"/>
      <c r="O617" s="20"/>
      <c r="P617" s="124"/>
      <c r="Q617" s="127"/>
      <c r="R617" s="20"/>
      <c r="S617" s="20"/>
      <c r="T617" s="20"/>
      <c r="U617" s="124"/>
      <c r="V617" s="127"/>
      <c r="W617" s="20"/>
      <c r="X617" s="20"/>
      <c r="Y617" s="20"/>
      <c r="Z617" s="20"/>
      <c r="AA617" s="20"/>
      <c r="AB617" s="20"/>
      <c r="AC617" s="20"/>
      <c r="AD617" s="20"/>
      <c r="AE617" s="20"/>
    </row>
    <row r="618" spans="1:31" ht="19.5">
      <c r="A618" s="20"/>
      <c r="B618" s="20"/>
      <c r="C618" s="20"/>
      <c r="D618" s="20"/>
      <c r="E618" s="20"/>
      <c r="F618" s="20"/>
      <c r="G618" s="124"/>
      <c r="H618" s="20"/>
      <c r="I618" s="20"/>
      <c r="J618" s="20"/>
      <c r="K618" s="124"/>
      <c r="L618" s="127"/>
      <c r="M618" s="20"/>
      <c r="N618" s="20"/>
      <c r="O618" s="20"/>
      <c r="P618" s="124"/>
      <c r="Q618" s="127"/>
      <c r="R618" s="20"/>
      <c r="S618" s="20"/>
      <c r="T618" s="20"/>
      <c r="U618" s="124"/>
      <c r="V618" s="127"/>
      <c r="W618" s="20"/>
      <c r="X618" s="20"/>
      <c r="Y618" s="20"/>
      <c r="Z618" s="20"/>
      <c r="AA618" s="20"/>
      <c r="AB618" s="20"/>
      <c r="AC618" s="20"/>
      <c r="AD618" s="20"/>
      <c r="AE618" s="20"/>
    </row>
    <row r="619" spans="1:31" ht="19.5">
      <c r="A619" s="20"/>
      <c r="B619" s="20"/>
      <c r="C619" s="20"/>
      <c r="D619" s="20"/>
      <c r="E619" s="20"/>
      <c r="F619" s="20"/>
      <c r="G619" s="124"/>
      <c r="H619" s="20"/>
      <c r="I619" s="20"/>
      <c r="J619" s="20"/>
      <c r="K619" s="124"/>
      <c r="L619" s="127"/>
      <c r="M619" s="20"/>
      <c r="N619" s="20"/>
      <c r="O619" s="20"/>
      <c r="P619" s="124"/>
      <c r="Q619" s="127"/>
      <c r="R619" s="20"/>
      <c r="S619" s="20"/>
      <c r="T619" s="20"/>
      <c r="U619" s="124"/>
      <c r="V619" s="127"/>
      <c r="W619" s="20"/>
      <c r="X619" s="20"/>
      <c r="Y619" s="20"/>
      <c r="Z619" s="20"/>
      <c r="AA619" s="20"/>
      <c r="AB619" s="20"/>
      <c r="AC619" s="20"/>
      <c r="AD619" s="20"/>
      <c r="AE619" s="20"/>
    </row>
    <row r="620" spans="1:31" ht="19.5">
      <c r="A620" s="20"/>
      <c r="B620" s="20"/>
      <c r="C620" s="20"/>
      <c r="D620" s="20"/>
      <c r="E620" s="20"/>
      <c r="F620" s="20"/>
      <c r="G620" s="124"/>
      <c r="H620" s="20"/>
      <c r="I620" s="20"/>
      <c r="J620" s="20"/>
      <c r="K620" s="124"/>
      <c r="L620" s="127"/>
      <c r="M620" s="20"/>
      <c r="N620" s="20"/>
      <c r="O620" s="20"/>
      <c r="P620" s="124"/>
      <c r="Q620" s="127"/>
      <c r="R620" s="20"/>
      <c r="S620" s="20"/>
      <c r="T620" s="20"/>
      <c r="U620" s="124"/>
      <c r="V620" s="127"/>
      <c r="W620" s="20"/>
      <c r="X620" s="20"/>
      <c r="Y620" s="20"/>
      <c r="Z620" s="20"/>
      <c r="AA620" s="20"/>
      <c r="AB620" s="20"/>
      <c r="AC620" s="20"/>
      <c r="AD620" s="20"/>
      <c r="AE620" s="20"/>
    </row>
    <row r="621" spans="1:31" ht="19.5">
      <c r="A621" s="20"/>
      <c r="B621" s="20"/>
      <c r="C621" s="20"/>
      <c r="D621" s="20"/>
      <c r="E621" s="20"/>
      <c r="F621" s="20"/>
      <c r="G621" s="124"/>
      <c r="H621" s="20"/>
      <c r="I621" s="20"/>
      <c r="J621" s="20"/>
      <c r="K621" s="124"/>
      <c r="L621" s="127"/>
      <c r="M621" s="20"/>
      <c r="N621" s="20"/>
      <c r="O621" s="20"/>
      <c r="P621" s="124"/>
      <c r="Q621" s="127"/>
      <c r="R621" s="20"/>
      <c r="S621" s="20"/>
      <c r="T621" s="20"/>
      <c r="U621" s="124"/>
      <c r="V621" s="127"/>
      <c r="W621" s="20"/>
      <c r="X621" s="20"/>
      <c r="Y621" s="20"/>
      <c r="Z621" s="20"/>
      <c r="AA621" s="20"/>
      <c r="AB621" s="20"/>
      <c r="AC621" s="20"/>
      <c r="AD621" s="20"/>
      <c r="AE621" s="20"/>
    </row>
    <row r="622" spans="1:31" ht="19.5">
      <c r="A622" s="20"/>
      <c r="B622" s="20"/>
      <c r="C622" s="20"/>
      <c r="D622" s="20"/>
      <c r="E622" s="20"/>
      <c r="F622" s="20"/>
      <c r="G622" s="124"/>
      <c r="H622" s="20"/>
      <c r="I622" s="20"/>
      <c r="J622" s="20"/>
      <c r="K622" s="124"/>
      <c r="L622" s="127"/>
      <c r="M622" s="20"/>
      <c r="N622" s="20"/>
      <c r="O622" s="20"/>
      <c r="P622" s="124"/>
      <c r="Q622" s="127"/>
      <c r="R622" s="20"/>
      <c r="S622" s="20"/>
      <c r="T622" s="20"/>
      <c r="U622" s="124"/>
      <c r="V622" s="127"/>
      <c r="W622" s="20"/>
      <c r="X622" s="20"/>
      <c r="Y622" s="20"/>
      <c r="Z622" s="20"/>
      <c r="AA622" s="20"/>
      <c r="AB622" s="20"/>
      <c r="AC622" s="20"/>
      <c r="AD622" s="20"/>
      <c r="AE622" s="20"/>
    </row>
    <row r="623" spans="1:31" ht="19.5">
      <c r="A623" s="20"/>
      <c r="B623" s="20"/>
      <c r="C623" s="20"/>
      <c r="D623" s="20"/>
      <c r="E623" s="20"/>
      <c r="F623" s="20"/>
      <c r="G623" s="124"/>
      <c r="H623" s="20"/>
      <c r="I623" s="20"/>
      <c r="J623" s="20"/>
      <c r="K623" s="124"/>
      <c r="L623" s="127"/>
      <c r="M623" s="20"/>
      <c r="N623" s="20"/>
      <c r="O623" s="20"/>
      <c r="P623" s="124"/>
      <c r="Q623" s="127"/>
      <c r="R623" s="20"/>
      <c r="S623" s="20"/>
      <c r="T623" s="20"/>
      <c r="U623" s="124"/>
      <c r="V623" s="127"/>
      <c r="W623" s="20"/>
      <c r="X623" s="20"/>
      <c r="Y623" s="20"/>
      <c r="Z623" s="20"/>
      <c r="AA623" s="20"/>
      <c r="AB623" s="20"/>
      <c r="AC623" s="20"/>
      <c r="AD623" s="20"/>
      <c r="AE623" s="20"/>
    </row>
    <row r="624" spans="1:31" ht="19.5">
      <c r="A624" s="20"/>
      <c r="B624" s="20"/>
      <c r="C624" s="20"/>
      <c r="D624" s="20"/>
      <c r="E624" s="20"/>
      <c r="F624" s="20"/>
      <c r="G624" s="124"/>
      <c r="H624" s="20"/>
      <c r="I624" s="20"/>
      <c r="J624" s="20"/>
      <c r="K624" s="124"/>
      <c r="L624" s="127"/>
      <c r="M624" s="20"/>
      <c r="N624" s="20"/>
      <c r="O624" s="20"/>
      <c r="P624" s="124"/>
      <c r="Q624" s="127"/>
      <c r="R624" s="20"/>
      <c r="S624" s="20"/>
      <c r="T624" s="20"/>
      <c r="U624" s="124"/>
      <c r="V624" s="127"/>
      <c r="W624" s="20"/>
      <c r="X624" s="20"/>
      <c r="Y624" s="20"/>
      <c r="Z624" s="20"/>
      <c r="AA624" s="20"/>
      <c r="AB624" s="20"/>
      <c r="AC624" s="20"/>
      <c r="AD624" s="20"/>
      <c r="AE624" s="20"/>
    </row>
    <row r="625" spans="1:31" ht="19.5">
      <c r="A625" s="20"/>
      <c r="B625" s="20"/>
      <c r="C625" s="20"/>
      <c r="D625" s="20"/>
      <c r="E625" s="20"/>
      <c r="F625" s="20"/>
      <c r="G625" s="124"/>
      <c r="H625" s="20"/>
      <c r="I625" s="20"/>
      <c r="J625" s="20"/>
      <c r="K625" s="124"/>
      <c r="L625" s="127"/>
      <c r="M625" s="20"/>
      <c r="N625" s="20"/>
      <c r="O625" s="20"/>
      <c r="P625" s="124"/>
      <c r="Q625" s="127"/>
      <c r="R625" s="20"/>
      <c r="S625" s="20"/>
      <c r="T625" s="20"/>
      <c r="U625" s="124"/>
      <c r="V625" s="127"/>
      <c r="W625" s="20"/>
      <c r="X625" s="20"/>
      <c r="Y625" s="20"/>
      <c r="Z625" s="20"/>
      <c r="AA625" s="20"/>
      <c r="AB625" s="20"/>
      <c r="AC625" s="20"/>
      <c r="AD625" s="20"/>
      <c r="AE625" s="20"/>
    </row>
    <row r="626" spans="1:31" ht="19.5">
      <c r="A626" s="20"/>
      <c r="B626" s="20"/>
      <c r="C626" s="20"/>
      <c r="D626" s="20"/>
      <c r="E626" s="20"/>
      <c r="F626" s="20"/>
      <c r="G626" s="124"/>
      <c r="H626" s="20"/>
      <c r="I626" s="20"/>
      <c r="J626" s="20"/>
      <c r="K626" s="124"/>
      <c r="L626" s="127"/>
      <c r="M626" s="20"/>
      <c r="N626" s="20"/>
      <c r="O626" s="20"/>
      <c r="P626" s="124"/>
      <c r="Q626" s="127"/>
      <c r="R626" s="20"/>
      <c r="S626" s="20"/>
      <c r="T626" s="20"/>
      <c r="U626" s="124"/>
      <c r="V626" s="127"/>
      <c r="W626" s="20"/>
      <c r="X626" s="20"/>
      <c r="Y626" s="20"/>
      <c r="Z626" s="20"/>
      <c r="AA626" s="20"/>
      <c r="AB626" s="20"/>
      <c r="AC626" s="20"/>
      <c r="AD626" s="20"/>
      <c r="AE626" s="20"/>
    </row>
    <row r="627" spans="1:31" ht="19.5">
      <c r="A627" s="20"/>
      <c r="B627" s="20"/>
      <c r="C627" s="20"/>
      <c r="D627" s="20"/>
      <c r="E627" s="20"/>
      <c r="F627" s="20"/>
      <c r="G627" s="124"/>
      <c r="H627" s="20"/>
      <c r="I627" s="20"/>
      <c r="J627" s="20"/>
      <c r="K627" s="124"/>
      <c r="L627" s="127"/>
      <c r="M627" s="20"/>
      <c r="N627" s="20"/>
      <c r="O627" s="20"/>
      <c r="P627" s="124"/>
      <c r="Q627" s="127"/>
      <c r="R627" s="20"/>
      <c r="S627" s="20"/>
      <c r="T627" s="20"/>
      <c r="U627" s="124"/>
      <c r="V627" s="127"/>
      <c r="W627" s="20"/>
      <c r="X627" s="20"/>
      <c r="Y627" s="20"/>
      <c r="Z627" s="20"/>
      <c r="AA627" s="20"/>
      <c r="AB627" s="20"/>
      <c r="AC627" s="20"/>
      <c r="AD627" s="20"/>
      <c r="AE627" s="20"/>
    </row>
    <row r="628" spans="1:31" ht="19.5">
      <c r="A628" s="20"/>
      <c r="B628" s="20"/>
      <c r="C628" s="20"/>
      <c r="D628" s="20"/>
      <c r="E628" s="20"/>
      <c r="F628" s="20"/>
      <c r="G628" s="124"/>
      <c r="H628" s="20"/>
      <c r="I628" s="20"/>
      <c r="J628" s="20"/>
      <c r="K628" s="124"/>
      <c r="L628" s="127"/>
      <c r="M628" s="20"/>
      <c r="N628" s="20"/>
      <c r="O628" s="20"/>
      <c r="P628" s="124"/>
      <c r="Q628" s="127"/>
      <c r="R628" s="20"/>
      <c r="S628" s="20"/>
      <c r="T628" s="20"/>
      <c r="U628" s="124"/>
      <c r="V628" s="127"/>
      <c r="W628" s="20"/>
      <c r="X628" s="20"/>
      <c r="Y628" s="20"/>
      <c r="Z628" s="20"/>
      <c r="AA628" s="20"/>
      <c r="AB628" s="20"/>
      <c r="AC628" s="20"/>
      <c r="AD628" s="20"/>
      <c r="AE628" s="20"/>
    </row>
    <row r="629" spans="1:31" ht="19.5">
      <c r="A629" s="20"/>
      <c r="B629" s="20"/>
      <c r="C629" s="20"/>
      <c r="D629" s="20"/>
      <c r="E629" s="20"/>
      <c r="F629" s="20"/>
      <c r="G629" s="124"/>
      <c r="H629" s="20"/>
      <c r="I629" s="20"/>
      <c r="J629" s="20"/>
      <c r="K629" s="124"/>
      <c r="L629" s="127"/>
      <c r="M629" s="20"/>
      <c r="N629" s="20"/>
      <c r="O629" s="20"/>
      <c r="P629" s="124"/>
      <c r="Q629" s="127"/>
      <c r="R629" s="20"/>
      <c r="S629" s="20"/>
      <c r="T629" s="20"/>
      <c r="U629" s="124"/>
      <c r="V629" s="127"/>
      <c r="W629" s="20"/>
      <c r="X629" s="20"/>
      <c r="Y629" s="20"/>
      <c r="Z629" s="20"/>
      <c r="AA629" s="20"/>
      <c r="AB629" s="20"/>
      <c r="AC629" s="20"/>
      <c r="AD629" s="20"/>
      <c r="AE629" s="20"/>
    </row>
    <row r="630" spans="1:31" ht="19.5">
      <c r="A630" s="20"/>
      <c r="B630" s="20"/>
      <c r="C630" s="20"/>
      <c r="D630" s="20"/>
      <c r="E630" s="20"/>
      <c r="F630" s="20"/>
      <c r="G630" s="124"/>
      <c r="H630" s="20"/>
      <c r="I630" s="20"/>
      <c r="J630" s="20"/>
      <c r="K630" s="124"/>
      <c r="L630" s="127"/>
      <c r="M630" s="20"/>
      <c r="N630" s="20"/>
      <c r="O630" s="20"/>
      <c r="P630" s="124"/>
      <c r="Q630" s="127"/>
      <c r="R630" s="20"/>
      <c r="S630" s="20"/>
      <c r="T630" s="20"/>
      <c r="U630" s="124"/>
      <c r="V630" s="127"/>
      <c r="W630" s="20"/>
      <c r="X630" s="20"/>
      <c r="Y630" s="20"/>
      <c r="Z630" s="20"/>
      <c r="AA630" s="20"/>
      <c r="AB630" s="20"/>
      <c r="AC630" s="20"/>
      <c r="AD630" s="20"/>
      <c r="AE630" s="20"/>
    </row>
    <row r="631" spans="1:31" ht="19.5">
      <c r="A631" s="20"/>
      <c r="B631" s="20"/>
      <c r="C631" s="20"/>
      <c r="D631" s="20"/>
      <c r="E631" s="20"/>
      <c r="F631" s="20"/>
      <c r="G631" s="124"/>
      <c r="H631" s="20"/>
      <c r="I631" s="20"/>
      <c r="J631" s="20"/>
      <c r="K631" s="124"/>
      <c r="L631" s="127"/>
      <c r="M631" s="20"/>
      <c r="N631" s="20"/>
      <c r="O631" s="20"/>
      <c r="P631" s="124"/>
      <c r="Q631" s="127"/>
      <c r="R631" s="20"/>
      <c r="S631" s="20"/>
      <c r="T631" s="20"/>
      <c r="U631" s="124"/>
      <c r="V631" s="127"/>
      <c r="W631" s="20"/>
      <c r="X631" s="20"/>
      <c r="Y631" s="20"/>
      <c r="Z631" s="20"/>
      <c r="AA631" s="20"/>
      <c r="AB631" s="20"/>
      <c r="AC631" s="20"/>
      <c r="AD631" s="20"/>
      <c r="AE631" s="20"/>
    </row>
    <row r="632" spans="1:31" ht="19.5">
      <c r="A632" s="20"/>
      <c r="B632" s="20"/>
      <c r="C632" s="20"/>
      <c r="D632" s="20"/>
      <c r="E632" s="20"/>
      <c r="F632" s="20"/>
      <c r="G632" s="124"/>
      <c r="H632" s="20"/>
      <c r="I632" s="20"/>
      <c r="J632" s="20"/>
      <c r="K632" s="124"/>
      <c r="L632" s="127"/>
      <c r="M632" s="20"/>
      <c r="N632" s="20"/>
      <c r="O632" s="20"/>
      <c r="P632" s="124"/>
      <c r="Q632" s="127"/>
      <c r="R632" s="20"/>
      <c r="S632" s="20"/>
      <c r="T632" s="20"/>
      <c r="U632" s="124"/>
      <c r="V632" s="127"/>
      <c r="W632" s="20"/>
      <c r="X632" s="20"/>
      <c r="Y632" s="20"/>
      <c r="Z632" s="20"/>
      <c r="AA632" s="20"/>
      <c r="AB632" s="20"/>
      <c r="AC632" s="20"/>
      <c r="AD632" s="20"/>
      <c r="AE632" s="20"/>
    </row>
    <row r="633" spans="1:31" ht="19.5">
      <c r="A633" s="20"/>
      <c r="B633" s="20"/>
      <c r="C633" s="20"/>
      <c r="D633" s="20"/>
      <c r="E633" s="20"/>
      <c r="F633" s="20"/>
      <c r="G633" s="124"/>
      <c r="H633" s="20"/>
      <c r="I633" s="20"/>
      <c r="J633" s="20"/>
      <c r="K633" s="124"/>
      <c r="L633" s="127"/>
      <c r="M633" s="20"/>
      <c r="N633" s="20"/>
      <c r="O633" s="20"/>
      <c r="P633" s="124"/>
      <c r="Q633" s="127"/>
      <c r="R633" s="20"/>
      <c r="S633" s="20"/>
      <c r="T633" s="20"/>
      <c r="U633" s="124"/>
      <c r="V633" s="127"/>
      <c r="W633" s="20"/>
      <c r="X633" s="20"/>
      <c r="Y633" s="20"/>
      <c r="Z633" s="20"/>
      <c r="AA633" s="20"/>
      <c r="AB633" s="20"/>
      <c r="AC633" s="20"/>
      <c r="AD633" s="20"/>
      <c r="AE633" s="20"/>
    </row>
    <row r="634" spans="1:31" ht="19.5">
      <c r="A634" s="20"/>
      <c r="B634" s="20"/>
      <c r="C634" s="20"/>
      <c r="D634" s="20"/>
      <c r="E634" s="20"/>
      <c r="F634" s="20"/>
      <c r="G634" s="124"/>
      <c r="H634" s="20"/>
      <c r="I634" s="20"/>
      <c r="J634" s="20"/>
      <c r="K634" s="124"/>
      <c r="L634" s="127"/>
      <c r="M634" s="20"/>
      <c r="N634" s="20"/>
      <c r="O634" s="20"/>
      <c r="P634" s="124"/>
      <c r="Q634" s="127"/>
      <c r="R634" s="20"/>
      <c r="S634" s="20"/>
      <c r="T634" s="20"/>
      <c r="U634" s="124"/>
      <c r="V634" s="127"/>
      <c r="W634" s="20"/>
      <c r="X634" s="20"/>
      <c r="Y634" s="20"/>
      <c r="Z634" s="20"/>
      <c r="AA634" s="20"/>
      <c r="AB634" s="20"/>
      <c r="AC634" s="20"/>
      <c r="AD634" s="20"/>
      <c r="AE634" s="20"/>
    </row>
    <row r="635" spans="1:31" ht="19.5">
      <c r="A635" s="20"/>
      <c r="B635" s="20"/>
      <c r="C635" s="20"/>
      <c r="D635" s="20"/>
      <c r="E635" s="20"/>
      <c r="F635" s="20"/>
      <c r="G635" s="124"/>
      <c r="H635" s="20"/>
      <c r="I635" s="20"/>
      <c r="J635" s="20"/>
      <c r="K635" s="124"/>
      <c r="L635" s="127"/>
      <c r="M635" s="20"/>
      <c r="N635" s="20"/>
      <c r="O635" s="20"/>
      <c r="P635" s="124"/>
      <c r="Q635" s="127"/>
      <c r="R635" s="20"/>
      <c r="S635" s="20"/>
      <c r="T635" s="20"/>
      <c r="U635" s="124"/>
      <c r="V635" s="127"/>
      <c r="W635" s="20"/>
      <c r="X635" s="20"/>
      <c r="Y635" s="20"/>
      <c r="Z635" s="20"/>
      <c r="AA635" s="20"/>
      <c r="AB635" s="20"/>
      <c r="AC635" s="20"/>
      <c r="AD635" s="20"/>
      <c r="AE635" s="20"/>
    </row>
    <row r="636" spans="1:31" ht="19.5">
      <c r="A636" s="20"/>
      <c r="B636" s="20"/>
      <c r="C636" s="20"/>
      <c r="D636" s="20"/>
      <c r="E636" s="20"/>
      <c r="F636" s="20"/>
      <c r="G636" s="124"/>
      <c r="H636" s="20"/>
      <c r="I636" s="20"/>
      <c r="J636" s="20"/>
      <c r="K636" s="124"/>
      <c r="L636" s="127"/>
      <c r="M636" s="20"/>
      <c r="N636" s="20"/>
      <c r="O636" s="20"/>
      <c r="P636" s="124"/>
      <c r="Q636" s="127"/>
      <c r="R636" s="20"/>
      <c r="S636" s="20"/>
      <c r="T636" s="20"/>
      <c r="U636" s="124"/>
      <c r="V636" s="127"/>
      <c r="W636" s="20"/>
      <c r="X636" s="20"/>
      <c r="Y636" s="20"/>
      <c r="Z636" s="20"/>
      <c r="AA636" s="20"/>
      <c r="AB636" s="20"/>
      <c r="AC636" s="20"/>
      <c r="AD636" s="20"/>
      <c r="AE636" s="20"/>
    </row>
    <row r="637" spans="1:31" ht="19.5">
      <c r="A637" s="20"/>
      <c r="B637" s="20"/>
      <c r="C637" s="20"/>
      <c r="D637" s="20"/>
      <c r="E637" s="20"/>
      <c r="F637" s="20"/>
      <c r="G637" s="124"/>
      <c r="H637" s="20"/>
      <c r="I637" s="20"/>
      <c r="J637" s="20"/>
      <c r="K637" s="124"/>
      <c r="L637" s="127"/>
      <c r="M637" s="20"/>
      <c r="N637" s="20"/>
      <c r="O637" s="20"/>
      <c r="P637" s="124"/>
      <c r="Q637" s="127"/>
      <c r="R637" s="20"/>
      <c r="S637" s="20"/>
      <c r="T637" s="20"/>
      <c r="U637" s="124"/>
      <c r="V637" s="127"/>
      <c r="W637" s="20"/>
      <c r="X637" s="20"/>
      <c r="Y637" s="20"/>
      <c r="Z637" s="20"/>
      <c r="AA637" s="20"/>
      <c r="AB637" s="20"/>
      <c r="AC637" s="20"/>
      <c r="AD637" s="20"/>
      <c r="AE637" s="20"/>
    </row>
    <row r="638" spans="1:31" ht="19.5">
      <c r="A638" s="20"/>
      <c r="B638" s="20"/>
      <c r="C638" s="20"/>
      <c r="D638" s="20"/>
      <c r="E638" s="20"/>
      <c r="F638" s="20"/>
      <c r="G638" s="124"/>
      <c r="H638" s="20"/>
      <c r="I638" s="20"/>
      <c r="J638" s="20"/>
      <c r="K638" s="124"/>
      <c r="L638" s="127"/>
      <c r="M638" s="20"/>
      <c r="N638" s="20"/>
      <c r="O638" s="20"/>
      <c r="P638" s="124"/>
      <c r="Q638" s="127"/>
      <c r="R638" s="20"/>
      <c r="S638" s="20"/>
      <c r="T638" s="20"/>
      <c r="U638" s="124"/>
      <c r="V638" s="127"/>
      <c r="W638" s="20"/>
      <c r="X638" s="20"/>
      <c r="Y638" s="20"/>
      <c r="Z638" s="20"/>
      <c r="AA638" s="20"/>
      <c r="AB638" s="20"/>
      <c r="AC638" s="20"/>
      <c r="AD638" s="20"/>
      <c r="AE638" s="20"/>
    </row>
    <row r="639" spans="1:31" ht="19.5">
      <c r="A639" s="20"/>
      <c r="B639" s="20"/>
      <c r="C639" s="20"/>
      <c r="D639" s="20"/>
      <c r="E639" s="20"/>
      <c r="F639" s="20"/>
      <c r="G639" s="124"/>
      <c r="H639" s="20"/>
      <c r="I639" s="20"/>
      <c r="J639" s="20"/>
      <c r="K639" s="124"/>
      <c r="L639" s="127"/>
      <c r="M639" s="20"/>
      <c r="N639" s="20"/>
      <c r="O639" s="20"/>
      <c r="P639" s="124"/>
      <c r="Q639" s="127"/>
      <c r="R639" s="20"/>
      <c r="S639" s="20"/>
      <c r="T639" s="20"/>
      <c r="U639" s="124"/>
      <c r="V639" s="127"/>
      <c r="W639" s="20"/>
      <c r="X639" s="20"/>
      <c r="Y639" s="20"/>
      <c r="Z639" s="20"/>
      <c r="AA639" s="20"/>
      <c r="AB639" s="20"/>
      <c r="AC639" s="20"/>
      <c r="AD639" s="20"/>
      <c r="AE639" s="20"/>
    </row>
    <row r="640" spans="1:31" ht="19.5">
      <c r="A640" s="20"/>
      <c r="B640" s="20"/>
      <c r="C640" s="20"/>
      <c r="D640" s="20"/>
      <c r="E640" s="20"/>
      <c r="F640" s="20"/>
      <c r="G640" s="124"/>
      <c r="H640" s="20"/>
      <c r="I640" s="20"/>
      <c r="J640" s="20"/>
      <c r="K640" s="124"/>
      <c r="L640" s="127"/>
      <c r="M640" s="20"/>
      <c r="N640" s="20"/>
      <c r="O640" s="20"/>
      <c r="P640" s="124"/>
      <c r="Q640" s="127"/>
      <c r="R640" s="20"/>
      <c r="S640" s="20"/>
      <c r="T640" s="20"/>
      <c r="U640" s="124"/>
      <c r="V640" s="127"/>
      <c r="W640" s="20"/>
      <c r="X640" s="20"/>
      <c r="Y640" s="20"/>
      <c r="Z640" s="20"/>
      <c r="AA640" s="20"/>
      <c r="AB640" s="20"/>
      <c r="AC640" s="20"/>
      <c r="AD640" s="20"/>
      <c r="AE640" s="20"/>
    </row>
    <row r="641" spans="1:31" ht="19.5">
      <c r="A641" s="20"/>
      <c r="B641" s="20"/>
      <c r="C641" s="20"/>
      <c r="D641" s="20"/>
      <c r="E641" s="20"/>
      <c r="F641" s="20"/>
      <c r="G641" s="124"/>
      <c r="H641" s="20"/>
      <c r="I641" s="20"/>
      <c r="J641" s="20"/>
      <c r="K641" s="124"/>
      <c r="L641" s="127"/>
      <c r="M641" s="20"/>
      <c r="N641" s="20"/>
      <c r="O641" s="20"/>
      <c r="P641" s="124"/>
      <c r="Q641" s="127"/>
      <c r="R641" s="20"/>
      <c r="S641" s="20"/>
      <c r="T641" s="20"/>
      <c r="U641" s="124"/>
      <c r="V641" s="127"/>
      <c r="W641" s="20"/>
      <c r="X641" s="20"/>
      <c r="Y641" s="20"/>
      <c r="Z641" s="20"/>
      <c r="AA641" s="20"/>
      <c r="AB641" s="20"/>
      <c r="AC641" s="20"/>
      <c r="AD641" s="20"/>
      <c r="AE641" s="20"/>
    </row>
    <row r="642" spans="1:31" ht="19.5">
      <c r="A642" s="20"/>
      <c r="B642" s="20"/>
      <c r="C642" s="20"/>
      <c r="D642" s="20"/>
      <c r="E642" s="20"/>
      <c r="F642" s="20"/>
      <c r="G642" s="124"/>
      <c r="H642" s="20"/>
      <c r="I642" s="20"/>
      <c r="J642" s="20"/>
      <c r="K642" s="124"/>
      <c r="L642" s="127"/>
      <c r="M642" s="20"/>
      <c r="N642" s="20"/>
      <c r="O642" s="20"/>
      <c r="P642" s="124"/>
      <c r="Q642" s="127"/>
      <c r="R642" s="20"/>
      <c r="S642" s="20"/>
      <c r="T642" s="20"/>
      <c r="U642" s="124"/>
      <c r="V642" s="127"/>
      <c r="W642" s="20"/>
      <c r="X642" s="20"/>
      <c r="Y642" s="20"/>
      <c r="Z642" s="20"/>
      <c r="AA642" s="20"/>
      <c r="AB642" s="20"/>
      <c r="AC642" s="20"/>
      <c r="AD642" s="20"/>
      <c r="AE642" s="20"/>
    </row>
    <row r="643" spans="1:31" ht="19.5">
      <c r="A643" s="20"/>
      <c r="B643" s="20"/>
      <c r="C643" s="20"/>
      <c r="D643" s="20"/>
      <c r="E643" s="20"/>
      <c r="F643" s="20"/>
      <c r="G643" s="124"/>
      <c r="H643" s="20"/>
      <c r="I643" s="20"/>
      <c r="J643" s="20"/>
      <c r="K643" s="124"/>
      <c r="L643" s="127"/>
      <c r="M643" s="20"/>
      <c r="N643" s="20"/>
      <c r="O643" s="20"/>
      <c r="P643" s="124"/>
      <c r="Q643" s="127"/>
      <c r="R643" s="20"/>
      <c r="S643" s="20"/>
      <c r="T643" s="20"/>
      <c r="U643" s="124"/>
      <c r="V643" s="127"/>
      <c r="W643" s="20"/>
      <c r="X643" s="20"/>
      <c r="Y643" s="20"/>
      <c r="Z643" s="20"/>
      <c r="AA643" s="20"/>
      <c r="AB643" s="20"/>
      <c r="AC643" s="20"/>
      <c r="AD643" s="20"/>
      <c r="AE643" s="20"/>
    </row>
    <row r="644" spans="1:31" ht="19.5">
      <c r="A644" s="20"/>
      <c r="B644" s="20"/>
      <c r="C644" s="20"/>
      <c r="D644" s="20"/>
      <c r="E644" s="20"/>
      <c r="F644" s="20"/>
      <c r="G644" s="124"/>
      <c r="H644" s="20"/>
      <c r="I644" s="20"/>
      <c r="J644" s="20"/>
      <c r="K644" s="124"/>
      <c r="L644" s="127"/>
      <c r="M644" s="20"/>
      <c r="N644" s="20"/>
      <c r="O644" s="20"/>
      <c r="P644" s="124"/>
      <c r="Q644" s="127"/>
      <c r="R644" s="20"/>
      <c r="S644" s="20"/>
      <c r="T644" s="20"/>
      <c r="U644" s="124"/>
      <c r="V644" s="127"/>
      <c r="W644" s="20"/>
      <c r="X644" s="20"/>
      <c r="Y644" s="20"/>
      <c r="Z644" s="20"/>
      <c r="AA644" s="20"/>
      <c r="AB644" s="20"/>
      <c r="AC644" s="20"/>
      <c r="AD644" s="20"/>
      <c r="AE644" s="20"/>
    </row>
    <row r="645" spans="1:31" ht="19.5">
      <c r="A645" s="20"/>
      <c r="B645" s="20"/>
      <c r="C645" s="20"/>
      <c r="D645" s="20"/>
      <c r="E645" s="20"/>
      <c r="F645" s="20"/>
      <c r="G645" s="124"/>
      <c r="H645" s="20"/>
      <c r="I645" s="20"/>
      <c r="J645" s="20"/>
      <c r="K645" s="124"/>
      <c r="L645" s="127"/>
      <c r="M645" s="20"/>
      <c r="N645" s="20"/>
      <c r="O645" s="20"/>
      <c r="P645" s="124"/>
      <c r="Q645" s="127"/>
      <c r="R645" s="20"/>
      <c r="S645" s="20"/>
      <c r="T645" s="20"/>
      <c r="U645" s="124"/>
      <c r="V645" s="127"/>
      <c r="W645" s="20"/>
      <c r="X645" s="20"/>
      <c r="Y645" s="20"/>
      <c r="Z645" s="20"/>
      <c r="AA645" s="20"/>
      <c r="AB645" s="20"/>
      <c r="AC645" s="20"/>
      <c r="AD645" s="20"/>
      <c r="AE645" s="20"/>
    </row>
    <row r="646" spans="1:31" ht="19.5">
      <c r="A646" s="20"/>
      <c r="B646" s="20"/>
      <c r="C646" s="20"/>
      <c r="D646" s="20"/>
      <c r="E646" s="20"/>
      <c r="F646" s="20"/>
      <c r="G646" s="124"/>
      <c r="H646" s="20"/>
      <c r="I646" s="20"/>
      <c r="J646" s="20"/>
      <c r="K646" s="124"/>
      <c r="L646" s="127"/>
      <c r="M646" s="20"/>
      <c r="N646" s="20"/>
      <c r="O646" s="20"/>
      <c r="P646" s="124"/>
      <c r="Q646" s="127"/>
      <c r="R646" s="20"/>
      <c r="S646" s="20"/>
      <c r="T646" s="20"/>
      <c r="U646" s="124"/>
      <c r="V646" s="127"/>
      <c r="W646" s="20"/>
      <c r="X646" s="20"/>
      <c r="Y646" s="20"/>
      <c r="Z646" s="20"/>
      <c r="AA646" s="20"/>
      <c r="AB646" s="20"/>
      <c r="AC646" s="20"/>
      <c r="AD646" s="20"/>
      <c r="AE646" s="20"/>
    </row>
    <row r="647" spans="1:31" ht="19.5">
      <c r="A647" s="20"/>
      <c r="B647" s="20"/>
      <c r="C647" s="20"/>
      <c r="D647" s="20"/>
      <c r="E647" s="20"/>
      <c r="F647" s="20"/>
      <c r="G647" s="124"/>
      <c r="H647" s="20"/>
      <c r="I647" s="20"/>
      <c r="J647" s="20"/>
      <c r="K647" s="124"/>
      <c r="L647" s="127"/>
      <c r="M647" s="20"/>
      <c r="N647" s="20"/>
      <c r="O647" s="20"/>
      <c r="P647" s="124"/>
      <c r="Q647" s="127"/>
      <c r="R647" s="20"/>
      <c r="S647" s="20"/>
      <c r="T647" s="20"/>
      <c r="U647" s="124"/>
      <c r="V647" s="127"/>
      <c r="W647" s="20"/>
      <c r="X647" s="20"/>
      <c r="Y647" s="20"/>
      <c r="Z647" s="20"/>
      <c r="AA647" s="20"/>
      <c r="AB647" s="20"/>
      <c r="AC647" s="20"/>
      <c r="AD647" s="20"/>
      <c r="AE647" s="20"/>
    </row>
    <row r="648" spans="1:31" ht="19.5">
      <c r="A648" s="20"/>
      <c r="B648" s="20"/>
      <c r="C648" s="20"/>
      <c r="D648" s="20"/>
      <c r="E648" s="20"/>
      <c r="F648" s="20"/>
      <c r="G648" s="124"/>
      <c r="H648" s="20"/>
      <c r="I648" s="20"/>
      <c r="J648" s="20"/>
      <c r="K648" s="124"/>
      <c r="L648" s="127"/>
      <c r="M648" s="20"/>
      <c r="N648" s="20"/>
      <c r="O648" s="20"/>
      <c r="P648" s="124"/>
      <c r="Q648" s="127"/>
      <c r="R648" s="20"/>
      <c r="S648" s="20"/>
      <c r="T648" s="20"/>
      <c r="U648" s="124"/>
      <c r="V648" s="127"/>
      <c r="W648" s="20"/>
      <c r="X648" s="20"/>
      <c r="Y648" s="20"/>
      <c r="Z648" s="20"/>
      <c r="AA648" s="20"/>
      <c r="AB648" s="20"/>
      <c r="AC648" s="20"/>
      <c r="AD648" s="20"/>
      <c r="AE648" s="20"/>
    </row>
    <row r="649" spans="1:31" ht="19.5">
      <c r="A649" s="20"/>
      <c r="B649" s="20"/>
      <c r="C649" s="20"/>
      <c r="D649" s="20"/>
      <c r="E649" s="20"/>
      <c r="F649" s="20"/>
      <c r="G649" s="124"/>
      <c r="H649" s="20"/>
      <c r="I649" s="20"/>
      <c r="J649" s="20"/>
      <c r="K649" s="124"/>
      <c r="L649" s="127"/>
      <c r="M649" s="20"/>
      <c r="N649" s="20"/>
      <c r="O649" s="20"/>
      <c r="P649" s="124"/>
      <c r="Q649" s="127"/>
      <c r="R649" s="20"/>
      <c r="S649" s="20"/>
      <c r="T649" s="20"/>
      <c r="U649" s="124"/>
      <c r="V649" s="127"/>
      <c r="W649" s="20"/>
      <c r="X649" s="20"/>
      <c r="Y649" s="20"/>
      <c r="Z649" s="20"/>
      <c r="AA649" s="20"/>
      <c r="AB649" s="20"/>
      <c r="AC649" s="20"/>
      <c r="AD649" s="20"/>
      <c r="AE649" s="20"/>
    </row>
    <row r="650" spans="1:31" ht="19.5">
      <c r="A650" s="20"/>
      <c r="B650" s="20"/>
      <c r="C650" s="20"/>
      <c r="D650" s="20"/>
      <c r="E650" s="20"/>
      <c r="F650" s="20"/>
      <c r="G650" s="124"/>
      <c r="H650" s="20"/>
      <c r="I650" s="20"/>
      <c r="J650" s="20"/>
      <c r="K650" s="124"/>
      <c r="L650" s="127"/>
      <c r="M650" s="20"/>
      <c r="N650" s="20"/>
      <c r="O650" s="20"/>
      <c r="P650" s="124"/>
      <c r="Q650" s="127"/>
      <c r="R650" s="20"/>
      <c r="S650" s="20"/>
      <c r="T650" s="20"/>
      <c r="U650" s="124"/>
      <c r="V650" s="127"/>
      <c r="W650" s="20"/>
      <c r="X650" s="20"/>
      <c r="Y650" s="20"/>
      <c r="Z650" s="20"/>
      <c r="AA650" s="20"/>
      <c r="AB650" s="20"/>
      <c r="AC650" s="20"/>
      <c r="AD650" s="20"/>
      <c r="AE650" s="20"/>
    </row>
    <row r="651" spans="1:31" ht="19.5">
      <c r="A651" s="20"/>
      <c r="B651" s="20"/>
      <c r="C651" s="20"/>
      <c r="D651" s="20"/>
      <c r="E651" s="20"/>
      <c r="F651" s="20"/>
      <c r="G651" s="124"/>
      <c r="H651" s="20"/>
      <c r="I651" s="20"/>
      <c r="J651" s="20"/>
      <c r="K651" s="124"/>
      <c r="L651" s="127"/>
      <c r="M651" s="20"/>
      <c r="N651" s="20"/>
      <c r="O651" s="20"/>
      <c r="P651" s="124"/>
      <c r="Q651" s="127"/>
      <c r="R651" s="20"/>
      <c r="S651" s="20"/>
      <c r="T651" s="20"/>
      <c r="U651" s="124"/>
      <c r="V651" s="127"/>
      <c r="W651" s="20"/>
      <c r="X651" s="20"/>
      <c r="Y651" s="20"/>
      <c r="Z651" s="20"/>
      <c r="AA651" s="20"/>
      <c r="AB651" s="20"/>
      <c r="AC651" s="20"/>
      <c r="AD651" s="20"/>
      <c r="AE651" s="20"/>
    </row>
    <row r="652" spans="1:31" ht="19.5">
      <c r="A652" s="20"/>
      <c r="B652" s="20"/>
      <c r="C652" s="20"/>
      <c r="D652" s="20"/>
      <c r="E652" s="20"/>
      <c r="F652" s="20"/>
      <c r="G652" s="124"/>
      <c r="H652" s="20"/>
      <c r="I652" s="20"/>
      <c r="J652" s="20"/>
      <c r="K652" s="124"/>
      <c r="L652" s="127"/>
      <c r="M652" s="20"/>
      <c r="N652" s="20"/>
      <c r="O652" s="20"/>
      <c r="P652" s="124"/>
      <c r="Q652" s="127"/>
      <c r="R652" s="20"/>
      <c r="S652" s="20"/>
      <c r="T652" s="20"/>
      <c r="U652" s="124"/>
      <c r="V652" s="127"/>
      <c r="W652" s="20"/>
      <c r="X652" s="20"/>
      <c r="Y652" s="20"/>
      <c r="Z652" s="20"/>
      <c r="AA652" s="20"/>
      <c r="AB652" s="20"/>
      <c r="AC652" s="20"/>
      <c r="AD652" s="20"/>
      <c r="AE652" s="20"/>
    </row>
    <row r="653" spans="1:31" ht="19.5">
      <c r="A653" s="20"/>
      <c r="B653" s="20"/>
      <c r="C653" s="20"/>
      <c r="D653" s="20"/>
      <c r="E653" s="20"/>
      <c r="F653" s="20"/>
      <c r="G653" s="124"/>
      <c r="H653" s="20"/>
      <c r="I653" s="20"/>
      <c r="J653" s="20"/>
      <c r="K653" s="124"/>
      <c r="L653" s="127"/>
      <c r="M653" s="20"/>
      <c r="N653" s="20"/>
      <c r="O653" s="20"/>
      <c r="P653" s="124"/>
      <c r="Q653" s="127"/>
      <c r="R653" s="20"/>
      <c r="S653" s="20"/>
      <c r="T653" s="20"/>
      <c r="U653" s="124"/>
      <c r="V653" s="127"/>
      <c r="W653" s="20"/>
      <c r="X653" s="20"/>
      <c r="Y653" s="20"/>
      <c r="Z653" s="20"/>
      <c r="AA653" s="20"/>
      <c r="AB653" s="20"/>
      <c r="AC653" s="20"/>
      <c r="AD653" s="20"/>
      <c r="AE653" s="20"/>
    </row>
    <row r="654" spans="1:31" ht="19.5">
      <c r="A654" s="20"/>
      <c r="B654" s="20"/>
      <c r="C654" s="20"/>
      <c r="D654" s="20"/>
      <c r="E654" s="20"/>
      <c r="F654" s="20"/>
      <c r="G654" s="124"/>
      <c r="H654" s="20"/>
      <c r="I654" s="20"/>
      <c r="J654" s="20"/>
      <c r="K654" s="124"/>
      <c r="L654" s="127"/>
      <c r="M654" s="20"/>
      <c r="N654" s="20"/>
      <c r="O654" s="20"/>
      <c r="P654" s="124"/>
      <c r="Q654" s="127"/>
      <c r="R654" s="20"/>
      <c r="S654" s="20"/>
      <c r="T654" s="20"/>
      <c r="U654" s="124"/>
      <c r="V654" s="127"/>
      <c r="W654" s="20"/>
      <c r="X654" s="20"/>
      <c r="Y654" s="20"/>
      <c r="Z654" s="20"/>
      <c r="AA654" s="20"/>
      <c r="AB654" s="20"/>
      <c r="AC654" s="20"/>
      <c r="AD654" s="20"/>
      <c r="AE654" s="20"/>
    </row>
    <row r="655" spans="1:31" ht="19.5">
      <c r="A655" s="20"/>
      <c r="B655" s="20"/>
      <c r="C655" s="20"/>
      <c r="D655" s="20"/>
      <c r="E655" s="20"/>
      <c r="F655" s="20"/>
      <c r="G655" s="124"/>
      <c r="H655" s="20"/>
      <c r="I655" s="20"/>
      <c r="J655" s="20"/>
      <c r="K655" s="124"/>
      <c r="L655" s="127"/>
      <c r="M655" s="20"/>
      <c r="N655" s="20"/>
      <c r="O655" s="20"/>
      <c r="P655" s="124"/>
      <c r="Q655" s="127"/>
      <c r="R655" s="20"/>
      <c r="S655" s="20"/>
      <c r="T655" s="20"/>
      <c r="U655" s="124"/>
      <c r="V655" s="127"/>
      <c r="W655" s="20"/>
      <c r="X655" s="20"/>
      <c r="Y655" s="20"/>
      <c r="Z655" s="20"/>
      <c r="AA655" s="20"/>
      <c r="AB655" s="20"/>
      <c r="AC655" s="20"/>
      <c r="AD655" s="20"/>
      <c r="AE655" s="20"/>
    </row>
    <row r="656" spans="1:31" ht="19.5">
      <c r="A656" s="20"/>
      <c r="B656" s="20"/>
      <c r="C656" s="20"/>
      <c r="D656" s="20"/>
      <c r="E656" s="20"/>
      <c r="F656" s="20"/>
      <c r="G656" s="124"/>
      <c r="H656" s="20"/>
      <c r="I656" s="20"/>
      <c r="J656" s="20"/>
      <c r="K656" s="124"/>
      <c r="L656" s="127"/>
      <c r="M656" s="20"/>
      <c r="N656" s="20"/>
      <c r="O656" s="20"/>
      <c r="P656" s="124"/>
      <c r="Q656" s="127"/>
      <c r="R656" s="20"/>
      <c r="S656" s="20"/>
      <c r="T656" s="20"/>
      <c r="U656" s="124"/>
      <c r="V656" s="127"/>
      <c r="W656" s="20"/>
      <c r="X656" s="20"/>
      <c r="Y656" s="20"/>
      <c r="Z656" s="20"/>
      <c r="AA656" s="20"/>
      <c r="AB656" s="20"/>
      <c r="AC656" s="20"/>
      <c r="AD656" s="20"/>
      <c r="AE656" s="20"/>
    </row>
    <row r="657" spans="1:31" ht="19.5">
      <c r="A657" s="20"/>
      <c r="B657" s="20"/>
      <c r="C657" s="20"/>
      <c r="D657" s="20"/>
      <c r="E657" s="20"/>
      <c r="F657" s="20"/>
      <c r="G657" s="124"/>
      <c r="H657" s="20"/>
      <c r="I657" s="20"/>
      <c r="J657" s="20"/>
      <c r="K657" s="124"/>
      <c r="L657" s="127"/>
      <c r="M657" s="20"/>
      <c r="N657" s="20"/>
      <c r="O657" s="20"/>
      <c r="P657" s="124"/>
      <c r="Q657" s="127"/>
      <c r="R657" s="20"/>
      <c r="S657" s="20"/>
      <c r="T657" s="20"/>
      <c r="U657" s="124"/>
      <c r="V657" s="127"/>
      <c r="W657" s="20"/>
      <c r="X657" s="20"/>
      <c r="Y657" s="20"/>
      <c r="Z657" s="20"/>
      <c r="AA657" s="20"/>
      <c r="AB657" s="20"/>
      <c r="AC657" s="20"/>
      <c r="AD657" s="20"/>
      <c r="AE657" s="20"/>
    </row>
    <row r="658" spans="1:31" ht="19.5">
      <c r="A658" s="20"/>
      <c r="B658" s="20"/>
      <c r="C658" s="20"/>
      <c r="D658" s="20"/>
      <c r="E658" s="20"/>
      <c r="F658" s="20"/>
      <c r="G658" s="124"/>
      <c r="H658" s="20"/>
      <c r="I658" s="20"/>
      <c r="J658" s="20"/>
      <c r="K658" s="124"/>
      <c r="L658" s="127"/>
      <c r="M658" s="20"/>
      <c r="N658" s="20"/>
      <c r="O658" s="20"/>
      <c r="P658" s="124"/>
      <c r="Q658" s="127"/>
      <c r="R658" s="20"/>
      <c r="S658" s="20"/>
      <c r="T658" s="20"/>
      <c r="U658" s="124"/>
      <c r="V658" s="127"/>
      <c r="W658" s="20"/>
      <c r="X658" s="20"/>
      <c r="Y658" s="20"/>
      <c r="Z658" s="20"/>
      <c r="AA658" s="20"/>
      <c r="AB658" s="20"/>
      <c r="AC658" s="20"/>
      <c r="AD658" s="20"/>
      <c r="AE658" s="20"/>
    </row>
    <row r="659" spans="1:31" ht="19.5">
      <c r="A659" s="20"/>
      <c r="B659" s="20"/>
      <c r="C659" s="20"/>
      <c r="D659" s="20"/>
      <c r="E659" s="20"/>
      <c r="F659" s="20"/>
      <c r="G659" s="124"/>
      <c r="H659" s="20"/>
      <c r="I659" s="20"/>
      <c r="J659" s="20"/>
      <c r="K659" s="124"/>
      <c r="L659" s="127"/>
      <c r="M659" s="20"/>
      <c r="N659" s="20"/>
      <c r="O659" s="20"/>
      <c r="P659" s="124"/>
      <c r="Q659" s="127"/>
      <c r="R659" s="20"/>
      <c r="S659" s="20"/>
      <c r="T659" s="20"/>
      <c r="U659" s="124"/>
      <c r="V659" s="127"/>
      <c r="W659" s="20"/>
      <c r="X659" s="20"/>
      <c r="Y659" s="20"/>
      <c r="Z659" s="20"/>
      <c r="AA659" s="20"/>
      <c r="AB659" s="20"/>
      <c r="AC659" s="20"/>
      <c r="AD659" s="20"/>
      <c r="AE659" s="20"/>
    </row>
    <row r="660" spans="1:31" ht="19.5">
      <c r="A660" s="20"/>
      <c r="B660" s="20"/>
      <c r="C660" s="20"/>
      <c r="D660" s="20"/>
      <c r="E660" s="20"/>
      <c r="F660" s="20"/>
      <c r="G660" s="124"/>
      <c r="H660" s="20"/>
      <c r="I660" s="20"/>
      <c r="J660" s="20"/>
      <c r="K660" s="124"/>
      <c r="L660" s="127"/>
      <c r="M660" s="20"/>
      <c r="N660" s="20"/>
      <c r="O660" s="20"/>
      <c r="P660" s="124"/>
      <c r="Q660" s="127"/>
      <c r="R660" s="20"/>
      <c r="S660" s="20"/>
      <c r="T660" s="20"/>
      <c r="U660" s="124"/>
      <c r="V660" s="127"/>
      <c r="W660" s="20"/>
      <c r="X660" s="20"/>
      <c r="Y660" s="20"/>
      <c r="Z660" s="20"/>
      <c r="AA660" s="20"/>
      <c r="AB660" s="20"/>
      <c r="AC660" s="20"/>
      <c r="AD660" s="20"/>
      <c r="AE660" s="20"/>
    </row>
    <row r="661" spans="1:31" ht="19.5">
      <c r="A661" s="20"/>
      <c r="B661" s="20"/>
      <c r="C661" s="20"/>
      <c r="D661" s="20"/>
      <c r="E661" s="20"/>
      <c r="F661" s="20"/>
      <c r="G661" s="124"/>
      <c r="H661" s="20"/>
      <c r="I661" s="20"/>
      <c r="J661" s="20"/>
      <c r="K661" s="124"/>
      <c r="L661" s="127"/>
      <c r="M661" s="20"/>
      <c r="N661" s="20"/>
      <c r="O661" s="20"/>
      <c r="P661" s="124"/>
      <c r="Q661" s="127"/>
      <c r="R661" s="20"/>
      <c r="S661" s="20"/>
      <c r="T661" s="20"/>
      <c r="U661" s="124"/>
      <c r="V661" s="127"/>
      <c r="W661" s="20"/>
      <c r="X661" s="20"/>
      <c r="Y661" s="20"/>
      <c r="Z661" s="20"/>
      <c r="AA661" s="20"/>
      <c r="AB661" s="20"/>
      <c r="AC661" s="20"/>
      <c r="AD661" s="20"/>
      <c r="AE661" s="20"/>
    </row>
    <row r="662" spans="1:31" ht="19.5">
      <c r="A662" s="20"/>
      <c r="B662" s="20"/>
      <c r="C662" s="20"/>
      <c r="D662" s="20"/>
      <c r="E662" s="20"/>
      <c r="F662" s="20"/>
      <c r="G662" s="124"/>
      <c r="H662" s="20"/>
      <c r="I662" s="20"/>
      <c r="J662" s="20"/>
      <c r="K662" s="124"/>
      <c r="L662" s="127"/>
      <c r="M662" s="20"/>
      <c r="N662" s="20"/>
      <c r="O662" s="20"/>
      <c r="P662" s="124"/>
      <c r="Q662" s="127"/>
      <c r="R662" s="20"/>
      <c r="S662" s="20"/>
      <c r="T662" s="20"/>
      <c r="U662" s="124"/>
      <c r="V662" s="127"/>
      <c r="W662" s="20"/>
      <c r="X662" s="20"/>
      <c r="Y662" s="20"/>
      <c r="Z662" s="20"/>
      <c r="AA662" s="20"/>
      <c r="AB662" s="20"/>
      <c r="AC662" s="20"/>
      <c r="AD662" s="20"/>
      <c r="AE662" s="20"/>
    </row>
    <row r="663" spans="1:31" ht="19.5">
      <c r="A663" s="20"/>
      <c r="B663" s="20"/>
      <c r="C663" s="20"/>
      <c r="D663" s="20"/>
      <c r="E663" s="20"/>
      <c r="F663" s="20"/>
      <c r="G663" s="124"/>
      <c r="H663" s="20"/>
      <c r="I663" s="20"/>
      <c r="J663" s="20"/>
      <c r="K663" s="124"/>
      <c r="L663" s="127"/>
      <c r="M663" s="20"/>
      <c r="N663" s="20"/>
      <c r="O663" s="20"/>
      <c r="P663" s="124"/>
      <c r="Q663" s="127"/>
      <c r="R663" s="20"/>
      <c r="S663" s="20"/>
      <c r="T663" s="20"/>
      <c r="U663" s="124"/>
      <c r="V663" s="127"/>
      <c r="W663" s="20"/>
      <c r="X663" s="20"/>
      <c r="Y663" s="20"/>
      <c r="Z663" s="20"/>
      <c r="AA663" s="20"/>
      <c r="AB663" s="20"/>
      <c r="AC663" s="20"/>
      <c r="AD663" s="20"/>
      <c r="AE663" s="20"/>
    </row>
    <row r="664" spans="1:31" ht="19.5">
      <c r="A664" s="20"/>
      <c r="B664" s="20"/>
      <c r="C664" s="20"/>
      <c r="D664" s="20"/>
      <c r="E664" s="20"/>
      <c r="F664" s="20"/>
      <c r="G664" s="124"/>
      <c r="H664" s="20"/>
      <c r="I664" s="20"/>
      <c r="J664" s="20"/>
      <c r="K664" s="124"/>
      <c r="L664" s="127"/>
      <c r="M664" s="20"/>
      <c r="N664" s="20"/>
      <c r="O664" s="20"/>
      <c r="P664" s="124"/>
      <c r="Q664" s="127"/>
      <c r="R664" s="20"/>
      <c r="S664" s="20"/>
      <c r="T664" s="20"/>
      <c r="U664" s="124"/>
      <c r="V664" s="127"/>
      <c r="W664" s="20"/>
      <c r="X664" s="20"/>
      <c r="Y664" s="20"/>
      <c r="Z664" s="20"/>
      <c r="AA664" s="20"/>
      <c r="AB664" s="20"/>
      <c r="AC664" s="20"/>
      <c r="AD664" s="20"/>
      <c r="AE664" s="20"/>
    </row>
    <row r="665" spans="1:31" ht="19.5">
      <c r="A665" s="20"/>
      <c r="B665" s="20"/>
      <c r="C665" s="20"/>
      <c r="D665" s="20"/>
      <c r="E665" s="20"/>
      <c r="F665" s="20"/>
      <c r="G665" s="124"/>
      <c r="H665" s="20"/>
      <c r="I665" s="20"/>
      <c r="J665" s="20"/>
      <c r="K665" s="124"/>
      <c r="L665" s="127"/>
      <c r="M665" s="20"/>
      <c r="N665" s="20"/>
      <c r="O665" s="20"/>
      <c r="P665" s="124"/>
      <c r="Q665" s="127"/>
      <c r="R665" s="20"/>
      <c r="S665" s="20"/>
      <c r="T665" s="20"/>
      <c r="U665" s="124"/>
      <c r="V665" s="127"/>
      <c r="W665" s="20"/>
      <c r="X665" s="20"/>
      <c r="Y665" s="20"/>
      <c r="Z665" s="20"/>
      <c r="AA665" s="20"/>
      <c r="AB665" s="20"/>
      <c r="AC665" s="20"/>
      <c r="AD665" s="20"/>
      <c r="AE665" s="20"/>
    </row>
    <row r="666" spans="1:31" ht="19.5">
      <c r="A666" s="20"/>
      <c r="B666" s="20"/>
      <c r="C666" s="20"/>
      <c r="D666" s="20"/>
      <c r="E666" s="20"/>
      <c r="F666" s="20"/>
      <c r="G666" s="124"/>
      <c r="H666" s="20"/>
      <c r="I666" s="20"/>
      <c r="J666" s="20"/>
      <c r="K666" s="124"/>
      <c r="L666" s="127"/>
      <c r="M666" s="20"/>
      <c r="N666" s="20"/>
      <c r="O666" s="20"/>
      <c r="P666" s="124"/>
      <c r="Q666" s="127"/>
      <c r="R666" s="20"/>
      <c r="S666" s="20"/>
      <c r="T666" s="20"/>
      <c r="U666" s="124"/>
      <c r="V666" s="127"/>
      <c r="W666" s="20"/>
      <c r="X666" s="20"/>
      <c r="Y666" s="20"/>
      <c r="Z666" s="20"/>
      <c r="AA666" s="20"/>
      <c r="AB666" s="20"/>
      <c r="AC666" s="20"/>
      <c r="AD666" s="20"/>
      <c r="AE666" s="20"/>
    </row>
    <row r="667" spans="1:31" ht="19.5">
      <c r="A667" s="20"/>
      <c r="B667" s="20"/>
      <c r="C667" s="20"/>
      <c r="D667" s="20"/>
      <c r="E667" s="20"/>
      <c r="F667" s="20"/>
      <c r="G667" s="124"/>
      <c r="H667" s="20"/>
      <c r="I667" s="20"/>
      <c r="J667" s="20"/>
      <c r="K667" s="124"/>
      <c r="L667" s="127"/>
      <c r="M667" s="20"/>
      <c r="N667" s="20"/>
      <c r="O667" s="20"/>
      <c r="P667" s="124"/>
      <c r="Q667" s="127"/>
      <c r="R667" s="20"/>
      <c r="S667" s="20"/>
      <c r="T667" s="20"/>
      <c r="U667" s="124"/>
      <c r="V667" s="127"/>
      <c r="W667" s="20"/>
      <c r="X667" s="20"/>
      <c r="Y667" s="20"/>
      <c r="Z667" s="20"/>
      <c r="AA667" s="20"/>
      <c r="AB667" s="20"/>
      <c r="AC667" s="20"/>
      <c r="AD667" s="20"/>
      <c r="AE667" s="20"/>
    </row>
    <row r="668" spans="1:31" ht="19.5">
      <c r="A668" s="20"/>
      <c r="B668" s="20"/>
      <c r="C668" s="20"/>
      <c r="D668" s="20"/>
      <c r="E668" s="20"/>
      <c r="F668" s="20"/>
      <c r="G668" s="124"/>
      <c r="H668" s="20"/>
      <c r="I668" s="20"/>
      <c r="J668" s="20"/>
      <c r="K668" s="124"/>
      <c r="L668" s="127"/>
      <c r="M668" s="20"/>
      <c r="N668" s="20"/>
      <c r="O668" s="20"/>
      <c r="P668" s="124"/>
      <c r="Q668" s="127"/>
      <c r="R668" s="20"/>
      <c r="S668" s="20"/>
      <c r="T668" s="20"/>
      <c r="U668" s="124"/>
      <c r="V668" s="127"/>
      <c r="W668" s="20"/>
      <c r="X668" s="20"/>
      <c r="Y668" s="20"/>
      <c r="Z668" s="20"/>
      <c r="AA668" s="20"/>
      <c r="AB668" s="20"/>
      <c r="AC668" s="20"/>
      <c r="AD668" s="20"/>
      <c r="AE668" s="20"/>
    </row>
    <row r="669" spans="1:31" ht="19.5">
      <c r="A669" s="20"/>
      <c r="B669" s="20"/>
      <c r="C669" s="20"/>
      <c r="D669" s="20"/>
      <c r="E669" s="20"/>
      <c r="F669" s="20"/>
      <c r="G669" s="124"/>
      <c r="H669" s="20"/>
      <c r="I669" s="20"/>
      <c r="J669" s="20"/>
      <c r="K669" s="124"/>
      <c r="L669" s="127"/>
      <c r="M669" s="20"/>
      <c r="N669" s="20"/>
      <c r="O669" s="20"/>
      <c r="P669" s="124"/>
      <c r="Q669" s="127"/>
      <c r="R669" s="20"/>
      <c r="S669" s="20"/>
      <c r="T669" s="20"/>
      <c r="U669" s="124"/>
      <c r="V669" s="127"/>
      <c r="W669" s="20"/>
      <c r="X669" s="20"/>
      <c r="Y669" s="20"/>
      <c r="Z669" s="20"/>
      <c r="AA669" s="20"/>
      <c r="AB669" s="20"/>
      <c r="AC669" s="20"/>
      <c r="AD669" s="20"/>
      <c r="AE669" s="20"/>
    </row>
    <row r="670" spans="1:31" ht="19.5">
      <c r="A670" s="20"/>
      <c r="B670" s="20"/>
      <c r="C670" s="20"/>
      <c r="D670" s="20"/>
      <c r="E670" s="20"/>
      <c r="F670" s="20"/>
      <c r="G670" s="124"/>
      <c r="H670" s="20"/>
      <c r="I670" s="20"/>
      <c r="J670" s="20"/>
      <c r="K670" s="124"/>
      <c r="L670" s="127"/>
      <c r="M670" s="20"/>
      <c r="N670" s="20"/>
      <c r="O670" s="20"/>
      <c r="P670" s="124"/>
      <c r="Q670" s="127"/>
      <c r="R670" s="20"/>
      <c r="S670" s="20"/>
      <c r="T670" s="20"/>
      <c r="U670" s="124"/>
      <c r="V670" s="127"/>
      <c r="W670" s="20"/>
      <c r="X670" s="20"/>
      <c r="Y670" s="20"/>
      <c r="Z670" s="20"/>
      <c r="AA670" s="20"/>
      <c r="AB670" s="20"/>
      <c r="AC670" s="20"/>
      <c r="AD670" s="20"/>
      <c r="AE670" s="20"/>
    </row>
    <row r="671" spans="1:31" ht="19.5">
      <c r="A671" s="20"/>
      <c r="B671" s="20"/>
      <c r="C671" s="20"/>
      <c r="D671" s="20"/>
      <c r="E671" s="20"/>
      <c r="F671" s="20"/>
      <c r="G671" s="124"/>
      <c r="H671" s="20"/>
      <c r="I671" s="20"/>
      <c r="J671" s="20"/>
      <c r="K671" s="124"/>
      <c r="L671" s="127"/>
      <c r="M671" s="20"/>
      <c r="N671" s="20"/>
      <c r="O671" s="20"/>
      <c r="P671" s="124"/>
      <c r="Q671" s="127"/>
      <c r="R671" s="20"/>
      <c r="S671" s="20"/>
      <c r="T671" s="20"/>
      <c r="U671" s="124"/>
      <c r="V671" s="127"/>
      <c r="W671" s="20"/>
      <c r="X671" s="20"/>
      <c r="Y671" s="20"/>
      <c r="Z671" s="20"/>
      <c r="AA671" s="20"/>
      <c r="AB671" s="20"/>
      <c r="AC671" s="20"/>
      <c r="AD671" s="20"/>
      <c r="AE671" s="20"/>
    </row>
    <row r="672" spans="1:31" ht="19.5">
      <c r="A672" s="20"/>
      <c r="B672" s="20"/>
      <c r="C672" s="20"/>
      <c r="D672" s="20"/>
      <c r="E672" s="20"/>
      <c r="F672" s="20"/>
      <c r="G672" s="124"/>
      <c r="H672" s="20"/>
      <c r="I672" s="20"/>
      <c r="J672" s="20"/>
      <c r="K672" s="124"/>
      <c r="L672" s="127"/>
      <c r="M672" s="20"/>
      <c r="N672" s="20"/>
      <c r="O672" s="20"/>
      <c r="P672" s="124"/>
      <c r="Q672" s="127"/>
      <c r="R672" s="20"/>
      <c r="S672" s="20"/>
      <c r="T672" s="20"/>
      <c r="U672" s="124"/>
      <c r="V672" s="127"/>
      <c r="W672" s="20"/>
      <c r="X672" s="20"/>
      <c r="Y672" s="20"/>
      <c r="Z672" s="20"/>
      <c r="AA672" s="20"/>
      <c r="AB672" s="20"/>
      <c r="AC672" s="20"/>
      <c r="AD672" s="20"/>
      <c r="AE672" s="20"/>
    </row>
    <row r="673" spans="1:31" ht="19.5">
      <c r="A673" s="20"/>
      <c r="B673" s="20"/>
      <c r="C673" s="20"/>
      <c r="D673" s="20"/>
      <c r="E673" s="20"/>
      <c r="F673" s="20"/>
      <c r="G673" s="124"/>
      <c r="H673" s="20"/>
      <c r="I673" s="20"/>
      <c r="J673" s="20"/>
      <c r="K673" s="124"/>
      <c r="L673" s="127"/>
      <c r="M673" s="20"/>
      <c r="N673" s="20"/>
      <c r="O673" s="20"/>
      <c r="P673" s="124"/>
      <c r="Q673" s="127"/>
      <c r="R673" s="20"/>
      <c r="S673" s="20"/>
      <c r="T673" s="20"/>
      <c r="U673" s="124"/>
      <c r="V673" s="127"/>
      <c r="W673" s="20"/>
      <c r="X673" s="20"/>
      <c r="Y673" s="20"/>
      <c r="Z673" s="20"/>
      <c r="AA673" s="20"/>
      <c r="AB673" s="20"/>
      <c r="AC673" s="20"/>
      <c r="AD673" s="20"/>
      <c r="AE673" s="20"/>
    </row>
    <row r="674" spans="1:31" ht="19.5">
      <c r="A674" s="20"/>
      <c r="B674" s="20"/>
      <c r="C674" s="20"/>
      <c r="D674" s="20"/>
      <c r="E674" s="20"/>
      <c r="F674" s="20"/>
      <c r="G674" s="124"/>
      <c r="H674" s="20"/>
      <c r="I674" s="20"/>
      <c r="J674" s="20"/>
      <c r="K674" s="124"/>
      <c r="L674" s="127"/>
      <c r="M674" s="20"/>
      <c r="N674" s="20"/>
      <c r="O674" s="20"/>
      <c r="P674" s="124"/>
      <c r="Q674" s="127"/>
      <c r="R674" s="20"/>
      <c r="S674" s="20"/>
      <c r="T674" s="20"/>
      <c r="U674" s="124"/>
      <c r="V674" s="127"/>
      <c r="W674" s="20"/>
      <c r="X674" s="20"/>
      <c r="Y674" s="20"/>
      <c r="Z674" s="20"/>
      <c r="AA674" s="20"/>
      <c r="AB674" s="20"/>
      <c r="AC674" s="20"/>
      <c r="AD674" s="20"/>
      <c r="AE674" s="20"/>
    </row>
    <row r="675" spans="1:31" ht="19.5">
      <c r="A675" s="20"/>
      <c r="B675" s="20"/>
      <c r="C675" s="20"/>
      <c r="D675" s="20"/>
      <c r="E675" s="20"/>
      <c r="F675" s="20"/>
      <c r="G675" s="124"/>
      <c r="H675" s="20"/>
      <c r="I675" s="20"/>
      <c r="J675" s="20"/>
      <c r="K675" s="124"/>
      <c r="L675" s="127"/>
      <c r="M675" s="20"/>
      <c r="N675" s="20"/>
      <c r="O675" s="20"/>
      <c r="P675" s="124"/>
      <c r="Q675" s="127"/>
      <c r="R675" s="20"/>
      <c r="S675" s="20"/>
      <c r="T675" s="20"/>
      <c r="U675" s="124"/>
      <c r="V675" s="127"/>
      <c r="W675" s="20"/>
      <c r="X675" s="20"/>
      <c r="Y675" s="20"/>
      <c r="Z675" s="20"/>
      <c r="AA675" s="20"/>
      <c r="AB675" s="20"/>
      <c r="AC675" s="20"/>
      <c r="AD675" s="20"/>
      <c r="AE675" s="20"/>
    </row>
    <row r="676" spans="1:31" ht="19.5">
      <c r="A676" s="20"/>
      <c r="B676" s="20"/>
      <c r="C676" s="20"/>
      <c r="D676" s="20"/>
      <c r="E676" s="20"/>
      <c r="F676" s="20"/>
      <c r="G676" s="124"/>
      <c r="H676" s="20"/>
      <c r="I676" s="20"/>
      <c r="J676" s="20"/>
      <c r="K676" s="124"/>
      <c r="L676" s="127"/>
      <c r="M676" s="20"/>
      <c r="N676" s="20"/>
      <c r="O676" s="20"/>
      <c r="P676" s="124"/>
      <c r="Q676" s="127"/>
      <c r="R676" s="20"/>
      <c r="S676" s="20"/>
      <c r="T676" s="20"/>
      <c r="U676" s="124"/>
      <c r="V676" s="127"/>
      <c r="W676" s="20"/>
      <c r="X676" s="20"/>
      <c r="Y676" s="20"/>
      <c r="Z676" s="20"/>
      <c r="AA676" s="20"/>
      <c r="AB676" s="20"/>
      <c r="AC676" s="20"/>
      <c r="AD676" s="20"/>
      <c r="AE676" s="20"/>
    </row>
    <row r="677" spans="1:31" ht="19.5">
      <c r="A677" s="20"/>
      <c r="B677" s="20"/>
      <c r="C677" s="20"/>
      <c r="D677" s="20"/>
      <c r="E677" s="20"/>
      <c r="F677" s="20"/>
      <c r="G677" s="124"/>
      <c r="H677" s="20"/>
      <c r="I677" s="20"/>
      <c r="J677" s="20"/>
      <c r="K677" s="124"/>
      <c r="L677" s="127"/>
      <c r="M677" s="20"/>
      <c r="N677" s="20"/>
      <c r="O677" s="20"/>
      <c r="P677" s="124"/>
      <c r="Q677" s="127"/>
      <c r="R677" s="20"/>
      <c r="S677" s="20"/>
      <c r="T677" s="20"/>
      <c r="U677" s="124"/>
      <c r="V677" s="127"/>
      <c r="W677" s="20"/>
      <c r="X677" s="20"/>
      <c r="Y677" s="20"/>
      <c r="Z677" s="20"/>
      <c r="AA677" s="20"/>
      <c r="AB677" s="20"/>
      <c r="AC677" s="20"/>
      <c r="AD677" s="20"/>
      <c r="AE677" s="20"/>
    </row>
    <row r="678" spans="1:31" ht="19.5">
      <c r="A678" s="20"/>
      <c r="B678" s="20"/>
      <c r="C678" s="20"/>
      <c r="D678" s="20"/>
      <c r="E678" s="20"/>
      <c r="F678" s="20"/>
      <c r="G678" s="124"/>
      <c r="H678" s="20"/>
      <c r="I678" s="20"/>
      <c r="J678" s="20"/>
      <c r="K678" s="124"/>
      <c r="L678" s="127"/>
      <c r="M678" s="20"/>
      <c r="N678" s="20"/>
      <c r="O678" s="20"/>
      <c r="P678" s="124"/>
      <c r="Q678" s="127"/>
      <c r="R678" s="20"/>
      <c r="S678" s="20"/>
      <c r="T678" s="20"/>
      <c r="U678" s="124"/>
      <c r="V678" s="127"/>
      <c r="W678" s="20"/>
      <c r="X678" s="20"/>
      <c r="Y678" s="20"/>
      <c r="Z678" s="20"/>
      <c r="AA678" s="20"/>
      <c r="AB678" s="20"/>
      <c r="AC678" s="20"/>
      <c r="AD678" s="20"/>
      <c r="AE678" s="20"/>
    </row>
    <row r="679" spans="1:31" ht="19.5">
      <c r="A679" s="20"/>
      <c r="B679" s="20"/>
      <c r="C679" s="20"/>
      <c r="D679" s="20"/>
      <c r="E679" s="20"/>
      <c r="F679" s="20"/>
      <c r="G679" s="124"/>
      <c r="H679" s="20"/>
      <c r="I679" s="20"/>
      <c r="J679" s="20"/>
      <c r="K679" s="124"/>
      <c r="L679" s="127"/>
      <c r="M679" s="20"/>
      <c r="N679" s="20"/>
      <c r="O679" s="20"/>
      <c r="P679" s="124"/>
      <c r="Q679" s="127"/>
      <c r="R679" s="20"/>
      <c r="S679" s="20"/>
      <c r="T679" s="20"/>
      <c r="U679" s="124"/>
      <c r="V679" s="127"/>
      <c r="W679" s="20"/>
      <c r="X679" s="20"/>
      <c r="Y679" s="20"/>
      <c r="Z679" s="20"/>
      <c r="AA679" s="20"/>
      <c r="AB679" s="20"/>
      <c r="AC679" s="20"/>
      <c r="AD679" s="20"/>
      <c r="AE679" s="20"/>
    </row>
    <row r="680" spans="1:31" ht="19.5">
      <c r="A680" s="20"/>
      <c r="B680" s="20"/>
      <c r="C680" s="20"/>
      <c r="D680" s="20"/>
      <c r="E680" s="20"/>
      <c r="F680" s="20"/>
      <c r="G680" s="124"/>
      <c r="H680" s="20"/>
      <c r="I680" s="20"/>
      <c r="J680" s="20"/>
      <c r="K680" s="124"/>
      <c r="L680" s="127"/>
      <c r="M680" s="20"/>
      <c r="N680" s="20"/>
      <c r="O680" s="20"/>
      <c r="P680" s="124"/>
      <c r="Q680" s="127"/>
      <c r="R680" s="20"/>
      <c r="S680" s="20"/>
      <c r="T680" s="20"/>
      <c r="U680" s="124"/>
      <c r="V680" s="127"/>
      <c r="W680" s="20"/>
      <c r="X680" s="20"/>
      <c r="Y680" s="20"/>
      <c r="Z680" s="20"/>
      <c r="AA680" s="20"/>
      <c r="AB680" s="20"/>
      <c r="AC680" s="20"/>
      <c r="AD680" s="20"/>
      <c r="AE680" s="20"/>
    </row>
    <row r="681" spans="1:31" ht="19.5">
      <c r="A681" s="20"/>
      <c r="B681" s="20"/>
      <c r="C681" s="20"/>
      <c r="D681" s="20"/>
      <c r="E681" s="20"/>
      <c r="F681" s="20"/>
      <c r="G681" s="124"/>
      <c r="H681" s="20"/>
      <c r="I681" s="20"/>
      <c r="J681" s="20"/>
      <c r="K681" s="124"/>
      <c r="L681" s="127"/>
      <c r="M681" s="20"/>
      <c r="N681" s="20"/>
      <c r="O681" s="20"/>
      <c r="P681" s="124"/>
      <c r="Q681" s="127"/>
      <c r="R681" s="20"/>
      <c r="S681" s="20"/>
      <c r="T681" s="20"/>
      <c r="U681" s="124"/>
      <c r="V681" s="127"/>
      <c r="W681" s="20"/>
      <c r="X681" s="20"/>
      <c r="Y681" s="20"/>
      <c r="Z681" s="20"/>
      <c r="AA681" s="20"/>
      <c r="AB681" s="20"/>
      <c r="AC681" s="20"/>
      <c r="AD681" s="20"/>
      <c r="AE681" s="20"/>
    </row>
    <row r="682" spans="1:31" ht="19.5">
      <c r="A682" s="20"/>
      <c r="B682" s="20"/>
      <c r="C682" s="20"/>
      <c r="D682" s="20"/>
      <c r="E682" s="20"/>
      <c r="F682" s="20"/>
      <c r="G682" s="124"/>
      <c r="H682" s="20"/>
      <c r="I682" s="20"/>
      <c r="J682" s="20"/>
      <c r="K682" s="124"/>
      <c r="L682" s="127"/>
      <c r="M682" s="20"/>
      <c r="N682" s="20"/>
      <c r="O682" s="20"/>
      <c r="P682" s="124"/>
      <c r="Q682" s="127"/>
      <c r="R682" s="20"/>
      <c r="S682" s="20"/>
      <c r="T682" s="20"/>
      <c r="U682" s="124"/>
      <c r="V682" s="127"/>
      <c r="W682" s="20"/>
      <c r="X682" s="20"/>
      <c r="Y682" s="20"/>
      <c r="Z682" s="20"/>
      <c r="AA682" s="20"/>
      <c r="AB682" s="20"/>
      <c r="AC682" s="20"/>
      <c r="AD682" s="20"/>
      <c r="AE682" s="20"/>
    </row>
    <row r="683" spans="1:31" ht="19.5">
      <c r="A683" s="20"/>
      <c r="B683" s="20"/>
      <c r="C683" s="20"/>
      <c r="D683" s="20"/>
      <c r="E683" s="20"/>
      <c r="F683" s="20"/>
      <c r="G683" s="124"/>
      <c r="H683" s="20"/>
      <c r="I683" s="20"/>
      <c r="J683" s="20"/>
      <c r="K683" s="124"/>
      <c r="L683" s="127"/>
      <c r="M683" s="20"/>
      <c r="N683" s="20"/>
      <c r="O683" s="20"/>
      <c r="P683" s="124"/>
      <c r="Q683" s="127"/>
      <c r="R683" s="20"/>
      <c r="S683" s="20"/>
      <c r="T683" s="20"/>
      <c r="U683" s="124"/>
      <c r="V683" s="127"/>
      <c r="W683" s="20"/>
      <c r="X683" s="20"/>
      <c r="Y683" s="20"/>
      <c r="Z683" s="20"/>
      <c r="AA683" s="20"/>
      <c r="AB683" s="20"/>
      <c r="AC683" s="20"/>
      <c r="AD683" s="20"/>
      <c r="AE683" s="20"/>
    </row>
    <row r="684" spans="1:31" ht="19.5">
      <c r="A684" s="20"/>
      <c r="B684" s="20"/>
      <c r="C684" s="20"/>
      <c r="D684" s="20"/>
      <c r="E684" s="20"/>
      <c r="F684" s="20"/>
      <c r="G684" s="124"/>
      <c r="H684" s="20"/>
      <c r="I684" s="20"/>
      <c r="J684" s="20"/>
      <c r="K684" s="124"/>
      <c r="L684" s="127"/>
      <c r="M684" s="20"/>
      <c r="N684" s="20"/>
      <c r="O684" s="20"/>
      <c r="P684" s="124"/>
      <c r="Q684" s="127"/>
      <c r="R684" s="20"/>
      <c r="S684" s="20"/>
      <c r="T684" s="20"/>
      <c r="U684" s="124"/>
      <c r="V684" s="127"/>
      <c r="W684" s="20"/>
      <c r="X684" s="20"/>
      <c r="Y684" s="20"/>
      <c r="Z684" s="20"/>
      <c r="AA684" s="20"/>
      <c r="AB684" s="20"/>
      <c r="AC684" s="20"/>
      <c r="AD684" s="20"/>
      <c r="AE684" s="20"/>
    </row>
    <row r="685" spans="1:31" ht="19.5">
      <c r="A685" s="20"/>
      <c r="B685" s="20"/>
      <c r="C685" s="20"/>
      <c r="D685" s="20"/>
      <c r="E685" s="20"/>
      <c r="F685" s="20"/>
      <c r="G685" s="124"/>
      <c r="H685" s="20"/>
      <c r="I685" s="20"/>
      <c r="J685" s="20"/>
      <c r="K685" s="124"/>
      <c r="L685" s="127"/>
      <c r="M685" s="20"/>
      <c r="N685" s="20"/>
      <c r="O685" s="20"/>
      <c r="P685" s="124"/>
      <c r="Q685" s="127"/>
      <c r="R685" s="20"/>
      <c r="S685" s="20"/>
      <c r="T685" s="20"/>
      <c r="U685" s="124"/>
      <c r="V685" s="127"/>
      <c r="W685" s="20"/>
      <c r="X685" s="20"/>
      <c r="Y685" s="20"/>
      <c r="Z685" s="20"/>
      <c r="AA685" s="20"/>
      <c r="AB685" s="20"/>
      <c r="AC685" s="20"/>
      <c r="AD685" s="20"/>
      <c r="AE685" s="20"/>
    </row>
    <row r="686" spans="1:31" ht="19.5">
      <c r="A686" s="20"/>
      <c r="B686" s="20"/>
      <c r="C686" s="20"/>
      <c r="D686" s="20"/>
      <c r="E686" s="20"/>
      <c r="F686" s="20"/>
      <c r="G686" s="124"/>
      <c r="H686" s="20"/>
      <c r="I686" s="20"/>
      <c r="J686" s="20"/>
      <c r="K686" s="124"/>
      <c r="L686" s="127"/>
      <c r="M686" s="20"/>
      <c r="N686" s="20"/>
      <c r="O686" s="20"/>
      <c r="P686" s="124"/>
      <c r="Q686" s="127"/>
      <c r="R686" s="20"/>
      <c r="S686" s="20"/>
      <c r="T686" s="20"/>
      <c r="U686" s="124"/>
      <c r="V686" s="127"/>
      <c r="W686" s="20"/>
      <c r="X686" s="20"/>
      <c r="Y686" s="20"/>
      <c r="Z686" s="20"/>
      <c r="AA686" s="20"/>
      <c r="AB686" s="20"/>
      <c r="AC686" s="20"/>
      <c r="AD686" s="20"/>
      <c r="AE686" s="20"/>
    </row>
    <row r="687" spans="1:31" ht="19.5">
      <c r="A687" s="20"/>
      <c r="B687" s="20"/>
      <c r="C687" s="20"/>
      <c r="D687" s="20"/>
      <c r="E687" s="20"/>
      <c r="F687" s="20"/>
      <c r="G687" s="124"/>
      <c r="H687" s="20"/>
      <c r="I687" s="20"/>
      <c r="J687" s="20"/>
      <c r="K687" s="124"/>
      <c r="L687" s="127"/>
      <c r="M687" s="20"/>
      <c r="N687" s="20"/>
      <c r="O687" s="20"/>
      <c r="P687" s="124"/>
      <c r="Q687" s="127"/>
      <c r="R687" s="20"/>
      <c r="S687" s="20"/>
      <c r="T687" s="20"/>
      <c r="U687" s="124"/>
      <c r="V687" s="127"/>
      <c r="W687" s="20"/>
      <c r="X687" s="20"/>
      <c r="Y687" s="20"/>
      <c r="Z687" s="20"/>
      <c r="AA687" s="20"/>
      <c r="AB687" s="20"/>
      <c r="AC687" s="20"/>
      <c r="AD687" s="20"/>
      <c r="AE687" s="20"/>
    </row>
    <row r="688" spans="1:31" ht="19.5">
      <c r="A688" s="20"/>
      <c r="B688" s="20"/>
      <c r="C688" s="20"/>
      <c r="D688" s="20"/>
      <c r="E688" s="20"/>
      <c r="F688" s="20"/>
      <c r="G688" s="124"/>
      <c r="H688" s="20"/>
      <c r="I688" s="20"/>
      <c r="J688" s="20"/>
      <c r="K688" s="124"/>
      <c r="L688" s="127"/>
      <c r="M688" s="20"/>
      <c r="N688" s="20"/>
      <c r="O688" s="20"/>
      <c r="P688" s="124"/>
      <c r="Q688" s="127"/>
      <c r="R688" s="20"/>
      <c r="S688" s="20"/>
      <c r="T688" s="20"/>
      <c r="U688" s="124"/>
      <c r="V688" s="127"/>
      <c r="W688" s="20"/>
      <c r="X688" s="20"/>
      <c r="Y688" s="20"/>
      <c r="Z688" s="20"/>
      <c r="AA688" s="20"/>
      <c r="AB688" s="20"/>
      <c r="AC688" s="20"/>
      <c r="AD688" s="20"/>
      <c r="AE688" s="20"/>
    </row>
    <row r="689" spans="1:31" ht="19.5">
      <c r="A689" s="20"/>
      <c r="B689" s="20"/>
      <c r="C689" s="20"/>
      <c r="D689" s="20"/>
      <c r="E689" s="20"/>
      <c r="F689" s="20"/>
      <c r="G689" s="124"/>
      <c r="H689" s="20"/>
      <c r="I689" s="20"/>
      <c r="J689" s="20"/>
      <c r="K689" s="124"/>
      <c r="L689" s="127"/>
      <c r="M689" s="20"/>
      <c r="N689" s="20"/>
      <c r="O689" s="20"/>
      <c r="P689" s="124"/>
      <c r="Q689" s="127"/>
      <c r="R689" s="20"/>
      <c r="S689" s="20"/>
      <c r="T689" s="20"/>
      <c r="U689" s="124"/>
      <c r="V689" s="127"/>
      <c r="W689" s="20"/>
      <c r="X689" s="20"/>
      <c r="Y689" s="20"/>
      <c r="Z689" s="20"/>
      <c r="AA689" s="20"/>
      <c r="AB689" s="20"/>
      <c r="AC689" s="20"/>
      <c r="AD689" s="20"/>
      <c r="AE689" s="20"/>
    </row>
    <row r="690" spans="1:31" ht="19.5">
      <c r="A690" s="20"/>
      <c r="B690" s="20"/>
      <c r="C690" s="20"/>
      <c r="D690" s="20"/>
      <c r="E690" s="20"/>
      <c r="F690" s="20"/>
      <c r="G690" s="124"/>
      <c r="H690" s="20"/>
      <c r="I690" s="20"/>
      <c r="J690" s="20"/>
      <c r="K690" s="124"/>
      <c r="L690" s="127"/>
      <c r="M690" s="20"/>
      <c r="N690" s="20"/>
      <c r="O690" s="20"/>
      <c r="P690" s="124"/>
      <c r="Q690" s="127"/>
      <c r="R690" s="20"/>
      <c r="S690" s="20"/>
      <c r="T690" s="20"/>
      <c r="U690" s="124"/>
      <c r="V690" s="127"/>
      <c r="W690" s="20"/>
      <c r="X690" s="20"/>
      <c r="Y690" s="20"/>
      <c r="Z690" s="20"/>
      <c r="AA690" s="20"/>
      <c r="AB690" s="20"/>
      <c r="AC690" s="20"/>
      <c r="AD690" s="20"/>
      <c r="AE690" s="20"/>
    </row>
    <row r="691" spans="1:31" ht="19.5">
      <c r="A691" s="20"/>
      <c r="B691" s="20"/>
      <c r="C691" s="20"/>
      <c r="D691" s="20"/>
      <c r="E691" s="20"/>
      <c r="F691" s="20"/>
      <c r="G691" s="124"/>
      <c r="H691" s="20"/>
      <c r="I691" s="20"/>
      <c r="J691" s="20"/>
      <c r="K691" s="124"/>
      <c r="L691" s="127"/>
      <c r="M691" s="20"/>
      <c r="N691" s="20"/>
      <c r="O691" s="20"/>
      <c r="P691" s="124"/>
      <c r="Q691" s="127"/>
      <c r="R691" s="20"/>
      <c r="S691" s="20"/>
      <c r="T691" s="20"/>
      <c r="U691" s="124"/>
      <c r="V691" s="127"/>
      <c r="W691" s="20"/>
      <c r="X691" s="20"/>
      <c r="Y691" s="20"/>
      <c r="Z691" s="20"/>
      <c r="AA691" s="20"/>
      <c r="AB691" s="20"/>
      <c r="AC691" s="20"/>
      <c r="AD691" s="20"/>
      <c r="AE691" s="20"/>
    </row>
    <row r="692" spans="1:31" ht="19.5">
      <c r="A692" s="20"/>
      <c r="B692" s="20"/>
      <c r="C692" s="20"/>
      <c r="D692" s="20"/>
      <c r="E692" s="20"/>
      <c r="F692" s="20"/>
      <c r="G692" s="124"/>
      <c r="H692" s="20"/>
      <c r="I692" s="20"/>
      <c r="J692" s="20"/>
      <c r="K692" s="124"/>
      <c r="L692" s="127"/>
      <c r="M692" s="20"/>
      <c r="N692" s="20"/>
      <c r="O692" s="20"/>
      <c r="P692" s="124"/>
      <c r="Q692" s="127"/>
      <c r="R692" s="20"/>
      <c r="S692" s="20"/>
      <c r="T692" s="20"/>
      <c r="U692" s="124"/>
      <c r="V692" s="127"/>
      <c r="W692" s="20"/>
      <c r="X692" s="20"/>
      <c r="Y692" s="20"/>
      <c r="Z692" s="20"/>
      <c r="AA692" s="20"/>
      <c r="AB692" s="20"/>
      <c r="AC692" s="20"/>
      <c r="AD692" s="20"/>
      <c r="AE692" s="20"/>
    </row>
    <row r="693" spans="1:31" ht="19.5">
      <c r="A693" s="20"/>
      <c r="B693" s="20"/>
      <c r="C693" s="20"/>
      <c r="D693" s="20"/>
      <c r="E693" s="20"/>
      <c r="F693" s="20"/>
      <c r="G693" s="124"/>
      <c r="H693" s="20"/>
      <c r="I693" s="20"/>
      <c r="J693" s="20"/>
      <c r="K693" s="124"/>
      <c r="L693" s="127"/>
      <c r="M693" s="20"/>
      <c r="N693" s="20"/>
      <c r="O693" s="20"/>
      <c r="P693" s="124"/>
      <c r="Q693" s="127"/>
      <c r="R693" s="20"/>
      <c r="S693" s="20"/>
      <c r="T693" s="20"/>
      <c r="U693" s="124"/>
      <c r="V693" s="127"/>
      <c r="W693" s="20"/>
      <c r="X693" s="20"/>
      <c r="Y693" s="20"/>
      <c r="Z693" s="20"/>
      <c r="AA693" s="20"/>
      <c r="AB693" s="20"/>
      <c r="AC693" s="20"/>
      <c r="AD693" s="20"/>
      <c r="AE693" s="20"/>
    </row>
    <row r="694" spans="1:31" ht="19.5">
      <c r="A694" s="20"/>
      <c r="B694" s="20"/>
      <c r="C694" s="20"/>
      <c r="D694" s="20"/>
      <c r="E694" s="20"/>
      <c r="F694" s="20"/>
      <c r="G694" s="124"/>
      <c r="H694" s="20"/>
      <c r="I694" s="20"/>
      <c r="J694" s="20"/>
      <c r="K694" s="124"/>
      <c r="L694" s="127"/>
      <c r="M694" s="20"/>
      <c r="N694" s="20"/>
      <c r="O694" s="20"/>
      <c r="P694" s="124"/>
      <c r="Q694" s="127"/>
      <c r="R694" s="20"/>
      <c r="S694" s="20"/>
      <c r="T694" s="20"/>
      <c r="U694" s="124"/>
      <c r="V694" s="127"/>
      <c r="W694" s="20"/>
      <c r="X694" s="20"/>
      <c r="Y694" s="20"/>
      <c r="Z694" s="20"/>
      <c r="AA694" s="20"/>
      <c r="AB694" s="20"/>
      <c r="AC694" s="20"/>
      <c r="AD694" s="20"/>
      <c r="AE694" s="20"/>
    </row>
    <row r="695" spans="1:31" ht="19.5">
      <c r="A695" s="20"/>
      <c r="B695" s="20"/>
      <c r="C695" s="20"/>
      <c r="D695" s="20"/>
      <c r="E695" s="20"/>
      <c r="F695" s="20"/>
      <c r="G695" s="124"/>
      <c r="H695" s="20"/>
      <c r="I695" s="20"/>
      <c r="J695" s="20"/>
      <c r="K695" s="124"/>
      <c r="L695" s="127"/>
      <c r="M695" s="20"/>
      <c r="N695" s="20"/>
      <c r="O695" s="20"/>
      <c r="P695" s="124"/>
      <c r="Q695" s="127"/>
      <c r="R695" s="20"/>
      <c r="S695" s="20"/>
      <c r="T695" s="20"/>
      <c r="U695" s="124"/>
      <c r="V695" s="127"/>
      <c r="W695" s="20"/>
      <c r="X695" s="20"/>
      <c r="Y695" s="20"/>
      <c r="Z695" s="20"/>
      <c r="AA695" s="20"/>
      <c r="AB695" s="20"/>
      <c r="AC695" s="20"/>
      <c r="AD695" s="20"/>
      <c r="AE695" s="20"/>
    </row>
    <row r="696" spans="1:31" ht="19.5">
      <c r="A696" s="20"/>
      <c r="B696" s="20"/>
      <c r="C696" s="20"/>
      <c r="D696" s="20"/>
      <c r="E696" s="20"/>
      <c r="F696" s="20"/>
      <c r="G696" s="124"/>
      <c r="H696" s="20"/>
      <c r="I696" s="20"/>
      <c r="J696" s="20"/>
      <c r="K696" s="124"/>
      <c r="L696" s="127"/>
      <c r="M696" s="20"/>
      <c r="N696" s="20"/>
      <c r="O696" s="20"/>
      <c r="P696" s="124"/>
      <c r="Q696" s="127"/>
      <c r="R696" s="20"/>
      <c r="S696" s="20"/>
      <c r="T696" s="20"/>
      <c r="U696" s="124"/>
      <c r="V696" s="127"/>
      <c r="W696" s="20"/>
      <c r="X696" s="20"/>
      <c r="Y696" s="20"/>
      <c r="Z696" s="20"/>
      <c r="AA696" s="20"/>
      <c r="AB696" s="20"/>
      <c r="AC696" s="20"/>
      <c r="AD696" s="20"/>
      <c r="AE696" s="20"/>
    </row>
    <row r="697" spans="1:31" ht="19.5">
      <c r="A697" s="20"/>
      <c r="B697" s="20"/>
      <c r="C697" s="20"/>
      <c r="D697" s="20"/>
      <c r="E697" s="20"/>
      <c r="F697" s="20"/>
      <c r="G697" s="124"/>
      <c r="H697" s="20"/>
      <c r="I697" s="20"/>
      <c r="J697" s="20"/>
      <c r="K697" s="124"/>
      <c r="L697" s="127"/>
      <c r="M697" s="20"/>
      <c r="N697" s="20"/>
      <c r="O697" s="20"/>
      <c r="P697" s="124"/>
      <c r="Q697" s="127"/>
      <c r="R697" s="20"/>
      <c r="S697" s="20"/>
      <c r="T697" s="20"/>
      <c r="U697" s="124"/>
      <c r="V697" s="127"/>
      <c r="W697" s="20"/>
      <c r="X697" s="20"/>
      <c r="Y697" s="20"/>
      <c r="Z697" s="20"/>
      <c r="AA697" s="20"/>
      <c r="AB697" s="20"/>
      <c r="AC697" s="20"/>
      <c r="AD697" s="20"/>
      <c r="AE697" s="20"/>
    </row>
    <row r="698" spans="1:31" ht="19.5">
      <c r="A698" s="20"/>
      <c r="B698" s="20"/>
      <c r="C698" s="20"/>
      <c r="D698" s="20"/>
      <c r="E698" s="20"/>
      <c r="F698" s="20"/>
      <c r="G698" s="124"/>
      <c r="H698" s="20"/>
      <c r="I698" s="20"/>
      <c r="J698" s="20"/>
      <c r="K698" s="124"/>
      <c r="L698" s="127"/>
      <c r="M698" s="20"/>
      <c r="N698" s="20"/>
      <c r="O698" s="20"/>
      <c r="P698" s="124"/>
      <c r="Q698" s="127"/>
      <c r="R698" s="20"/>
      <c r="S698" s="20"/>
      <c r="T698" s="20"/>
      <c r="U698" s="124"/>
      <c r="V698" s="127"/>
      <c r="W698" s="20"/>
      <c r="X698" s="20"/>
      <c r="Y698" s="20"/>
      <c r="Z698" s="20"/>
      <c r="AA698" s="20"/>
      <c r="AB698" s="20"/>
      <c r="AC698" s="20"/>
      <c r="AD698" s="20"/>
      <c r="AE698" s="20"/>
    </row>
    <row r="699" spans="1:31" ht="19.5">
      <c r="A699" s="20"/>
      <c r="B699" s="20"/>
      <c r="C699" s="20"/>
      <c r="D699" s="20"/>
      <c r="E699" s="20"/>
      <c r="F699" s="20"/>
      <c r="G699" s="124"/>
      <c r="H699" s="20"/>
      <c r="I699" s="20"/>
      <c r="J699" s="20"/>
      <c r="K699" s="124"/>
      <c r="L699" s="127"/>
      <c r="M699" s="20"/>
      <c r="N699" s="20"/>
      <c r="O699" s="20"/>
      <c r="P699" s="124"/>
      <c r="Q699" s="127"/>
      <c r="R699" s="20"/>
      <c r="S699" s="20"/>
      <c r="T699" s="20"/>
      <c r="U699" s="124"/>
      <c r="V699" s="127"/>
      <c r="W699" s="20"/>
      <c r="X699" s="20"/>
      <c r="Y699" s="20"/>
      <c r="Z699" s="20"/>
      <c r="AA699" s="20"/>
      <c r="AB699" s="20"/>
      <c r="AC699" s="20"/>
      <c r="AD699" s="20"/>
      <c r="AE699" s="20"/>
    </row>
    <row r="700" spans="1:31" ht="19.5">
      <c r="A700" s="20"/>
      <c r="B700" s="20"/>
      <c r="C700" s="20"/>
      <c r="D700" s="20"/>
      <c r="E700" s="20"/>
      <c r="F700" s="20"/>
      <c r="G700" s="124"/>
      <c r="H700" s="20"/>
      <c r="I700" s="20"/>
      <c r="J700" s="20"/>
      <c r="K700" s="124"/>
      <c r="L700" s="127"/>
      <c r="M700" s="20"/>
      <c r="N700" s="20"/>
      <c r="O700" s="20"/>
      <c r="P700" s="124"/>
      <c r="Q700" s="127"/>
      <c r="R700" s="20"/>
      <c r="S700" s="20"/>
      <c r="T700" s="20"/>
      <c r="U700" s="124"/>
      <c r="V700" s="127"/>
      <c r="W700" s="20"/>
      <c r="X700" s="20"/>
      <c r="Y700" s="20"/>
      <c r="Z700" s="20"/>
      <c r="AA700" s="20"/>
      <c r="AB700" s="20"/>
      <c r="AC700" s="20"/>
      <c r="AD700" s="20"/>
      <c r="AE700" s="20"/>
    </row>
    <row r="701" spans="1:31" ht="19.5">
      <c r="A701" s="20"/>
      <c r="B701" s="20"/>
      <c r="C701" s="20"/>
      <c r="D701" s="20"/>
      <c r="E701" s="20"/>
      <c r="F701" s="20"/>
      <c r="G701" s="124"/>
      <c r="H701" s="20"/>
      <c r="I701" s="20"/>
      <c r="J701" s="20"/>
      <c r="K701" s="124"/>
      <c r="L701" s="127"/>
      <c r="M701" s="20"/>
      <c r="N701" s="20"/>
      <c r="O701" s="20"/>
      <c r="P701" s="124"/>
      <c r="Q701" s="127"/>
      <c r="R701" s="20"/>
      <c r="S701" s="20"/>
      <c r="T701" s="20"/>
      <c r="U701" s="124"/>
      <c r="V701" s="127"/>
      <c r="W701" s="20"/>
      <c r="X701" s="20"/>
      <c r="Y701" s="20"/>
      <c r="Z701" s="20"/>
      <c r="AA701" s="20"/>
      <c r="AB701" s="20"/>
      <c r="AC701" s="20"/>
      <c r="AD701" s="20"/>
      <c r="AE701" s="20"/>
    </row>
    <row r="702" spans="1:31" ht="19.5">
      <c r="A702" s="20"/>
      <c r="B702" s="20"/>
      <c r="C702" s="20"/>
      <c r="D702" s="20"/>
      <c r="E702" s="20"/>
      <c r="F702" s="20"/>
      <c r="G702" s="124"/>
      <c r="H702" s="20"/>
      <c r="I702" s="20"/>
      <c r="J702" s="20"/>
      <c r="K702" s="124"/>
      <c r="L702" s="127"/>
      <c r="M702" s="20"/>
      <c r="N702" s="20"/>
      <c r="O702" s="20"/>
      <c r="P702" s="124"/>
      <c r="Q702" s="127"/>
      <c r="R702" s="20"/>
      <c r="S702" s="20"/>
      <c r="T702" s="20"/>
      <c r="U702" s="124"/>
      <c r="V702" s="127"/>
      <c r="W702" s="20"/>
      <c r="X702" s="20"/>
      <c r="Y702" s="20"/>
      <c r="Z702" s="20"/>
      <c r="AA702" s="20"/>
      <c r="AB702" s="20"/>
      <c r="AC702" s="20"/>
      <c r="AD702" s="20"/>
      <c r="AE702" s="20"/>
    </row>
    <row r="703" spans="1:31" ht="19.5">
      <c r="A703" s="20"/>
      <c r="B703" s="20"/>
      <c r="C703" s="20"/>
      <c r="D703" s="20"/>
      <c r="E703" s="20"/>
      <c r="F703" s="20"/>
      <c r="G703" s="124"/>
      <c r="H703" s="20"/>
      <c r="I703" s="20"/>
      <c r="J703" s="20"/>
      <c r="K703" s="124"/>
      <c r="L703" s="127"/>
      <c r="M703" s="20"/>
      <c r="N703" s="20"/>
      <c r="O703" s="20"/>
      <c r="P703" s="124"/>
      <c r="Q703" s="127"/>
      <c r="R703" s="20"/>
      <c r="S703" s="20"/>
      <c r="T703" s="20"/>
      <c r="U703" s="124"/>
      <c r="V703" s="127"/>
      <c r="W703" s="20"/>
      <c r="X703" s="20"/>
      <c r="Y703" s="20"/>
      <c r="Z703" s="20"/>
      <c r="AA703" s="20"/>
      <c r="AB703" s="20"/>
      <c r="AC703" s="20"/>
      <c r="AD703" s="20"/>
      <c r="AE703" s="20"/>
    </row>
    <row r="704" spans="1:31" ht="19.5">
      <c r="A704" s="20"/>
      <c r="B704" s="20"/>
      <c r="C704" s="20"/>
      <c r="D704" s="20"/>
      <c r="E704" s="20"/>
      <c r="F704" s="20"/>
      <c r="G704" s="124"/>
      <c r="H704" s="20"/>
      <c r="I704" s="20"/>
      <c r="J704" s="20"/>
      <c r="K704" s="124"/>
      <c r="L704" s="127"/>
      <c r="M704" s="20"/>
      <c r="N704" s="20"/>
      <c r="O704" s="20"/>
      <c r="P704" s="124"/>
      <c r="Q704" s="127"/>
      <c r="R704" s="20"/>
      <c r="S704" s="20"/>
      <c r="T704" s="20"/>
      <c r="U704" s="124"/>
      <c r="V704" s="127"/>
      <c r="W704" s="20"/>
      <c r="X704" s="20"/>
      <c r="Y704" s="20"/>
      <c r="Z704" s="20"/>
      <c r="AA704" s="20"/>
      <c r="AB704" s="20"/>
      <c r="AC704" s="20"/>
      <c r="AD704" s="20"/>
      <c r="AE704" s="20"/>
    </row>
    <row r="705" spans="1:31" ht="19.5">
      <c r="A705" s="20"/>
      <c r="B705" s="20"/>
      <c r="C705" s="20"/>
      <c r="D705" s="20"/>
      <c r="E705" s="20"/>
      <c r="F705" s="20"/>
      <c r="G705" s="124"/>
      <c r="H705" s="20"/>
      <c r="I705" s="20"/>
      <c r="J705" s="20"/>
      <c r="K705" s="124"/>
      <c r="L705" s="127"/>
      <c r="M705" s="20"/>
      <c r="N705" s="20"/>
      <c r="O705" s="20"/>
      <c r="P705" s="124"/>
      <c r="Q705" s="127"/>
      <c r="R705" s="20"/>
      <c r="S705" s="20"/>
      <c r="T705" s="20"/>
      <c r="U705" s="124"/>
      <c r="V705" s="127"/>
      <c r="W705" s="20"/>
      <c r="X705" s="20"/>
      <c r="Y705" s="20"/>
      <c r="Z705" s="20"/>
      <c r="AA705" s="20"/>
      <c r="AB705" s="20"/>
      <c r="AC705" s="20"/>
      <c r="AD705" s="20"/>
      <c r="AE705" s="20"/>
    </row>
    <row r="706" spans="1:31" ht="19.5">
      <c r="A706" s="20"/>
      <c r="B706" s="20"/>
      <c r="C706" s="20"/>
      <c r="D706" s="20"/>
      <c r="E706" s="20"/>
      <c r="F706" s="20"/>
      <c r="G706" s="124"/>
      <c r="H706" s="20"/>
      <c r="I706" s="20"/>
      <c r="J706" s="20"/>
      <c r="K706" s="124"/>
      <c r="L706" s="127"/>
      <c r="M706" s="20"/>
      <c r="N706" s="20"/>
      <c r="O706" s="20"/>
      <c r="P706" s="124"/>
      <c r="Q706" s="127"/>
      <c r="R706" s="20"/>
      <c r="S706" s="20"/>
      <c r="T706" s="20"/>
      <c r="U706" s="124"/>
      <c r="V706" s="127"/>
      <c r="W706" s="20"/>
      <c r="X706" s="20"/>
      <c r="Y706" s="20"/>
      <c r="Z706" s="20"/>
      <c r="AA706" s="20"/>
      <c r="AB706" s="20"/>
      <c r="AC706" s="20"/>
      <c r="AD706" s="20"/>
      <c r="AE706" s="20"/>
    </row>
    <row r="707" spans="1:31" ht="19.5">
      <c r="A707" s="20"/>
      <c r="B707" s="20"/>
      <c r="C707" s="20"/>
      <c r="D707" s="20"/>
      <c r="E707" s="20"/>
      <c r="F707" s="20"/>
      <c r="G707" s="124"/>
      <c r="H707" s="20"/>
      <c r="I707" s="20"/>
      <c r="J707" s="20"/>
      <c r="K707" s="124"/>
      <c r="L707" s="127"/>
      <c r="M707" s="20"/>
      <c r="N707" s="20"/>
      <c r="O707" s="20"/>
      <c r="P707" s="124"/>
      <c r="Q707" s="127"/>
      <c r="R707" s="20"/>
      <c r="S707" s="20"/>
      <c r="T707" s="20"/>
      <c r="U707" s="124"/>
      <c r="V707" s="127"/>
      <c r="W707" s="20"/>
      <c r="X707" s="20"/>
      <c r="Y707" s="20"/>
      <c r="Z707" s="20"/>
      <c r="AA707" s="20"/>
      <c r="AB707" s="20"/>
      <c r="AC707" s="20"/>
      <c r="AD707" s="20"/>
      <c r="AE707" s="20"/>
    </row>
    <row r="708" spans="1:31" ht="19.5">
      <c r="A708" s="20"/>
      <c r="B708" s="20"/>
      <c r="C708" s="20"/>
      <c r="D708" s="20"/>
      <c r="E708" s="20"/>
      <c r="F708" s="20"/>
      <c r="G708" s="124"/>
      <c r="H708" s="20"/>
      <c r="I708" s="20"/>
      <c r="J708" s="20"/>
      <c r="K708" s="124"/>
      <c r="L708" s="127"/>
      <c r="M708" s="20"/>
      <c r="N708" s="20"/>
      <c r="O708" s="20"/>
      <c r="P708" s="124"/>
      <c r="Q708" s="127"/>
      <c r="R708" s="20"/>
      <c r="S708" s="20"/>
      <c r="T708" s="20"/>
      <c r="U708" s="124"/>
      <c r="V708" s="127"/>
      <c r="W708" s="20"/>
      <c r="X708" s="20"/>
      <c r="Y708" s="20"/>
      <c r="Z708" s="20"/>
      <c r="AA708" s="20"/>
      <c r="AB708" s="20"/>
      <c r="AC708" s="20"/>
      <c r="AD708" s="20"/>
      <c r="AE708" s="20"/>
    </row>
    <row r="709" spans="1:31" ht="19.5">
      <c r="A709" s="20"/>
      <c r="B709" s="20"/>
      <c r="C709" s="20"/>
      <c r="D709" s="20"/>
      <c r="E709" s="20"/>
      <c r="F709" s="20"/>
      <c r="G709" s="124"/>
      <c r="H709" s="20"/>
      <c r="I709" s="20"/>
      <c r="J709" s="20"/>
      <c r="K709" s="124"/>
      <c r="L709" s="127"/>
      <c r="M709" s="20"/>
      <c r="N709" s="20"/>
      <c r="O709" s="20"/>
      <c r="P709" s="124"/>
      <c r="Q709" s="127"/>
      <c r="R709" s="20"/>
      <c r="S709" s="20"/>
      <c r="T709" s="20"/>
      <c r="U709" s="124"/>
      <c r="V709" s="127"/>
      <c r="W709" s="20"/>
      <c r="X709" s="20"/>
      <c r="Y709" s="20"/>
      <c r="Z709" s="20"/>
      <c r="AA709" s="20"/>
      <c r="AB709" s="20"/>
      <c r="AC709" s="20"/>
      <c r="AD709" s="20"/>
      <c r="AE709" s="20"/>
    </row>
    <row r="710" spans="1:31" ht="19.5">
      <c r="A710" s="20"/>
      <c r="B710" s="20"/>
      <c r="C710" s="20"/>
      <c r="D710" s="20"/>
      <c r="E710" s="20"/>
      <c r="F710" s="20"/>
      <c r="G710" s="124"/>
      <c r="H710" s="20"/>
      <c r="I710" s="20"/>
      <c r="J710" s="20"/>
      <c r="K710" s="124"/>
      <c r="L710" s="127"/>
      <c r="M710" s="20"/>
      <c r="N710" s="20"/>
      <c r="O710" s="20"/>
      <c r="P710" s="124"/>
      <c r="Q710" s="127"/>
      <c r="R710" s="20"/>
      <c r="S710" s="20"/>
      <c r="T710" s="20"/>
      <c r="U710" s="124"/>
      <c r="V710" s="127"/>
      <c r="W710" s="20"/>
      <c r="X710" s="20"/>
      <c r="Y710" s="20"/>
      <c r="Z710" s="20"/>
      <c r="AA710" s="20"/>
      <c r="AB710" s="20"/>
      <c r="AC710" s="20"/>
      <c r="AD710" s="20"/>
      <c r="AE710" s="20"/>
    </row>
    <row r="711" spans="1:31" ht="19.5">
      <c r="A711" s="20"/>
      <c r="B711" s="20"/>
      <c r="C711" s="20"/>
      <c r="D711" s="20"/>
      <c r="E711" s="20"/>
      <c r="F711" s="20"/>
      <c r="G711" s="124"/>
      <c r="H711" s="20"/>
      <c r="I711" s="20"/>
      <c r="J711" s="20"/>
      <c r="K711" s="124"/>
      <c r="L711" s="127"/>
      <c r="M711" s="20"/>
      <c r="N711" s="20"/>
      <c r="O711" s="20"/>
      <c r="P711" s="124"/>
      <c r="Q711" s="127"/>
      <c r="R711" s="20"/>
      <c r="S711" s="20"/>
      <c r="T711" s="20"/>
      <c r="U711" s="124"/>
      <c r="V711" s="127"/>
      <c r="W711" s="20"/>
      <c r="X711" s="20"/>
      <c r="Y711" s="20"/>
      <c r="Z711" s="20"/>
      <c r="AA711" s="20"/>
      <c r="AB711" s="20"/>
      <c r="AC711" s="20"/>
      <c r="AD711" s="20"/>
      <c r="AE711" s="20"/>
    </row>
    <row r="712" spans="1:31" ht="19.5">
      <c r="A712" s="20"/>
      <c r="B712" s="20"/>
      <c r="C712" s="20"/>
      <c r="D712" s="20"/>
      <c r="E712" s="20"/>
      <c r="F712" s="20"/>
      <c r="G712" s="124"/>
      <c r="H712" s="20"/>
      <c r="I712" s="20"/>
      <c r="J712" s="20"/>
      <c r="K712" s="124"/>
      <c r="L712" s="127"/>
      <c r="M712" s="20"/>
      <c r="N712" s="20"/>
      <c r="O712" s="20"/>
      <c r="P712" s="124"/>
      <c r="Q712" s="127"/>
      <c r="R712" s="20"/>
      <c r="S712" s="20"/>
      <c r="T712" s="20"/>
      <c r="U712" s="124"/>
      <c r="V712" s="127"/>
      <c r="W712" s="20"/>
      <c r="X712" s="20"/>
      <c r="Y712" s="20"/>
      <c r="Z712" s="20"/>
      <c r="AA712" s="20"/>
      <c r="AB712" s="20"/>
      <c r="AC712" s="20"/>
      <c r="AD712" s="20"/>
      <c r="AE712" s="20"/>
    </row>
    <row r="713" spans="1:31" ht="19.5">
      <c r="A713" s="20"/>
      <c r="B713" s="20"/>
      <c r="C713" s="20"/>
      <c r="D713" s="20"/>
      <c r="E713" s="20"/>
      <c r="F713" s="20"/>
      <c r="G713" s="124"/>
      <c r="H713" s="20"/>
      <c r="I713" s="20"/>
      <c r="J713" s="20"/>
      <c r="K713" s="124"/>
      <c r="L713" s="127"/>
      <c r="M713" s="20"/>
      <c r="N713" s="20"/>
      <c r="O713" s="20"/>
      <c r="P713" s="124"/>
      <c r="Q713" s="127"/>
      <c r="R713" s="20"/>
      <c r="S713" s="20"/>
      <c r="T713" s="20"/>
      <c r="U713" s="124"/>
      <c r="V713" s="127"/>
      <c r="W713" s="20"/>
      <c r="X713" s="20"/>
      <c r="Y713" s="20"/>
      <c r="Z713" s="20"/>
      <c r="AA713" s="20"/>
      <c r="AB713" s="20"/>
      <c r="AC713" s="20"/>
      <c r="AD713" s="20"/>
      <c r="AE713" s="20"/>
    </row>
    <row r="714" spans="1:31" ht="19.5">
      <c r="A714" s="20"/>
      <c r="B714" s="20"/>
      <c r="C714" s="20"/>
      <c r="D714" s="20"/>
      <c r="E714" s="20"/>
      <c r="F714" s="20"/>
      <c r="G714" s="124"/>
      <c r="H714" s="20"/>
      <c r="I714" s="20"/>
      <c r="J714" s="20"/>
      <c r="K714" s="124"/>
      <c r="L714" s="127"/>
      <c r="M714" s="20"/>
      <c r="N714" s="20"/>
      <c r="O714" s="20"/>
      <c r="P714" s="124"/>
      <c r="Q714" s="127"/>
      <c r="R714" s="20"/>
      <c r="S714" s="20"/>
      <c r="T714" s="20"/>
      <c r="U714" s="124"/>
      <c r="V714" s="127"/>
      <c r="W714" s="20"/>
      <c r="X714" s="20"/>
      <c r="Y714" s="20"/>
      <c r="Z714" s="20"/>
      <c r="AA714" s="20"/>
      <c r="AB714" s="20"/>
      <c r="AC714" s="20"/>
      <c r="AD714" s="20"/>
      <c r="AE714" s="20"/>
    </row>
    <row r="715" spans="1:31" ht="19.5">
      <c r="A715" s="20"/>
      <c r="B715" s="20"/>
      <c r="C715" s="20"/>
      <c r="D715" s="20"/>
      <c r="E715" s="20"/>
      <c r="F715" s="20"/>
      <c r="G715" s="124"/>
      <c r="H715" s="20"/>
      <c r="I715" s="20"/>
      <c r="J715" s="20"/>
      <c r="K715" s="124"/>
      <c r="L715" s="127"/>
      <c r="M715" s="20"/>
      <c r="N715" s="20"/>
      <c r="O715" s="20"/>
      <c r="P715" s="124"/>
      <c r="Q715" s="127"/>
      <c r="R715" s="20"/>
      <c r="S715" s="20"/>
      <c r="T715" s="20"/>
      <c r="U715" s="124"/>
      <c r="V715" s="127"/>
      <c r="W715" s="20"/>
      <c r="X715" s="20"/>
      <c r="Y715" s="20"/>
      <c r="Z715" s="20"/>
      <c r="AA715" s="20"/>
      <c r="AB715" s="20"/>
      <c r="AC715" s="20"/>
      <c r="AD715" s="20"/>
      <c r="AE715" s="20"/>
    </row>
    <row r="716" spans="1:31" ht="19.5">
      <c r="A716" s="20"/>
      <c r="B716" s="20"/>
      <c r="C716" s="20"/>
      <c r="D716" s="20"/>
      <c r="E716" s="20"/>
      <c r="F716" s="20"/>
      <c r="G716" s="124"/>
      <c r="H716" s="20"/>
      <c r="I716" s="20"/>
      <c r="J716" s="20"/>
      <c r="K716" s="124"/>
      <c r="L716" s="127"/>
      <c r="M716" s="20"/>
      <c r="N716" s="20"/>
      <c r="O716" s="20"/>
      <c r="P716" s="124"/>
      <c r="Q716" s="127"/>
      <c r="R716" s="20"/>
      <c r="S716" s="20"/>
      <c r="T716" s="20"/>
      <c r="U716" s="124"/>
      <c r="V716" s="127"/>
      <c r="W716" s="20"/>
      <c r="X716" s="20"/>
      <c r="Y716" s="20"/>
      <c r="Z716" s="20"/>
      <c r="AA716" s="20"/>
      <c r="AB716" s="20"/>
      <c r="AC716" s="20"/>
      <c r="AD716" s="20"/>
      <c r="AE716" s="20"/>
    </row>
    <row r="717" spans="1:31" ht="19.5">
      <c r="A717" s="20"/>
      <c r="B717" s="20"/>
      <c r="C717" s="20"/>
      <c r="D717" s="20"/>
      <c r="E717" s="20"/>
      <c r="F717" s="20"/>
      <c r="G717" s="124"/>
      <c r="H717" s="20"/>
      <c r="I717" s="20"/>
      <c r="J717" s="20"/>
      <c r="K717" s="124"/>
      <c r="L717" s="127"/>
      <c r="M717" s="20"/>
      <c r="N717" s="20"/>
      <c r="O717" s="20"/>
      <c r="P717" s="124"/>
      <c r="Q717" s="127"/>
      <c r="R717" s="20"/>
      <c r="S717" s="20"/>
      <c r="T717" s="20"/>
      <c r="U717" s="124"/>
      <c r="V717" s="127"/>
      <c r="W717" s="20"/>
      <c r="X717" s="20"/>
      <c r="Y717" s="20"/>
      <c r="Z717" s="20"/>
      <c r="AA717" s="20"/>
      <c r="AB717" s="20"/>
      <c r="AC717" s="20"/>
      <c r="AD717" s="20"/>
      <c r="AE717" s="20"/>
    </row>
    <row r="718" spans="1:31" ht="19.5">
      <c r="A718" s="20"/>
      <c r="B718" s="20"/>
      <c r="C718" s="20"/>
      <c r="D718" s="20"/>
      <c r="E718" s="20"/>
      <c r="F718" s="20"/>
      <c r="G718" s="124"/>
      <c r="H718" s="20"/>
      <c r="I718" s="20"/>
      <c r="J718" s="20"/>
      <c r="K718" s="124"/>
      <c r="L718" s="127"/>
      <c r="M718" s="20"/>
      <c r="N718" s="20"/>
      <c r="O718" s="20"/>
      <c r="P718" s="124"/>
      <c r="Q718" s="127"/>
      <c r="R718" s="20"/>
      <c r="S718" s="20"/>
      <c r="T718" s="20"/>
      <c r="U718" s="124"/>
      <c r="V718" s="127"/>
      <c r="W718" s="20"/>
      <c r="X718" s="20"/>
      <c r="Y718" s="20"/>
      <c r="Z718" s="20"/>
      <c r="AA718" s="20"/>
      <c r="AB718" s="20"/>
      <c r="AC718" s="20"/>
      <c r="AD718" s="20"/>
      <c r="AE718" s="20"/>
    </row>
    <row r="719" spans="1:31" ht="19.5">
      <c r="A719" s="20"/>
      <c r="B719" s="20"/>
      <c r="C719" s="20"/>
      <c r="D719" s="20"/>
      <c r="E719" s="20"/>
      <c r="F719" s="20"/>
      <c r="G719" s="124"/>
      <c r="H719" s="20"/>
      <c r="I719" s="20"/>
      <c r="J719" s="20"/>
      <c r="K719" s="124"/>
      <c r="L719" s="127"/>
      <c r="M719" s="20"/>
      <c r="N719" s="20"/>
      <c r="O719" s="20"/>
      <c r="P719" s="124"/>
      <c r="Q719" s="127"/>
      <c r="R719" s="20"/>
      <c r="S719" s="20"/>
      <c r="T719" s="20"/>
      <c r="U719" s="124"/>
      <c r="V719" s="127"/>
      <c r="W719" s="20"/>
      <c r="X719" s="20"/>
      <c r="Y719" s="20"/>
      <c r="Z719" s="20"/>
      <c r="AA719" s="20"/>
      <c r="AB719" s="20"/>
      <c r="AC719" s="20"/>
      <c r="AD719" s="20"/>
      <c r="AE719" s="20"/>
    </row>
    <row r="720" spans="1:31" ht="19.5">
      <c r="A720" s="20"/>
      <c r="B720" s="20"/>
      <c r="C720" s="20"/>
      <c r="D720" s="20"/>
      <c r="E720" s="20"/>
      <c r="F720" s="20"/>
      <c r="G720" s="124"/>
      <c r="H720" s="20"/>
      <c r="I720" s="20"/>
      <c r="J720" s="20"/>
      <c r="K720" s="124"/>
      <c r="L720" s="127"/>
      <c r="M720" s="20"/>
      <c r="N720" s="20"/>
      <c r="O720" s="20"/>
      <c r="P720" s="124"/>
      <c r="Q720" s="127"/>
      <c r="R720" s="20"/>
      <c r="S720" s="20"/>
      <c r="T720" s="20"/>
      <c r="U720" s="124"/>
      <c r="V720" s="127"/>
      <c r="W720" s="20"/>
      <c r="X720" s="20"/>
      <c r="Y720" s="20"/>
      <c r="Z720" s="20"/>
      <c r="AA720" s="20"/>
      <c r="AB720" s="20"/>
      <c r="AC720" s="20"/>
      <c r="AD720" s="20"/>
      <c r="AE720" s="20"/>
    </row>
    <row r="721" spans="1:31" ht="19.5">
      <c r="A721" s="20"/>
      <c r="B721" s="20"/>
      <c r="C721" s="20"/>
      <c r="D721" s="20"/>
      <c r="E721" s="20"/>
      <c r="F721" s="20"/>
      <c r="G721" s="124"/>
      <c r="H721" s="20"/>
      <c r="I721" s="20"/>
      <c r="J721" s="20"/>
      <c r="K721" s="124"/>
      <c r="L721" s="127"/>
      <c r="M721" s="20"/>
      <c r="N721" s="20"/>
      <c r="O721" s="20"/>
      <c r="P721" s="124"/>
      <c r="Q721" s="127"/>
      <c r="R721" s="20"/>
      <c r="S721" s="20"/>
      <c r="T721" s="20"/>
      <c r="U721" s="124"/>
      <c r="V721" s="127"/>
      <c r="W721" s="20"/>
      <c r="X721" s="20"/>
      <c r="Y721" s="20"/>
      <c r="Z721" s="20"/>
      <c r="AA721" s="20"/>
      <c r="AB721" s="20"/>
      <c r="AC721" s="20"/>
      <c r="AD721" s="20"/>
      <c r="AE721" s="20"/>
    </row>
    <row r="722" spans="1:31" ht="19.5">
      <c r="A722" s="20"/>
      <c r="B722" s="20"/>
      <c r="C722" s="20"/>
      <c r="D722" s="20"/>
      <c r="E722" s="20"/>
      <c r="F722" s="20"/>
      <c r="G722" s="124"/>
      <c r="H722" s="20"/>
      <c r="I722" s="20"/>
      <c r="J722" s="20"/>
      <c r="K722" s="124"/>
      <c r="L722" s="127"/>
      <c r="M722" s="20"/>
      <c r="N722" s="20"/>
      <c r="O722" s="20"/>
      <c r="P722" s="124"/>
      <c r="Q722" s="127"/>
      <c r="R722" s="20"/>
      <c r="S722" s="20"/>
      <c r="T722" s="20"/>
      <c r="U722" s="124"/>
      <c r="V722" s="127"/>
      <c r="W722" s="20"/>
      <c r="X722" s="20"/>
      <c r="Y722" s="20"/>
      <c r="Z722" s="20"/>
      <c r="AA722" s="20"/>
      <c r="AB722" s="20"/>
      <c r="AC722" s="20"/>
      <c r="AD722" s="20"/>
      <c r="AE722" s="20"/>
    </row>
    <row r="723" spans="1:31" ht="19.5">
      <c r="A723" s="20"/>
      <c r="B723" s="20"/>
      <c r="C723" s="20"/>
      <c r="D723" s="20"/>
      <c r="E723" s="20"/>
      <c r="F723" s="20"/>
      <c r="G723" s="124"/>
      <c r="H723" s="20"/>
      <c r="I723" s="20"/>
      <c r="J723" s="20"/>
      <c r="K723" s="124"/>
      <c r="L723" s="127"/>
      <c r="M723" s="20"/>
      <c r="N723" s="20"/>
      <c r="O723" s="20"/>
      <c r="P723" s="124"/>
      <c r="Q723" s="127"/>
      <c r="R723" s="20"/>
      <c r="S723" s="20"/>
      <c r="T723" s="20"/>
      <c r="U723" s="124"/>
      <c r="V723" s="127"/>
      <c r="W723" s="20"/>
      <c r="X723" s="20"/>
      <c r="Y723" s="20"/>
      <c r="Z723" s="20"/>
      <c r="AA723" s="20"/>
      <c r="AB723" s="20"/>
      <c r="AC723" s="20"/>
      <c r="AD723" s="20"/>
      <c r="AE723" s="20"/>
    </row>
    <row r="724" spans="1:31" ht="19.5">
      <c r="A724" s="20"/>
      <c r="B724" s="20"/>
      <c r="C724" s="20"/>
      <c r="D724" s="20"/>
      <c r="E724" s="20"/>
      <c r="F724" s="20"/>
      <c r="G724" s="124"/>
      <c r="H724" s="20"/>
      <c r="I724" s="20"/>
      <c r="J724" s="20"/>
      <c r="K724" s="124"/>
      <c r="L724" s="127"/>
      <c r="M724" s="20"/>
      <c r="N724" s="20"/>
      <c r="O724" s="20"/>
      <c r="P724" s="124"/>
      <c r="Q724" s="127"/>
      <c r="R724" s="20"/>
      <c r="S724" s="20"/>
      <c r="T724" s="20"/>
      <c r="U724" s="124"/>
      <c r="V724" s="127"/>
      <c r="W724" s="20"/>
      <c r="X724" s="20"/>
      <c r="Y724" s="20"/>
      <c r="Z724" s="20"/>
      <c r="AA724" s="20"/>
      <c r="AB724" s="20"/>
      <c r="AC724" s="20"/>
      <c r="AD724" s="20"/>
      <c r="AE724" s="20"/>
    </row>
    <row r="725" spans="1:31" ht="19.5">
      <c r="A725" s="20"/>
      <c r="B725" s="20"/>
      <c r="C725" s="20"/>
      <c r="D725" s="20"/>
      <c r="E725" s="20"/>
      <c r="F725" s="20"/>
      <c r="G725" s="124"/>
      <c r="H725" s="20"/>
      <c r="I725" s="20"/>
      <c r="J725" s="20"/>
      <c r="K725" s="124"/>
      <c r="L725" s="127"/>
      <c r="M725" s="20"/>
      <c r="N725" s="20"/>
      <c r="O725" s="20"/>
      <c r="P725" s="124"/>
      <c r="Q725" s="127"/>
      <c r="R725" s="20"/>
      <c r="S725" s="20"/>
      <c r="T725" s="20"/>
      <c r="U725" s="124"/>
      <c r="V725" s="127"/>
      <c r="W725" s="20"/>
      <c r="X725" s="20"/>
      <c r="Y725" s="20"/>
      <c r="Z725" s="20"/>
      <c r="AA725" s="20"/>
      <c r="AB725" s="20"/>
      <c r="AC725" s="20"/>
      <c r="AD725" s="20"/>
      <c r="AE725" s="20"/>
    </row>
    <row r="726" spans="1:31" ht="19.5">
      <c r="A726" s="20"/>
      <c r="B726" s="20"/>
      <c r="C726" s="20"/>
      <c r="D726" s="20"/>
      <c r="E726" s="20"/>
      <c r="F726" s="20"/>
      <c r="G726" s="124"/>
      <c r="H726" s="20"/>
      <c r="I726" s="20"/>
      <c r="J726" s="20"/>
      <c r="K726" s="124"/>
      <c r="L726" s="127"/>
      <c r="M726" s="20"/>
      <c r="N726" s="20"/>
      <c r="O726" s="20"/>
      <c r="P726" s="124"/>
      <c r="Q726" s="127"/>
      <c r="R726" s="20"/>
      <c r="S726" s="20"/>
      <c r="T726" s="20"/>
      <c r="U726" s="124"/>
      <c r="V726" s="127"/>
      <c r="W726" s="20"/>
      <c r="X726" s="20"/>
      <c r="Y726" s="20"/>
      <c r="Z726" s="20"/>
      <c r="AA726" s="20"/>
      <c r="AB726" s="20"/>
      <c r="AC726" s="20"/>
      <c r="AD726" s="20"/>
      <c r="AE726" s="20"/>
    </row>
    <row r="727" spans="1:31" ht="19.5">
      <c r="A727" s="20"/>
      <c r="B727" s="20"/>
      <c r="C727" s="20"/>
      <c r="D727" s="20"/>
      <c r="E727" s="20"/>
      <c r="F727" s="20"/>
      <c r="G727" s="124"/>
      <c r="H727" s="20"/>
      <c r="I727" s="20"/>
      <c r="J727" s="20"/>
      <c r="K727" s="124"/>
      <c r="L727" s="127"/>
      <c r="M727" s="20"/>
      <c r="N727" s="20"/>
      <c r="O727" s="20"/>
      <c r="P727" s="124"/>
      <c r="Q727" s="127"/>
      <c r="R727" s="20"/>
      <c r="S727" s="20"/>
      <c r="T727" s="20"/>
      <c r="U727" s="124"/>
      <c r="V727" s="127"/>
      <c r="W727" s="20"/>
      <c r="X727" s="20"/>
      <c r="Y727" s="20"/>
      <c r="Z727" s="20"/>
      <c r="AA727" s="20"/>
      <c r="AB727" s="20"/>
      <c r="AC727" s="20"/>
      <c r="AD727" s="20"/>
      <c r="AE727" s="20"/>
    </row>
    <row r="728" spans="1:31" ht="19.5">
      <c r="A728" s="20"/>
      <c r="B728" s="20"/>
      <c r="C728" s="20"/>
      <c r="D728" s="20"/>
      <c r="E728" s="20"/>
      <c r="F728" s="20"/>
      <c r="G728" s="124"/>
      <c r="H728" s="20"/>
      <c r="I728" s="20"/>
      <c r="J728" s="20"/>
      <c r="K728" s="124"/>
      <c r="L728" s="127"/>
      <c r="M728" s="20"/>
      <c r="N728" s="20"/>
      <c r="O728" s="20"/>
      <c r="P728" s="124"/>
      <c r="Q728" s="127"/>
      <c r="R728" s="20"/>
      <c r="S728" s="20"/>
      <c r="T728" s="20"/>
      <c r="U728" s="124"/>
      <c r="V728" s="127"/>
      <c r="W728" s="20"/>
      <c r="X728" s="20"/>
      <c r="Y728" s="20"/>
      <c r="Z728" s="20"/>
      <c r="AA728" s="20"/>
      <c r="AB728" s="20"/>
      <c r="AC728" s="20"/>
      <c r="AD728" s="20"/>
      <c r="AE728" s="20"/>
    </row>
    <row r="729" spans="1:31" ht="19.5">
      <c r="A729" s="20"/>
      <c r="B729" s="20"/>
      <c r="C729" s="20"/>
      <c r="D729" s="20"/>
      <c r="E729" s="20"/>
      <c r="F729" s="20"/>
      <c r="G729" s="124"/>
      <c r="H729" s="20"/>
      <c r="I729" s="20"/>
      <c r="J729" s="20"/>
      <c r="K729" s="124"/>
      <c r="L729" s="127"/>
      <c r="M729" s="20"/>
      <c r="N729" s="20"/>
      <c r="O729" s="20"/>
      <c r="P729" s="124"/>
      <c r="Q729" s="127"/>
      <c r="R729" s="20"/>
      <c r="S729" s="20"/>
      <c r="T729" s="20"/>
      <c r="U729" s="124"/>
      <c r="V729" s="127"/>
      <c r="W729" s="20"/>
      <c r="X729" s="20"/>
      <c r="Y729" s="20"/>
      <c r="Z729" s="20"/>
      <c r="AA729" s="20"/>
      <c r="AB729" s="20"/>
      <c r="AC729" s="20"/>
      <c r="AD729" s="20"/>
      <c r="AE729" s="20"/>
    </row>
    <row r="730" spans="1:31" ht="19.5">
      <c r="A730" s="20"/>
      <c r="B730" s="20"/>
      <c r="C730" s="20"/>
      <c r="D730" s="20"/>
      <c r="E730" s="20"/>
      <c r="F730" s="20"/>
      <c r="G730" s="124"/>
      <c r="H730" s="20"/>
      <c r="I730" s="20"/>
      <c r="J730" s="20"/>
      <c r="K730" s="124"/>
      <c r="L730" s="127"/>
      <c r="M730" s="20"/>
      <c r="N730" s="20"/>
      <c r="O730" s="20"/>
      <c r="P730" s="124"/>
      <c r="Q730" s="127"/>
      <c r="R730" s="20"/>
      <c r="S730" s="20"/>
      <c r="T730" s="20"/>
      <c r="U730" s="124"/>
      <c r="V730" s="127"/>
      <c r="W730" s="20"/>
      <c r="X730" s="20"/>
      <c r="Y730" s="20"/>
      <c r="Z730" s="20"/>
      <c r="AA730" s="20"/>
      <c r="AB730" s="20"/>
      <c r="AC730" s="20"/>
      <c r="AD730" s="20"/>
      <c r="AE730" s="20"/>
    </row>
    <row r="731" spans="1:31" ht="19.5">
      <c r="A731" s="20"/>
      <c r="B731" s="20"/>
      <c r="C731" s="20"/>
      <c r="D731" s="20"/>
      <c r="E731" s="20"/>
      <c r="F731" s="20"/>
      <c r="G731" s="124"/>
      <c r="H731" s="20"/>
      <c r="I731" s="20"/>
      <c r="J731" s="20"/>
      <c r="K731" s="124"/>
      <c r="L731" s="127"/>
      <c r="M731" s="20"/>
      <c r="N731" s="20"/>
      <c r="O731" s="20"/>
      <c r="P731" s="124"/>
      <c r="Q731" s="127"/>
      <c r="R731" s="20"/>
      <c r="S731" s="20"/>
      <c r="T731" s="20"/>
      <c r="U731" s="124"/>
      <c r="V731" s="127"/>
      <c r="W731" s="20"/>
      <c r="X731" s="20"/>
      <c r="Y731" s="20"/>
      <c r="Z731" s="20"/>
      <c r="AA731" s="20"/>
      <c r="AB731" s="20"/>
      <c r="AC731" s="20"/>
      <c r="AD731" s="20"/>
      <c r="AE731" s="20"/>
    </row>
    <row r="732" spans="1:31" ht="19.5">
      <c r="A732" s="20"/>
      <c r="B732" s="20"/>
      <c r="C732" s="20"/>
      <c r="D732" s="20"/>
      <c r="E732" s="20"/>
      <c r="F732" s="20"/>
      <c r="G732" s="124"/>
      <c r="H732" s="20"/>
      <c r="I732" s="20"/>
      <c r="J732" s="20"/>
      <c r="K732" s="124"/>
      <c r="L732" s="127"/>
      <c r="M732" s="20"/>
      <c r="N732" s="20"/>
      <c r="O732" s="20"/>
      <c r="P732" s="124"/>
      <c r="Q732" s="127"/>
      <c r="R732" s="20"/>
      <c r="S732" s="20"/>
      <c r="T732" s="20"/>
      <c r="U732" s="124"/>
      <c r="V732" s="127"/>
      <c r="W732" s="20"/>
      <c r="X732" s="20"/>
      <c r="Y732" s="20"/>
      <c r="Z732" s="20"/>
      <c r="AA732" s="20"/>
      <c r="AB732" s="20"/>
      <c r="AC732" s="20"/>
      <c r="AD732" s="20"/>
      <c r="AE732" s="20"/>
    </row>
    <row r="733" spans="1:31" ht="19.5">
      <c r="A733" s="20"/>
      <c r="B733" s="20"/>
      <c r="C733" s="20"/>
      <c r="D733" s="20"/>
      <c r="E733" s="20"/>
      <c r="F733" s="20"/>
      <c r="G733" s="124"/>
      <c r="H733" s="20"/>
      <c r="I733" s="20"/>
      <c r="J733" s="20"/>
      <c r="K733" s="124"/>
      <c r="L733" s="127"/>
      <c r="M733" s="20"/>
      <c r="N733" s="20"/>
      <c r="O733" s="20"/>
      <c r="P733" s="124"/>
      <c r="Q733" s="127"/>
      <c r="R733" s="20"/>
      <c r="S733" s="20"/>
      <c r="T733" s="20"/>
      <c r="U733" s="124"/>
      <c r="V733" s="127"/>
      <c r="W733" s="20"/>
      <c r="X733" s="20"/>
      <c r="Y733" s="20"/>
      <c r="Z733" s="20"/>
      <c r="AA733" s="20"/>
      <c r="AB733" s="20"/>
      <c r="AC733" s="20"/>
      <c r="AD733" s="20"/>
      <c r="AE733" s="20"/>
    </row>
    <row r="734" spans="1:31" ht="19.5">
      <c r="A734" s="20"/>
      <c r="B734" s="20"/>
      <c r="C734" s="20"/>
      <c r="D734" s="20"/>
      <c r="E734" s="20"/>
      <c r="F734" s="20"/>
      <c r="G734" s="124"/>
      <c r="H734" s="20"/>
      <c r="I734" s="20"/>
      <c r="J734" s="20"/>
      <c r="K734" s="124"/>
      <c r="L734" s="127"/>
      <c r="M734" s="20"/>
      <c r="N734" s="20"/>
      <c r="O734" s="20"/>
      <c r="P734" s="124"/>
      <c r="Q734" s="127"/>
      <c r="R734" s="20"/>
      <c r="S734" s="20"/>
      <c r="T734" s="20"/>
      <c r="U734" s="124"/>
      <c r="V734" s="127"/>
      <c r="W734" s="20"/>
      <c r="X734" s="20"/>
      <c r="Y734" s="20"/>
      <c r="Z734" s="20"/>
      <c r="AA734" s="20"/>
      <c r="AB734" s="20"/>
      <c r="AC734" s="20"/>
      <c r="AD734" s="20"/>
      <c r="AE734" s="20"/>
    </row>
    <row r="735" spans="1:31" ht="19.5">
      <c r="A735" s="20"/>
      <c r="B735" s="20"/>
      <c r="C735" s="20"/>
      <c r="D735" s="20"/>
      <c r="E735" s="20"/>
      <c r="F735" s="20"/>
      <c r="G735" s="124"/>
      <c r="H735" s="20"/>
      <c r="I735" s="20"/>
      <c r="J735" s="20"/>
      <c r="K735" s="124"/>
      <c r="L735" s="127"/>
      <c r="M735" s="20"/>
      <c r="N735" s="20"/>
      <c r="O735" s="20"/>
      <c r="P735" s="124"/>
      <c r="Q735" s="127"/>
      <c r="R735" s="20"/>
      <c r="S735" s="20"/>
      <c r="T735" s="20"/>
      <c r="U735" s="124"/>
      <c r="V735" s="127"/>
      <c r="W735" s="20"/>
      <c r="X735" s="20"/>
      <c r="Y735" s="20"/>
      <c r="Z735" s="20"/>
      <c r="AA735" s="20"/>
      <c r="AB735" s="20"/>
      <c r="AC735" s="20"/>
      <c r="AD735" s="20"/>
      <c r="AE735" s="20"/>
    </row>
    <row r="736" spans="1:31" ht="19.5">
      <c r="A736" s="20"/>
      <c r="B736" s="20"/>
      <c r="C736" s="20"/>
      <c r="D736" s="20"/>
      <c r="E736" s="20"/>
      <c r="F736" s="20"/>
      <c r="G736" s="124"/>
      <c r="H736" s="20"/>
      <c r="I736" s="20"/>
      <c r="J736" s="20"/>
      <c r="K736" s="124"/>
      <c r="L736" s="127"/>
      <c r="M736" s="20"/>
      <c r="N736" s="20"/>
      <c r="O736" s="20"/>
      <c r="P736" s="124"/>
      <c r="Q736" s="127"/>
      <c r="R736" s="20"/>
      <c r="S736" s="20"/>
      <c r="T736" s="20"/>
      <c r="U736" s="124"/>
      <c r="V736" s="127"/>
      <c r="W736" s="20"/>
      <c r="X736" s="20"/>
      <c r="Y736" s="20"/>
      <c r="Z736" s="20"/>
      <c r="AA736" s="20"/>
      <c r="AB736" s="20"/>
      <c r="AC736" s="20"/>
      <c r="AD736" s="20"/>
      <c r="AE736" s="20"/>
    </row>
    <row r="737" spans="1:31" ht="19.5">
      <c r="A737" s="20"/>
      <c r="B737" s="20"/>
      <c r="C737" s="20"/>
      <c r="D737" s="20"/>
      <c r="E737" s="20"/>
      <c r="F737" s="20"/>
      <c r="G737" s="124"/>
      <c r="H737" s="20"/>
      <c r="I737" s="20"/>
      <c r="J737" s="20"/>
      <c r="K737" s="124"/>
      <c r="L737" s="127"/>
      <c r="M737" s="20"/>
      <c r="N737" s="20"/>
      <c r="O737" s="20"/>
      <c r="P737" s="124"/>
      <c r="Q737" s="127"/>
      <c r="R737" s="20"/>
      <c r="S737" s="20"/>
      <c r="T737" s="20"/>
      <c r="U737" s="124"/>
      <c r="V737" s="127"/>
      <c r="W737" s="20"/>
      <c r="X737" s="20"/>
      <c r="Y737" s="20"/>
      <c r="Z737" s="20"/>
      <c r="AA737" s="20"/>
      <c r="AB737" s="20"/>
      <c r="AC737" s="20"/>
      <c r="AD737" s="20"/>
      <c r="AE737" s="20"/>
    </row>
    <row r="738" spans="1:31" ht="19.5">
      <c r="A738" s="20"/>
      <c r="B738" s="20"/>
      <c r="C738" s="20"/>
      <c r="D738" s="20"/>
      <c r="E738" s="20"/>
      <c r="F738" s="20"/>
      <c r="G738" s="124"/>
      <c r="H738" s="20"/>
      <c r="I738" s="20"/>
      <c r="J738" s="20"/>
      <c r="K738" s="124"/>
      <c r="L738" s="127"/>
      <c r="M738" s="20"/>
      <c r="N738" s="20"/>
      <c r="O738" s="20"/>
      <c r="P738" s="124"/>
      <c r="Q738" s="127"/>
      <c r="R738" s="20"/>
      <c r="S738" s="20"/>
      <c r="T738" s="20"/>
      <c r="U738" s="124"/>
      <c r="V738" s="127"/>
      <c r="W738" s="20"/>
      <c r="X738" s="20"/>
      <c r="Y738" s="20"/>
      <c r="Z738" s="20"/>
      <c r="AA738" s="20"/>
      <c r="AB738" s="20"/>
      <c r="AC738" s="20"/>
      <c r="AD738" s="20"/>
      <c r="AE738" s="20"/>
    </row>
    <row r="739" spans="1:31" ht="19.5">
      <c r="A739" s="20"/>
      <c r="B739" s="20"/>
      <c r="C739" s="20"/>
      <c r="D739" s="20"/>
      <c r="E739" s="20"/>
      <c r="F739" s="20"/>
      <c r="G739" s="124"/>
      <c r="H739" s="20"/>
      <c r="I739" s="20"/>
      <c r="J739" s="20"/>
      <c r="K739" s="124"/>
      <c r="L739" s="127"/>
      <c r="M739" s="20"/>
      <c r="N739" s="20"/>
      <c r="O739" s="20"/>
      <c r="P739" s="124"/>
      <c r="Q739" s="127"/>
      <c r="R739" s="20"/>
      <c r="S739" s="20"/>
      <c r="T739" s="20"/>
      <c r="U739" s="124"/>
      <c r="V739" s="127"/>
      <c r="W739" s="20"/>
      <c r="X739" s="20"/>
      <c r="Y739" s="20"/>
      <c r="Z739" s="20"/>
      <c r="AA739" s="20"/>
      <c r="AB739" s="20"/>
      <c r="AC739" s="20"/>
      <c r="AD739" s="20"/>
      <c r="AE739" s="20"/>
    </row>
    <row r="740" spans="1:31" ht="19.5">
      <c r="A740" s="20"/>
      <c r="B740" s="20"/>
      <c r="C740" s="20"/>
      <c r="D740" s="20"/>
      <c r="E740" s="20"/>
      <c r="F740" s="20"/>
      <c r="G740" s="124"/>
      <c r="H740" s="20"/>
      <c r="I740" s="20"/>
      <c r="J740" s="20"/>
      <c r="K740" s="124"/>
      <c r="L740" s="127"/>
      <c r="M740" s="20"/>
      <c r="N740" s="20"/>
      <c r="O740" s="20"/>
      <c r="P740" s="124"/>
      <c r="Q740" s="127"/>
      <c r="R740" s="20"/>
      <c r="S740" s="20"/>
      <c r="T740" s="20"/>
      <c r="U740" s="124"/>
      <c r="V740" s="127"/>
      <c r="W740" s="20"/>
      <c r="X740" s="20"/>
      <c r="Y740" s="20"/>
      <c r="Z740" s="20"/>
      <c r="AA740" s="20"/>
      <c r="AB740" s="20"/>
      <c r="AC740" s="20"/>
      <c r="AD740" s="20"/>
      <c r="AE740" s="20"/>
    </row>
    <row r="741" spans="1:31" ht="19.5">
      <c r="A741" s="20"/>
      <c r="B741" s="20"/>
      <c r="C741" s="20"/>
      <c r="D741" s="20"/>
      <c r="E741" s="20"/>
      <c r="F741" s="20"/>
      <c r="G741" s="124"/>
      <c r="H741" s="20"/>
      <c r="I741" s="20"/>
      <c r="J741" s="20"/>
      <c r="K741" s="124"/>
      <c r="L741" s="127"/>
      <c r="M741" s="20"/>
      <c r="N741" s="20"/>
      <c r="O741" s="20"/>
      <c r="P741" s="124"/>
      <c r="Q741" s="127"/>
      <c r="R741" s="20"/>
      <c r="S741" s="20"/>
      <c r="T741" s="20"/>
      <c r="U741" s="124"/>
      <c r="V741" s="127"/>
      <c r="W741" s="20"/>
      <c r="X741" s="20"/>
      <c r="Y741" s="20"/>
      <c r="Z741" s="20"/>
      <c r="AA741" s="20"/>
      <c r="AB741" s="20"/>
      <c r="AC741" s="20"/>
      <c r="AD741" s="20"/>
      <c r="AE741" s="20"/>
    </row>
    <row r="742" spans="1:31" ht="19.5">
      <c r="A742" s="20"/>
      <c r="B742" s="20"/>
      <c r="C742" s="20"/>
      <c r="D742" s="20"/>
      <c r="E742" s="20"/>
      <c r="F742" s="20"/>
      <c r="G742" s="124"/>
      <c r="H742" s="20"/>
      <c r="I742" s="20"/>
      <c r="J742" s="20"/>
      <c r="K742" s="124"/>
      <c r="L742" s="127"/>
      <c r="M742" s="20"/>
      <c r="N742" s="20"/>
      <c r="O742" s="20"/>
      <c r="P742" s="124"/>
      <c r="Q742" s="127"/>
      <c r="R742" s="20"/>
      <c r="S742" s="20"/>
      <c r="T742" s="20"/>
      <c r="U742" s="124"/>
      <c r="V742" s="127"/>
      <c r="W742" s="20"/>
      <c r="X742" s="20"/>
      <c r="Y742" s="20"/>
      <c r="Z742" s="20"/>
      <c r="AA742" s="20"/>
      <c r="AB742" s="20"/>
      <c r="AC742" s="20"/>
      <c r="AD742" s="20"/>
      <c r="AE742" s="20"/>
    </row>
    <row r="743" spans="1:31" ht="19.5">
      <c r="A743" s="20"/>
      <c r="B743" s="20"/>
      <c r="C743" s="20"/>
      <c r="D743" s="20"/>
      <c r="E743" s="20"/>
      <c r="F743" s="20"/>
      <c r="G743" s="124"/>
      <c r="H743" s="20"/>
      <c r="I743" s="20"/>
      <c r="J743" s="20"/>
      <c r="K743" s="124"/>
      <c r="L743" s="127"/>
      <c r="M743" s="20"/>
      <c r="N743" s="20"/>
      <c r="O743" s="20"/>
      <c r="P743" s="124"/>
      <c r="Q743" s="127"/>
      <c r="R743" s="20"/>
      <c r="S743" s="20"/>
      <c r="T743" s="20"/>
      <c r="U743" s="124"/>
      <c r="V743" s="127"/>
      <c r="W743" s="20"/>
      <c r="X743" s="20"/>
      <c r="Y743" s="20"/>
      <c r="Z743" s="20"/>
      <c r="AA743" s="20"/>
      <c r="AB743" s="20"/>
      <c r="AC743" s="20"/>
      <c r="AD743" s="20"/>
      <c r="AE743" s="20"/>
    </row>
    <row r="744" spans="1:31" ht="19.5">
      <c r="A744" s="20"/>
      <c r="B744" s="20"/>
      <c r="C744" s="20"/>
      <c r="D744" s="20"/>
      <c r="E744" s="20"/>
      <c r="F744" s="20"/>
      <c r="G744" s="124"/>
      <c r="H744" s="20"/>
      <c r="I744" s="20"/>
      <c r="J744" s="20"/>
      <c r="K744" s="124"/>
      <c r="L744" s="127"/>
      <c r="M744" s="20"/>
      <c r="N744" s="20"/>
      <c r="O744" s="20"/>
      <c r="P744" s="124"/>
      <c r="Q744" s="127"/>
      <c r="R744" s="20"/>
      <c r="S744" s="20"/>
      <c r="T744" s="20"/>
      <c r="U744" s="124"/>
      <c r="V744" s="127"/>
      <c r="W744" s="20"/>
      <c r="X744" s="20"/>
      <c r="Y744" s="20"/>
      <c r="Z744" s="20"/>
      <c r="AA744" s="20"/>
      <c r="AB744" s="20"/>
      <c r="AC744" s="20"/>
      <c r="AD744" s="20"/>
      <c r="AE744" s="20"/>
    </row>
    <row r="745" spans="1:31" ht="19.5">
      <c r="A745" s="20"/>
      <c r="B745" s="20"/>
      <c r="C745" s="20"/>
      <c r="D745" s="20"/>
      <c r="E745" s="20"/>
      <c r="F745" s="20"/>
      <c r="G745" s="124"/>
      <c r="H745" s="20"/>
      <c r="I745" s="20"/>
      <c r="J745" s="20"/>
      <c r="K745" s="124"/>
      <c r="L745" s="127"/>
      <c r="M745" s="20"/>
      <c r="N745" s="20"/>
      <c r="O745" s="20"/>
      <c r="P745" s="124"/>
      <c r="Q745" s="127"/>
      <c r="R745" s="20"/>
      <c r="S745" s="20"/>
      <c r="T745" s="20"/>
      <c r="U745" s="124"/>
      <c r="V745" s="127"/>
      <c r="W745" s="20"/>
      <c r="X745" s="20"/>
      <c r="Y745" s="20"/>
      <c r="Z745" s="20"/>
      <c r="AA745" s="20"/>
      <c r="AB745" s="20"/>
      <c r="AC745" s="20"/>
      <c r="AD745" s="20"/>
      <c r="AE745" s="20"/>
    </row>
    <row r="746" spans="1:31" ht="19.5">
      <c r="A746" s="20"/>
      <c r="B746" s="20"/>
      <c r="C746" s="20"/>
      <c r="D746" s="20"/>
      <c r="E746" s="20"/>
      <c r="F746" s="20"/>
      <c r="G746" s="124"/>
      <c r="H746" s="20"/>
      <c r="I746" s="20"/>
      <c r="J746" s="20"/>
      <c r="K746" s="124"/>
      <c r="L746" s="127"/>
      <c r="M746" s="20"/>
      <c r="N746" s="20"/>
      <c r="O746" s="20"/>
      <c r="P746" s="124"/>
      <c r="Q746" s="127"/>
      <c r="R746" s="20"/>
      <c r="S746" s="20"/>
      <c r="T746" s="20"/>
      <c r="U746" s="124"/>
      <c r="V746" s="127"/>
      <c r="W746" s="20"/>
      <c r="X746" s="20"/>
      <c r="Y746" s="20"/>
      <c r="Z746" s="20"/>
      <c r="AA746" s="20"/>
      <c r="AB746" s="20"/>
      <c r="AC746" s="20"/>
      <c r="AD746" s="20"/>
      <c r="AE746" s="20"/>
    </row>
    <row r="747" spans="1:31" ht="19.5">
      <c r="A747" s="20"/>
      <c r="B747" s="20"/>
      <c r="C747" s="20"/>
      <c r="D747" s="20"/>
      <c r="E747" s="20"/>
      <c r="F747" s="20"/>
      <c r="G747" s="124"/>
      <c r="H747" s="20"/>
      <c r="I747" s="20"/>
      <c r="J747" s="20"/>
      <c r="K747" s="124"/>
      <c r="L747" s="127"/>
      <c r="M747" s="20"/>
      <c r="N747" s="20"/>
      <c r="O747" s="20"/>
      <c r="P747" s="124"/>
      <c r="Q747" s="127"/>
      <c r="R747" s="20"/>
      <c r="S747" s="20"/>
      <c r="T747" s="20"/>
      <c r="U747" s="124"/>
      <c r="V747" s="127"/>
      <c r="W747" s="20"/>
      <c r="X747" s="20"/>
      <c r="Y747" s="20"/>
      <c r="Z747" s="20"/>
      <c r="AA747" s="20"/>
      <c r="AB747" s="20"/>
      <c r="AC747" s="20"/>
      <c r="AD747" s="20"/>
      <c r="AE747" s="20"/>
    </row>
    <row r="748" spans="1:31" ht="19.5">
      <c r="A748" s="20"/>
      <c r="B748" s="20"/>
      <c r="C748" s="20"/>
      <c r="D748" s="20"/>
      <c r="E748" s="20"/>
      <c r="F748" s="20"/>
      <c r="G748" s="124"/>
      <c r="H748" s="20"/>
      <c r="I748" s="20"/>
      <c r="J748" s="20"/>
      <c r="K748" s="124"/>
      <c r="L748" s="127"/>
      <c r="M748" s="20"/>
      <c r="N748" s="20"/>
      <c r="O748" s="20"/>
      <c r="P748" s="124"/>
      <c r="Q748" s="127"/>
      <c r="R748" s="20"/>
      <c r="S748" s="20"/>
      <c r="T748" s="20"/>
      <c r="U748" s="124"/>
      <c r="V748" s="127"/>
      <c r="W748" s="20"/>
      <c r="X748" s="20"/>
      <c r="Y748" s="20"/>
      <c r="Z748" s="20"/>
      <c r="AA748" s="20"/>
      <c r="AB748" s="20"/>
      <c r="AC748" s="20"/>
      <c r="AD748" s="20"/>
      <c r="AE748" s="20"/>
    </row>
    <row r="749" spans="1:31" ht="19.5">
      <c r="A749" s="20"/>
      <c r="B749" s="20"/>
      <c r="C749" s="20"/>
      <c r="D749" s="20"/>
      <c r="E749" s="20"/>
      <c r="F749" s="20"/>
      <c r="G749" s="124"/>
      <c r="H749" s="20"/>
      <c r="I749" s="20"/>
      <c r="J749" s="20"/>
      <c r="K749" s="124"/>
      <c r="L749" s="127"/>
      <c r="M749" s="20"/>
      <c r="N749" s="20"/>
      <c r="O749" s="20"/>
      <c r="P749" s="124"/>
      <c r="Q749" s="127"/>
      <c r="R749" s="20"/>
      <c r="S749" s="20"/>
      <c r="T749" s="20"/>
      <c r="U749" s="124"/>
      <c r="V749" s="127"/>
      <c r="W749" s="20"/>
      <c r="X749" s="20"/>
      <c r="Y749" s="20"/>
      <c r="Z749" s="20"/>
      <c r="AA749" s="20"/>
      <c r="AB749" s="20"/>
      <c r="AC749" s="20"/>
      <c r="AD749" s="20"/>
      <c r="AE749" s="20"/>
    </row>
    <row r="750" spans="1:31" ht="19.5">
      <c r="A750" s="20"/>
      <c r="B750" s="20"/>
      <c r="C750" s="20"/>
      <c r="D750" s="20"/>
      <c r="E750" s="20"/>
      <c r="F750" s="20"/>
      <c r="G750" s="124"/>
      <c r="H750" s="20"/>
      <c r="I750" s="20"/>
      <c r="J750" s="20"/>
      <c r="K750" s="124"/>
      <c r="L750" s="127"/>
      <c r="M750" s="20"/>
      <c r="N750" s="20"/>
      <c r="O750" s="20"/>
      <c r="P750" s="124"/>
      <c r="Q750" s="127"/>
      <c r="R750" s="20"/>
      <c r="S750" s="20"/>
      <c r="T750" s="20"/>
      <c r="U750" s="124"/>
      <c r="V750" s="127"/>
      <c r="W750" s="20"/>
      <c r="X750" s="20"/>
      <c r="Y750" s="20"/>
      <c r="Z750" s="20"/>
      <c r="AA750" s="20"/>
      <c r="AB750" s="20"/>
      <c r="AC750" s="20"/>
      <c r="AD750" s="20"/>
      <c r="AE750" s="20"/>
    </row>
    <row r="751" spans="1:31" ht="19.5">
      <c r="A751" s="20"/>
      <c r="B751" s="20"/>
      <c r="C751" s="20"/>
      <c r="D751" s="20"/>
      <c r="E751" s="20"/>
      <c r="F751" s="20"/>
      <c r="G751" s="124"/>
      <c r="H751" s="20"/>
      <c r="I751" s="20"/>
      <c r="J751" s="20"/>
      <c r="K751" s="124"/>
      <c r="L751" s="127"/>
      <c r="M751" s="20"/>
      <c r="N751" s="20"/>
      <c r="O751" s="20"/>
      <c r="P751" s="124"/>
      <c r="Q751" s="127"/>
      <c r="R751" s="20"/>
      <c r="S751" s="20"/>
      <c r="T751" s="20"/>
      <c r="U751" s="124"/>
      <c r="V751" s="127"/>
      <c r="W751" s="20"/>
      <c r="X751" s="20"/>
      <c r="Y751" s="20"/>
      <c r="Z751" s="20"/>
      <c r="AA751" s="20"/>
      <c r="AB751" s="20"/>
      <c r="AC751" s="20"/>
      <c r="AD751" s="20"/>
      <c r="AE751" s="20"/>
    </row>
    <row r="752" spans="1:31" ht="19.5">
      <c r="A752" s="20"/>
      <c r="B752" s="20"/>
      <c r="C752" s="20"/>
      <c r="D752" s="20"/>
      <c r="E752" s="20"/>
      <c r="F752" s="20"/>
      <c r="G752" s="124"/>
      <c r="H752" s="20"/>
      <c r="I752" s="20"/>
      <c r="J752" s="20"/>
      <c r="K752" s="124"/>
      <c r="L752" s="127"/>
      <c r="M752" s="20"/>
      <c r="N752" s="20"/>
      <c r="O752" s="20"/>
      <c r="P752" s="124"/>
      <c r="Q752" s="127"/>
      <c r="R752" s="20"/>
      <c r="S752" s="20"/>
      <c r="T752" s="20"/>
      <c r="U752" s="124"/>
      <c r="V752" s="127"/>
      <c r="W752" s="20"/>
      <c r="X752" s="20"/>
      <c r="Y752" s="20"/>
      <c r="Z752" s="20"/>
      <c r="AA752" s="20"/>
      <c r="AB752" s="20"/>
      <c r="AC752" s="20"/>
      <c r="AD752" s="20"/>
      <c r="AE752" s="20"/>
    </row>
    <row r="753" spans="1:31" ht="19.5">
      <c r="A753" s="20"/>
      <c r="B753" s="20"/>
      <c r="C753" s="20"/>
      <c r="D753" s="20"/>
      <c r="E753" s="20"/>
      <c r="F753" s="20"/>
      <c r="G753" s="124"/>
      <c r="H753" s="20"/>
      <c r="I753" s="20"/>
      <c r="J753" s="20"/>
      <c r="K753" s="124"/>
      <c r="L753" s="127"/>
      <c r="M753" s="20"/>
      <c r="N753" s="20"/>
      <c r="O753" s="20"/>
      <c r="P753" s="124"/>
      <c r="Q753" s="127"/>
      <c r="R753" s="20"/>
      <c r="S753" s="20"/>
      <c r="T753" s="20"/>
      <c r="U753" s="124"/>
      <c r="V753" s="127"/>
      <c r="W753" s="20"/>
      <c r="X753" s="20"/>
      <c r="Y753" s="20"/>
      <c r="Z753" s="20"/>
      <c r="AA753" s="20"/>
      <c r="AB753" s="20"/>
      <c r="AC753" s="20"/>
      <c r="AD753" s="20"/>
      <c r="AE753" s="20"/>
    </row>
    <row r="754" spans="1:31" ht="19.5">
      <c r="A754" s="20"/>
      <c r="B754" s="20"/>
      <c r="C754" s="20"/>
      <c r="D754" s="20"/>
      <c r="E754" s="20"/>
      <c r="F754" s="20"/>
      <c r="G754" s="124"/>
      <c r="H754" s="20"/>
      <c r="I754" s="20"/>
      <c r="J754" s="20"/>
      <c r="K754" s="124"/>
      <c r="L754" s="127"/>
      <c r="M754" s="20"/>
      <c r="N754" s="20"/>
      <c r="O754" s="20"/>
      <c r="P754" s="124"/>
      <c r="Q754" s="127"/>
      <c r="R754" s="20"/>
      <c r="S754" s="20"/>
      <c r="T754" s="20"/>
      <c r="U754" s="124"/>
      <c r="V754" s="127"/>
      <c r="W754" s="20"/>
      <c r="X754" s="20"/>
      <c r="Y754" s="20"/>
      <c r="Z754" s="20"/>
      <c r="AA754" s="20"/>
      <c r="AB754" s="20"/>
      <c r="AC754" s="20"/>
      <c r="AD754" s="20"/>
      <c r="AE754" s="20"/>
    </row>
    <row r="755" spans="1:31" ht="19.5">
      <c r="A755" s="20"/>
      <c r="B755" s="20"/>
      <c r="C755" s="20"/>
      <c r="D755" s="20"/>
      <c r="E755" s="20"/>
      <c r="F755" s="20"/>
      <c r="G755" s="124"/>
      <c r="H755" s="20"/>
      <c r="I755" s="20"/>
      <c r="J755" s="20"/>
      <c r="K755" s="124"/>
      <c r="L755" s="127"/>
      <c r="M755" s="20"/>
      <c r="N755" s="20"/>
      <c r="O755" s="20"/>
      <c r="P755" s="124"/>
      <c r="Q755" s="127"/>
      <c r="R755" s="20"/>
      <c r="S755" s="20"/>
      <c r="T755" s="20"/>
      <c r="U755" s="124"/>
      <c r="V755" s="127"/>
      <c r="W755" s="20"/>
      <c r="X755" s="20"/>
      <c r="Y755" s="20"/>
      <c r="Z755" s="20"/>
      <c r="AA755" s="20"/>
      <c r="AB755" s="20"/>
      <c r="AC755" s="20"/>
      <c r="AD755" s="20"/>
      <c r="AE755" s="20"/>
    </row>
    <row r="756" spans="1:31" ht="19.5">
      <c r="A756" s="20"/>
      <c r="B756" s="20"/>
      <c r="C756" s="20"/>
      <c r="D756" s="20"/>
      <c r="E756" s="20"/>
      <c r="F756" s="20"/>
      <c r="G756" s="124"/>
      <c r="H756" s="20"/>
      <c r="I756" s="20"/>
      <c r="J756" s="20"/>
      <c r="K756" s="124"/>
      <c r="L756" s="127"/>
      <c r="M756" s="20"/>
      <c r="N756" s="20"/>
      <c r="O756" s="20"/>
      <c r="P756" s="124"/>
      <c r="Q756" s="127"/>
      <c r="R756" s="20"/>
      <c r="S756" s="20"/>
      <c r="T756" s="20"/>
      <c r="U756" s="124"/>
      <c r="V756" s="127"/>
      <c r="W756" s="20"/>
      <c r="X756" s="20"/>
      <c r="Y756" s="20"/>
      <c r="Z756" s="20"/>
      <c r="AA756" s="20"/>
      <c r="AB756" s="20"/>
      <c r="AC756" s="20"/>
      <c r="AD756" s="20"/>
      <c r="AE756" s="20"/>
    </row>
    <row r="757" spans="1:31" ht="19.5">
      <c r="A757" s="20"/>
      <c r="B757" s="20"/>
      <c r="C757" s="20"/>
      <c r="D757" s="20"/>
      <c r="E757" s="20"/>
      <c r="F757" s="20"/>
      <c r="G757" s="124"/>
      <c r="H757" s="20"/>
      <c r="I757" s="20"/>
      <c r="J757" s="20"/>
      <c r="K757" s="124"/>
      <c r="L757" s="127"/>
      <c r="M757" s="20"/>
      <c r="N757" s="20"/>
      <c r="O757" s="20"/>
      <c r="P757" s="124"/>
      <c r="Q757" s="127"/>
      <c r="R757" s="20"/>
      <c r="S757" s="20"/>
      <c r="T757" s="20"/>
      <c r="U757" s="124"/>
      <c r="V757" s="127"/>
      <c r="W757" s="20"/>
      <c r="X757" s="20"/>
      <c r="Y757" s="20"/>
      <c r="Z757" s="20"/>
      <c r="AA757" s="20"/>
      <c r="AB757" s="20"/>
      <c r="AC757" s="20"/>
      <c r="AD757" s="20"/>
      <c r="AE757" s="20"/>
    </row>
    <row r="758" spans="1:31" ht="19.5">
      <c r="A758" s="20"/>
      <c r="B758" s="20"/>
      <c r="C758" s="20"/>
      <c r="D758" s="20"/>
      <c r="E758" s="20"/>
      <c r="F758" s="20"/>
      <c r="G758" s="124"/>
      <c r="H758" s="20"/>
      <c r="I758" s="20"/>
      <c r="J758" s="20"/>
      <c r="K758" s="124"/>
      <c r="L758" s="127"/>
      <c r="M758" s="20"/>
      <c r="N758" s="20"/>
      <c r="O758" s="20"/>
      <c r="P758" s="124"/>
      <c r="Q758" s="127"/>
      <c r="R758" s="20"/>
      <c r="S758" s="20"/>
      <c r="T758" s="20"/>
      <c r="U758" s="124"/>
      <c r="V758" s="127"/>
      <c r="W758" s="20"/>
      <c r="X758" s="20"/>
      <c r="Y758" s="20"/>
      <c r="Z758" s="20"/>
      <c r="AA758" s="20"/>
      <c r="AB758" s="20"/>
      <c r="AC758" s="20"/>
      <c r="AD758" s="20"/>
      <c r="AE758" s="20"/>
    </row>
    <row r="759" spans="1:31" ht="19.5">
      <c r="A759" s="20"/>
      <c r="B759" s="20"/>
      <c r="C759" s="20"/>
      <c r="D759" s="20"/>
      <c r="E759" s="20"/>
      <c r="F759" s="20"/>
      <c r="G759" s="124"/>
      <c r="H759" s="20"/>
      <c r="I759" s="20"/>
      <c r="J759" s="20"/>
      <c r="K759" s="124"/>
      <c r="L759" s="127"/>
      <c r="M759" s="20"/>
      <c r="N759" s="20"/>
      <c r="O759" s="20"/>
      <c r="P759" s="124"/>
      <c r="Q759" s="127"/>
      <c r="R759" s="20"/>
      <c r="S759" s="20"/>
      <c r="T759" s="20"/>
      <c r="U759" s="124"/>
      <c r="V759" s="127"/>
      <c r="W759" s="20"/>
      <c r="X759" s="20"/>
      <c r="Y759" s="20"/>
      <c r="Z759" s="20"/>
      <c r="AA759" s="20"/>
      <c r="AB759" s="20"/>
      <c r="AC759" s="20"/>
      <c r="AD759" s="20"/>
      <c r="AE759" s="20"/>
    </row>
    <row r="760" spans="1:31" ht="19.5">
      <c r="A760" s="20"/>
      <c r="B760" s="20"/>
      <c r="C760" s="20"/>
      <c r="D760" s="20"/>
      <c r="E760" s="20"/>
      <c r="F760" s="20"/>
      <c r="G760" s="124"/>
      <c r="H760" s="20"/>
      <c r="I760" s="20"/>
      <c r="J760" s="20"/>
      <c r="K760" s="124"/>
      <c r="L760" s="127"/>
      <c r="M760" s="20"/>
      <c r="N760" s="20"/>
      <c r="O760" s="20"/>
      <c r="P760" s="124"/>
      <c r="Q760" s="127"/>
      <c r="R760" s="20"/>
      <c r="S760" s="20"/>
      <c r="T760" s="20"/>
      <c r="U760" s="124"/>
      <c r="V760" s="127"/>
      <c r="W760" s="20"/>
      <c r="X760" s="20"/>
      <c r="Y760" s="20"/>
      <c r="Z760" s="20"/>
      <c r="AA760" s="20"/>
      <c r="AB760" s="20"/>
      <c r="AC760" s="20"/>
      <c r="AD760" s="20"/>
      <c r="AE760" s="20"/>
    </row>
    <row r="761" spans="1:31" ht="19.5">
      <c r="A761" s="20"/>
      <c r="B761" s="20"/>
      <c r="C761" s="20"/>
      <c r="D761" s="20"/>
      <c r="E761" s="20"/>
      <c r="F761" s="20"/>
      <c r="G761" s="124"/>
      <c r="H761" s="20"/>
      <c r="I761" s="20"/>
      <c r="J761" s="20"/>
      <c r="K761" s="124"/>
      <c r="L761" s="127"/>
      <c r="M761" s="20"/>
      <c r="N761" s="20"/>
      <c r="O761" s="20"/>
      <c r="P761" s="124"/>
      <c r="Q761" s="127"/>
      <c r="R761" s="20"/>
      <c r="S761" s="20"/>
      <c r="T761" s="20"/>
      <c r="U761" s="124"/>
      <c r="V761" s="127"/>
      <c r="W761" s="20"/>
      <c r="X761" s="20"/>
      <c r="Y761" s="20"/>
      <c r="Z761" s="20"/>
      <c r="AA761" s="20"/>
      <c r="AB761" s="20"/>
      <c r="AC761" s="20"/>
      <c r="AD761" s="20"/>
      <c r="AE761" s="20"/>
    </row>
    <row r="762" spans="1:31" ht="19.5">
      <c r="A762" s="20"/>
      <c r="B762" s="20"/>
      <c r="C762" s="20"/>
      <c r="D762" s="20"/>
      <c r="E762" s="20"/>
      <c r="F762" s="20"/>
      <c r="G762" s="124"/>
      <c r="H762" s="20"/>
      <c r="I762" s="20"/>
      <c r="J762" s="20"/>
      <c r="K762" s="124"/>
      <c r="L762" s="127"/>
      <c r="M762" s="20"/>
      <c r="N762" s="20"/>
      <c r="O762" s="20"/>
      <c r="P762" s="124"/>
      <c r="Q762" s="127"/>
      <c r="R762" s="20"/>
      <c r="S762" s="20"/>
      <c r="T762" s="20"/>
      <c r="U762" s="124"/>
      <c r="V762" s="127"/>
      <c r="W762" s="20"/>
      <c r="X762" s="20"/>
      <c r="Y762" s="20"/>
      <c r="Z762" s="20"/>
      <c r="AA762" s="20"/>
      <c r="AB762" s="20"/>
      <c r="AC762" s="20"/>
      <c r="AD762" s="20"/>
      <c r="AE762" s="20"/>
    </row>
    <row r="763" spans="1:31" ht="19.5">
      <c r="A763" s="20"/>
      <c r="B763" s="20"/>
      <c r="C763" s="20"/>
      <c r="D763" s="20"/>
      <c r="E763" s="20"/>
      <c r="F763" s="20"/>
      <c r="G763" s="124"/>
      <c r="H763" s="20"/>
      <c r="I763" s="20"/>
      <c r="J763" s="20"/>
      <c r="K763" s="124"/>
      <c r="L763" s="127"/>
      <c r="M763" s="20"/>
      <c r="N763" s="20"/>
      <c r="O763" s="20"/>
      <c r="P763" s="124"/>
      <c r="Q763" s="127"/>
      <c r="R763" s="20"/>
      <c r="S763" s="20"/>
      <c r="T763" s="20"/>
      <c r="U763" s="124"/>
      <c r="V763" s="127"/>
      <c r="W763" s="20"/>
      <c r="X763" s="20"/>
      <c r="Y763" s="20"/>
      <c r="Z763" s="20"/>
      <c r="AA763" s="20"/>
      <c r="AB763" s="20"/>
      <c r="AC763" s="20"/>
      <c r="AD763" s="20"/>
      <c r="AE763" s="20"/>
    </row>
    <row r="764" spans="1:31" ht="19.5">
      <c r="A764" s="20"/>
      <c r="B764" s="20"/>
      <c r="C764" s="20"/>
      <c r="D764" s="20"/>
      <c r="E764" s="20"/>
      <c r="F764" s="20"/>
      <c r="G764" s="124"/>
      <c r="H764" s="20"/>
      <c r="I764" s="20"/>
      <c r="J764" s="20"/>
      <c r="K764" s="124"/>
      <c r="L764" s="127"/>
      <c r="M764" s="20"/>
      <c r="N764" s="20"/>
      <c r="O764" s="20"/>
      <c r="P764" s="124"/>
      <c r="Q764" s="127"/>
      <c r="R764" s="20"/>
      <c r="S764" s="20"/>
      <c r="T764" s="20"/>
      <c r="U764" s="124"/>
      <c r="V764" s="127"/>
      <c r="W764" s="20"/>
      <c r="X764" s="20"/>
      <c r="Y764" s="20"/>
      <c r="Z764" s="20"/>
      <c r="AA764" s="20"/>
      <c r="AB764" s="20"/>
      <c r="AC764" s="20"/>
      <c r="AD764" s="20"/>
      <c r="AE764" s="20"/>
    </row>
    <row r="765" spans="1:31" ht="19.5">
      <c r="A765" s="20"/>
      <c r="B765" s="20"/>
      <c r="C765" s="20"/>
      <c r="D765" s="20"/>
      <c r="E765" s="20"/>
      <c r="F765" s="20"/>
      <c r="G765" s="124"/>
      <c r="H765" s="20"/>
      <c r="I765" s="20"/>
      <c r="J765" s="20"/>
      <c r="K765" s="124"/>
      <c r="L765" s="127"/>
      <c r="M765" s="20"/>
      <c r="N765" s="20"/>
      <c r="O765" s="20"/>
      <c r="P765" s="124"/>
      <c r="Q765" s="127"/>
      <c r="R765" s="20"/>
      <c r="S765" s="20"/>
      <c r="T765" s="20"/>
      <c r="U765" s="124"/>
      <c r="V765" s="127"/>
      <c r="W765" s="20"/>
      <c r="X765" s="20"/>
      <c r="Y765" s="20"/>
      <c r="Z765" s="20"/>
      <c r="AA765" s="20"/>
      <c r="AB765" s="20"/>
      <c r="AC765" s="20"/>
      <c r="AD765" s="20"/>
      <c r="AE765" s="20"/>
    </row>
    <row r="766" spans="1:31" ht="19.5">
      <c r="A766" s="20"/>
      <c r="B766" s="20"/>
      <c r="C766" s="20"/>
      <c r="D766" s="20"/>
      <c r="E766" s="20"/>
      <c r="F766" s="20"/>
      <c r="G766" s="124"/>
      <c r="H766" s="20"/>
      <c r="I766" s="20"/>
      <c r="J766" s="20"/>
      <c r="K766" s="124"/>
      <c r="L766" s="127"/>
      <c r="M766" s="20"/>
      <c r="N766" s="20"/>
      <c r="O766" s="20"/>
      <c r="P766" s="124"/>
      <c r="Q766" s="127"/>
      <c r="R766" s="20"/>
      <c r="S766" s="20"/>
      <c r="T766" s="20"/>
      <c r="U766" s="124"/>
      <c r="V766" s="127"/>
      <c r="W766" s="20"/>
      <c r="X766" s="20"/>
      <c r="Y766" s="20"/>
      <c r="Z766" s="20"/>
      <c r="AA766" s="20"/>
      <c r="AB766" s="20"/>
      <c r="AC766" s="20"/>
      <c r="AD766" s="20"/>
      <c r="AE766" s="20"/>
    </row>
    <row r="767" spans="1:31" ht="19.5">
      <c r="A767" s="20"/>
      <c r="B767" s="20"/>
      <c r="C767" s="20"/>
      <c r="D767" s="20"/>
      <c r="E767" s="20"/>
      <c r="F767" s="20"/>
      <c r="G767" s="124"/>
      <c r="H767" s="20"/>
      <c r="I767" s="20"/>
      <c r="J767" s="20"/>
      <c r="K767" s="124"/>
      <c r="L767" s="127"/>
      <c r="M767" s="20"/>
      <c r="N767" s="20"/>
      <c r="O767" s="20"/>
      <c r="P767" s="124"/>
      <c r="Q767" s="127"/>
      <c r="R767" s="20"/>
      <c r="S767" s="20"/>
      <c r="T767" s="20"/>
      <c r="U767" s="124"/>
      <c r="V767" s="127"/>
      <c r="W767" s="20"/>
      <c r="X767" s="20"/>
      <c r="Y767" s="20"/>
      <c r="Z767" s="20"/>
      <c r="AA767" s="20"/>
      <c r="AB767" s="20"/>
      <c r="AC767" s="20"/>
      <c r="AD767" s="20"/>
      <c r="AE767" s="20"/>
    </row>
    <row r="768" spans="1:31" ht="19.5">
      <c r="A768" s="20"/>
      <c r="B768" s="20"/>
      <c r="C768" s="20"/>
      <c r="D768" s="20"/>
      <c r="E768" s="20"/>
      <c r="F768" s="20"/>
      <c r="G768" s="124"/>
      <c r="H768" s="20"/>
      <c r="I768" s="20"/>
      <c r="J768" s="20"/>
      <c r="K768" s="124"/>
      <c r="L768" s="127"/>
      <c r="M768" s="20"/>
      <c r="N768" s="20"/>
      <c r="O768" s="20"/>
      <c r="P768" s="124"/>
      <c r="Q768" s="127"/>
      <c r="R768" s="20"/>
      <c r="S768" s="20"/>
      <c r="T768" s="20"/>
      <c r="U768" s="124"/>
      <c r="V768" s="127"/>
      <c r="W768" s="20"/>
      <c r="X768" s="20"/>
      <c r="Y768" s="20"/>
      <c r="Z768" s="20"/>
      <c r="AA768" s="20"/>
      <c r="AB768" s="20"/>
      <c r="AC768" s="20"/>
      <c r="AD768" s="20"/>
      <c r="AE768" s="20"/>
    </row>
    <row r="769" spans="1:31" ht="19.5">
      <c r="A769" s="20"/>
      <c r="B769" s="20"/>
      <c r="C769" s="20"/>
      <c r="D769" s="20"/>
      <c r="E769" s="20"/>
      <c r="F769" s="20"/>
      <c r="G769" s="124"/>
      <c r="H769" s="20"/>
      <c r="I769" s="20"/>
      <c r="J769" s="20"/>
      <c r="K769" s="124"/>
      <c r="L769" s="127"/>
      <c r="M769" s="20"/>
      <c r="N769" s="20"/>
      <c r="O769" s="20"/>
      <c r="P769" s="124"/>
      <c r="Q769" s="127"/>
      <c r="R769" s="20"/>
      <c r="S769" s="20"/>
      <c r="T769" s="20"/>
      <c r="U769" s="124"/>
      <c r="V769" s="127"/>
      <c r="W769" s="20"/>
      <c r="X769" s="20"/>
      <c r="Y769" s="20"/>
      <c r="Z769" s="20"/>
      <c r="AA769" s="20"/>
      <c r="AB769" s="20"/>
      <c r="AC769" s="20"/>
      <c r="AD769" s="20"/>
      <c r="AE769" s="20"/>
    </row>
    <row r="770" spans="1:31" ht="19.5">
      <c r="A770" s="20"/>
      <c r="B770" s="20"/>
      <c r="C770" s="20"/>
      <c r="D770" s="20"/>
      <c r="E770" s="20"/>
      <c r="F770" s="20"/>
      <c r="G770" s="124"/>
      <c r="H770" s="20"/>
      <c r="I770" s="20"/>
      <c r="J770" s="20"/>
      <c r="K770" s="124"/>
      <c r="L770" s="127"/>
      <c r="M770" s="20"/>
      <c r="N770" s="20"/>
      <c r="O770" s="20"/>
      <c r="P770" s="124"/>
      <c r="Q770" s="127"/>
      <c r="R770" s="20"/>
      <c r="S770" s="20"/>
      <c r="T770" s="20"/>
      <c r="U770" s="124"/>
      <c r="V770" s="127"/>
      <c r="W770" s="20"/>
      <c r="X770" s="20"/>
      <c r="Y770" s="20"/>
      <c r="Z770" s="20"/>
      <c r="AA770" s="20"/>
      <c r="AB770" s="20"/>
      <c r="AC770" s="20"/>
      <c r="AD770" s="20"/>
      <c r="AE770" s="20"/>
    </row>
    <row r="771" spans="1:31" ht="19.5">
      <c r="A771" s="20"/>
      <c r="B771" s="20"/>
      <c r="C771" s="20"/>
      <c r="D771" s="20"/>
      <c r="E771" s="20"/>
      <c r="F771" s="20"/>
      <c r="G771" s="124"/>
      <c r="H771" s="20"/>
      <c r="I771" s="20"/>
      <c r="J771" s="20"/>
      <c r="K771" s="124"/>
      <c r="L771" s="127"/>
      <c r="M771" s="20"/>
      <c r="N771" s="20"/>
      <c r="O771" s="20"/>
      <c r="P771" s="124"/>
      <c r="Q771" s="127"/>
      <c r="R771" s="20"/>
      <c r="S771" s="20"/>
      <c r="T771" s="20"/>
      <c r="U771" s="124"/>
      <c r="V771" s="127"/>
      <c r="W771" s="20"/>
      <c r="X771" s="20"/>
      <c r="Y771" s="20"/>
      <c r="Z771" s="20"/>
      <c r="AA771" s="20"/>
      <c r="AB771" s="20"/>
      <c r="AC771" s="20"/>
      <c r="AD771" s="20"/>
      <c r="AE771" s="20"/>
    </row>
    <row r="772" spans="1:31" ht="19.5">
      <c r="A772" s="20"/>
      <c r="B772" s="20"/>
      <c r="C772" s="20"/>
      <c r="D772" s="20"/>
      <c r="E772" s="20"/>
      <c r="F772" s="20"/>
      <c r="G772" s="124"/>
      <c r="H772" s="20"/>
      <c r="I772" s="20"/>
      <c r="J772" s="20"/>
      <c r="K772" s="124"/>
      <c r="L772" s="127"/>
      <c r="M772" s="20"/>
      <c r="N772" s="20"/>
      <c r="O772" s="20"/>
      <c r="P772" s="124"/>
      <c r="Q772" s="127"/>
      <c r="R772" s="20"/>
      <c r="S772" s="20"/>
      <c r="T772" s="20"/>
      <c r="U772" s="124"/>
      <c r="V772" s="127"/>
      <c r="W772" s="20"/>
      <c r="X772" s="20"/>
      <c r="Y772" s="20"/>
      <c r="Z772" s="20"/>
      <c r="AA772" s="20"/>
      <c r="AB772" s="20"/>
      <c r="AC772" s="20"/>
      <c r="AD772" s="20"/>
      <c r="AE772" s="20"/>
    </row>
    <row r="773" spans="1:31" ht="19.5">
      <c r="A773" s="20"/>
      <c r="B773" s="20"/>
      <c r="C773" s="20"/>
      <c r="D773" s="20"/>
      <c r="E773" s="20"/>
      <c r="F773" s="20"/>
      <c r="G773" s="124"/>
      <c r="H773" s="20"/>
      <c r="I773" s="20"/>
      <c r="J773" s="20"/>
      <c r="K773" s="124"/>
      <c r="L773" s="127"/>
      <c r="M773" s="20"/>
      <c r="N773" s="20"/>
      <c r="O773" s="20"/>
      <c r="P773" s="124"/>
      <c r="Q773" s="127"/>
      <c r="R773" s="20"/>
      <c r="S773" s="20"/>
      <c r="T773" s="20"/>
      <c r="U773" s="124"/>
      <c r="V773" s="127"/>
      <c r="W773" s="20"/>
      <c r="X773" s="20"/>
      <c r="Y773" s="20"/>
      <c r="Z773" s="20"/>
      <c r="AA773" s="20"/>
      <c r="AB773" s="20"/>
      <c r="AC773" s="20"/>
      <c r="AD773" s="20"/>
      <c r="AE773" s="20"/>
    </row>
    <row r="774" spans="1:31" ht="19.5">
      <c r="A774" s="20"/>
      <c r="B774" s="20"/>
      <c r="C774" s="20"/>
      <c r="D774" s="20"/>
      <c r="E774" s="20"/>
      <c r="F774" s="20"/>
      <c r="G774" s="124"/>
      <c r="H774" s="20"/>
      <c r="I774" s="20"/>
      <c r="J774" s="20"/>
      <c r="K774" s="124"/>
      <c r="L774" s="127"/>
      <c r="M774" s="20"/>
      <c r="N774" s="20"/>
      <c r="O774" s="20"/>
      <c r="P774" s="124"/>
      <c r="Q774" s="127"/>
      <c r="R774" s="20"/>
      <c r="S774" s="20"/>
      <c r="T774" s="20"/>
      <c r="U774" s="124"/>
      <c r="V774" s="127"/>
      <c r="W774" s="20"/>
      <c r="X774" s="20"/>
      <c r="Y774" s="20"/>
      <c r="Z774" s="20"/>
      <c r="AA774" s="20"/>
      <c r="AB774" s="20"/>
      <c r="AC774" s="20"/>
      <c r="AD774" s="20"/>
      <c r="AE774" s="20"/>
    </row>
    <row r="775" spans="1:31" ht="19.5">
      <c r="A775" s="20"/>
      <c r="B775" s="20"/>
      <c r="C775" s="20"/>
      <c r="D775" s="20"/>
      <c r="E775" s="20"/>
      <c r="F775" s="20"/>
      <c r="G775" s="124"/>
      <c r="H775" s="20"/>
      <c r="I775" s="20"/>
      <c r="J775" s="20"/>
      <c r="K775" s="124"/>
      <c r="L775" s="127"/>
      <c r="M775" s="20"/>
      <c r="N775" s="20"/>
      <c r="O775" s="20"/>
      <c r="P775" s="124"/>
      <c r="Q775" s="127"/>
      <c r="R775" s="20"/>
      <c r="S775" s="20"/>
      <c r="T775" s="20"/>
      <c r="U775" s="124"/>
      <c r="V775" s="127"/>
      <c r="W775" s="20"/>
      <c r="X775" s="20"/>
      <c r="Y775" s="20"/>
      <c r="Z775" s="20"/>
      <c r="AA775" s="20"/>
      <c r="AB775" s="20"/>
      <c r="AC775" s="20"/>
      <c r="AD775" s="20"/>
      <c r="AE775" s="20"/>
    </row>
    <row r="776" spans="1:31" ht="19.5">
      <c r="A776" s="20"/>
      <c r="B776" s="20"/>
      <c r="C776" s="20"/>
      <c r="D776" s="20"/>
      <c r="E776" s="20"/>
      <c r="F776" s="20"/>
      <c r="G776" s="124"/>
      <c r="H776" s="20"/>
      <c r="I776" s="20"/>
      <c r="J776" s="20"/>
      <c r="K776" s="124"/>
      <c r="L776" s="127"/>
      <c r="M776" s="20"/>
      <c r="N776" s="20"/>
      <c r="O776" s="20"/>
      <c r="P776" s="124"/>
      <c r="Q776" s="127"/>
      <c r="R776" s="20"/>
      <c r="S776" s="20"/>
      <c r="T776" s="20"/>
      <c r="U776" s="124"/>
      <c r="V776" s="127"/>
      <c r="W776" s="20"/>
      <c r="X776" s="20"/>
      <c r="Y776" s="20"/>
      <c r="Z776" s="20"/>
      <c r="AA776" s="20"/>
      <c r="AB776" s="20"/>
      <c r="AC776" s="20"/>
      <c r="AD776" s="20"/>
      <c r="AE776" s="20"/>
    </row>
    <row r="777" spans="1:31" ht="19.5">
      <c r="A777" s="20"/>
      <c r="B777" s="20"/>
      <c r="C777" s="20"/>
      <c r="D777" s="20"/>
      <c r="E777" s="20"/>
      <c r="F777" s="20"/>
      <c r="G777" s="124"/>
      <c r="H777" s="20"/>
      <c r="I777" s="20"/>
      <c r="J777" s="20"/>
      <c r="K777" s="124"/>
      <c r="L777" s="127"/>
      <c r="M777" s="20"/>
      <c r="N777" s="20"/>
      <c r="O777" s="20"/>
      <c r="P777" s="124"/>
      <c r="Q777" s="127"/>
      <c r="R777" s="20"/>
      <c r="S777" s="20"/>
      <c r="T777" s="20"/>
      <c r="U777" s="124"/>
      <c r="V777" s="127"/>
      <c r="W777" s="20"/>
      <c r="X777" s="20"/>
      <c r="Y777" s="20"/>
      <c r="Z777" s="20"/>
      <c r="AA777" s="20"/>
      <c r="AB777" s="20"/>
      <c r="AC777" s="20"/>
      <c r="AD777" s="20"/>
      <c r="AE777" s="20"/>
    </row>
    <row r="778" spans="1:31" ht="19.5">
      <c r="A778" s="20"/>
      <c r="B778" s="20"/>
      <c r="C778" s="20"/>
      <c r="D778" s="20"/>
      <c r="E778" s="20"/>
      <c r="F778" s="20"/>
      <c r="G778" s="124"/>
      <c r="H778" s="20"/>
      <c r="I778" s="20"/>
      <c r="J778" s="20"/>
      <c r="K778" s="124"/>
      <c r="L778" s="127"/>
      <c r="M778" s="20"/>
      <c r="N778" s="20"/>
      <c r="O778" s="20"/>
      <c r="P778" s="124"/>
      <c r="Q778" s="127"/>
      <c r="R778" s="20"/>
      <c r="S778" s="20"/>
      <c r="T778" s="20"/>
      <c r="U778" s="124"/>
      <c r="V778" s="127"/>
      <c r="W778" s="20"/>
      <c r="X778" s="20"/>
      <c r="Y778" s="20"/>
      <c r="Z778" s="20"/>
      <c r="AA778" s="20"/>
      <c r="AB778" s="20"/>
      <c r="AC778" s="20"/>
      <c r="AD778" s="20"/>
      <c r="AE778" s="20"/>
    </row>
    <row r="779" spans="1:31" ht="19.5">
      <c r="A779" s="20"/>
      <c r="B779" s="20"/>
      <c r="C779" s="20"/>
      <c r="D779" s="20"/>
      <c r="E779" s="20"/>
      <c r="F779" s="20"/>
      <c r="G779" s="124"/>
      <c r="H779" s="20"/>
      <c r="I779" s="20"/>
      <c r="J779" s="20"/>
      <c r="K779" s="124"/>
      <c r="L779" s="127"/>
      <c r="M779" s="20"/>
      <c r="N779" s="20"/>
      <c r="O779" s="20"/>
      <c r="P779" s="124"/>
      <c r="Q779" s="127"/>
      <c r="R779" s="20"/>
      <c r="S779" s="20"/>
      <c r="T779" s="20"/>
      <c r="U779" s="124"/>
      <c r="V779" s="127"/>
      <c r="W779" s="20"/>
      <c r="X779" s="20"/>
      <c r="Y779" s="20"/>
      <c r="Z779" s="20"/>
      <c r="AA779" s="20"/>
      <c r="AB779" s="20"/>
      <c r="AC779" s="20"/>
      <c r="AD779" s="20"/>
      <c r="AE779" s="20"/>
    </row>
    <row r="780" spans="1:31" ht="19.5">
      <c r="A780" s="20"/>
      <c r="B780" s="20"/>
      <c r="C780" s="20"/>
      <c r="D780" s="20"/>
      <c r="E780" s="20"/>
      <c r="F780" s="20"/>
      <c r="G780" s="124"/>
      <c r="H780" s="20"/>
      <c r="I780" s="20"/>
      <c r="J780" s="20"/>
      <c r="K780" s="124"/>
      <c r="L780" s="127"/>
      <c r="M780" s="20"/>
      <c r="N780" s="20"/>
      <c r="O780" s="20"/>
      <c r="P780" s="124"/>
      <c r="Q780" s="127"/>
      <c r="R780" s="20"/>
      <c r="S780" s="20"/>
      <c r="T780" s="20"/>
      <c r="U780" s="124"/>
      <c r="V780" s="127"/>
      <c r="W780" s="20"/>
      <c r="X780" s="20"/>
      <c r="Y780" s="20"/>
      <c r="Z780" s="20"/>
      <c r="AA780" s="20"/>
      <c r="AB780" s="20"/>
      <c r="AC780" s="20"/>
      <c r="AD780" s="20"/>
      <c r="AE780" s="20"/>
    </row>
    <row r="781" spans="1:31" ht="19.5">
      <c r="A781" s="20"/>
      <c r="B781" s="20"/>
      <c r="C781" s="20"/>
      <c r="D781" s="20"/>
      <c r="E781" s="20"/>
      <c r="F781" s="20"/>
      <c r="G781" s="124"/>
      <c r="H781" s="20"/>
      <c r="I781" s="20"/>
      <c r="J781" s="20"/>
      <c r="K781" s="124"/>
      <c r="L781" s="127"/>
      <c r="M781" s="20"/>
      <c r="N781" s="20"/>
      <c r="O781" s="20"/>
      <c r="P781" s="124"/>
      <c r="Q781" s="127"/>
      <c r="R781" s="20"/>
      <c r="S781" s="20"/>
      <c r="T781" s="20"/>
      <c r="U781" s="124"/>
      <c r="V781" s="127"/>
      <c r="W781" s="20"/>
      <c r="X781" s="20"/>
      <c r="Y781" s="20"/>
      <c r="Z781" s="20"/>
      <c r="AA781" s="20"/>
      <c r="AB781" s="20"/>
      <c r="AC781" s="20"/>
      <c r="AD781" s="20"/>
      <c r="AE781" s="20"/>
    </row>
    <row r="782" spans="1:31" ht="19.5">
      <c r="A782" s="20"/>
      <c r="B782" s="20"/>
      <c r="C782" s="20"/>
      <c r="D782" s="20"/>
      <c r="E782" s="20"/>
      <c r="F782" s="20"/>
      <c r="G782" s="124"/>
      <c r="H782" s="20"/>
      <c r="I782" s="20"/>
      <c r="J782" s="20"/>
      <c r="K782" s="124"/>
      <c r="L782" s="127"/>
      <c r="M782" s="20"/>
      <c r="N782" s="20"/>
      <c r="O782" s="20"/>
      <c r="P782" s="124"/>
      <c r="Q782" s="127"/>
      <c r="R782" s="20"/>
      <c r="S782" s="20"/>
      <c r="T782" s="20"/>
      <c r="U782" s="124"/>
      <c r="V782" s="127"/>
      <c r="W782" s="20"/>
      <c r="X782" s="20"/>
      <c r="Y782" s="20"/>
      <c r="Z782" s="20"/>
      <c r="AA782" s="20"/>
      <c r="AB782" s="20"/>
      <c r="AC782" s="20"/>
      <c r="AD782" s="20"/>
      <c r="AE782" s="20"/>
    </row>
    <row r="783" spans="1:31" ht="19.5">
      <c r="A783" s="20"/>
      <c r="B783" s="20"/>
      <c r="C783" s="20"/>
      <c r="D783" s="20"/>
      <c r="E783" s="20"/>
      <c r="F783" s="20"/>
      <c r="G783" s="124"/>
      <c r="H783" s="20"/>
      <c r="I783" s="20"/>
      <c r="J783" s="20"/>
      <c r="K783" s="124"/>
      <c r="L783" s="127"/>
      <c r="M783" s="20"/>
      <c r="N783" s="20"/>
      <c r="O783" s="20"/>
      <c r="P783" s="124"/>
      <c r="Q783" s="127"/>
      <c r="R783" s="20"/>
      <c r="S783" s="20"/>
      <c r="T783" s="20"/>
      <c r="U783" s="124"/>
      <c r="V783" s="127"/>
      <c r="W783" s="20"/>
      <c r="X783" s="20"/>
      <c r="Y783" s="20"/>
      <c r="Z783" s="20"/>
      <c r="AA783" s="20"/>
      <c r="AB783" s="20"/>
      <c r="AC783" s="20"/>
      <c r="AD783" s="20"/>
      <c r="AE783" s="20"/>
    </row>
    <row r="784" spans="1:31" ht="19.5">
      <c r="A784" s="20"/>
      <c r="B784" s="20"/>
      <c r="C784" s="20"/>
      <c r="D784" s="20"/>
      <c r="E784" s="20"/>
      <c r="F784" s="20"/>
      <c r="G784" s="124"/>
      <c r="H784" s="20"/>
      <c r="I784" s="20"/>
      <c r="J784" s="20"/>
      <c r="K784" s="124"/>
      <c r="L784" s="127"/>
      <c r="M784" s="20"/>
      <c r="N784" s="20"/>
      <c r="O784" s="20"/>
      <c r="P784" s="124"/>
      <c r="Q784" s="127"/>
      <c r="R784" s="20"/>
      <c r="S784" s="20"/>
      <c r="T784" s="20"/>
      <c r="U784" s="124"/>
      <c r="V784" s="127"/>
      <c r="W784" s="20"/>
      <c r="X784" s="20"/>
      <c r="Y784" s="20"/>
      <c r="Z784" s="20"/>
      <c r="AA784" s="20"/>
      <c r="AB784" s="20"/>
      <c r="AC784" s="20"/>
      <c r="AD784" s="20"/>
      <c r="AE784" s="20"/>
    </row>
    <row r="785" spans="1:31" ht="19.5">
      <c r="A785" s="20"/>
      <c r="B785" s="20"/>
      <c r="C785" s="20"/>
      <c r="D785" s="20"/>
      <c r="E785" s="20"/>
      <c r="F785" s="20"/>
      <c r="G785" s="124"/>
      <c r="H785" s="20"/>
      <c r="I785" s="20"/>
      <c r="J785" s="20"/>
      <c r="K785" s="124"/>
      <c r="L785" s="127"/>
      <c r="M785" s="20"/>
      <c r="N785" s="20"/>
      <c r="O785" s="20"/>
      <c r="P785" s="124"/>
      <c r="Q785" s="127"/>
      <c r="R785" s="20"/>
      <c r="S785" s="20"/>
      <c r="T785" s="20"/>
      <c r="U785" s="124"/>
      <c r="V785" s="127"/>
      <c r="W785" s="20"/>
      <c r="X785" s="20"/>
      <c r="Y785" s="20"/>
      <c r="Z785" s="20"/>
      <c r="AA785" s="20"/>
      <c r="AB785" s="20"/>
      <c r="AC785" s="20"/>
      <c r="AD785" s="20"/>
      <c r="AE785" s="20"/>
    </row>
    <row r="786" spans="1:31" ht="19.5">
      <c r="A786" s="20"/>
      <c r="B786" s="20"/>
      <c r="C786" s="20"/>
      <c r="D786" s="20"/>
      <c r="E786" s="20"/>
      <c r="F786" s="20"/>
      <c r="G786" s="124"/>
      <c r="H786" s="20"/>
      <c r="I786" s="20"/>
      <c r="J786" s="20"/>
      <c r="K786" s="124"/>
      <c r="L786" s="127"/>
      <c r="M786" s="20"/>
      <c r="N786" s="20"/>
      <c r="O786" s="20"/>
      <c r="P786" s="124"/>
      <c r="Q786" s="127"/>
      <c r="R786" s="20"/>
      <c r="S786" s="20"/>
      <c r="T786" s="20"/>
      <c r="U786" s="124"/>
      <c r="V786" s="127"/>
      <c r="W786" s="20"/>
      <c r="X786" s="20"/>
      <c r="Y786" s="20"/>
      <c r="Z786" s="20"/>
      <c r="AA786" s="20"/>
      <c r="AB786" s="20"/>
      <c r="AC786" s="20"/>
      <c r="AD786" s="20"/>
      <c r="AE786" s="20"/>
    </row>
    <row r="787" spans="1:31" ht="19.5">
      <c r="A787" s="20"/>
      <c r="B787" s="20"/>
      <c r="C787" s="20"/>
      <c r="D787" s="20"/>
      <c r="E787" s="20"/>
      <c r="F787" s="20"/>
      <c r="G787" s="124"/>
      <c r="H787" s="20"/>
      <c r="I787" s="20"/>
      <c r="J787" s="20"/>
      <c r="K787" s="124"/>
      <c r="L787" s="127"/>
      <c r="M787" s="20"/>
      <c r="N787" s="20"/>
      <c r="O787" s="20"/>
      <c r="P787" s="124"/>
      <c r="Q787" s="127"/>
      <c r="R787" s="20"/>
      <c r="S787" s="20"/>
      <c r="T787" s="20"/>
      <c r="U787" s="124"/>
      <c r="V787" s="127"/>
      <c r="W787" s="20"/>
      <c r="X787" s="20"/>
      <c r="Y787" s="20"/>
      <c r="Z787" s="20"/>
      <c r="AA787" s="20"/>
      <c r="AB787" s="20"/>
      <c r="AC787" s="20"/>
      <c r="AD787" s="20"/>
      <c r="AE787" s="20"/>
    </row>
    <row r="788" spans="1:31" ht="19.5">
      <c r="A788" s="20"/>
      <c r="B788" s="20"/>
      <c r="C788" s="20"/>
      <c r="D788" s="20"/>
      <c r="E788" s="20"/>
      <c r="F788" s="20"/>
      <c r="G788" s="124"/>
      <c r="H788" s="20"/>
      <c r="I788" s="20"/>
      <c r="J788" s="20"/>
      <c r="K788" s="124"/>
      <c r="L788" s="127"/>
      <c r="M788" s="20"/>
      <c r="N788" s="20"/>
      <c r="O788" s="20"/>
      <c r="P788" s="124"/>
      <c r="Q788" s="127"/>
      <c r="R788" s="20"/>
      <c r="S788" s="20"/>
      <c r="T788" s="20"/>
      <c r="U788" s="124"/>
      <c r="V788" s="127"/>
      <c r="W788" s="20"/>
      <c r="X788" s="20"/>
      <c r="Y788" s="20"/>
      <c r="Z788" s="20"/>
      <c r="AA788" s="20"/>
      <c r="AB788" s="20"/>
      <c r="AC788" s="20"/>
      <c r="AD788" s="20"/>
      <c r="AE788" s="20"/>
    </row>
    <row r="789" spans="1:31" ht="19.5">
      <c r="A789" s="20"/>
      <c r="B789" s="20"/>
      <c r="C789" s="20"/>
      <c r="D789" s="20"/>
      <c r="E789" s="20"/>
      <c r="F789" s="20"/>
      <c r="G789" s="124"/>
      <c r="H789" s="20"/>
      <c r="I789" s="20"/>
      <c r="J789" s="20"/>
      <c r="K789" s="124"/>
      <c r="L789" s="127"/>
      <c r="M789" s="20"/>
      <c r="N789" s="20"/>
      <c r="O789" s="20"/>
      <c r="P789" s="124"/>
      <c r="Q789" s="127"/>
      <c r="R789" s="20"/>
      <c r="S789" s="20"/>
      <c r="T789" s="20"/>
      <c r="U789" s="124"/>
      <c r="V789" s="127"/>
      <c r="W789" s="20"/>
      <c r="X789" s="20"/>
      <c r="Y789" s="20"/>
      <c r="Z789" s="20"/>
      <c r="AA789" s="20"/>
      <c r="AB789" s="20"/>
      <c r="AC789" s="20"/>
      <c r="AD789" s="20"/>
      <c r="AE789" s="20"/>
    </row>
    <row r="790" spans="1:31" ht="19.5">
      <c r="A790" s="20"/>
      <c r="B790" s="20"/>
      <c r="C790" s="20"/>
      <c r="D790" s="20"/>
      <c r="E790" s="20"/>
      <c r="F790" s="20"/>
      <c r="G790" s="124"/>
      <c r="H790" s="20"/>
      <c r="I790" s="20"/>
      <c r="J790" s="20"/>
      <c r="K790" s="124"/>
      <c r="L790" s="127"/>
      <c r="M790" s="20"/>
      <c r="N790" s="20"/>
      <c r="O790" s="20"/>
      <c r="P790" s="124"/>
      <c r="Q790" s="127"/>
      <c r="R790" s="20"/>
      <c r="S790" s="20"/>
      <c r="T790" s="20"/>
      <c r="U790" s="124"/>
      <c r="V790" s="127"/>
      <c r="W790" s="20"/>
      <c r="X790" s="20"/>
      <c r="Y790" s="20"/>
      <c r="Z790" s="20"/>
      <c r="AA790" s="20"/>
      <c r="AB790" s="20"/>
      <c r="AC790" s="20"/>
      <c r="AD790" s="20"/>
      <c r="AE790" s="20"/>
    </row>
    <row r="791" spans="1:31" ht="19.5">
      <c r="A791" s="20"/>
      <c r="B791" s="20"/>
      <c r="C791" s="20"/>
      <c r="D791" s="20"/>
      <c r="E791" s="20"/>
      <c r="F791" s="20"/>
      <c r="G791" s="124"/>
      <c r="H791" s="20"/>
      <c r="I791" s="20"/>
      <c r="J791" s="20"/>
      <c r="K791" s="124"/>
      <c r="L791" s="127"/>
      <c r="M791" s="20"/>
      <c r="N791" s="20"/>
      <c r="O791" s="20"/>
      <c r="P791" s="124"/>
      <c r="Q791" s="127"/>
      <c r="R791" s="20"/>
      <c r="S791" s="20"/>
      <c r="T791" s="20"/>
      <c r="U791" s="124"/>
      <c r="V791" s="127"/>
      <c r="W791" s="20"/>
      <c r="X791" s="20"/>
      <c r="Y791" s="20"/>
      <c r="Z791" s="20"/>
      <c r="AA791" s="20"/>
      <c r="AB791" s="20"/>
      <c r="AC791" s="20"/>
      <c r="AD791" s="20"/>
      <c r="AE791" s="20"/>
    </row>
    <row r="792" spans="1:31" ht="19.5">
      <c r="A792" s="20"/>
      <c r="B792" s="20"/>
      <c r="C792" s="20"/>
      <c r="D792" s="20"/>
      <c r="E792" s="20"/>
      <c r="F792" s="20"/>
      <c r="G792" s="124"/>
      <c r="H792" s="20"/>
      <c r="I792" s="20"/>
      <c r="J792" s="20"/>
      <c r="K792" s="124"/>
      <c r="L792" s="127"/>
      <c r="M792" s="20"/>
      <c r="N792" s="20"/>
      <c r="O792" s="20"/>
      <c r="P792" s="124"/>
      <c r="Q792" s="127"/>
      <c r="R792" s="20"/>
      <c r="S792" s="20"/>
      <c r="T792" s="20"/>
      <c r="U792" s="124"/>
      <c r="V792" s="127"/>
      <c r="W792" s="20"/>
      <c r="X792" s="20"/>
      <c r="Y792" s="20"/>
      <c r="Z792" s="20"/>
      <c r="AA792" s="20"/>
      <c r="AB792" s="20"/>
      <c r="AC792" s="20"/>
      <c r="AD792" s="20"/>
      <c r="AE792" s="20"/>
    </row>
    <row r="793" spans="1:31" ht="19.5">
      <c r="A793" s="20"/>
      <c r="B793" s="20"/>
      <c r="C793" s="20"/>
      <c r="D793" s="20"/>
      <c r="E793" s="20"/>
      <c r="F793" s="20"/>
      <c r="G793" s="124"/>
      <c r="H793" s="20"/>
      <c r="I793" s="20"/>
      <c r="J793" s="20"/>
      <c r="K793" s="124"/>
      <c r="L793" s="127"/>
      <c r="M793" s="20"/>
      <c r="N793" s="20"/>
      <c r="O793" s="20"/>
      <c r="P793" s="124"/>
      <c r="Q793" s="127"/>
      <c r="R793" s="20"/>
      <c r="S793" s="20"/>
      <c r="T793" s="20"/>
      <c r="U793" s="124"/>
      <c r="V793" s="127"/>
      <c r="W793" s="20"/>
      <c r="X793" s="20"/>
      <c r="Y793" s="20"/>
      <c r="Z793" s="20"/>
      <c r="AA793" s="20"/>
      <c r="AB793" s="20"/>
      <c r="AC793" s="20"/>
      <c r="AD793" s="20"/>
      <c r="AE793" s="20"/>
    </row>
    <row r="794" spans="1:31" ht="19.5">
      <c r="A794" s="20"/>
      <c r="B794" s="20"/>
      <c r="C794" s="20"/>
      <c r="D794" s="20"/>
      <c r="E794" s="20"/>
      <c r="F794" s="20"/>
      <c r="G794" s="124"/>
      <c r="H794" s="20"/>
      <c r="I794" s="20"/>
      <c r="J794" s="20"/>
      <c r="K794" s="124"/>
      <c r="L794" s="127"/>
      <c r="M794" s="20"/>
      <c r="N794" s="20"/>
      <c r="O794" s="20"/>
      <c r="P794" s="124"/>
      <c r="Q794" s="127"/>
      <c r="R794" s="20"/>
      <c r="S794" s="20"/>
      <c r="T794" s="20"/>
      <c r="U794" s="124"/>
      <c r="V794" s="127"/>
      <c r="W794" s="20"/>
      <c r="X794" s="20"/>
      <c r="Y794" s="20"/>
      <c r="Z794" s="20"/>
      <c r="AA794" s="20"/>
      <c r="AB794" s="20"/>
      <c r="AC794" s="20"/>
      <c r="AD794" s="20"/>
      <c r="AE794" s="20"/>
    </row>
    <row r="795" spans="1:31" ht="19.5">
      <c r="A795" s="20"/>
      <c r="B795" s="20"/>
      <c r="C795" s="20"/>
      <c r="D795" s="20"/>
      <c r="E795" s="20"/>
      <c r="F795" s="20"/>
      <c r="G795" s="124"/>
      <c r="H795" s="20"/>
      <c r="I795" s="20"/>
      <c r="J795" s="20"/>
      <c r="K795" s="124"/>
      <c r="L795" s="127"/>
      <c r="M795" s="20"/>
      <c r="N795" s="20"/>
      <c r="O795" s="20"/>
      <c r="P795" s="124"/>
      <c r="Q795" s="127"/>
      <c r="R795" s="20"/>
      <c r="S795" s="20"/>
      <c r="T795" s="20"/>
      <c r="U795" s="124"/>
      <c r="V795" s="127"/>
      <c r="W795" s="20"/>
      <c r="X795" s="20"/>
      <c r="Y795" s="20"/>
      <c r="Z795" s="20"/>
      <c r="AA795" s="20"/>
      <c r="AB795" s="20"/>
      <c r="AC795" s="20"/>
      <c r="AD795" s="20"/>
      <c r="AE795" s="20"/>
    </row>
    <row r="796" spans="1:31" ht="19.5">
      <c r="A796" s="20"/>
      <c r="B796" s="20"/>
      <c r="C796" s="20"/>
      <c r="D796" s="20"/>
      <c r="E796" s="20"/>
      <c r="F796" s="20"/>
      <c r="G796" s="124"/>
      <c r="H796" s="20"/>
      <c r="I796" s="20"/>
      <c r="J796" s="20"/>
      <c r="K796" s="124"/>
      <c r="L796" s="127"/>
      <c r="M796" s="20"/>
      <c r="N796" s="20"/>
      <c r="O796" s="20"/>
      <c r="P796" s="124"/>
      <c r="Q796" s="127"/>
      <c r="R796" s="20"/>
      <c r="S796" s="20"/>
      <c r="T796" s="20"/>
      <c r="U796" s="124"/>
      <c r="V796" s="127"/>
      <c r="W796" s="20"/>
      <c r="X796" s="20"/>
      <c r="Y796" s="20"/>
      <c r="Z796" s="20"/>
      <c r="AA796" s="20"/>
      <c r="AB796" s="20"/>
      <c r="AC796" s="20"/>
      <c r="AD796" s="20"/>
      <c r="AE796" s="20"/>
    </row>
    <row r="797" spans="1:31" ht="19.5">
      <c r="A797" s="20"/>
      <c r="B797" s="20"/>
      <c r="C797" s="20"/>
      <c r="D797" s="20"/>
      <c r="E797" s="20"/>
      <c r="F797" s="20"/>
      <c r="G797" s="124"/>
      <c r="H797" s="20"/>
      <c r="I797" s="20"/>
      <c r="J797" s="20"/>
      <c r="K797" s="124"/>
      <c r="L797" s="127"/>
      <c r="M797" s="20"/>
      <c r="N797" s="20"/>
      <c r="O797" s="20"/>
      <c r="P797" s="124"/>
      <c r="Q797" s="127"/>
      <c r="R797" s="20"/>
      <c r="S797" s="20"/>
      <c r="T797" s="20"/>
      <c r="U797" s="124"/>
      <c r="V797" s="127"/>
      <c r="W797" s="20"/>
      <c r="X797" s="20"/>
      <c r="Y797" s="20"/>
      <c r="Z797" s="20"/>
      <c r="AA797" s="20"/>
      <c r="AB797" s="20"/>
      <c r="AC797" s="20"/>
      <c r="AD797" s="20"/>
      <c r="AE797" s="20"/>
    </row>
    <row r="798" spans="1:31" ht="19.5">
      <c r="A798" s="20"/>
      <c r="B798" s="20"/>
      <c r="C798" s="20"/>
      <c r="D798" s="20"/>
      <c r="E798" s="20"/>
      <c r="F798" s="20"/>
      <c r="G798" s="124"/>
      <c r="H798" s="20"/>
      <c r="I798" s="20"/>
      <c r="J798" s="20"/>
      <c r="K798" s="124"/>
      <c r="L798" s="127"/>
      <c r="M798" s="20"/>
      <c r="N798" s="20"/>
      <c r="O798" s="20"/>
      <c r="P798" s="124"/>
      <c r="Q798" s="127"/>
      <c r="R798" s="20"/>
      <c r="S798" s="20"/>
      <c r="T798" s="20"/>
      <c r="U798" s="124"/>
      <c r="V798" s="127"/>
      <c r="W798" s="20"/>
      <c r="X798" s="20"/>
      <c r="Y798" s="20"/>
      <c r="Z798" s="20"/>
      <c r="AA798" s="20"/>
      <c r="AB798" s="20"/>
      <c r="AC798" s="20"/>
      <c r="AD798" s="20"/>
      <c r="AE798" s="20"/>
    </row>
    <row r="799" spans="1:31" ht="19.5">
      <c r="A799" s="20"/>
      <c r="B799" s="20"/>
      <c r="C799" s="20"/>
      <c r="D799" s="20"/>
      <c r="E799" s="20"/>
      <c r="F799" s="20"/>
      <c r="G799" s="124"/>
      <c r="H799" s="20"/>
      <c r="I799" s="20"/>
      <c r="J799" s="20"/>
      <c r="K799" s="124"/>
      <c r="L799" s="127"/>
      <c r="M799" s="20"/>
      <c r="N799" s="20"/>
      <c r="O799" s="20"/>
      <c r="P799" s="124"/>
      <c r="Q799" s="127"/>
      <c r="R799" s="20"/>
      <c r="S799" s="20"/>
      <c r="T799" s="20"/>
      <c r="U799" s="124"/>
      <c r="V799" s="127"/>
      <c r="W799" s="20"/>
      <c r="X799" s="20"/>
      <c r="Y799" s="20"/>
      <c r="Z799" s="20"/>
      <c r="AA799" s="20"/>
      <c r="AB799" s="20"/>
      <c r="AC799" s="20"/>
      <c r="AD799" s="20"/>
      <c r="AE799" s="20"/>
    </row>
    <row r="800" spans="1:31" ht="19.5">
      <c r="A800" s="20"/>
      <c r="B800" s="20"/>
      <c r="C800" s="20"/>
      <c r="D800" s="20"/>
      <c r="E800" s="20"/>
      <c r="F800" s="20"/>
      <c r="G800" s="124"/>
      <c r="H800" s="20"/>
      <c r="I800" s="20"/>
      <c r="J800" s="20"/>
      <c r="K800" s="124"/>
      <c r="L800" s="127"/>
      <c r="M800" s="20"/>
      <c r="N800" s="20"/>
      <c r="O800" s="20"/>
      <c r="P800" s="124"/>
      <c r="Q800" s="127"/>
      <c r="R800" s="20"/>
      <c r="S800" s="20"/>
      <c r="T800" s="20"/>
      <c r="U800" s="124"/>
      <c r="V800" s="127"/>
      <c r="W800" s="20"/>
      <c r="X800" s="20"/>
      <c r="Y800" s="20"/>
      <c r="Z800" s="20"/>
      <c r="AA800" s="20"/>
      <c r="AB800" s="20"/>
      <c r="AC800" s="20"/>
      <c r="AD800" s="20"/>
      <c r="AE800" s="20"/>
    </row>
    <row r="801" spans="1:31" ht="19.5">
      <c r="A801" s="20"/>
      <c r="B801" s="20"/>
      <c r="C801" s="20"/>
      <c r="D801" s="20"/>
      <c r="E801" s="20"/>
      <c r="F801" s="20"/>
      <c r="G801" s="124"/>
      <c r="H801" s="20"/>
      <c r="I801" s="20"/>
      <c r="J801" s="20"/>
      <c r="K801" s="124"/>
      <c r="L801" s="127"/>
      <c r="M801" s="20"/>
      <c r="N801" s="20"/>
      <c r="O801" s="20"/>
      <c r="P801" s="124"/>
      <c r="Q801" s="127"/>
      <c r="R801" s="20"/>
      <c r="S801" s="20"/>
      <c r="T801" s="20"/>
      <c r="U801" s="124"/>
      <c r="V801" s="127"/>
      <c r="W801" s="20"/>
      <c r="X801" s="20"/>
      <c r="Y801" s="20"/>
      <c r="Z801" s="20"/>
      <c r="AA801" s="20"/>
      <c r="AB801" s="20"/>
      <c r="AC801" s="20"/>
      <c r="AD801" s="20"/>
      <c r="AE801" s="20"/>
    </row>
    <row r="802" spans="1:31" ht="19.5">
      <c r="A802" s="20"/>
      <c r="B802" s="20"/>
      <c r="C802" s="20"/>
      <c r="D802" s="20"/>
      <c r="E802" s="20"/>
      <c r="F802" s="20"/>
      <c r="G802" s="124"/>
      <c r="H802" s="20"/>
      <c r="I802" s="20"/>
      <c r="J802" s="20"/>
      <c r="K802" s="124"/>
      <c r="L802" s="127"/>
      <c r="M802" s="20"/>
      <c r="N802" s="20"/>
      <c r="O802" s="20"/>
      <c r="P802" s="124"/>
      <c r="Q802" s="127"/>
      <c r="R802" s="20"/>
      <c r="S802" s="20"/>
      <c r="T802" s="20"/>
      <c r="U802" s="124"/>
      <c r="V802" s="127"/>
      <c r="W802" s="20"/>
      <c r="X802" s="20"/>
      <c r="Y802" s="20"/>
      <c r="Z802" s="20"/>
      <c r="AA802" s="20"/>
      <c r="AB802" s="20"/>
      <c r="AC802" s="20"/>
      <c r="AD802" s="20"/>
      <c r="AE802" s="20"/>
    </row>
    <row r="803" spans="1:31" ht="19.5">
      <c r="A803" s="20"/>
      <c r="B803" s="20"/>
      <c r="C803" s="20"/>
      <c r="D803" s="20"/>
      <c r="E803" s="20"/>
      <c r="F803" s="20"/>
      <c r="G803" s="124"/>
      <c r="H803" s="20"/>
      <c r="I803" s="20"/>
      <c r="J803" s="20"/>
      <c r="K803" s="124"/>
      <c r="L803" s="127"/>
      <c r="M803" s="20"/>
      <c r="N803" s="20"/>
      <c r="O803" s="20"/>
      <c r="P803" s="124"/>
      <c r="Q803" s="127"/>
      <c r="R803" s="20"/>
      <c r="S803" s="20"/>
      <c r="T803" s="20"/>
      <c r="U803" s="124"/>
      <c r="V803" s="127"/>
      <c r="W803" s="20"/>
      <c r="X803" s="20"/>
      <c r="Y803" s="20"/>
      <c r="Z803" s="20"/>
      <c r="AA803" s="20"/>
      <c r="AB803" s="20"/>
      <c r="AC803" s="20"/>
      <c r="AD803" s="20"/>
      <c r="AE803" s="20"/>
    </row>
    <row r="804" spans="1:31" ht="19.5">
      <c r="A804" s="20"/>
      <c r="B804" s="20"/>
      <c r="C804" s="20"/>
      <c r="D804" s="20"/>
      <c r="E804" s="20"/>
      <c r="F804" s="20"/>
      <c r="G804" s="124"/>
      <c r="H804" s="20"/>
      <c r="I804" s="20"/>
      <c r="J804" s="20"/>
      <c r="K804" s="124"/>
      <c r="L804" s="127"/>
      <c r="M804" s="20"/>
      <c r="N804" s="20"/>
      <c r="O804" s="20"/>
      <c r="P804" s="124"/>
      <c r="Q804" s="127"/>
      <c r="R804" s="20"/>
      <c r="S804" s="20"/>
      <c r="T804" s="20"/>
      <c r="U804" s="124"/>
      <c r="V804" s="127"/>
      <c r="W804" s="20"/>
      <c r="X804" s="20"/>
      <c r="Y804" s="20"/>
      <c r="Z804" s="20"/>
      <c r="AA804" s="20"/>
      <c r="AB804" s="20"/>
      <c r="AC804" s="20"/>
      <c r="AD804" s="20"/>
      <c r="AE804" s="20"/>
    </row>
    <row r="805" spans="1:31" ht="19.5">
      <c r="A805" s="20"/>
      <c r="B805" s="20"/>
      <c r="C805" s="20"/>
      <c r="D805" s="20"/>
      <c r="E805" s="20"/>
      <c r="F805" s="20"/>
      <c r="G805" s="124"/>
      <c r="H805" s="20"/>
      <c r="I805" s="20"/>
      <c r="J805" s="20"/>
      <c r="K805" s="124"/>
      <c r="L805" s="127"/>
      <c r="M805" s="20"/>
      <c r="N805" s="20"/>
      <c r="O805" s="20"/>
      <c r="P805" s="124"/>
      <c r="Q805" s="127"/>
      <c r="R805" s="20"/>
      <c r="S805" s="20"/>
      <c r="T805" s="20"/>
      <c r="U805" s="124"/>
      <c r="V805" s="127"/>
      <c r="W805" s="20"/>
      <c r="X805" s="20"/>
      <c r="Y805" s="20"/>
      <c r="Z805" s="20"/>
      <c r="AA805" s="20"/>
      <c r="AB805" s="20"/>
      <c r="AC805" s="20"/>
      <c r="AD805" s="20"/>
      <c r="AE805" s="20"/>
    </row>
    <row r="806" spans="1:31" ht="19.5">
      <c r="A806" s="20"/>
      <c r="B806" s="20"/>
      <c r="C806" s="20"/>
      <c r="D806" s="20"/>
      <c r="E806" s="20"/>
      <c r="F806" s="20"/>
      <c r="G806" s="124"/>
      <c r="H806" s="20"/>
      <c r="I806" s="20"/>
      <c r="J806" s="20"/>
      <c r="K806" s="124"/>
      <c r="L806" s="127"/>
      <c r="M806" s="20"/>
      <c r="N806" s="20"/>
      <c r="O806" s="20"/>
      <c r="P806" s="124"/>
      <c r="Q806" s="127"/>
      <c r="R806" s="20"/>
      <c r="S806" s="20"/>
      <c r="T806" s="20"/>
      <c r="U806" s="124"/>
      <c r="V806" s="127"/>
      <c r="W806" s="20"/>
      <c r="X806" s="20"/>
      <c r="Y806" s="20"/>
      <c r="Z806" s="20"/>
      <c r="AA806" s="20"/>
      <c r="AB806" s="20"/>
      <c r="AC806" s="20"/>
      <c r="AD806" s="20"/>
      <c r="AE806" s="20"/>
    </row>
    <row r="807" spans="1:31" ht="19.5">
      <c r="A807" s="20"/>
      <c r="B807" s="20"/>
      <c r="C807" s="20"/>
      <c r="D807" s="20"/>
      <c r="E807" s="20"/>
      <c r="F807" s="20"/>
      <c r="G807" s="124"/>
      <c r="H807" s="20"/>
      <c r="I807" s="20"/>
      <c r="J807" s="20"/>
      <c r="K807" s="124"/>
      <c r="L807" s="127"/>
      <c r="M807" s="20"/>
      <c r="N807" s="20"/>
      <c r="O807" s="20"/>
      <c r="P807" s="124"/>
      <c r="Q807" s="127"/>
      <c r="R807" s="20"/>
      <c r="S807" s="20"/>
      <c r="T807" s="20"/>
      <c r="U807" s="124"/>
      <c r="V807" s="127"/>
      <c r="W807" s="20"/>
      <c r="X807" s="20"/>
      <c r="Y807" s="20"/>
      <c r="Z807" s="20"/>
      <c r="AA807" s="20"/>
      <c r="AB807" s="20"/>
      <c r="AC807" s="20"/>
      <c r="AD807" s="20"/>
      <c r="AE807" s="20"/>
    </row>
    <row r="808" spans="1:31" ht="19.5">
      <c r="A808" s="20"/>
      <c r="B808" s="20"/>
      <c r="C808" s="20"/>
      <c r="D808" s="20"/>
      <c r="E808" s="20"/>
      <c r="F808" s="20"/>
      <c r="G808" s="124"/>
      <c r="H808" s="20"/>
      <c r="I808" s="20"/>
      <c r="J808" s="20"/>
      <c r="K808" s="124"/>
      <c r="L808" s="127"/>
      <c r="M808" s="20"/>
      <c r="N808" s="20"/>
      <c r="O808" s="20"/>
      <c r="P808" s="124"/>
      <c r="Q808" s="127"/>
      <c r="R808" s="20"/>
      <c r="S808" s="20"/>
      <c r="T808" s="20"/>
      <c r="U808" s="124"/>
      <c r="V808" s="127"/>
      <c r="W808" s="20"/>
      <c r="X808" s="20"/>
      <c r="Y808" s="20"/>
      <c r="Z808" s="20"/>
      <c r="AA808" s="20"/>
      <c r="AB808" s="20"/>
      <c r="AC808" s="20"/>
      <c r="AD808" s="20"/>
      <c r="AE808" s="20"/>
    </row>
    <row r="809" spans="1:31" ht="19.5">
      <c r="A809" s="20"/>
      <c r="B809" s="20"/>
      <c r="C809" s="20"/>
      <c r="D809" s="20"/>
      <c r="E809" s="20"/>
      <c r="F809" s="20"/>
      <c r="G809" s="124"/>
      <c r="H809" s="20"/>
      <c r="I809" s="20"/>
      <c r="J809" s="20"/>
      <c r="K809" s="124"/>
      <c r="L809" s="127"/>
      <c r="M809" s="20"/>
      <c r="N809" s="20"/>
      <c r="O809" s="20"/>
      <c r="P809" s="124"/>
      <c r="Q809" s="127"/>
      <c r="R809" s="20"/>
      <c r="S809" s="20"/>
      <c r="T809" s="20"/>
      <c r="U809" s="124"/>
      <c r="V809" s="127"/>
      <c r="W809" s="20"/>
      <c r="X809" s="20"/>
      <c r="Y809" s="20"/>
      <c r="Z809" s="20"/>
      <c r="AA809" s="20"/>
      <c r="AB809" s="20"/>
      <c r="AC809" s="20"/>
      <c r="AD809" s="20"/>
      <c r="AE809" s="20"/>
    </row>
    <row r="810" spans="1:31" ht="19.5">
      <c r="A810" s="20"/>
      <c r="B810" s="20"/>
      <c r="C810" s="20"/>
      <c r="D810" s="20"/>
      <c r="E810" s="20"/>
      <c r="F810" s="20"/>
      <c r="G810" s="124"/>
      <c r="H810" s="20"/>
      <c r="I810" s="20"/>
      <c r="J810" s="20"/>
      <c r="K810" s="124"/>
      <c r="L810" s="127"/>
      <c r="M810" s="20"/>
      <c r="N810" s="20"/>
      <c r="O810" s="20"/>
      <c r="P810" s="124"/>
      <c r="Q810" s="127"/>
      <c r="R810" s="20"/>
      <c r="S810" s="20"/>
      <c r="T810" s="20"/>
      <c r="U810" s="124"/>
      <c r="V810" s="127"/>
      <c r="W810" s="20"/>
      <c r="X810" s="20"/>
      <c r="Y810" s="20"/>
      <c r="Z810" s="20"/>
      <c r="AA810" s="20"/>
      <c r="AB810" s="20"/>
      <c r="AC810" s="20"/>
      <c r="AD810" s="20"/>
      <c r="AE810" s="20"/>
    </row>
    <row r="811" spans="1:31" ht="19.5">
      <c r="A811" s="20"/>
      <c r="B811" s="20"/>
      <c r="C811" s="20"/>
      <c r="D811" s="20"/>
      <c r="E811" s="20"/>
      <c r="F811" s="20"/>
      <c r="G811" s="124"/>
      <c r="H811" s="20"/>
      <c r="I811" s="20"/>
      <c r="J811" s="20"/>
      <c r="K811" s="124"/>
      <c r="L811" s="127"/>
      <c r="M811" s="20"/>
      <c r="N811" s="20"/>
      <c r="O811" s="20"/>
      <c r="P811" s="124"/>
      <c r="Q811" s="127"/>
      <c r="R811" s="20"/>
      <c r="S811" s="20"/>
      <c r="T811" s="20"/>
      <c r="U811" s="124"/>
      <c r="V811" s="127"/>
      <c r="W811" s="20"/>
      <c r="X811" s="20"/>
      <c r="Y811" s="20"/>
      <c r="Z811" s="20"/>
      <c r="AA811" s="20"/>
      <c r="AB811" s="20"/>
      <c r="AC811" s="20"/>
      <c r="AD811" s="20"/>
      <c r="AE811" s="20"/>
    </row>
    <row r="812" spans="1:31" ht="19.5">
      <c r="A812" s="20"/>
      <c r="B812" s="20"/>
      <c r="C812" s="20"/>
      <c r="D812" s="20"/>
      <c r="E812" s="20"/>
      <c r="F812" s="20"/>
      <c r="G812" s="124"/>
      <c r="H812" s="20"/>
      <c r="I812" s="20"/>
      <c r="J812" s="20"/>
      <c r="K812" s="124"/>
      <c r="L812" s="127"/>
      <c r="M812" s="20"/>
      <c r="N812" s="20"/>
      <c r="O812" s="20"/>
      <c r="P812" s="124"/>
      <c r="Q812" s="127"/>
      <c r="R812" s="20"/>
      <c r="S812" s="20"/>
      <c r="T812" s="20"/>
      <c r="U812" s="124"/>
      <c r="V812" s="127"/>
      <c r="W812" s="20"/>
      <c r="X812" s="20"/>
      <c r="Y812" s="20"/>
      <c r="Z812" s="20"/>
      <c r="AA812" s="20"/>
      <c r="AB812" s="20"/>
      <c r="AC812" s="20"/>
      <c r="AD812" s="20"/>
      <c r="AE812" s="20"/>
    </row>
    <row r="813" spans="1:31" ht="19.5">
      <c r="A813" s="20"/>
      <c r="B813" s="20"/>
      <c r="C813" s="20"/>
      <c r="D813" s="20"/>
      <c r="E813" s="20"/>
      <c r="F813" s="20"/>
      <c r="G813" s="124"/>
      <c r="H813" s="20"/>
      <c r="I813" s="20"/>
      <c r="J813" s="20"/>
      <c r="K813" s="124"/>
      <c r="L813" s="127"/>
      <c r="M813" s="20"/>
      <c r="N813" s="20"/>
      <c r="O813" s="20"/>
      <c r="P813" s="124"/>
      <c r="Q813" s="127"/>
      <c r="R813" s="20"/>
      <c r="S813" s="20"/>
      <c r="T813" s="20"/>
      <c r="U813" s="124"/>
      <c r="V813" s="127"/>
      <c r="W813" s="20"/>
      <c r="X813" s="20"/>
      <c r="Y813" s="20"/>
      <c r="Z813" s="20"/>
      <c r="AA813" s="20"/>
      <c r="AB813" s="20"/>
      <c r="AC813" s="20"/>
      <c r="AD813" s="20"/>
      <c r="AE813" s="20"/>
    </row>
    <row r="814" spans="1:31" ht="19.5">
      <c r="A814" s="20"/>
      <c r="B814" s="20"/>
      <c r="C814" s="20"/>
      <c r="D814" s="20"/>
      <c r="E814" s="20"/>
      <c r="F814" s="20"/>
      <c r="G814" s="124"/>
      <c r="H814" s="20"/>
      <c r="I814" s="20"/>
      <c r="J814" s="20"/>
      <c r="K814" s="124"/>
      <c r="L814" s="127"/>
      <c r="M814" s="20"/>
      <c r="N814" s="20"/>
      <c r="O814" s="20"/>
      <c r="P814" s="124"/>
      <c r="Q814" s="127"/>
      <c r="R814" s="20"/>
      <c r="S814" s="20"/>
      <c r="T814" s="20"/>
      <c r="U814" s="124"/>
      <c r="V814" s="127"/>
      <c r="W814" s="20"/>
      <c r="X814" s="20"/>
      <c r="Y814" s="20"/>
      <c r="Z814" s="20"/>
      <c r="AA814" s="20"/>
      <c r="AB814" s="20"/>
      <c r="AC814" s="20"/>
      <c r="AD814" s="20"/>
      <c r="AE814" s="20"/>
    </row>
    <row r="815" spans="1:31" ht="19.5">
      <c r="A815" s="20"/>
      <c r="B815" s="20"/>
      <c r="C815" s="20"/>
      <c r="D815" s="20"/>
      <c r="E815" s="20"/>
      <c r="F815" s="20"/>
      <c r="G815" s="124"/>
      <c r="H815" s="20"/>
      <c r="I815" s="20"/>
      <c r="J815" s="20"/>
      <c r="K815" s="124"/>
      <c r="L815" s="127"/>
      <c r="M815" s="20"/>
      <c r="N815" s="20"/>
      <c r="O815" s="20"/>
      <c r="P815" s="124"/>
      <c r="Q815" s="127"/>
      <c r="R815" s="20"/>
      <c r="S815" s="20"/>
      <c r="T815" s="20"/>
      <c r="U815" s="124"/>
      <c r="V815" s="127"/>
      <c r="W815" s="20"/>
      <c r="X815" s="20"/>
      <c r="Y815" s="20"/>
      <c r="Z815" s="20"/>
      <c r="AA815" s="20"/>
      <c r="AB815" s="20"/>
      <c r="AC815" s="20"/>
      <c r="AD815" s="20"/>
      <c r="AE815" s="20"/>
    </row>
    <row r="816" spans="1:31" ht="19.5">
      <c r="A816" s="20"/>
      <c r="B816" s="20"/>
      <c r="C816" s="20"/>
      <c r="D816" s="20"/>
      <c r="E816" s="20"/>
      <c r="F816" s="20"/>
      <c r="G816" s="124"/>
      <c r="H816" s="20"/>
      <c r="I816" s="20"/>
      <c r="J816" s="20"/>
      <c r="K816" s="124"/>
      <c r="L816" s="127"/>
      <c r="M816" s="20"/>
      <c r="N816" s="20"/>
      <c r="O816" s="20"/>
      <c r="P816" s="124"/>
      <c r="Q816" s="127"/>
      <c r="R816" s="20"/>
      <c r="S816" s="20"/>
      <c r="T816" s="20"/>
      <c r="U816" s="124"/>
      <c r="V816" s="127"/>
      <c r="W816" s="20"/>
      <c r="X816" s="20"/>
      <c r="Y816" s="20"/>
      <c r="Z816" s="20"/>
      <c r="AA816" s="20"/>
      <c r="AB816" s="20"/>
      <c r="AC816" s="20"/>
      <c r="AD816" s="20"/>
      <c r="AE816" s="20"/>
    </row>
    <row r="817" spans="1:31" ht="19.5">
      <c r="A817" s="20"/>
      <c r="B817" s="20"/>
      <c r="C817" s="20"/>
      <c r="D817" s="20"/>
      <c r="E817" s="20"/>
      <c r="F817" s="20"/>
      <c r="G817" s="124"/>
      <c r="H817" s="20"/>
      <c r="I817" s="20"/>
      <c r="J817" s="20"/>
      <c r="K817" s="124"/>
      <c r="L817" s="127"/>
      <c r="M817" s="20"/>
      <c r="N817" s="20"/>
      <c r="O817" s="20"/>
      <c r="P817" s="124"/>
      <c r="Q817" s="127"/>
      <c r="R817" s="20"/>
      <c r="S817" s="20"/>
      <c r="T817" s="20"/>
      <c r="U817" s="124"/>
      <c r="V817" s="127"/>
      <c r="W817" s="20"/>
      <c r="X817" s="20"/>
      <c r="Y817" s="20"/>
      <c r="Z817" s="20"/>
      <c r="AA817" s="20"/>
      <c r="AB817" s="20"/>
      <c r="AC817" s="20"/>
      <c r="AD817" s="20"/>
      <c r="AE817" s="20"/>
    </row>
    <row r="818" spans="1:31" ht="19.5">
      <c r="A818" s="20"/>
      <c r="B818" s="20"/>
      <c r="C818" s="20"/>
      <c r="D818" s="20"/>
      <c r="E818" s="20"/>
      <c r="F818" s="20"/>
      <c r="G818" s="124"/>
      <c r="H818" s="20"/>
      <c r="I818" s="20"/>
      <c r="J818" s="20"/>
      <c r="K818" s="124"/>
      <c r="L818" s="127"/>
      <c r="M818" s="20"/>
      <c r="N818" s="20"/>
      <c r="O818" s="20"/>
      <c r="P818" s="124"/>
      <c r="Q818" s="127"/>
      <c r="R818" s="20"/>
      <c r="S818" s="20"/>
      <c r="T818" s="20"/>
      <c r="U818" s="124"/>
      <c r="V818" s="127"/>
      <c r="W818" s="20"/>
      <c r="X818" s="20"/>
      <c r="Y818" s="20"/>
      <c r="Z818" s="20"/>
      <c r="AA818" s="20"/>
      <c r="AB818" s="20"/>
      <c r="AC818" s="20"/>
      <c r="AD818" s="20"/>
      <c r="AE818" s="20"/>
    </row>
    <row r="819" spans="1:31" ht="19.5">
      <c r="A819" s="20"/>
      <c r="B819" s="20"/>
      <c r="C819" s="20"/>
      <c r="D819" s="20"/>
      <c r="E819" s="20"/>
      <c r="F819" s="20"/>
      <c r="G819" s="124"/>
      <c r="H819" s="20"/>
      <c r="I819" s="20"/>
      <c r="J819" s="20"/>
      <c r="K819" s="124"/>
      <c r="L819" s="127"/>
      <c r="M819" s="20"/>
      <c r="N819" s="20"/>
      <c r="O819" s="20"/>
      <c r="P819" s="124"/>
      <c r="Q819" s="127"/>
      <c r="R819" s="20"/>
      <c r="S819" s="20"/>
      <c r="T819" s="20"/>
      <c r="U819" s="124"/>
      <c r="V819" s="127"/>
      <c r="W819" s="20"/>
      <c r="X819" s="20"/>
      <c r="Y819" s="20"/>
      <c r="Z819" s="20"/>
      <c r="AA819" s="20"/>
      <c r="AB819" s="20"/>
      <c r="AC819" s="20"/>
      <c r="AD819" s="20"/>
      <c r="AE819" s="20"/>
    </row>
    <row r="820" spans="1:31" ht="19.5">
      <c r="A820" s="20"/>
      <c r="B820" s="20"/>
      <c r="C820" s="20"/>
      <c r="D820" s="20"/>
      <c r="E820" s="20"/>
      <c r="F820" s="20"/>
      <c r="G820" s="124"/>
      <c r="H820" s="20"/>
      <c r="I820" s="20"/>
      <c r="J820" s="20"/>
      <c r="K820" s="124"/>
      <c r="L820" s="127"/>
      <c r="M820" s="20"/>
      <c r="N820" s="20"/>
      <c r="O820" s="20"/>
      <c r="P820" s="124"/>
      <c r="Q820" s="127"/>
      <c r="R820" s="20"/>
      <c r="S820" s="20"/>
      <c r="T820" s="20"/>
      <c r="U820" s="124"/>
      <c r="V820" s="127"/>
      <c r="W820" s="20"/>
      <c r="X820" s="20"/>
      <c r="Y820" s="20"/>
      <c r="Z820" s="20"/>
      <c r="AA820" s="20"/>
      <c r="AB820" s="20"/>
      <c r="AC820" s="20"/>
      <c r="AD820" s="20"/>
      <c r="AE820" s="20"/>
    </row>
    <row r="821" spans="1:31" ht="19.5">
      <c r="A821" s="20"/>
      <c r="B821" s="20"/>
      <c r="C821" s="20"/>
      <c r="D821" s="20"/>
      <c r="E821" s="20"/>
      <c r="F821" s="20"/>
      <c r="G821" s="124"/>
      <c r="H821" s="20"/>
      <c r="I821" s="20"/>
      <c r="J821" s="20"/>
      <c r="K821" s="124"/>
      <c r="L821" s="127"/>
      <c r="M821" s="20"/>
      <c r="N821" s="20"/>
      <c r="O821" s="20"/>
      <c r="P821" s="124"/>
      <c r="Q821" s="127"/>
      <c r="R821" s="20"/>
      <c r="S821" s="20"/>
      <c r="T821" s="20"/>
      <c r="U821" s="124"/>
      <c r="V821" s="127"/>
      <c r="W821" s="20"/>
      <c r="X821" s="20"/>
      <c r="Y821" s="20"/>
      <c r="Z821" s="20"/>
      <c r="AA821" s="20"/>
      <c r="AB821" s="20"/>
      <c r="AC821" s="20"/>
      <c r="AD821" s="20"/>
      <c r="AE821" s="20"/>
    </row>
    <row r="822" spans="1:31" ht="19.5">
      <c r="A822" s="20"/>
      <c r="B822" s="20"/>
      <c r="C822" s="20"/>
      <c r="D822" s="20"/>
      <c r="E822" s="20"/>
      <c r="F822" s="20"/>
      <c r="G822" s="124"/>
      <c r="H822" s="20"/>
      <c r="I822" s="20"/>
      <c r="J822" s="20"/>
      <c r="K822" s="124"/>
      <c r="L822" s="127"/>
      <c r="M822" s="20"/>
      <c r="N822" s="20"/>
      <c r="O822" s="20"/>
      <c r="P822" s="124"/>
      <c r="Q822" s="127"/>
      <c r="R822" s="20"/>
      <c r="S822" s="20"/>
      <c r="T822" s="20"/>
      <c r="U822" s="124"/>
      <c r="V822" s="127"/>
      <c r="W822" s="20"/>
      <c r="X822" s="20"/>
      <c r="Y822" s="20"/>
      <c r="Z822" s="20"/>
      <c r="AA822" s="20"/>
      <c r="AB822" s="20"/>
      <c r="AC822" s="20"/>
      <c r="AD822" s="20"/>
      <c r="AE822" s="20"/>
    </row>
    <row r="823" spans="1:31" ht="19.5">
      <c r="A823" s="20"/>
      <c r="B823" s="20"/>
      <c r="C823" s="20"/>
      <c r="D823" s="20"/>
      <c r="E823" s="20"/>
      <c r="F823" s="20"/>
      <c r="G823" s="124"/>
      <c r="H823" s="20"/>
      <c r="I823" s="20"/>
      <c r="J823" s="20"/>
      <c r="K823" s="124"/>
      <c r="L823" s="127"/>
      <c r="M823" s="20"/>
      <c r="N823" s="20"/>
      <c r="O823" s="20"/>
      <c r="P823" s="124"/>
      <c r="Q823" s="127"/>
      <c r="R823" s="20"/>
      <c r="S823" s="20"/>
      <c r="T823" s="20"/>
      <c r="U823" s="124"/>
      <c r="V823" s="127"/>
      <c r="W823" s="20"/>
      <c r="X823" s="20"/>
      <c r="Y823" s="20"/>
      <c r="Z823" s="20"/>
      <c r="AA823" s="20"/>
      <c r="AB823" s="20"/>
      <c r="AC823" s="20"/>
      <c r="AD823" s="20"/>
      <c r="AE823" s="20"/>
    </row>
    <row r="824" spans="1:31" ht="19.5">
      <c r="A824" s="20"/>
      <c r="B824" s="20"/>
      <c r="C824" s="20"/>
      <c r="D824" s="20"/>
      <c r="E824" s="20"/>
      <c r="F824" s="20"/>
      <c r="G824" s="124"/>
      <c r="H824" s="20"/>
      <c r="I824" s="20"/>
      <c r="J824" s="20"/>
      <c r="K824" s="124"/>
      <c r="L824" s="127"/>
      <c r="M824" s="20"/>
      <c r="N824" s="20"/>
      <c r="O824" s="20"/>
      <c r="P824" s="124"/>
      <c r="Q824" s="127"/>
      <c r="R824" s="20"/>
      <c r="S824" s="20"/>
      <c r="T824" s="20"/>
      <c r="U824" s="124"/>
      <c r="V824" s="127"/>
      <c r="W824" s="20"/>
      <c r="X824" s="20"/>
      <c r="Y824" s="20"/>
      <c r="Z824" s="20"/>
      <c r="AA824" s="20"/>
      <c r="AB824" s="20"/>
      <c r="AC824" s="20"/>
      <c r="AD824" s="20"/>
      <c r="AE824" s="20"/>
    </row>
    <row r="825" spans="1:31" ht="19.5">
      <c r="A825" s="20"/>
      <c r="B825" s="20"/>
      <c r="C825" s="20"/>
      <c r="D825" s="20"/>
      <c r="E825" s="20"/>
      <c r="F825" s="20"/>
      <c r="G825" s="124"/>
      <c r="H825" s="20"/>
      <c r="I825" s="20"/>
      <c r="J825" s="20"/>
      <c r="K825" s="124"/>
      <c r="L825" s="127"/>
      <c r="M825" s="20"/>
      <c r="N825" s="20"/>
      <c r="O825" s="20"/>
      <c r="P825" s="124"/>
      <c r="Q825" s="127"/>
      <c r="R825" s="20"/>
      <c r="S825" s="20"/>
      <c r="T825" s="20"/>
      <c r="U825" s="124"/>
      <c r="V825" s="127"/>
      <c r="W825" s="20"/>
      <c r="X825" s="20"/>
      <c r="Y825" s="20"/>
      <c r="Z825" s="20"/>
      <c r="AA825" s="20"/>
      <c r="AB825" s="20"/>
      <c r="AC825" s="20"/>
      <c r="AD825" s="20"/>
      <c r="AE825" s="20"/>
    </row>
    <row r="826" spans="1:31" ht="19.5">
      <c r="A826" s="20"/>
      <c r="B826" s="20"/>
      <c r="C826" s="20"/>
      <c r="D826" s="20"/>
      <c r="E826" s="20"/>
      <c r="F826" s="20"/>
      <c r="G826" s="124"/>
      <c r="H826" s="20"/>
      <c r="I826" s="20"/>
      <c r="J826" s="20"/>
      <c r="K826" s="124"/>
      <c r="L826" s="127"/>
      <c r="M826" s="20"/>
      <c r="N826" s="20"/>
      <c r="O826" s="20"/>
      <c r="P826" s="124"/>
      <c r="Q826" s="127"/>
      <c r="R826" s="20"/>
      <c r="S826" s="20"/>
      <c r="T826" s="20"/>
      <c r="U826" s="124"/>
      <c r="V826" s="127"/>
      <c r="W826" s="20"/>
      <c r="X826" s="20"/>
      <c r="Y826" s="20"/>
      <c r="Z826" s="20"/>
      <c r="AA826" s="20"/>
      <c r="AB826" s="20"/>
      <c r="AC826" s="20"/>
      <c r="AD826" s="20"/>
      <c r="AE826" s="20"/>
    </row>
    <row r="827" spans="1:31" ht="19.5">
      <c r="A827" s="20"/>
      <c r="B827" s="20"/>
      <c r="C827" s="20"/>
      <c r="D827" s="20"/>
      <c r="E827" s="20"/>
      <c r="F827" s="20"/>
      <c r="G827" s="124"/>
      <c r="H827" s="20"/>
      <c r="I827" s="20"/>
      <c r="J827" s="20"/>
      <c r="K827" s="124"/>
      <c r="L827" s="127"/>
      <c r="M827" s="20"/>
      <c r="N827" s="20"/>
      <c r="O827" s="20"/>
      <c r="P827" s="124"/>
      <c r="Q827" s="127"/>
      <c r="R827" s="20"/>
      <c r="S827" s="20"/>
      <c r="T827" s="20"/>
      <c r="U827" s="124"/>
      <c r="V827" s="127"/>
      <c r="W827" s="20"/>
      <c r="X827" s="20"/>
      <c r="Y827" s="20"/>
      <c r="Z827" s="20"/>
      <c r="AA827" s="20"/>
      <c r="AB827" s="20"/>
      <c r="AC827" s="20"/>
      <c r="AD827" s="20"/>
      <c r="AE827" s="20"/>
    </row>
    <row r="828" spans="1:31" ht="19.5">
      <c r="A828" s="20"/>
      <c r="B828" s="20"/>
      <c r="C828" s="20"/>
      <c r="D828" s="20"/>
      <c r="E828" s="20"/>
      <c r="F828" s="20"/>
      <c r="G828" s="124"/>
      <c r="H828" s="20"/>
      <c r="I828" s="20"/>
      <c r="J828" s="20"/>
      <c r="K828" s="124"/>
      <c r="L828" s="127"/>
      <c r="M828" s="20"/>
      <c r="N828" s="20"/>
      <c r="O828" s="20"/>
      <c r="P828" s="124"/>
      <c r="Q828" s="127"/>
      <c r="R828" s="20"/>
      <c r="S828" s="20"/>
      <c r="T828" s="20"/>
      <c r="U828" s="124"/>
      <c r="V828" s="127"/>
      <c r="W828" s="20"/>
      <c r="X828" s="20"/>
      <c r="Y828" s="20"/>
      <c r="Z828" s="20"/>
      <c r="AA828" s="20"/>
      <c r="AB828" s="20"/>
      <c r="AC828" s="20"/>
      <c r="AD828" s="20"/>
      <c r="AE828" s="20"/>
    </row>
    <row r="829" spans="1:31" ht="19.5">
      <c r="A829" s="20"/>
      <c r="B829" s="20"/>
      <c r="C829" s="20"/>
      <c r="D829" s="20"/>
      <c r="E829" s="20"/>
      <c r="F829" s="20"/>
      <c r="G829" s="124"/>
      <c r="H829" s="20"/>
      <c r="I829" s="20"/>
      <c r="J829" s="20"/>
      <c r="K829" s="124"/>
      <c r="L829" s="127"/>
      <c r="M829" s="20"/>
      <c r="N829" s="20"/>
      <c r="O829" s="20"/>
      <c r="P829" s="124"/>
      <c r="Q829" s="127"/>
      <c r="R829" s="20"/>
      <c r="S829" s="20"/>
      <c r="T829" s="20"/>
      <c r="U829" s="124"/>
      <c r="V829" s="127"/>
      <c r="W829" s="20"/>
      <c r="X829" s="20"/>
      <c r="Y829" s="20"/>
      <c r="Z829" s="20"/>
      <c r="AA829" s="20"/>
      <c r="AB829" s="20"/>
      <c r="AC829" s="20"/>
      <c r="AD829" s="20"/>
      <c r="AE829" s="20"/>
    </row>
    <row r="830" spans="1:31" ht="19.5">
      <c r="A830" s="20"/>
      <c r="B830" s="20"/>
      <c r="C830" s="20"/>
      <c r="D830" s="20"/>
      <c r="E830" s="20"/>
      <c r="F830" s="20"/>
      <c r="G830" s="124"/>
      <c r="H830" s="20"/>
      <c r="I830" s="20"/>
      <c r="J830" s="20"/>
      <c r="K830" s="124"/>
      <c r="L830" s="127"/>
      <c r="M830" s="20"/>
      <c r="N830" s="20"/>
      <c r="O830" s="20"/>
      <c r="P830" s="124"/>
      <c r="Q830" s="127"/>
      <c r="R830" s="20"/>
      <c r="S830" s="20"/>
      <c r="T830" s="20"/>
      <c r="U830" s="124"/>
      <c r="V830" s="127"/>
      <c r="W830" s="20"/>
      <c r="X830" s="20"/>
      <c r="Y830" s="20"/>
      <c r="Z830" s="20"/>
      <c r="AA830" s="20"/>
      <c r="AB830" s="20"/>
      <c r="AC830" s="20"/>
      <c r="AD830" s="20"/>
      <c r="AE830" s="20"/>
    </row>
    <row r="831" spans="1:31" ht="19.5">
      <c r="A831" s="20"/>
      <c r="B831" s="20"/>
      <c r="C831" s="20"/>
      <c r="D831" s="20"/>
      <c r="E831" s="20"/>
      <c r="F831" s="20"/>
      <c r="G831" s="124"/>
      <c r="H831" s="20"/>
      <c r="I831" s="20"/>
      <c r="J831" s="20"/>
      <c r="K831" s="124"/>
      <c r="L831" s="127"/>
      <c r="M831" s="20"/>
      <c r="N831" s="20"/>
      <c r="O831" s="20"/>
      <c r="P831" s="124"/>
      <c r="Q831" s="127"/>
      <c r="R831" s="20"/>
      <c r="S831" s="20"/>
      <c r="T831" s="20"/>
      <c r="U831" s="124"/>
      <c r="V831" s="127"/>
      <c r="W831" s="20"/>
      <c r="X831" s="20"/>
      <c r="Y831" s="20"/>
      <c r="Z831" s="20"/>
      <c r="AA831" s="20"/>
      <c r="AB831" s="20"/>
      <c r="AC831" s="20"/>
      <c r="AD831" s="20"/>
      <c r="AE831" s="20"/>
    </row>
    <row r="832" spans="1:31" ht="19.5">
      <c r="A832" s="20"/>
      <c r="B832" s="20"/>
      <c r="C832" s="20"/>
      <c r="D832" s="20"/>
      <c r="E832" s="20"/>
      <c r="F832" s="20"/>
      <c r="G832" s="124"/>
      <c r="H832" s="20"/>
      <c r="I832" s="20"/>
      <c r="J832" s="20"/>
      <c r="K832" s="124"/>
      <c r="L832" s="127"/>
      <c r="M832" s="20"/>
      <c r="N832" s="20"/>
      <c r="O832" s="20"/>
      <c r="P832" s="124"/>
      <c r="Q832" s="127"/>
      <c r="R832" s="20"/>
      <c r="S832" s="20"/>
      <c r="T832" s="20"/>
      <c r="U832" s="124"/>
      <c r="V832" s="127"/>
      <c r="W832" s="20"/>
      <c r="X832" s="20"/>
      <c r="Y832" s="20"/>
      <c r="Z832" s="20"/>
      <c r="AA832" s="20"/>
      <c r="AB832" s="20"/>
      <c r="AC832" s="20"/>
      <c r="AD832" s="20"/>
      <c r="AE832" s="20"/>
    </row>
    <row r="833" spans="1:31" ht="19.5">
      <c r="A833" s="20"/>
      <c r="B833" s="20"/>
      <c r="C833" s="20"/>
      <c r="D833" s="20"/>
      <c r="E833" s="20"/>
      <c r="F833" s="20"/>
      <c r="G833" s="124"/>
      <c r="H833" s="20"/>
      <c r="I833" s="20"/>
      <c r="J833" s="20"/>
      <c r="K833" s="124"/>
      <c r="L833" s="127"/>
      <c r="M833" s="20"/>
      <c r="N833" s="20"/>
      <c r="O833" s="20"/>
      <c r="P833" s="124"/>
      <c r="Q833" s="127"/>
      <c r="R833" s="20"/>
      <c r="S833" s="20"/>
      <c r="T833" s="20"/>
      <c r="U833" s="124"/>
      <c r="V833" s="127"/>
      <c r="W833" s="20"/>
      <c r="X833" s="20"/>
      <c r="Y833" s="20"/>
      <c r="Z833" s="20"/>
      <c r="AA833" s="20"/>
      <c r="AB833" s="20"/>
      <c r="AC833" s="20"/>
      <c r="AD833" s="20"/>
      <c r="AE833" s="20"/>
    </row>
    <row r="834" spans="1:31" ht="19.5">
      <c r="A834" s="20"/>
      <c r="B834" s="20"/>
      <c r="C834" s="20"/>
      <c r="D834" s="20"/>
      <c r="E834" s="20"/>
      <c r="F834" s="20"/>
      <c r="G834" s="124"/>
      <c r="H834" s="20"/>
      <c r="I834" s="20"/>
      <c r="J834" s="20"/>
      <c r="K834" s="124"/>
      <c r="L834" s="127"/>
      <c r="M834" s="20"/>
      <c r="N834" s="20"/>
      <c r="O834" s="20"/>
      <c r="P834" s="124"/>
      <c r="Q834" s="127"/>
      <c r="R834" s="20"/>
      <c r="S834" s="20"/>
      <c r="T834" s="20"/>
      <c r="U834" s="124"/>
      <c r="V834" s="127"/>
      <c r="W834" s="20"/>
      <c r="X834" s="20"/>
      <c r="Y834" s="20"/>
      <c r="Z834" s="20"/>
      <c r="AA834" s="20"/>
      <c r="AB834" s="20"/>
      <c r="AC834" s="20"/>
      <c r="AD834" s="20"/>
      <c r="AE834" s="20"/>
    </row>
    <row r="835" spans="1:31" ht="19.5">
      <c r="A835" s="20"/>
      <c r="B835" s="20"/>
      <c r="C835" s="20"/>
      <c r="D835" s="20"/>
      <c r="E835" s="20"/>
      <c r="F835" s="20"/>
      <c r="G835" s="124"/>
      <c r="H835" s="20"/>
      <c r="I835" s="20"/>
      <c r="J835" s="20"/>
      <c r="K835" s="124"/>
      <c r="L835" s="127"/>
      <c r="M835" s="20"/>
      <c r="N835" s="20"/>
      <c r="O835" s="20"/>
      <c r="P835" s="124"/>
      <c r="Q835" s="127"/>
      <c r="R835" s="20"/>
      <c r="S835" s="20"/>
      <c r="T835" s="20"/>
      <c r="U835" s="124"/>
      <c r="V835" s="127"/>
      <c r="W835" s="20"/>
      <c r="X835" s="20"/>
      <c r="Y835" s="20"/>
      <c r="Z835" s="20"/>
      <c r="AA835" s="20"/>
      <c r="AB835" s="20"/>
      <c r="AC835" s="20"/>
      <c r="AD835" s="20"/>
      <c r="AE835" s="20"/>
    </row>
    <row r="836" spans="1:31" ht="19.5">
      <c r="A836" s="20"/>
      <c r="B836" s="20"/>
      <c r="C836" s="20"/>
      <c r="D836" s="20"/>
      <c r="E836" s="20"/>
      <c r="F836" s="20"/>
      <c r="G836" s="124"/>
      <c r="H836" s="20"/>
      <c r="I836" s="20"/>
      <c r="J836" s="20"/>
      <c r="K836" s="124"/>
      <c r="L836" s="127"/>
      <c r="M836" s="20"/>
      <c r="N836" s="20"/>
      <c r="O836" s="20"/>
      <c r="P836" s="124"/>
      <c r="Q836" s="127"/>
      <c r="R836" s="20"/>
      <c r="S836" s="20"/>
      <c r="T836" s="20"/>
      <c r="U836" s="124"/>
      <c r="V836" s="127"/>
      <c r="W836" s="20"/>
      <c r="X836" s="20"/>
      <c r="Y836" s="20"/>
      <c r="Z836" s="20"/>
      <c r="AA836" s="20"/>
      <c r="AB836" s="20"/>
      <c r="AC836" s="20"/>
      <c r="AD836" s="20"/>
      <c r="AE836" s="20"/>
    </row>
    <row r="837" spans="1:31" ht="19.5">
      <c r="A837" s="20"/>
      <c r="B837" s="20"/>
      <c r="C837" s="20"/>
      <c r="D837" s="20"/>
      <c r="E837" s="20"/>
      <c r="F837" s="20"/>
      <c r="G837" s="124"/>
      <c r="H837" s="20"/>
      <c r="I837" s="20"/>
      <c r="J837" s="20"/>
      <c r="K837" s="124"/>
      <c r="L837" s="127"/>
      <c r="M837" s="20"/>
      <c r="N837" s="20"/>
      <c r="O837" s="20"/>
      <c r="P837" s="124"/>
      <c r="Q837" s="127"/>
      <c r="R837" s="20"/>
      <c r="S837" s="20"/>
      <c r="T837" s="20"/>
      <c r="U837" s="124"/>
      <c r="V837" s="127"/>
      <c r="W837" s="20"/>
      <c r="X837" s="20"/>
      <c r="Y837" s="20"/>
      <c r="Z837" s="20"/>
      <c r="AA837" s="20"/>
      <c r="AB837" s="20"/>
      <c r="AC837" s="20"/>
      <c r="AD837" s="20"/>
      <c r="AE837" s="20"/>
    </row>
    <row r="838" spans="1:31" ht="19.5">
      <c r="A838" s="20"/>
      <c r="B838" s="20"/>
      <c r="C838" s="20"/>
      <c r="D838" s="20"/>
      <c r="E838" s="20"/>
      <c r="F838" s="20"/>
      <c r="G838" s="124"/>
      <c r="H838" s="20"/>
      <c r="I838" s="20"/>
      <c r="J838" s="20"/>
      <c r="K838" s="124"/>
      <c r="L838" s="127"/>
      <c r="M838" s="20"/>
      <c r="N838" s="20"/>
      <c r="O838" s="20"/>
      <c r="P838" s="124"/>
      <c r="Q838" s="127"/>
      <c r="R838" s="20"/>
      <c r="S838" s="20"/>
      <c r="T838" s="20"/>
      <c r="U838" s="124"/>
      <c r="V838" s="127"/>
      <c r="W838" s="20"/>
      <c r="X838" s="20"/>
      <c r="Y838" s="20"/>
      <c r="Z838" s="20"/>
      <c r="AA838" s="20"/>
      <c r="AB838" s="20"/>
      <c r="AC838" s="20"/>
      <c r="AD838" s="20"/>
      <c r="AE838" s="20"/>
    </row>
    <row r="839" spans="1:31" ht="19.5">
      <c r="A839" s="20"/>
      <c r="B839" s="20"/>
      <c r="C839" s="20"/>
      <c r="D839" s="20"/>
      <c r="E839" s="20"/>
      <c r="F839" s="20"/>
      <c r="G839" s="124"/>
      <c r="H839" s="20"/>
      <c r="I839" s="20"/>
      <c r="J839" s="20"/>
      <c r="K839" s="124"/>
      <c r="L839" s="127"/>
      <c r="M839" s="20"/>
      <c r="N839" s="20"/>
      <c r="O839" s="20"/>
      <c r="P839" s="124"/>
      <c r="Q839" s="127"/>
      <c r="R839" s="20"/>
      <c r="S839" s="20"/>
      <c r="T839" s="20"/>
      <c r="U839" s="124"/>
      <c r="V839" s="127"/>
      <c r="W839" s="20"/>
      <c r="X839" s="20"/>
      <c r="Y839" s="20"/>
      <c r="Z839" s="20"/>
      <c r="AA839" s="20"/>
      <c r="AB839" s="20"/>
      <c r="AC839" s="20"/>
      <c r="AD839" s="20"/>
      <c r="AE839" s="20"/>
    </row>
    <row r="840" spans="1:31" ht="19.5">
      <c r="A840" s="20"/>
      <c r="B840" s="20"/>
      <c r="C840" s="20"/>
      <c r="D840" s="20"/>
      <c r="E840" s="20"/>
      <c r="F840" s="20"/>
      <c r="G840" s="124"/>
      <c r="H840" s="20"/>
      <c r="I840" s="20"/>
      <c r="J840" s="20"/>
      <c r="K840" s="124"/>
      <c r="L840" s="127"/>
      <c r="M840" s="20"/>
      <c r="N840" s="20"/>
      <c r="O840" s="20"/>
      <c r="P840" s="124"/>
      <c r="Q840" s="127"/>
      <c r="R840" s="20"/>
      <c r="S840" s="20"/>
      <c r="T840" s="20"/>
      <c r="U840" s="124"/>
      <c r="V840" s="127"/>
      <c r="W840" s="20"/>
      <c r="X840" s="20"/>
      <c r="Y840" s="20"/>
      <c r="Z840" s="20"/>
      <c r="AA840" s="20"/>
      <c r="AB840" s="20"/>
      <c r="AC840" s="20"/>
      <c r="AD840" s="20"/>
      <c r="AE840" s="20"/>
    </row>
    <row r="841" spans="1:31" ht="19.5">
      <c r="A841" s="20"/>
      <c r="B841" s="20"/>
      <c r="C841" s="20"/>
      <c r="D841" s="20"/>
      <c r="E841" s="20"/>
      <c r="F841" s="20"/>
      <c r="G841" s="124"/>
      <c r="H841" s="20"/>
      <c r="I841" s="20"/>
      <c r="J841" s="20"/>
      <c r="K841" s="124"/>
      <c r="L841" s="127"/>
      <c r="M841" s="20"/>
      <c r="N841" s="20"/>
      <c r="O841" s="20"/>
      <c r="P841" s="124"/>
      <c r="Q841" s="127"/>
      <c r="R841" s="20"/>
      <c r="S841" s="20"/>
      <c r="T841" s="20"/>
      <c r="U841" s="124"/>
      <c r="V841" s="127"/>
      <c r="W841" s="20"/>
      <c r="X841" s="20"/>
      <c r="Y841" s="20"/>
      <c r="Z841" s="20"/>
      <c r="AA841" s="20"/>
      <c r="AB841" s="20"/>
      <c r="AC841" s="20"/>
      <c r="AD841" s="20"/>
      <c r="AE841" s="20"/>
    </row>
    <row r="842" spans="1:31" ht="19.5">
      <c r="A842" s="20"/>
      <c r="B842" s="20"/>
      <c r="C842" s="20"/>
      <c r="D842" s="20"/>
      <c r="E842" s="20"/>
      <c r="F842" s="20"/>
      <c r="G842" s="124"/>
      <c r="H842" s="20"/>
      <c r="I842" s="20"/>
      <c r="J842" s="20"/>
      <c r="K842" s="124"/>
      <c r="L842" s="127"/>
      <c r="M842" s="20"/>
      <c r="N842" s="20"/>
      <c r="O842" s="20"/>
      <c r="P842" s="124"/>
      <c r="Q842" s="127"/>
      <c r="R842" s="20"/>
      <c r="S842" s="20"/>
      <c r="T842" s="20"/>
      <c r="U842" s="124"/>
      <c r="V842" s="127"/>
      <c r="W842" s="20"/>
      <c r="X842" s="20"/>
      <c r="Y842" s="20"/>
      <c r="Z842" s="20"/>
      <c r="AA842" s="20"/>
      <c r="AB842" s="20"/>
      <c r="AC842" s="20"/>
      <c r="AD842" s="20"/>
      <c r="AE842" s="20"/>
    </row>
    <row r="843" spans="1:31" ht="19.5">
      <c r="A843" s="20"/>
      <c r="B843" s="20"/>
      <c r="C843" s="20"/>
      <c r="D843" s="20"/>
      <c r="E843" s="20"/>
      <c r="F843" s="20"/>
      <c r="G843" s="124"/>
      <c r="H843" s="20"/>
      <c r="I843" s="20"/>
      <c r="J843" s="20"/>
      <c r="K843" s="124"/>
      <c r="L843" s="127"/>
      <c r="M843" s="20"/>
      <c r="N843" s="20"/>
      <c r="O843" s="20"/>
      <c r="P843" s="124"/>
      <c r="Q843" s="127"/>
      <c r="R843" s="20"/>
      <c r="S843" s="20"/>
      <c r="T843" s="20"/>
      <c r="U843" s="124"/>
      <c r="V843" s="127"/>
      <c r="W843" s="20"/>
      <c r="X843" s="20"/>
      <c r="Y843" s="20"/>
      <c r="Z843" s="20"/>
      <c r="AA843" s="20"/>
      <c r="AB843" s="20"/>
      <c r="AC843" s="20"/>
      <c r="AD843" s="20"/>
      <c r="AE843" s="20"/>
    </row>
    <row r="844" spans="1:31" ht="19.5">
      <c r="A844" s="20"/>
      <c r="B844" s="20"/>
      <c r="C844" s="20"/>
      <c r="D844" s="20"/>
      <c r="E844" s="20"/>
      <c r="F844" s="20"/>
      <c r="G844" s="124"/>
      <c r="H844" s="20"/>
      <c r="I844" s="20"/>
      <c r="J844" s="20"/>
      <c r="K844" s="124"/>
      <c r="L844" s="127"/>
      <c r="M844" s="20"/>
      <c r="N844" s="20"/>
      <c r="O844" s="20"/>
      <c r="P844" s="124"/>
      <c r="Q844" s="127"/>
      <c r="R844" s="20"/>
      <c r="S844" s="20"/>
      <c r="T844" s="20"/>
      <c r="U844" s="124"/>
      <c r="V844" s="127"/>
      <c r="W844" s="20"/>
      <c r="X844" s="20"/>
      <c r="Y844" s="20"/>
      <c r="Z844" s="20"/>
      <c r="AA844" s="20"/>
      <c r="AB844" s="20"/>
      <c r="AC844" s="20"/>
      <c r="AD844" s="20"/>
      <c r="AE844" s="20"/>
    </row>
    <row r="845" spans="1:31" ht="19.5">
      <c r="A845" s="20"/>
      <c r="B845" s="20"/>
      <c r="C845" s="20"/>
      <c r="D845" s="20"/>
      <c r="E845" s="20"/>
      <c r="F845" s="20"/>
      <c r="G845" s="124"/>
      <c r="H845" s="20"/>
      <c r="I845" s="20"/>
      <c r="J845" s="20"/>
      <c r="K845" s="124"/>
      <c r="L845" s="127"/>
      <c r="M845" s="20"/>
      <c r="N845" s="20"/>
      <c r="O845" s="20"/>
      <c r="P845" s="124"/>
      <c r="Q845" s="127"/>
      <c r="R845" s="20"/>
      <c r="S845" s="20"/>
      <c r="T845" s="20"/>
      <c r="U845" s="124"/>
      <c r="V845" s="127"/>
      <c r="W845" s="20"/>
      <c r="X845" s="20"/>
      <c r="Y845" s="20"/>
      <c r="Z845" s="20"/>
      <c r="AA845" s="20"/>
      <c r="AB845" s="20"/>
      <c r="AC845" s="20"/>
      <c r="AD845" s="20"/>
      <c r="AE845" s="20"/>
    </row>
    <row r="846" spans="1:31" ht="19.5">
      <c r="A846" s="20"/>
      <c r="B846" s="20"/>
      <c r="C846" s="20"/>
      <c r="D846" s="20"/>
      <c r="E846" s="20"/>
      <c r="F846" s="20"/>
      <c r="G846" s="124"/>
      <c r="H846" s="20"/>
      <c r="I846" s="20"/>
      <c r="J846" s="20"/>
      <c r="K846" s="124"/>
      <c r="L846" s="127"/>
      <c r="M846" s="20"/>
      <c r="N846" s="20"/>
      <c r="O846" s="20"/>
      <c r="P846" s="124"/>
      <c r="Q846" s="127"/>
      <c r="R846" s="20"/>
      <c r="S846" s="20"/>
      <c r="T846" s="20"/>
      <c r="U846" s="124"/>
      <c r="V846" s="127"/>
      <c r="W846" s="20"/>
      <c r="X846" s="20"/>
      <c r="Y846" s="20"/>
      <c r="Z846" s="20"/>
      <c r="AA846" s="20"/>
      <c r="AB846" s="20"/>
      <c r="AC846" s="20"/>
      <c r="AD846" s="20"/>
      <c r="AE846" s="20"/>
    </row>
    <row r="847" spans="1:31" ht="19.5">
      <c r="A847" s="20"/>
      <c r="B847" s="20"/>
      <c r="C847" s="20"/>
      <c r="D847" s="20"/>
      <c r="E847" s="20"/>
      <c r="F847" s="20"/>
      <c r="G847" s="124"/>
      <c r="H847" s="20"/>
      <c r="I847" s="20"/>
      <c r="J847" s="20"/>
      <c r="K847" s="124"/>
      <c r="L847" s="127"/>
      <c r="M847" s="20"/>
      <c r="N847" s="20"/>
      <c r="O847" s="20"/>
      <c r="P847" s="124"/>
      <c r="Q847" s="127"/>
      <c r="R847" s="20"/>
      <c r="S847" s="20"/>
      <c r="T847" s="20"/>
      <c r="U847" s="124"/>
      <c r="V847" s="127"/>
      <c r="W847" s="20"/>
      <c r="X847" s="20"/>
      <c r="Y847" s="20"/>
      <c r="Z847" s="20"/>
      <c r="AA847" s="20"/>
      <c r="AB847" s="20"/>
      <c r="AC847" s="20"/>
      <c r="AD847" s="20"/>
      <c r="AE847" s="20"/>
    </row>
    <row r="848" spans="1:31" ht="19.5">
      <c r="A848" s="20"/>
      <c r="B848" s="20"/>
      <c r="C848" s="20"/>
      <c r="D848" s="20"/>
      <c r="E848" s="20"/>
      <c r="F848" s="20"/>
      <c r="G848" s="124"/>
      <c r="H848" s="20"/>
      <c r="I848" s="20"/>
      <c r="J848" s="20"/>
      <c r="K848" s="124"/>
      <c r="L848" s="127"/>
      <c r="M848" s="20"/>
      <c r="N848" s="20"/>
      <c r="O848" s="20"/>
      <c r="P848" s="124"/>
      <c r="Q848" s="127"/>
      <c r="R848" s="20"/>
      <c r="S848" s="20"/>
      <c r="T848" s="20"/>
      <c r="U848" s="124"/>
      <c r="V848" s="127"/>
      <c r="W848" s="20"/>
      <c r="X848" s="20"/>
      <c r="Y848" s="20"/>
      <c r="Z848" s="20"/>
      <c r="AA848" s="20"/>
      <c r="AB848" s="20"/>
      <c r="AC848" s="20"/>
      <c r="AD848" s="20"/>
      <c r="AE848" s="20"/>
    </row>
    <row r="849" spans="1:31" ht="19.5">
      <c r="A849" s="20"/>
      <c r="B849" s="20"/>
      <c r="C849" s="20"/>
      <c r="D849" s="20"/>
      <c r="E849" s="20"/>
      <c r="F849" s="20"/>
      <c r="G849" s="124"/>
      <c r="H849" s="20"/>
      <c r="I849" s="20"/>
      <c r="J849" s="20"/>
      <c r="K849" s="124"/>
      <c r="L849" s="127"/>
      <c r="M849" s="20"/>
      <c r="N849" s="20"/>
      <c r="O849" s="20"/>
      <c r="P849" s="124"/>
      <c r="Q849" s="127"/>
      <c r="R849" s="20"/>
      <c r="S849" s="20"/>
      <c r="T849" s="20"/>
      <c r="U849" s="124"/>
      <c r="V849" s="127"/>
      <c r="W849" s="20"/>
      <c r="X849" s="20"/>
      <c r="Y849" s="20"/>
      <c r="Z849" s="20"/>
      <c r="AA849" s="20"/>
      <c r="AB849" s="20"/>
      <c r="AC849" s="20"/>
      <c r="AD849" s="20"/>
      <c r="AE849" s="20"/>
    </row>
    <row r="850" spans="1:31" ht="19.5">
      <c r="A850" s="20"/>
      <c r="B850" s="20"/>
      <c r="C850" s="20"/>
      <c r="D850" s="20"/>
      <c r="E850" s="20"/>
      <c r="F850" s="20"/>
      <c r="G850" s="124"/>
      <c r="H850" s="20"/>
      <c r="I850" s="20"/>
      <c r="J850" s="20"/>
      <c r="K850" s="124"/>
      <c r="L850" s="127"/>
      <c r="M850" s="20"/>
      <c r="N850" s="20"/>
      <c r="O850" s="20"/>
      <c r="P850" s="124"/>
      <c r="Q850" s="127"/>
      <c r="R850" s="20"/>
      <c r="S850" s="20"/>
      <c r="T850" s="20"/>
      <c r="U850" s="124"/>
      <c r="V850" s="127"/>
      <c r="W850" s="20"/>
      <c r="X850" s="20"/>
      <c r="Y850" s="20"/>
      <c r="Z850" s="20"/>
      <c r="AA850" s="20"/>
      <c r="AB850" s="20"/>
      <c r="AC850" s="20"/>
      <c r="AD850" s="20"/>
      <c r="AE850" s="20"/>
    </row>
    <row r="851" spans="1:31" ht="19.5">
      <c r="A851" s="20"/>
      <c r="B851" s="20"/>
      <c r="C851" s="20"/>
      <c r="D851" s="20"/>
      <c r="E851" s="20"/>
      <c r="F851" s="20"/>
      <c r="G851" s="124"/>
      <c r="H851" s="20"/>
      <c r="I851" s="20"/>
      <c r="J851" s="20"/>
      <c r="K851" s="124"/>
      <c r="L851" s="127"/>
      <c r="M851" s="20"/>
      <c r="N851" s="20"/>
      <c r="O851" s="20"/>
      <c r="P851" s="124"/>
      <c r="Q851" s="127"/>
      <c r="R851" s="20"/>
      <c r="S851" s="20"/>
      <c r="T851" s="20"/>
      <c r="U851" s="124"/>
      <c r="V851" s="127"/>
      <c r="W851" s="20"/>
      <c r="X851" s="20"/>
      <c r="Y851" s="20"/>
      <c r="Z851" s="20"/>
      <c r="AA851" s="20"/>
      <c r="AB851" s="20"/>
      <c r="AC851" s="20"/>
      <c r="AD851" s="20"/>
      <c r="AE851" s="20"/>
    </row>
    <row r="852" spans="1:31" ht="19.5">
      <c r="A852" s="20"/>
      <c r="B852" s="20"/>
      <c r="C852" s="20"/>
      <c r="D852" s="20"/>
      <c r="E852" s="20"/>
      <c r="F852" s="20"/>
      <c r="G852" s="124"/>
      <c r="H852" s="20"/>
      <c r="I852" s="20"/>
      <c r="J852" s="20"/>
      <c r="K852" s="124"/>
      <c r="L852" s="127"/>
      <c r="M852" s="20"/>
      <c r="N852" s="20"/>
      <c r="O852" s="20"/>
      <c r="P852" s="124"/>
      <c r="Q852" s="127"/>
      <c r="R852" s="20"/>
      <c r="S852" s="20"/>
      <c r="T852" s="20"/>
      <c r="U852" s="124"/>
      <c r="V852" s="127"/>
      <c r="W852" s="20"/>
      <c r="X852" s="20"/>
      <c r="Y852" s="20"/>
      <c r="Z852" s="20"/>
      <c r="AA852" s="20"/>
      <c r="AB852" s="20"/>
      <c r="AC852" s="20"/>
      <c r="AD852" s="20"/>
      <c r="AE852" s="20"/>
    </row>
    <row r="853" spans="1:31" ht="19.5">
      <c r="A853" s="20"/>
      <c r="B853" s="20"/>
      <c r="C853" s="20"/>
      <c r="D853" s="20"/>
      <c r="E853" s="20"/>
      <c r="F853" s="20"/>
      <c r="G853" s="124"/>
      <c r="H853" s="20"/>
      <c r="I853" s="20"/>
      <c r="J853" s="20"/>
      <c r="K853" s="124"/>
      <c r="L853" s="127"/>
      <c r="M853" s="20"/>
      <c r="N853" s="20"/>
      <c r="O853" s="20"/>
      <c r="P853" s="124"/>
      <c r="Q853" s="127"/>
      <c r="R853" s="20"/>
      <c r="S853" s="20"/>
      <c r="T853" s="20"/>
      <c r="U853" s="124"/>
      <c r="V853" s="127"/>
      <c r="W853" s="20"/>
      <c r="X853" s="20"/>
      <c r="Y853" s="20"/>
      <c r="Z853" s="20"/>
      <c r="AA853" s="20"/>
      <c r="AB853" s="20"/>
      <c r="AC853" s="20"/>
      <c r="AD853" s="20"/>
      <c r="AE853" s="20"/>
    </row>
    <row r="854" spans="1:31" ht="19.5">
      <c r="A854" s="20"/>
      <c r="B854" s="20"/>
      <c r="C854" s="20"/>
      <c r="D854" s="20"/>
      <c r="E854" s="20"/>
      <c r="F854" s="20"/>
      <c r="G854" s="124"/>
      <c r="H854" s="20"/>
      <c r="I854" s="20"/>
      <c r="J854" s="20"/>
      <c r="K854" s="124"/>
      <c r="L854" s="127"/>
      <c r="M854" s="20"/>
      <c r="N854" s="20"/>
      <c r="O854" s="20"/>
      <c r="P854" s="124"/>
      <c r="Q854" s="127"/>
      <c r="R854" s="20"/>
      <c r="S854" s="20"/>
      <c r="T854" s="20"/>
      <c r="U854" s="124"/>
      <c r="V854" s="127"/>
      <c r="W854" s="20"/>
      <c r="X854" s="20"/>
      <c r="Y854" s="20"/>
      <c r="Z854" s="20"/>
      <c r="AA854" s="20"/>
      <c r="AB854" s="20"/>
      <c r="AC854" s="20"/>
      <c r="AD854" s="20"/>
      <c r="AE854" s="20"/>
    </row>
    <row r="855" spans="1:31" ht="19.5">
      <c r="A855" s="20"/>
      <c r="B855" s="20"/>
      <c r="C855" s="20"/>
      <c r="D855" s="20"/>
      <c r="E855" s="20"/>
      <c r="F855" s="20"/>
      <c r="G855" s="124"/>
      <c r="H855" s="20"/>
      <c r="I855" s="20"/>
      <c r="J855" s="20"/>
      <c r="K855" s="124"/>
      <c r="L855" s="127"/>
      <c r="M855" s="20"/>
      <c r="N855" s="20"/>
      <c r="O855" s="20"/>
      <c r="P855" s="124"/>
      <c r="Q855" s="127"/>
      <c r="R855" s="20"/>
      <c r="S855" s="20"/>
      <c r="T855" s="20"/>
      <c r="U855" s="124"/>
      <c r="V855" s="127"/>
      <c r="W855" s="20"/>
      <c r="X855" s="20"/>
      <c r="Y855" s="20"/>
      <c r="Z855" s="20"/>
      <c r="AA855" s="20"/>
      <c r="AB855" s="20"/>
      <c r="AC855" s="20"/>
      <c r="AD855" s="20"/>
      <c r="AE855" s="20"/>
    </row>
    <row r="856" spans="1:31" ht="19.5">
      <c r="A856" s="20"/>
      <c r="B856" s="20"/>
      <c r="C856" s="20"/>
      <c r="D856" s="20"/>
      <c r="E856" s="20"/>
      <c r="F856" s="20"/>
      <c r="G856" s="124"/>
      <c r="H856" s="20"/>
      <c r="I856" s="20"/>
      <c r="J856" s="20"/>
      <c r="K856" s="124"/>
      <c r="L856" s="127"/>
      <c r="M856" s="20"/>
      <c r="N856" s="20"/>
      <c r="O856" s="20"/>
      <c r="P856" s="124"/>
      <c r="Q856" s="127"/>
      <c r="R856" s="20"/>
      <c r="S856" s="20"/>
      <c r="T856" s="20"/>
      <c r="U856" s="124"/>
      <c r="V856" s="127"/>
      <c r="W856" s="20"/>
      <c r="X856" s="20"/>
      <c r="Y856" s="20"/>
      <c r="Z856" s="20"/>
      <c r="AA856" s="20"/>
      <c r="AB856" s="20"/>
      <c r="AC856" s="20"/>
      <c r="AD856" s="20"/>
      <c r="AE856" s="20"/>
    </row>
    <row r="857" spans="1:31" ht="19.5">
      <c r="A857" s="20"/>
      <c r="B857" s="20"/>
      <c r="C857" s="20"/>
      <c r="D857" s="20"/>
      <c r="E857" s="20"/>
      <c r="F857" s="20"/>
      <c r="G857" s="124"/>
      <c r="H857" s="20"/>
      <c r="I857" s="20"/>
      <c r="J857" s="20"/>
      <c r="K857" s="124"/>
      <c r="L857" s="127"/>
      <c r="M857" s="20"/>
      <c r="N857" s="20"/>
      <c r="O857" s="20"/>
      <c r="P857" s="124"/>
      <c r="Q857" s="127"/>
      <c r="R857" s="20"/>
      <c r="S857" s="20"/>
      <c r="T857" s="20"/>
      <c r="U857" s="124"/>
      <c r="V857" s="127"/>
      <c r="W857" s="20"/>
      <c r="X857" s="20"/>
      <c r="Y857" s="20"/>
      <c r="Z857" s="20"/>
      <c r="AA857" s="20"/>
      <c r="AB857" s="20"/>
      <c r="AC857" s="20"/>
      <c r="AD857" s="20"/>
      <c r="AE857" s="20"/>
    </row>
    <row r="858" spans="1:31" ht="19.5">
      <c r="A858" s="20"/>
      <c r="B858" s="20"/>
      <c r="C858" s="20"/>
      <c r="D858" s="20"/>
      <c r="E858" s="20"/>
      <c r="F858" s="20"/>
      <c r="G858" s="124"/>
      <c r="H858" s="20"/>
      <c r="I858" s="20"/>
      <c r="J858" s="20"/>
      <c r="K858" s="124"/>
      <c r="L858" s="127"/>
      <c r="M858" s="20"/>
      <c r="N858" s="20"/>
      <c r="O858" s="20"/>
      <c r="P858" s="124"/>
      <c r="Q858" s="127"/>
      <c r="R858" s="20"/>
      <c r="S858" s="20"/>
      <c r="T858" s="20"/>
      <c r="U858" s="124"/>
      <c r="V858" s="127"/>
      <c r="W858" s="20"/>
      <c r="X858" s="20"/>
      <c r="Y858" s="20"/>
      <c r="Z858" s="20"/>
      <c r="AA858" s="20"/>
      <c r="AB858" s="20"/>
      <c r="AC858" s="20"/>
      <c r="AD858" s="20"/>
      <c r="AE858" s="20"/>
    </row>
    <row r="859" spans="1:31" ht="19.5">
      <c r="A859" s="20"/>
      <c r="B859" s="20"/>
      <c r="C859" s="20"/>
      <c r="D859" s="20"/>
      <c r="E859" s="20"/>
      <c r="F859" s="20"/>
      <c r="G859" s="124"/>
      <c r="H859" s="20"/>
      <c r="I859" s="20"/>
      <c r="J859" s="20"/>
      <c r="K859" s="124"/>
      <c r="L859" s="127"/>
      <c r="M859" s="20"/>
      <c r="N859" s="20"/>
      <c r="O859" s="20"/>
      <c r="P859" s="124"/>
      <c r="Q859" s="127"/>
      <c r="R859" s="20"/>
      <c r="S859" s="20"/>
      <c r="T859" s="20"/>
      <c r="U859" s="124"/>
      <c r="V859" s="127"/>
      <c r="W859" s="20"/>
      <c r="X859" s="20"/>
      <c r="Y859" s="20"/>
      <c r="Z859" s="20"/>
      <c r="AA859" s="20"/>
      <c r="AB859" s="20"/>
      <c r="AC859" s="20"/>
      <c r="AD859" s="20"/>
      <c r="AE859" s="20"/>
    </row>
    <row r="860" spans="1:31" ht="19.5">
      <c r="A860" s="20"/>
      <c r="B860" s="20"/>
      <c r="C860" s="20"/>
      <c r="D860" s="20"/>
      <c r="E860" s="20"/>
      <c r="F860" s="20"/>
      <c r="G860" s="124"/>
      <c r="H860" s="20"/>
      <c r="I860" s="20"/>
      <c r="J860" s="20"/>
      <c r="K860" s="124"/>
      <c r="L860" s="127"/>
      <c r="M860" s="20"/>
      <c r="N860" s="20"/>
      <c r="O860" s="20"/>
      <c r="P860" s="124"/>
      <c r="Q860" s="127"/>
      <c r="R860" s="20"/>
      <c r="S860" s="20"/>
      <c r="T860" s="20"/>
      <c r="U860" s="124"/>
      <c r="V860" s="127"/>
      <c r="W860" s="20"/>
      <c r="X860" s="20"/>
      <c r="Y860" s="20"/>
      <c r="Z860" s="20"/>
      <c r="AA860" s="20"/>
      <c r="AB860" s="20"/>
      <c r="AC860" s="20"/>
      <c r="AD860" s="20"/>
      <c r="AE860" s="20"/>
    </row>
    <row r="861" spans="1:31" ht="19.5">
      <c r="A861" s="20"/>
      <c r="B861" s="20"/>
      <c r="C861" s="20"/>
      <c r="D861" s="20"/>
      <c r="E861" s="20"/>
      <c r="F861" s="20"/>
      <c r="G861" s="124"/>
      <c r="H861" s="20"/>
      <c r="I861" s="20"/>
      <c r="J861" s="20"/>
      <c r="K861" s="124"/>
      <c r="L861" s="127"/>
      <c r="M861" s="20"/>
      <c r="N861" s="20"/>
      <c r="O861" s="20"/>
      <c r="P861" s="124"/>
      <c r="Q861" s="127"/>
      <c r="R861" s="20"/>
      <c r="S861" s="20"/>
      <c r="T861" s="20"/>
      <c r="U861" s="124"/>
      <c r="V861" s="127"/>
      <c r="W861" s="20"/>
      <c r="X861" s="20"/>
      <c r="Y861" s="20"/>
      <c r="Z861" s="20"/>
      <c r="AA861" s="20"/>
      <c r="AB861" s="20"/>
      <c r="AC861" s="20"/>
      <c r="AD861" s="20"/>
      <c r="AE861" s="20"/>
    </row>
    <row r="862" spans="1:31" ht="19.5">
      <c r="A862" s="20"/>
      <c r="B862" s="20"/>
      <c r="C862" s="20"/>
      <c r="D862" s="20"/>
      <c r="E862" s="20"/>
      <c r="F862" s="20"/>
      <c r="G862" s="124"/>
      <c r="H862" s="20"/>
      <c r="I862" s="20"/>
      <c r="J862" s="20"/>
      <c r="K862" s="124"/>
      <c r="L862" s="127"/>
      <c r="M862" s="20"/>
      <c r="N862" s="20"/>
      <c r="O862" s="20"/>
      <c r="P862" s="124"/>
      <c r="Q862" s="127"/>
      <c r="R862" s="20"/>
      <c r="S862" s="20"/>
      <c r="T862" s="20"/>
      <c r="U862" s="124"/>
      <c r="V862" s="127"/>
      <c r="W862" s="20"/>
      <c r="X862" s="20"/>
      <c r="Y862" s="20"/>
      <c r="Z862" s="20"/>
      <c r="AA862" s="20"/>
      <c r="AB862" s="20"/>
      <c r="AC862" s="20"/>
      <c r="AD862" s="20"/>
      <c r="AE862" s="20"/>
    </row>
    <row r="863" spans="1:31" ht="19.5">
      <c r="A863" s="20"/>
      <c r="B863" s="20"/>
      <c r="C863" s="20"/>
      <c r="D863" s="20"/>
      <c r="E863" s="20"/>
      <c r="F863" s="20"/>
      <c r="G863" s="124"/>
      <c r="H863" s="20"/>
      <c r="I863" s="20"/>
      <c r="J863" s="20"/>
      <c r="K863" s="124"/>
      <c r="L863" s="127"/>
      <c r="M863" s="20"/>
      <c r="N863" s="20"/>
      <c r="O863" s="20"/>
      <c r="P863" s="124"/>
      <c r="Q863" s="127"/>
      <c r="R863" s="20"/>
      <c r="S863" s="20"/>
      <c r="T863" s="20"/>
      <c r="U863" s="124"/>
      <c r="V863" s="127"/>
      <c r="W863" s="20"/>
      <c r="X863" s="20"/>
      <c r="Y863" s="20"/>
      <c r="Z863" s="20"/>
      <c r="AA863" s="20"/>
      <c r="AB863" s="20"/>
      <c r="AC863" s="20"/>
      <c r="AD863" s="20"/>
      <c r="AE863" s="20"/>
    </row>
    <row r="864" spans="1:31" ht="19.5">
      <c r="A864" s="20"/>
      <c r="B864" s="20"/>
      <c r="C864" s="20"/>
      <c r="D864" s="20"/>
      <c r="E864" s="20"/>
      <c r="F864" s="20"/>
      <c r="G864" s="124"/>
      <c r="H864" s="20"/>
      <c r="I864" s="20"/>
      <c r="J864" s="20"/>
      <c r="K864" s="124"/>
      <c r="L864" s="127"/>
      <c r="M864" s="20"/>
      <c r="N864" s="20"/>
      <c r="O864" s="20"/>
      <c r="P864" s="124"/>
      <c r="Q864" s="127"/>
      <c r="R864" s="20"/>
      <c r="S864" s="20"/>
      <c r="T864" s="20"/>
      <c r="U864" s="124"/>
      <c r="V864" s="127"/>
      <c r="W864" s="20"/>
      <c r="X864" s="20"/>
      <c r="Y864" s="20"/>
      <c r="Z864" s="20"/>
      <c r="AA864" s="20"/>
      <c r="AB864" s="20"/>
      <c r="AC864" s="20"/>
      <c r="AD864" s="20"/>
      <c r="AE864" s="20"/>
    </row>
    <row r="865" spans="1:31" ht="19.5">
      <c r="A865" s="20"/>
      <c r="B865" s="20"/>
      <c r="C865" s="20"/>
      <c r="D865" s="20"/>
      <c r="E865" s="20"/>
      <c r="F865" s="20"/>
      <c r="G865" s="124"/>
      <c r="H865" s="20"/>
      <c r="I865" s="20"/>
      <c r="J865" s="20"/>
      <c r="K865" s="124"/>
      <c r="L865" s="127"/>
      <c r="M865" s="20"/>
      <c r="N865" s="20"/>
      <c r="O865" s="20"/>
      <c r="P865" s="124"/>
      <c r="Q865" s="127"/>
      <c r="R865" s="20"/>
      <c r="S865" s="20"/>
      <c r="T865" s="20"/>
      <c r="U865" s="124"/>
      <c r="V865" s="127"/>
      <c r="W865" s="20"/>
      <c r="X865" s="20"/>
      <c r="Y865" s="20"/>
      <c r="Z865" s="20"/>
      <c r="AA865" s="20"/>
      <c r="AB865" s="20"/>
      <c r="AC865" s="20"/>
      <c r="AD865" s="20"/>
      <c r="AE865" s="20"/>
    </row>
    <row r="866" spans="1:31" ht="19.5">
      <c r="A866" s="20"/>
      <c r="B866" s="20"/>
      <c r="C866" s="20"/>
      <c r="D866" s="20"/>
      <c r="E866" s="20"/>
      <c r="F866" s="20"/>
      <c r="G866" s="124"/>
      <c r="H866" s="20"/>
      <c r="I866" s="20"/>
      <c r="J866" s="20"/>
      <c r="K866" s="124"/>
      <c r="L866" s="127"/>
      <c r="M866" s="20"/>
      <c r="N866" s="20"/>
      <c r="O866" s="20"/>
      <c r="P866" s="124"/>
      <c r="Q866" s="127"/>
      <c r="R866" s="20"/>
      <c r="S866" s="20"/>
      <c r="T866" s="20"/>
      <c r="U866" s="124"/>
      <c r="V866" s="127"/>
      <c r="W866" s="20"/>
      <c r="X866" s="20"/>
      <c r="Y866" s="20"/>
      <c r="Z866" s="20"/>
      <c r="AA866" s="20"/>
      <c r="AB866" s="20"/>
      <c r="AC866" s="20"/>
      <c r="AD866" s="20"/>
      <c r="AE866" s="20"/>
    </row>
    <row r="867" spans="1:31" ht="19.5">
      <c r="A867" s="20"/>
      <c r="B867" s="20"/>
      <c r="C867" s="20"/>
      <c r="D867" s="20"/>
      <c r="E867" s="20"/>
      <c r="F867" s="20"/>
      <c r="G867" s="124"/>
      <c r="H867" s="20"/>
      <c r="I867" s="20"/>
      <c r="J867" s="20"/>
      <c r="K867" s="124"/>
      <c r="L867" s="127"/>
      <c r="M867" s="20"/>
      <c r="N867" s="20"/>
      <c r="O867" s="20"/>
      <c r="P867" s="124"/>
      <c r="Q867" s="127"/>
      <c r="R867" s="20"/>
      <c r="S867" s="20"/>
      <c r="T867" s="20"/>
      <c r="U867" s="124"/>
      <c r="V867" s="127"/>
      <c r="W867" s="20"/>
      <c r="X867" s="20"/>
      <c r="Y867" s="20"/>
      <c r="Z867" s="20"/>
      <c r="AA867" s="20"/>
      <c r="AB867" s="20"/>
      <c r="AC867" s="20"/>
      <c r="AD867" s="20"/>
      <c r="AE867" s="20"/>
    </row>
    <row r="868" spans="1:31" ht="19.5">
      <c r="A868" s="20"/>
      <c r="B868" s="20"/>
      <c r="C868" s="20"/>
      <c r="D868" s="20"/>
      <c r="E868" s="20"/>
      <c r="F868" s="20"/>
      <c r="G868" s="124"/>
      <c r="H868" s="20"/>
      <c r="I868" s="20"/>
      <c r="J868" s="20"/>
      <c r="K868" s="124"/>
      <c r="L868" s="127"/>
      <c r="M868" s="20"/>
      <c r="N868" s="20"/>
      <c r="O868" s="20"/>
      <c r="P868" s="124"/>
      <c r="Q868" s="127"/>
      <c r="R868" s="20"/>
      <c r="S868" s="20"/>
      <c r="T868" s="20"/>
      <c r="U868" s="124"/>
      <c r="V868" s="127"/>
      <c r="W868" s="20"/>
      <c r="X868" s="20"/>
      <c r="Y868" s="20"/>
      <c r="Z868" s="20"/>
      <c r="AA868" s="20"/>
      <c r="AB868" s="20"/>
      <c r="AC868" s="20"/>
      <c r="AD868" s="20"/>
      <c r="AE868" s="20"/>
    </row>
    <row r="869" spans="1:31" ht="19.5">
      <c r="A869" s="20"/>
      <c r="B869" s="20"/>
      <c r="C869" s="20"/>
      <c r="D869" s="20"/>
      <c r="E869" s="20"/>
      <c r="F869" s="20"/>
      <c r="G869" s="124"/>
      <c r="H869" s="20"/>
      <c r="I869" s="20"/>
      <c r="J869" s="20"/>
      <c r="K869" s="124"/>
      <c r="L869" s="127"/>
      <c r="M869" s="20"/>
      <c r="N869" s="20"/>
      <c r="O869" s="20"/>
      <c r="P869" s="124"/>
      <c r="Q869" s="127"/>
      <c r="R869" s="20"/>
      <c r="S869" s="20"/>
      <c r="T869" s="20"/>
      <c r="U869" s="124"/>
      <c r="V869" s="127"/>
      <c r="W869" s="20"/>
      <c r="X869" s="20"/>
      <c r="Y869" s="20"/>
      <c r="Z869" s="20"/>
      <c r="AA869" s="20"/>
      <c r="AB869" s="20"/>
      <c r="AC869" s="20"/>
      <c r="AD869" s="20"/>
      <c r="AE869" s="20"/>
    </row>
    <row r="870" spans="1:31" ht="19.5">
      <c r="A870" s="20"/>
      <c r="B870" s="20"/>
      <c r="C870" s="20"/>
      <c r="D870" s="20"/>
      <c r="E870" s="20"/>
      <c r="F870" s="20"/>
      <c r="G870" s="124"/>
      <c r="H870" s="20"/>
      <c r="I870" s="20"/>
      <c r="J870" s="20"/>
      <c r="K870" s="124"/>
      <c r="L870" s="127"/>
      <c r="M870" s="20"/>
      <c r="N870" s="20"/>
      <c r="O870" s="20"/>
      <c r="P870" s="124"/>
      <c r="Q870" s="127"/>
      <c r="R870" s="20"/>
      <c r="S870" s="20"/>
      <c r="T870" s="20"/>
      <c r="U870" s="124"/>
      <c r="V870" s="127"/>
      <c r="W870" s="20"/>
      <c r="X870" s="20"/>
      <c r="Y870" s="20"/>
      <c r="Z870" s="20"/>
      <c r="AA870" s="20"/>
      <c r="AB870" s="20"/>
      <c r="AC870" s="20"/>
      <c r="AD870" s="20"/>
      <c r="AE870" s="20"/>
    </row>
    <row r="871" spans="1:31" ht="19.5">
      <c r="A871" s="20"/>
      <c r="B871" s="20"/>
      <c r="C871" s="20"/>
      <c r="D871" s="20"/>
      <c r="E871" s="20"/>
      <c r="F871" s="20"/>
      <c r="G871" s="124"/>
      <c r="H871" s="20"/>
      <c r="I871" s="20"/>
      <c r="J871" s="20"/>
      <c r="K871" s="124"/>
      <c r="L871" s="127"/>
      <c r="M871" s="20"/>
      <c r="N871" s="20"/>
      <c r="O871" s="20"/>
      <c r="P871" s="124"/>
      <c r="Q871" s="127"/>
      <c r="R871" s="20"/>
      <c r="S871" s="20"/>
      <c r="T871" s="20"/>
      <c r="U871" s="124"/>
      <c r="V871" s="127"/>
      <c r="W871" s="20"/>
      <c r="X871" s="20"/>
      <c r="Y871" s="20"/>
      <c r="Z871" s="20"/>
      <c r="AA871" s="20"/>
      <c r="AB871" s="20"/>
      <c r="AC871" s="20"/>
      <c r="AD871" s="20"/>
      <c r="AE871" s="20"/>
    </row>
    <row r="872" spans="1:31" ht="19.5">
      <c r="A872" s="20"/>
      <c r="B872" s="20"/>
      <c r="C872" s="20"/>
      <c r="D872" s="20"/>
      <c r="E872" s="20"/>
      <c r="F872" s="20"/>
      <c r="G872" s="124"/>
      <c r="H872" s="20"/>
      <c r="I872" s="20"/>
      <c r="J872" s="20"/>
      <c r="K872" s="124"/>
      <c r="L872" s="127"/>
      <c r="M872" s="20"/>
      <c r="N872" s="20"/>
      <c r="O872" s="20"/>
      <c r="P872" s="124"/>
      <c r="Q872" s="127"/>
      <c r="R872" s="20"/>
      <c r="S872" s="20"/>
      <c r="T872" s="20"/>
      <c r="U872" s="124"/>
      <c r="V872" s="127"/>
      <c r="W872" s="20"/>
      <c r="X872" s="20"/>
      <c r="Y872" s="20"/>
      <c r="Z872" s="20"/>
      <c r="AA872" s="20"/>
      <c r="AB872" s="20"/>
      <c r="AC872" s="20"/>
      <c r="AD872" s="20"/>
      <c r="AE872" s="20"/>
    </row>
    <row r="873" spans="1:31" ht="19.5">
      <c r="A873" s="20"/>
      <c r="B873" s="20"/>
      <c r="C873" s="20"/>
      <c r="D873" s="20"/>
      <c r="E873" s="20"/>
      <c r="F873" s="20"/>
      <c r="G873" s="124"/>
      <c r="H873" s="20"/>
      <c r="I873" s="20"/>
      <c r="J873" s="20"/>
      <c r="K873" s="124"/>
      <c r="L873" s="127"/>
      <c r="M873" s="20"/>
      <c r="N873" s="20"/>
      <c r="O873" s="20"/>
      <c r="P873" s="124"/>
      <c r="Q873" s="127"/>
      <c r="R873" s="20"/>
      <c r="S873" s="20"/>
      <c r="T873" s="20"/>
      <c r="U873" s="124"/>
      <c r="V873" s="127"/>
      <c r="W873" s="20"/>
      <c r="X873" s="20"/>
      <c r="Y873" s="20"/>
      <c r="Z873" s="20"/>
      <c r="AA873" s="20"/>
      <c r="AB873" s="20"/>
      <c r="AC873" s="20"/>
      <c r="AD873" s="20"/>
      <c r="AE873" s="20"/>
    </row>
    <row r="874" spans="1:31" ht="19.5">
      <c r="A874" s="20"/>
      <c r="B874" s="20"/>
      <c r="C874" s="20"/>
      <c r="D874" s="20"/>
      <c r="E874" s="20"/>
      <c r="F874" s="20"/>
      <c r="G874" s="124"/>
      <c r="H874" s="20"/>
      <c r="I874" s="20"/>
      <c r="J874" s="20"/>
      <c r="K874" s="124"/>
      <c r="L874" s="127"/>
      <c r="M874" s="20"/>
      <c r="N874" s="20"/>
      <c r="O874" s="20"/>
      <c r="P874" s="124"/>
      <c r="Q874" s="127"/>
      <c r="R874" s="20"/>
      <c r="S874" s="20"/>
      <c r="T874" s="20"/>
      <c r="U874" s="124"/>
      <c r="V874" s="127"/>
      <c r="W874" s="20"/>
      <c r="X874" s="20"/>
      <c r="Y874" s="20"/>
      <c r="Z874" s="20"/>
      <c r="AA874" s="20"/>
      <c r="AB874" s="20"/>
      <c r="AC874" s="20"/>
      <c r="AD874" s="20"/>
      <c r="AE874" s="20"/>
    </row>
    <row r="875" spans="1:31" ht="19.5">
      <c r="A875" s="20"/>
      <c r="B875" s="20"/>
      <c r="C875" s="20"/>
      <c r="D875" s="20"/>
      <c r="E875" s="20"/>
      <c r="F875" s="20"/>
      <c r="G875" s="124"/>
      <c r="H875" s="20"/>
      <c r="I875" s="20"/>
      <c r="J875" s="20"/>
      <c r="K875" s="124"/>
      <c r="L875" s="127"/>
      <c r="M875" s="20"/>
      <c r="N875" s="20"/>
      <c r="O875" s="20"/>
      <c r="P875" s="124"/>
      <c r="Q875" s="127"/>
      <c r="R875" s="20"/>
      <c r="S875" s="20"/>
      <c r="T875" s="20"/>
      <c r="U875" s="124"/>
      <c r="V875" s="127"/>
      <c r="W875" s="20"/>
      <c r="X875" s="20"/>
      <c r="Y875" s="20"/>
      <c r="Z875" s="20"/>
      <c r="AA875" s="20"/>
      <c r="AB875" s="20"/>
      <c r="AC875" s="20"/>
      <c r="AD875" s="20"/>
      <c r="AE875" s="20"/>
    </row>
    <row r="876" spans="1:31" ht="19.5">
      <c r="A876" s="20"/>
      <c r="B876" s="20"/>
      <c r="C876" s="20"/>
      <c r="D876" s="20"/>
      <c r="E876" s="20"/>
      <c r="F876" s="20"/>
      <c r="G876" s="124"/>
      <c r="H876" s="20"/>
      <c r="I876" s="20"/>
      <c r="J876" s="20"/>
      <c r="K876" s="124"/>
      <c r="L876" s="127"/>
      <c r="M876" s="20"/>
      <c r="N876" s="20"/>
      <c r="O876" s="20"/>
      <c r="P876" s="124"/>
      <c r="Q876" s="127"/>
      <c r="R876" s="20"/>
      <c r="S876" s="20"/>
      <c r="T876" s="20"/>
      <c r="U876" s="124"/>
      <c r="V876" s="127"/>
      <c r="W876" s="20"/>
      <c r="X876" s="20"/>
      <c r="Y876" s="20"/>
      <c r="Z876" s="20"/>
      <c r="AA876" s="20"/>
      <c r="AB876" s="20"/>
      <c r="AC876" s="20"/>
      <c r="AD876" s="20"/>
      <c r="AE876" s="20"/>
    </row>
    <row r="877" spans="1:31" ht="19.5">
      <c r="A877" s="20"/>
      <c r="B877" s="20"/>
      <c r="C877" s="20"/>
      <c r="D877" s="20"/>
      <c r="E877" s="20"/>
      <c r="F877" s="20"/>
      <c r="G877" s="124"/>
      <c r="H877" s="20"/>
      <c r="I877" s="20"/>
      <c r="J877" s="20"/>
      <c r="K877" s="124"/>
      <c r="L877" s="127"/>
      <c r="M877" s="20"/>
      <c r="N877" s="20"/>
      <c r="O877" s="20"/>
      <c r="P877" s="124"/>
      <c r="Q877" s="127"/>
      <c r="R877" s="20"/>
      <c r="S877" s="20"/>
      <c r="T877" s="20"/>
      <c r="U877" s="124"/>
      <c r="V877" s="127"/>
      <c r="W877" s="20"/>
      <c r="X877" s="20"/>
      <c r="Y877" s="20"/>
      <c r="Z877" s="20"/>
      <c r="AA877" s="20"/>
      <c r="AB877" s="20"/>
      <c r="AC877" s="20"/>
      <c r="AD877" s="20"/>
      <c r="AE877" s="20"/>
    </row>
    <row r="878" spans="1:31" ht="19.5">
      <c r="A878" s="20"/>
      <c r="B878" s="20"/>
      <c r="C878" s="20"/>
      <c r="D878" s="20"/>
      <c r="E878" s="20"/>
      <c r="F878" s="20"/>
      <c r="G878" s="124"/>
      <c r="H878" s="20"/>
      <c r="I878" s="20"/>
      <c r="J878" s="20"/>
      <c r="K878" s="124"/>
      <c r="L878" s="127"/>
      <c r="M878" s="20"/>
      <c r="N878" s="20"/>
      <c r="O878" s="20"/>
      <c r="P878" s="124"/>
      <c r="Q878" s="127"/>
      <c r="R878" s="20"/>
      <c r="S878" s="20"/>
      <c r="T878" s="20"/>
      <c r="U878" s="124"/>
      <c r="V878" s="127"/>
      <c r="W878" s="20"/>
      <c r="X878" s="20"/>
      <c r="Y878" s="20"/>
      <c r="Z878" s="20"/>
      <c r="AA878" s="20"/>
      <c r="AB878" s="20"/>
      <c r="AC878" s="20"/>
      <c r="AD878" s="20"/>
      <c r="AE878" s="20"/>
    </row>
    <row r="879" spans="1:31" ht="19.5">
      <c r="A879" s="20"/>
      <c r="B879" s="20"/>
      <c r="C879" s="20"/>
      <c r="D879" s="20"/>
      <c r="E879" s="20"/>
      <c r="F879" s="20"/>
      <c r="G879" s="124"/>
      <c r="H879" s="20"/>
      <c r="I879" s="20"/>
      <c r="J879" s="20"/>
      <c r="K879" s="124"/>
      <c r="L879" s="127"/>
      <c r="M879" s="20"/>
      <c r="N879" s="20"/>
      <c r="O879" s="20"/>
      <c r="P879" s="124"/>
      <c r="Q879" s="127"/>
      <c r="R879" s="20"/>
      <c r="S879" s="20"/>
      <c r="T879" s="20"/>
      <c r="U879" s="124"/>
      <c r="V879" s="127"/>
      <c r="W879" s="20"/>
      <c r="X879" s="20"/>
      <c r="Y879" s="20"/>
      <c r="Z879" s="20"/>
      <c r="AA879" s="20"/>
      <c r="AB879" s="20"/>
      <c r="AC879" s="20"/>
      <c r="AD879" s="20"/>
      <c r="AE879" s="20"/>
    </row>
    <row r="880" spans="1:31" ht="19.5">
      <c r="A880" s="20"/>
      <c r="B880" s="20"/>
      <c r="C880" s="20"/>
      <c r="D880" s="20"/>
      <c r="E880" s="20"/>
      <c r="F880" s="20"/>
      <c r="G880" s="124"/>
      <c r="H880" s="20"/>
      <c r="I880" s="20"/>
      <c r="J880" s="20"/>
      <c r="K880" s="124"/>
      <c r="L880" s="127"/>
      <c r="M880" s="20"/>
      <c r="N880" s="20"/>
      <c r="O880" s="20"/>
      <c r="P880" s="124"/>
      <c r="Q880" s="127"/>
      <c r="R880" s="20"/>
      <c r="S880" s="20"/>
      <c r="T880" s="20"/>
      <c r="U880" s="124"/>
      <c r="V880" s="127"/>
      <c r="W880" s="20"/>
      <c r="X880" s="20"/>
      <c r="Y880" s="20"/>
      <c r="Z880" s="20"/>
      <c r="AA880" s="20"/>
      <c r="AB880" s="20"/>
      <c r="AC880" s="20"/>
      <c r="AD880" s="20"/>
      <c r="AE880" s="20"/>
    </row>
    <row r="881" spans="1:31" ht="19.5">
      <c r="A881" s="20"/>
      <c r="B881" s="20"/>
      <c r="C881" s="20"/>
      <c r="D881" s="20"/>
      <c r="E881" s="20"/>
      <c r="F881" s="20"/>
      <c r="G881" s="124"/>
      <c r="H881" s="20"/>
      <c r="I881" s="20"/>
      <c r="J881" s="20"/>
      <c r="K881" s="124"/>
      <c r="L881" s="127"/>
      <c r="M881" s="20"/>
      <c r="N881" s="20"/>
      <c r="O881" s="20"/>
      <c r="P881" s="124"/>
      <c r="Q881" s="127"/>
      <c r="R881" s="20"/>
      <c r="S881" s="20"/>
      <c r="T881" s="20"/>
      <c r="U881" s="124"/>
      <c r="V881" s="127"/>
      <c r="W881" s="20"/>
      <c r="X881" s="20"/>
      <c r="Y881" s="20"/>
      <c r="Z881" s="20"/>
      <c r="AA881" s="20"/>
      <c r="AB881" s="20"/>
      <c r="AC881" s="20"/>
      <c r="AD881" s="20"/>
      <c r="AE881" s="20"/>
    </row>
    <row r="882" spans="1:31" ht="19.5">
      <c r="A882" s="20"/>
      <c r="B882" s="20"/>
      <c r="C882" s="20"/>
      <c r="D882" s="20"/>
      <c r="E882" s="20"/>
      <c r="F882" s="20"/>
      <c r="G882" s="124"/>
      <c r="H882" s="20"/>
      <c r="I882" s="20"/>
      <c r="J882" s="20"/>
      <c r="K882" s="124"/>
      <c r="L882" s="127"/>
      <c r="M882" s="20"/>
      <c r="N882" s="20"/>
      <c r="O882" s="20"/>
      <c r="P882" s="124"/>
      <c r="Q882" s="127"/>
      <c r="R882" s="20"/>
      <c r="S882" s="20"/>
      <c r="T882" s="20"/>
      <c r="U882" s="124"/>
      <c r="V882" s="127"/>
      <c r="W882" s="20"/>
      <c r="X882" s="20"/>
      <c r="Y882" s="20"/>
      <c r="Z882" s="20"/>
      <c r="AA882" s="20"/>
      <c r="AB882" s="20"/>
      <c r="AC882" s="20"/>
      <c r="AD882" s="20"/>
      <c r="AE882" s="20"/>
    </row>
    <row r="883" spans="1:31" ht="19.5">
      <c r="A883" s="20"/>
      <c r="B883" s="20"/>
      <c r="C883" s="20"/>
      <c r="D883" s="20"/>
      <c r="E883" s="20"/>
      <c r="F883" s="20"/>
      <c r="G883" s="124"/>
      <c r="H883" s="20"/>
      <c r="I883" s="20"/>
      <c r="J883" s="20"/>
      <c r="K883" s="124"/>
      <c r="L883" s="127"/>
      <c r="M883" s="20"/>
      <c r="N883" s="20"/>
      <c r="O883" s="20"/>
      <c r="P883" s="124"/>
      <c r="Q883" s="127"/>
      <c r="R883" s="20"/>
      <c r="S883" s="20"/>
      <c r="T883" s="20"/>
      <c r="U883" s="124"/>
      <c r="V883" s="127"/>
      <c r="W883" s="20"/>
      <c r="X883" s="20"/>
      <c r="Y883" s="20"/>
      <c r="Z883" s="20"/>
      <c r="AA883" s="20"/>
      <c r="AB883" s="20"/>
      <c r="AC883" s="20"/>
      <c r="AD883" s="20"/>
      <c r="AE883" s="20"/>
    </row>
    <row r="884" spans="1:31" ht="19.5">
      <c r="A884" s="20"/>
      <c r="B884" s="20"/>
      <c r="C884" s="20"/>
      <c r="D884" s="20"/>
      <c r="E884" s="20"/>
      <c r="F884" s="20"/>
      <c r="G884" s="124"/>
      <c r="H884" s="20"/>
      <c r="I884" s="20"/>
      <c r="J884" s="20"/>
      <c r="K884" s="124"/>
      <c r="L884" s="127"/>
      <c r="M884" s="20"/>
      <c r="N884" s="20"/>
      <c r="O884" s="20"/>
      <c r="P884" s="124"/>
      <c r="Q884" s="127"/>
      <c r="R884" s="20"/>
      <c r="S884" s="20"/>
      <c r="T884" s="20"/>
      <c r="U884" s="124"/>
      <c r="V884" s="127"/>
      <c r="W884" s="20"/>
      <c r="X884" s="20"/>
      <c r="Y884" s="20"/>
      <c r="Z884" s="20"/>
      <c r="AA884" s="20"/>
      <c r="AB884" s="20"/>
      <c r="AC884" s="20"/>
      <c r="AD884" s="20"/>
      <c r="AE884" s="20"/>
    </row>
    <row r="885" spans="1:31" ht="19.5">
      <c r="A885" s="20"/>
      <c r="B885" s="20"/>
      <c r="C885" s="20"/>
      <c r="D885" s="20"/>
      <c r="E885" s="20"/>
      <c r="F885" s="20"/>
      <c r="G885" s="124"/>
      <c r="H885" s="20"/>
      <c r="I885" s="20"/>
      <c r="J885" s="20"/>
      <c r="K885" s="124"/>
      <c r="L885" s="127"/>
      <c r="M885" s="20"/>
      <c r="N885" s="20"/>
      <c r="O885" s="20"/>
      <c r="P885" s="124"/>
      <c r="Q885" s="127"/>
      <c r="R885" s="20"/>
      <c r="S885" s="20"/>
      <c r="T885" s="20"/>
      <c r="U885" s="124"/>
      <c r="V885" s="127"/>
      <c r="W885" s="20"/>
      <c r="X885" s="20"/>
      <c r="Y885" s="20"/>
      <c r="Z885" s="20"/>
      <c r="AA885" s="20"/>
      <c r="AB885" s="20"/>
      <c r="AC885" s="20"/>
      <c r="AD885" s="20"/>
      <c r="AE885" s="20"/>
    </row>
    <row r="886" spans="1:31" ht="19.5">
      <c r="A886" s="20"/>
      <c r="B886" s="20"/>
      <c r="C886" s="20"/>
      <c r="D886" s="20"/>
      <c r="E886" s="20"/>
      <c r="F886" s="20"/>
      <c r="G886" s="124"/>
      <c r="H886" s="20"/>
      <c r="I886" s="20"/>
      <c r="J886" s="20"/>
      <c r="K886" s="124"/>
      <c r="L886" s="127"/>
      <c r="M886" s="20"/>
      <c r="N886" s="20"/>
      <c r="O886" s="20"/>
      <c r="P886" s="124"/>
      <c r="Q886" s="127"/>
      <c r="R886" s="20"/>
      <c r="S886" s="20"/>
      <c r="T886" s="20"/>
      <c r="U886" s="124"/>
      <c r="V886" s="127"/>
      <c r="W886" s="20"/>
      <c r="X886" s="20"/>
      <c r="Y886" s="20"/>
      <c r="Z886" s="20"/>
      <c r="AA886" s="20"/>
      <c r="AB886" s="20"/>
      <c r="AC886" s="20"/>
      <c r="AD886" s="20"/>
      <c r="AE886" s="20"/>
    </row>
    <row r="887" spans="1:31" ht="19.5">
      <c r="A887" s="20"/>
      <c r="B887" s="20"/>
      <c r="C887" s="20"/>
      <c r="D887" s="20"/>
      <c r="E887" s="20"/>
      <c r="F887" s="20"/>
      <c r="G887" s="124"/>
      <c r="H887" s="20"/>
      <c r="I887" s="20"/>
      <c r="J887" s="20"/>
      <c r="K887" s="124"/>
      <c r="L887" s="127"/>
      <c r="M887" s="20"/>
      <c r="N887" s="20"/>
      <c r="O887" s="20"/>
      <c r="P887" s="124"/>
      <c r="Q887" s="127"/>
      <c r="R887" s="20"/>
      <c r="S887" s="20"/>
      <c r="T887" s="20"/>
      <c r="U887" s="124"/>
      <c r="V887" s="127"/>
      <c r="W887" s="20"/>
      <c r="X887" s="20"/>
      <c r="Y887" s="20"/>
      <c r="Z887" s="20"/>
      <c r="AA887" s="20"/>
      <c r="AB887" s="20"/>
      <c r="AC887" s="20"/>
      <c r="AD887" s="20"/>
      <c r="AE887" s="20"/>
    </row>
    <row r="888" spans="1:31" ht="19.5">
      <c r="A888" s="20"/>
      <c r="B888" s="20"/>
      <c r="C888" s="20"/>
      <c r="D888" s="20"/>
      <c r="E888" s="20"/>
      <c r="F888" s="20"/>
      <c r="G888" s="124"/>
      <c r="H888" s="20"/>
      <c r="I888" s="20"/>
      <c r="J888" s="20"/>
      <c r="K888" s="124"/>
      <c r="L888" s="127"/>
      <c r="M888" s="20"/>
      <c r="N888" s="20"/>
      <c r="O888" s="20"/>
      <c r="P888" s="124"/>
      <c r="Q888" s="127"/>
      <c r="R888" s="20"/>
      <c r="S888" s="20"/>
      <c r="T888" s="20"/>
      <c r="U888" s="124"/>
      <c r="V888" s="127"/>
      <c r="W888" s="20"/>
      <c r="X888" s="20"/>
      <c r="Y888" s="20"/>
      <c r="Z888" s="20"/>
      <c r="AA888" s="20"/>
      <c r="AB888" s="20"/>
      <c r="AC888" s="20"/>
      <c r="AD888" s="20"/>
      <c r="AE888" s="20"/>
    </row>
    <row r="889" spans="1:31" ht="19.5">
      <c r="A889" s="20"/>
      <c r="B889" s="20"/>
      <c r="C889" s="20"/>
      <c r="D889" s="20"/>
      <c r="E889" s="20"/>
      <c r="F889" s="20"/>
      <c r="G889" s="124"/>
      <c r="H889" s="20"/>
      <c r="I889" s="20"/>
      <c r="J889" s="20"/>
      <c r="K889" s="124"/>
      <c r="L889" s="127"/>
      <c r="M889" s="20"/>
      <c r="N889" s="20"/>
      <c r="O889" s="20"/>
      <c r="P889" s="124"/>
      <c r="Q889" s="127"/>
      <c r="R889" s="20"/>
      <c r="S889" s="20"/>
      <c r="T889" s="20"/>
      <c r="U889" s="124"/>
      <c r="V889" s="127"/>
      <c r="W889" s="20"/>
      <c r="X889" s="20"/>
      <c r="Y889" s="20"/>
      <c r="Z889" s="20"/>
      <c r="AA889" s="20"/>
      <c r="AB889" s="20"/>
      <c r="AC889" s="20"/>
      <c r="AD889" s="20"/>
      <c r="AE889" s="20"/>
    </row>
    <row r="890" spans="1:31" ht="19.5">
      <c r="A890" s="20"/>
      <c r="B890" s="20"/>
      <c r="C890" s="20"/>
      <c r="D890" s="20"/>
      <c r="E890" s="20"/>
      <c r="F890" s="20"/>
      <c r="G890" s="124"/>
      <c r="H890" s="20"/>
      <c r="I890" s="20"/>
      <c r="J890" s="20"/>
      <c r="K890" s="124"/>
      <c r="L890" s="127"/>
      <c r="M890" s="20"/>
      <c r="N890" s="20"/>
      <c r="O890" s="20"/>
      <c r="P890" s="124"/>
      <c r="Q890" s="127"/>
      <c r="R890" s="20"/>
      <c r="S890" s="20"/>
      <c r="T890" s="20"/>
      <c r="U890" s="124"/>
      <c r="V890" s="127"/>
      <c r="W890" s="20"/>
      <c r="X890" s="20"/>
      <c r="Y890" s="20"/>
      <c r="Z890" s="20"/>
      <c r="AA890" s="20"/>
      <c r="AB890" s="20"/>
      <c r="AC890" s="20"/>
      <c r="AD890" s="20"/>
      <c r="AE890" s="20"/>
    </row>
    <row r="891" spans="1:31" ht="19.5">
      <c r="A891" s="20"/>
      <c r="B891" s="20"/>
      <c r="C891" s="20"/>
      <c r="D891" s="20"/>
      <c r="E891" s="20"/>
      <c r="F891" s="20"/>
      <c r="G891" s="124"/>
      <c r="H891" s="20"/>
      <c r="I891" s="20"/>
      <c r="J891" s="20"/>
      <c r="K891" s="124"/>
      <c r="L891" s="127"/>
      <c r="M891" s="20"/>
      <c r="N891" s="20"/>
      <c r="O891" s="20"/>
      <c r="P891" s="124"/>
      <c r="Q891" s="127"/>
      <c r="R891" s="20"/>
      <c r="S891" s="20"/>
      <c r="T891" s="20"/>
      <c r="U891" s="124"/>
      <c r="V891" s="127"/>
      <c r="W891" s="20"/>
      <c r="X891" s="20"/>
      <c r="Y891" s="20"/>
      <c r="Z891" s="20"/>
      <c r="AA891" s="20"/>
      <c r="AB891" s="20"/>
      <c r="AC891" s="20"/>
      <c r="AD891" s="20"/>
      <c r="AE891" s="20"/>
    </row>
    <row r="892" spans="1:31" ht="19.5">
      <c r="A892" s="20"/>
      <c r="B892" s="20"/>
      <c r="C892" s="20"/>
      <c r="D892" s="20"/>
      <c r="E892" s="20"/>
      <c r="F892" s="20"/>
      <c r="G892" s="124"/>
      <c r="H892" s="20"/>
      <c r="I892" s="20"/>
      <c r="J892" s="20"/>
      <c r="K892" s="124"/>
      <c r="L892" s="127"/>
      <c r="M892" s="20"/>
      <c r="N892" s="20"/>
      <c r="O892" s="20"/>
      <c r="P892" s="124"/>
      <c r="Q892" s="127"/>
      <c r="R892" s="20"/>
      <c r="S892" s="20"/>
      <c r="T892" s="20"/>
      <c r="U892" s="124"/>
      <c r="V892" s="127"/>
      <c r="W892" s="20"/>
      <c r="X892" s="20"/>
      <c r="Y892" s="20"/>
      <c r="Z892" s="20"/>
      <c r="AA892" s="20"/>
      <c r="AB892" s="20"/>
      <c r="AC892" s="20"/>
      <c r="AD892" s="20"/>
      <c r="AE892" s="20"/>
    </row>
    <row r="893" spans="1:31" ht="19.5">
      <c r="A893" s="20"/>
      <c r="B893" s="20"/>
      <c r="C893" s="20"/>
      <c r="D893" s="20"/>
      <c r="E893" s="20"/>
      <c r="F893" s="20"/>
      <c r="G893" s="124"/>
      <c r="H893" s="20"/>
      <c r="I893" s="20"/>
      <c r="J893" s="20"/>
      <c r="K893" s="124"/>
      <c r="L893" s="127"/>
      <c r="M893" s="20"/>
      <c r="N893" s="20"/>
      <c r="O893" s="20"/>
      <c r="P893" s="124"/>
      <c r="Q893" s="127"/>
      <c r="R893" s="20"/>
      <c r="S893" s="20"/>
      <c r="T893" s="20"/>
      <c r="U893" s="124"/>
      <c r="V893" s="127"/>
      <c r="W893" s="20"/>
      <c r="X893" s="20"/>
      <c r="Y893" s="20"/>
      <c r="Z893" s="20"/>
      <c r="AA893" s="20"/>
      <c r="AB893" s="20"/>
      <c r="AC893" s="20"/>
      <c r="AD893" s="20"/>
      <c r="AE893" s="20"/>
    </row>
    <row r="894" spans="1:31" ht="19.5">
      <c r="A894" s="20"/>
      <c r="B894" s="20"/>
      <c r="C894" s="20"/>
      <c r="D894" s="20"/>
      <c r="E894" s="20"/>
      <c r="F894" s="20"/>
      <c r="G894" s="124"/>
      <c r="H894" s="20"/>
      <c r="I894" s="20"/>
      <c r="J894" s="20"/>
      <c r="K894" s="124"/>
      <c r="L894" s="127"/>
      <c r="M894" s="20"/>
      <c r="N894" s="20"/>
      <c r="O894" s="20"/>
      <c r="P894" s="124"/>
      <c r="Q894" s="127"/>
      <c r="R894" s="20"/>
      <c r="S894" s="20"/>
      <c r="T894" s="20"/>
      <c r="U894" s="124"/>
      <c r="V894" s="127"/>
      <c r="W894" s="20"/>
      <c r="X894" s="20"/>
      <c r="Y894" s="20"/>
      <c r="Z894" s="20"/>
      <c r="AA894" s="20"/>
      <c r="AB894" s="20"/>
      <c r="AC894" s="20"/>
      <c r="AD894" s="20"/>
      <c r="AE894" s="20"/>
    </row>
    <row r="895" spans="1:31" ht="19.5">
      <c r="A895" s="20"/>
      <c r="B895" s="20"/>
      <c r="C895" s="20"/>
      <c r="D895" s="20"/>
      <c r="E895" s="20"/>
      <c r="F895" s="20"/>
      <c r="G895" s="124"/>
      <c r="H895" s="20"/>
      <c r="I895" s="20"/>
      <c r="J895" s="20"/>
      <c r="K895" s="124"/>
      <c r="L895" s="127"/>
      <c r="M895" s="20"/>
      <c r="N895" s="20"/>
      <c r="O895" s="20"/>
      <c r="P895" s="124"/>
      <c r="Q895" s="127"/>
      <c r="R895" s="20"/>
      <c r="S895" s="20"/>
      <c r="T895" s="20"/>
      <c r="U895" s="124"/>
      <c r="V895" s="127"/>
      <c r="W895" s="20"/>
      <c r="X895" s="20"/>
      <c r="Y895" s="20"/>
      <c r="Z895" s="20"/>
      <c r="AA895" s="20"/>
      <c r="AB895" s="20"/>
      <c r="AC895" s="20"/>
      <c r="AD895" s="20"/>
      <c r="AE895" s="20"/>
    </row>
    <row r="896" spans="1:31" ht="19.5">
      <c r="A896" s="20"/>
      <c r="B896" s="20"/>
      <c r="C896" s="20"/>
      <c r="D896" s="20"/>
      <c r="E896" s="20"/>
      <c r="F896" s="20"/>
      <c r="G896" s="124"/>
      <c r="H896" s="20"/>
      <c r="I896" s="20"/>
      <c r="J896" s="20"/>
      <c r="K896" s="124"/>
      <c r="L896" s="127"/>
      <c r="M896" s="20"/>
      <c r="N896" s="20"/>
      <c r="O896" s="20"/>
      <c r="P896" s="124"/>
      <c r="Q896" s="127"/>
      <c r="R896" s="20"/>
      <c r="S896" s="20"/>
      <c r="T896" s="20"/>
      <c r="U896" s="124"/>
      <c r="V896" s="127"/>
      <c r="W896" s="20"/>
      <c r="X896" s="20"/>
      <c r="Y896" s="20"/>
      <c r="Z896" s="20"/>
      <c r="AA896" s="20"/>
      <c r="AB896" s="20"/>
      <c r="AC896" s="20"/>
      <c r="AD896" s="20"/>
      <c r="AE896" s="20"/>
    </row>
    <row r="897" spans="1:31" ht="19.5">
      <c r="A897" s="20"/>
      <c r="B897" s="20"/>
      <c r="C897" s="20"/>
      <c r="D897" s="20"/>
      <c r="E897" s="20"/>
      <c r="F897" s="20"/>
      <c r="G897" s="124"/>
      <c r="H897" s="20"/>
      <c r="I897" s="20"/>
      <c r="J897" s="20"/>
      <c r="K897" s="124"/>
      <c r="L897" s="127"/>
      <c r="M897" s="20"/>
      <c r="N897" s="20"/>
      <c r="O897" s="20"/>
      <c r="P897" s="124"/>
      <c r="Q897" s="127"/>
      <c r="R897" s="20"/>
      <c r="S897" s="20"/>
      <c r="T897" s="20"/>
      <c r="U897" s="124"/>
      <c r="V897" s="127"/>
      <c r="W897" s="20"/>
      <c r="X897" s="20"/>
      <c r="Y897" s="20"/>
      <c r="Z897" s="20"/>
      <c r="AA897" s="20"/>
      <c r="AB897" s="20"/>
      <c r="AC897" s="20"/>
      <c r="AD897" s="20"/>
      <c r="AE897" s="20"/>
    </row>
    <row r="898" spans="1:31" ht="19.5">
      <c r="A898" s="20"/>
      <c r="B898" s="20"/>
      <c r="C898" s="20"/>
      <c r="D898" s="20"/>
      <c r="E898" s="20"/>
      <c r="F898" s="20"/>
      <c r="G898" s="124"/>
      <c r="H898" s="20"/>
      <c r="I898" s="20"/>
      <c r="J898" s="20"/>
      <c r="K898" s="124"/>
      <c r="L898" s="127"/>
      <c r="M898" s="20"/>
      <c r="N898" s="20"/>
      <c r="O898" s="20"/>
      <c r="P898" s="124"/>
      <c r="Q898" s="127"/>
      <c r="R898" s="20"/>
      <c r="S898" s="20"/>
      <c r="T898" s="20"/>
      <c r="U898" s="124"/>
      <c r="V898" s="127"/>
      <c r="W898" s="20"/>
      <c r="X898" s="20"/>
      <c r="Y898" s="20"/>
      <c r="Z898" s="20"/>
      <c r="AA898" s="20"/>
      <c r="AB898" s="20"/>
      <c r="AC898" s="20"/>
      <c r="AD898" s="20"/>
      <c r="AE898" s="20"/>
    </row>
    <row r="899" spans="1:31" ht="19.5">
      <c r="A899" s="20"/>
      <c r="B899" s="20"/>
      <c r="C899" s="20"/>
      <c r="D899" s="20"/>
      <c r="E899" s="20"/>
      <c r="F899" s="20"/>
      <c r="G899" s="124"/>
      <c r="H899" s="20"/>
      <c r="I899" s="20"/>
      <c r="J899" s="20"/>
      <c r="K899" s="124"/>
      <c r="L899" s="127"/>
      <c r="M899" s="20"/>
      <c r="N899" s="20"/>
      <c r="O899" s="20"/>
      <c r="P899" s="124"/>
      <c r="Q899" s="127"/>
      <c r="R899" s="20"/>
      <c r="S899" s="20"/>
      <c r="T899" s="20"/>
      <c r="U899" s="124"/>
      <c r="V899" s="127"/>
      <c r="W899" s="20"/>
      <c r="X899" s="20"/>
      <c r="Y899" s="20"/>
      <c r="Z899" s="20"/>
      <c r="AA899" s="20"/>
      <c r="AB899" s="20"/>
      <c r="AC899" s="20"/>
      <c r="AD899" s="20"/>
      <c r="AE899" s="20"/>
    </row>
    <row r="900" spans="1:31" ht="19.5">
      <c r="A900" s="20"/>
      <c r="B900" s="20"/>
      <c r="C900" s="20"/>
      <c r="D900" s="20"/>
      <c r="E900" s="20"/>
      <c r="F900" s="20"/>
      <c r="G900" s="124"/>
      <c r="H900" s="20"/>
      <c r="I900" s="20"/>
      <c r="J900" s="20"/>
      <c r="K900" s="124"/>
      <c r="L900" s="127"/>
      <c r="M900" s="20"/>
      <c r="N900" s="20"/>
      <c r="O900" s="20"/>
      <c r="P900" s="124"/>
      <c r="Q900" s="127"/>
      <c r="R900" s="20"/>
      <c r="S900" s="20"/>
      <c r="T900" s="20"/>
      <c r="U900" s="124"/>
      <c r="V900" s="127"/>
      <c r="W900" s="20"/>
      <c r="X900" s="20"/>
      <c r="Y900" s="20"/>
      <c r="Z900" s="20"/>
      <c r="AA900" s="20"/>
      <c r="AB900" s="20"/>
      <c r="AC900" s="20"/>
      <c r="AD900" s="20"/>
      <c r="AE900" s="20"/>
    </row>
    <row r="901" spans="1:31" ht="19.5">
      <c r="A901" s="20"/>
      <c r="B901" s="20"/>
      <c r="C901" s="20"/>
      <c r="D901" s="20"/>
      <c r="E901" s="20"/>
      <c r="F901" s="20"/>
      <c r="G901" s="124"/>
      <c r="H901" s="20"/>
      <c r="I901" s="20"/>
      <c r="J901" s="20"/>
      <c r="K901" s="124"/>
      <c r="L901" s="127"/>
      <c r="M901" s="20"/>
      <c r="N901" s="20"/>
      <c r="O901" s="20"/>
      <c r="P901" s="124"/>
      <c r="Q901" s="127"/>
      <c r="R901" s="20"/>
      <c r="S901" s="20"/>
      <c r="T901" s="20"/>
      <c r="U901" s="124"/>
      <c r="V901" s="127"/>
      <c r="W901" s="20"/>
      <c r="X901" s="20"/>
      <c r="Y901" s="20"/>
      <c r="Z901" s="20"/>
      <c r="AA901" s="20"/>
      <c r="AB901" s="20"/>
      <c r="AC901" s="20"/>
      <c r="AD901" s="20"/>
      <c r="AE901" s="20"/>
    </row>
    <row r="902" spans="1:31" ht="19.5">
      <c r="A902" s="20"/>
      <c r="B902" s="20"/>
      <c r="C902" s="20"/>
      <c r="D902" s="20"/>
      <c r="E902" s="20"/>
      <c r="F902" s="20"/>
      <c r="G902" s="124"/>
      <c r="H902" s="20"/>
      <c r="I902" s="20"/>
      <c r="J902" s="20"/>
      <c r="K902" s="124"/>
      <c r="L902" s="127"/>
      <c r="M902" s="20"/>
      <c r="N902" s="20"/>
      <c r="O902" s="20"/>
      <c r="P902" s="124"/>
      <c r="Q902" s="127"/>
      <c r="R902" s="20"/>
      <c r="S902" s="20"/>
      <c r="T902" s="20"/>
      <c r="U902" s="124"/>
      <c r="V902" s="127"/>
      <c r="W902" s="20"/>
      <c r="X902" s="20"/>
      <c r="Y902" s="20"/>
      <c r="Z902" s="20"/>
      <c r="AA902" s="20"/>
      <c r="AB902" s="20"/>
      <c r="AC902" s="20"/>
      <c r="AD902" s="20"/>
      <c r="AE902" s="20"/>
    </row>
    <row r="903" spans="1:31" ht="19.5">
      <c r="A903" s="20"/>
      <c r="B903" s="20"/>
      <c r="C903" s="20"/>
      <c r="D903" s="20"/>
      <c r="E903" s="20"/>
      <c r="F903" s="20"/>
      <c r="G903" s="124"/>
      <c r="H903" s="20"/>
      <c r="I903" s="20"/>
      <c r="J903" s="20"/>
      <c r="K903" s="124"/>
      <c r="L903" s="127"/>
      <c r="M903" s="20"/>
      <c r="N903" s="20"/>
      <c r="O903" s="20"/>
      <c r="P903" s="124"/>
      <c r="Q903" s="127"/>
      <c r="R903" s="20"/>
      <c r="S903" s="20"/>
      <c r="T903" s="20"/>
      <c r="U903" s="124"/>
      <c r="V903" s="127"/>
      <c r="W903" s="20"/>
      <c r="X903" s="20"/>
      <c r="Y903" s="20"/>
      <c r="Z903" s="20"/>
      <c r="AA903" s="20"/>
      <c r="AB903" s="20"/>
      <c r="AC903" s="20"/>
      <c r="AD903" s="20"/>
      <c r="AE903" s="20"/>
    </row>
    <row r="904" spans="1:31" ht="19.5">
      <c r="A904" s="20"/>
      <c r="B904" s="20"/>
      <c r="C904" s="20"/>
      <c r="D904" s="20"/>
      <c r="E904" s="20"/>
      <c r="F904" s="20"/>
      <c r="G904" s="124"/>
      <c r="H904" s="20"/>
      <c r="I904" s="20"/>
      <c r="J904" s="20"/>
      <c r="K904" s="124"/>
      <c r="L904" s="127"/>
      <c r="M904" s="20"/>
      <c r="N904" s="20"/>
      <c r="O904" s="20"/>
      <c r="P904" s="124"/>
      <c r="Q904" s="127"/>
      <c r="R904" s="20"/>
      <c r="S904" s="20"/>
      <c r="T904" s="20"/>
      <c r="U904" s="124"/>
      <c r="V904" s="127"/>
      <c r="W904" s="20"/>
      <c r="X904" s="20"/>
      <c r="Y904" s="20"/>
      <c r="Z904" s="20"/>
      <c r="AA904" s="20"/>
      <c r="AB904" s="20"/>
      <c r="AC904" s="20"/>
      <c r="AD904" s="20"/>
      <c r="AE904" s="20"/>
    </row>
    <row r="905" spans="1:31" ht="19.5">
      <c r="A905" s="20"/>
      <c r="B905" s="20"/>
      <c r="C905" s="20"/>
      <c r="D905" s="20"/>
      <c r="E905" s="20"/>
      <c r="F905" s="20"/>
      <c r="G905" s="124"/>
      <c r="H905" s="20"/>
      <c r="I905" s="20"/>
      <c r="J905" s="20"/>
      <c r="K905" s="124"/>
      <c r="L905" s="127"/>
      <c r="M905" s="20"/>
      <c r="N905" s="20"/>
      <c r="O905" s="20"/>
      <c r="P905" s="124"/>
      <c r="Q905" s="127"/>
      <c r="R905" s="20"/>
      <c r="S905" s="20"/>
      <c r="T905" s="20"/>
      <c r="U905" s="124"/>
      <c r="V905" s="127"/>
      <c r="W905" s="20"/>
      <c r="X905" s="20"/>
      <c r="Y905" s="20"/>
      <c r="Z905" s="20"/>
      <c r="AA905" s="20"/>
      <c r="AB905" s="20"/>
      <c r="AC905" s="20"/>
      <c r="AD905" s="20"/>
      <c r="AE905" s="20"/>
    </row>
    <row r="906" spans="1:31" ht="19.5">
      <c r="A906" s="20"/>
      <c r="B906" s="20"/>
      <c r="C906" s="20"/>
      <c r="D906" s="20"/>
      <c r="E906" s="20"/>
      <c r="F906" s="20"/>
      <c r="G906" s="124"/>
      <c r="H906" s="20"/>
      <c r="I906" s="20"/>
      <c r="J906" s="20"/>
      <c r="K906" s="124"/>
      <c r="L906" s="127"/>
      <c r="M906" s="20"/>
      <c r="N906" s="20"/>
      <c r="O906" s="20"/>
      <c r="P906" s="124"/>
      <c r="Q906" s="127"/>
      <c r="R906" s="20"/>
      <c r="S906" s="20"/>
      <c r="T906" s="20"/>
      <c r="U906" s="124"/>
      <c r="V906" s="127"/>
      <c r="W906" s="20"/>
      <c r="X906" s="20"/>
      <c r="Y906" s="20"/>
      <c r="Z906" s="20"/>
      <c r="AA906" s="20"/>
      <c r="AB906" s="20"/>
      <c r="AC906" s="20"/>
      <c r="AD906" s="20"/>
      <c r="AE906" s="20"/>
    </row>
    <row r="907" spans="1:31" ht="19.5">
      <c r="A907" s="20"/>
      <c r="B907" s="20"/>
      <c r="C907" s="20"/>
      <c r="D907" s="20"/>
      <c r="E907" s="20"/>
      <c r="F907" s="20"/>
      <c r="G907" s="124"/>
      <c r="H907" s="20"/>
      <c r="I907" s="20"/>
      <c r="J907" s="20"/>
      <c r="K907" s="124"/>
      <c r="L907" s="127"/>
      <c r="M907" s="20"/>
      <c r="N907" s="20"/>
      <c r="O907" s="20"/>
      <c r="P907" s="124"/>
      <c r="Q907" s="127"/>
      <c r="R907" s="20"/>
      <c r="S907" s="20"/>
      <c r="T907" s="20"/>
      <c r="U907" s="124"/>
      <c r="V907" s="127"/>
      <c r="W907" s="20"/>
      <c r="X907" s="20"/>
      <c r="Y907" s="20"/>
      <c r="Z907" s="20"/>
      <c r="AA907" s="20"/>
      <c r="AB907" s="20"/>
      <c r="AC907" s="20"/>
      <c r="AD907" s="20"/>
      <c r="AE907" s="20"/>
    </row>
    <row r="908" spans="1:31" ht="19.5">
      <c r="A908" s="20"/>
      <c r="B908" s="20"/>
      <c r="C908" s="20"/>
      <c r="D908" s="20"/>
      <c r="E908" s="20"/>
      <c r="F908" s="20"/>
      <c r="G908" s="124"/>
      <c r="H908" s="20"/>
      <c r="I908" s="20"/>
      <c r="J908" s="20"/>
      <c r="K908" s="124"/>
      <c r="L908" s="127"/>
      <c r="M908" s="20"/>
      <c r="N908" s="20"/>
      <c r="O908" s="20"/>
      <c r="P908" s="124"/>
      <c r="Q908" s="127"/>
      <c r="R908" s="20"/>
      <c r="S908" s="20"/>
      <c r="T908" s="20"/>
      <c r="U908" s="124"/>
      <c r="V908" s="127"/>
      <c r="W908" s="20"/>
      <c r="X908" s="20"/>
      <c r="Y908" s="20"/>
      <c r="Z908" s="20"/>
      <c r="AA908" s="20"/>
      <c r="AB908" s="20"/>
      <c r="AC908" s="20"/>
      <c r="AD908" s="20"/>
      <c r="AE908" s="20"/>
    </row>
    <row r="909" spans="1:31" ht="19.5">
      <c r="A909" s="20"/>
      <c r="B909" s="20"/>
      <c r="C909" s="20"/>
      <c r="D909" s="20"/>
      <c r="E909" s="20"/>
      <c r="F909" s="20"/>
      <c r="G909" s="124"/>
      <c r="H909" s="20"/>
      <c r="I909" s="20"/>
      <c r="J909" s="20"/>
      <c r="K909" s="124"/>
      <c r="L909" s="127"/>
      <c r="M909" s="20"/>
      <c r="N909" s="20"/>
      <c r="O909" s="20"/>
      <c r="P909" s="124"/>
      <c r="Q909" s="127"/>
      <c r="R909" s="20"/>
      <c r="S909" s="20"/>
      <c r="T909" s="20"/>
      <c r="U909" s="124"/>
      <c r="V909" s="127"/>
      <c r="W909" s="20"/>
      <c r="X909" s="20"/>
      <c r="Y909" s="20"/>
      <c r="Z909" s="20"/>
      <c r="AA909" s="20"/>
      <c r="AB909" s="20"/>
      <c r="AC909" s="20"/>
      <c r="AD909" s="20"/>
      <c r="AE909" s="20"/>
    </row>
    <row r="910" spans="1:31" ht="19.5">
      <c r="A910" s="20"/>
      <c r="B910" s="20"/>
      <c r="C910" s="20"/>
      <c r="D910" s="20"/>
      <c r="E910" s="20"/>
      <c r="F910" s="20"/>
      <c r="G910" s="124"/>
      <c r="H910" s="20"/>
      <c r="I910" s="20"/>
      <c r="J910" s="20"/>
      <c r="K910" s="124"/>
      <c r="L910" s="127"/>
      <c r="M910" s="20"/>
      <c r="N910" s="20"/>
      <c r="O910" s="20"/>
      <c r="P910" s="124"/>
      <c r="Q910" s="127"/>
      <c r="R910" s="20"/>
      <c r="S910" s="20"/>
      <c r="T910" s="20"/>
      <c r="U910" s="124"/>
      <c r="V910" s="127"/>
      <c r="W910" s="20"/>
      <c r="X910" s="20"/>
      <c r="Y910" s="20"/>
      <c r="Z910" s="20"/>
      <c r="AA910" s="20"/>
      <c r="AB910" s="20"/>
      <c r="AC910" s="20"/>
      <c r="AD910" s="20"/>
      <c r="AE910" s="20"/>
    </row>
    <row r="911" spans="1:31" ht="19.5">
      <c r="A911" s="20"/>
      <c r="B911" s="20"/>
      <c r="C911" s="20"/>
      <c r="D911" s="20"/>
      <c r="E911" s="20"/>
      <c r="F911" s="20"/>
      <c r="G911" s="124"/>
      <c r="H911" s="20"/>
      <c r="I911" s="20"/>
      <c r="J911" s="20"/>
      <c r="K911" s="124"/>
      <c r="L911" s="127"/>
      <c r="M911" s="20"/>
      <c r="N911" s="20"/>
      <c r="O911" s="20"/>
      <c r="P911" s="124"/>
      <c r="Q911" s="127"/>
      <c r="R911" s="20"/>
      <c r="S911" s="20"/>
      <c r="T911" s="20"/>
      <c r="U911" s="124"/>
      <c r="V911" s="127"/>
      <c r="W911" s="20"/>
      <c r="X911" s="20"/>
      <c r="Y911" s="20"/>
      <c r="Z911" s="20"/>
      <c r="AA911" s="20"/>
      <c r="AB911" s="20"/>
      <c r="AC911" s="20"/>
      <c r="AD911" s="20"/>
      <c r="AE911" s="20"/>
    </row>
    <row r="912" spans="1:31" ht="19.5">
      <c r="A912" s="20"/>
      <c r="B912" s="20"/>
      <c r="C912" s="20"/>
      <c r="D912" s="20"/>
      <c r="E912" s="20"/>
      <c r="F912" s="20"/>
      <c r="G912" s="124"/>
      <c r="H912" s="20"/>
      <c r="I912" s="20"/>
      <c r="J912" s="20"/>
      <c r="K912" s="124"/>
      <c r="L912" s="127"/>
      <c r="M912" s="20"/>
      <c r="N912" s="20"/>
      <c r="O912" s="20"/>
      <c r="P912" s="124"/>
      <c r="Q912" s="127"/>
      <c r="R912" s="20"/>
      <c r="S912" s="20"/>
      <c r="T912" s="20"/>
      <c r="U912" s="124"/>
      <c r="V912" s="127"/>
      <c r="W912" s="20"/>
      <c r="X912" s="20"/>
      <c r="Y912" s="20"/>
      <c r="Z912" s="20"/>
      <c r="AA912" s="20"/>
      <c r="AB912" s="20"/>
      <c r="AC912" s="20"/>
      <c r="AD912" s="20"/>
      <c r="AE912" s="20"/>
    </row>
    <row r="913" spans="1:31" ht="19.5">
      <c r="A913" s="20"/>
      <c r="B913" s="20"/>
      <c r="C913" s="20"/>
      <c r="D913" s="20"/>
      <c r="E913" s="20"/>
      <c r="F913" s="20"/>
      <c r="G913" s="124"/>
      <c r="H913" s="20"/>
      <c r="I913" s="20"/>
      <c r="J913" s="20"/>
      <c r="K913" s="124"/>
      <c r="L913" s="127"/>
      <c r="M913" s="20"/>
      <c r="N913" s="20"/>
      <c r="O913" s="20"/>
      <c r="P913" s="124"/>
      <c r="Q913" s="127"/>
      <c r="R913" s="20"/>
      <c r="S913" s="20"/>
      <c r="T913" s="20"/>
      <c r="U913" s="124"/>
      <c r="V913" s="127"/>
      <c r="W913" s="20"/>
      <c r="X913" s="20"/>
      <c r="Y913" s="20"/>
      <c r="Z913" s="20"/>
      <c r="AA913" s="20"/>
      <c r="AB913" s="20"/>
      <c r="AC913" s="20"/>
      <c r="AD913" s="20"/>
      <c r="AE913" s="20"/>
    </row>
    <row r="914" spans="1:31" ht="19.5">
      <c r="A914" s="20"/>
      <c r="B914" s="20"/>
      <c r="C914" s="20"/>
      <c r="D914" s="20"/>
      <c r="E914" s="20"/>
      <c r="F914" s="20"/>
      <c r="G914" s="124"/>
      <c r="H914" s="20"/>
      <c r="I914" s="20"/>
      <c r="J914" s="20"/>
      <c r="K914" s="124"/>
      <c r="L914" s="127"/>
      <c r="M914" s="20"/>
      <c r="N914" s="20"/>
      <c r="O914" s="20"/>
      <c r="P914" s="124"/>
      <c r="Q914" s="127"/>
      <c r="R914" s="20"/>
      <c r="S914" s="20"/>
      <c r="T914" s="20"/>
      <c r="U914" s="124"/>
      <c r="V914" s="127"/>
      <c r="W914" s="20"/>
      <c r="X914" s="20"/>
      <c r="Y914" s="20"/>
      <c r="Z914" s="20"/>
      <c r="AA914" s="20"/>
      <c r="AB914" s="20"/>
      <c r="AC914" s="20"/>
      <c r="AD914" s="20"/>
      <c r="AE914" s="20"/>
    </row>
    <row r="915" spans="1:31" ht="19.5">
      <c r="A915" s="20"/>
      <c r="B915" s="20"/>
      <c r="C915" s="20"/>
      <c r="D915" s="20"/>
      <c r="E915" s="20"/>
      <c r="F915" s="20"/>
      <c r="G915" s="124"/>
      <c r="H915" s="20"/>
      <c r="I915" s="20"/>
      <c r="J915" s="20"/>
      <c r="K915" s="124"/>
      <c r="L915" s="127"/>
      <c r="M915" s="20"/>
      <c r="N915" s="20"/>
      <c r="O915" s="20"/>
      <c r="P915" s="124"/>
      <c r="Q915" s="127"/>
      <c r="R915" s="20"/>
      <c r="S915" s="20"/>
      <c r="T915" s="20"/>
      <c r="U915" s="124"/>
      <c r="V915" s="127"/>
      <c r="W915" s="20"/>
      <c r="X915" s="20"/>
      <c r="Y915" s="20"/>
      <c r="Z915" s="20"/>
      <c r="AA915" s="20"/>
      <c r="AB915" s="20"/>
      <c r="AC915" s="20"/>
      <c r="AD915" s="20"/>
      <c r="AE915" s="20"/>
    </row>
    <row r="916" spans="1:31" ht="19.5">
      <c r="A916" s="20"/>
      <c r="B916" s="20"/>
      <c r="C916" s="20"/>
      <c r="D916" s="20"/>
      <c r="E916" s="20"/>
      <c r="F916" s="20"/>
      <c r="G916" s="124"/>
      <c r="H916" s="20"/>
      <c r="I916" s="20"/>
      <c r="J916" s="20"/>
      <c r="K916" s="124"/>
      <c r="L916" s="127"/>
      <c r="M916" s="20"/>
      <c r="N916" s="20"/>
      <c r="O916" s="20"/>
      <c r="P916" s="124"/>
      <c r="Q916" s="127"/>
      <c r="R916" s="20"/>
      <c r="S916" s="20"/>
      <c r="T916" s="20"/>
      <c r="U916" s="124"/>
      <c r="V916" s="127"/>
      <c r="W916" s="20"/>
      <c r="X916" s="20"/>
      <c r="Y916" s="20"/>
      <c r="Z916" s="20"/>
      <c r="AA916" s="20"/>
      <c r="AB916" s="20"/>
      <c r="AC916" s="20"/>
      <c r="AD916" s="20"/>
      <c r="AE916" s="20"/>
    </row>
    <row r="917" spans="1:31" ht="19.5">
      <c r="A917" s="20"/>
      <c r="B917" s="20"/>
      <c r="C917" s="20"/>
      <c r="D917" s="20"/>
      <c r="E917" s="20"/>
      <c r="F917" s="20"/>
      <c r="G917" s="124"/>
      <c r="H917" s="20"/>
      <c r="I917" s="20"/>
      <c r="J917" s="20"/>
      <c r="K917" s="124"/>
      <c r="L917" s="127"/>
      <c r="M917" s="20"/>
      <c r="N917" s="20"/>
      <c r="O917" s="20"/>
      <c r="P917" s="124"/>
      <c r="Q917" s="127"/>
      <c r="R917" s="20"/>
      <c r="S917" s="20"/>
      <c r="T917" s="20"/>
      <c r="U917" s="124"/>
      <c r="V917" s="127"/>
      <c r="W917" s="20"/>
      <c r="X917" s="20"/>
      <c r="Y917" s="20"/>
      <c r="Z917" s="20"/>
      <c r="AA917" s="20"/>
      <c r="AB917" s="20"/>
      <c r="AC917" s="20"/>
      <c r="AD917" s="20"/>
      <c r="AE917" s="20"/>
    </row>
    <row r="918" spans="1:31" ht="19.5">
      <c r="A918" s="20"/>
      <c r="B918" s="20"/>
      <c r="C918" s="20"/>
      <c r="D918" s="20"/>
      <c r="E918" s="20"/>
      <c r="F918" s="20"/>
      <c r="G918" s="124"/>
      <c r="H918" s="20"/>
      <c r="I918" s="20"/>
      <c r="J918" s="20"/>
      <c r="K918" s="124"/>
      <c r="L918" s="127"/>
      <c r="M918" s="20"/>
      <c r="N918" s="20"/>
      <c r="O918" s="20"/>
      <c r="P918" s="124"/>
      <c r="Q918" s="127"/>
      <c r="R918" s="20"/>
      <c r="S918" s="20"/>
      <c r="T918" s="20"/>
      <c r="U918" s="124"/>
      <c r="V918" s="127"/>
      <c r="W918" s="20"/>
      <c r="X918" s="20"/>
      <c r="Y918" s="20"/>
      <c r="Z918" s="20"/>
      <c r="AA918" s="20"/>
      <c r="AB918" s="20"/>
      <c r="AC918" s="20"/>
      <c r="AD918" s="20"/>
      <c r="AE918" s="20"/>
    </row>
    <row r="919" spans="1:31" ht="19.5">
      <c r="A919" s="20"/>
      <c r="B919" s="20"/>
      <c r="C919" s="20"/>
      <c r="D919" s="20"/>
      <c r="E919" s="20"/>
      <c r="F919" s="20"/>
      <c r="G919" s="124"/>
      <c r="H919" s="20"/>
      <c r="I919" s="20"/>
      <c r="J919" s="20"/>
      <c r="K919" s="124"/>
      <c r="L919" s="127"/>
      <c r="M919" s="20"/>
      <c r="N919" s="20"/>
      <c r="O919" s="20"/>
      <c r="P919" s="124"/>
      <c r="Q919" s="127"/>
      <c r="R919" s="20"/>
      <c r="S919" s="20"/>
      <c r="T919" s="20"/>
      <c r="U919" s="124"/>
      <c r="V919" s="127"/>
      <c r="W919" s="20"/>
      <c r="X919" s="20"/>
      <c r="Y919" s="20"/>
      <c r="Z919" s="20"/>
      <c r="AA919" s="20"/>
      <c r="AB919" s="20"/>
      <c r="AC919" s="20"/>
      <c r="AD919" s="20"/>
      <c r="AE919" s="20"/>
    </row>
    <row r="920" spans="1:31" ht="19.5">
      <c r="A920" s="20"/>
      <c r="B920" s="20"/>
      <c r="C920" s="20"/>
      <c r="D920" s="20"/>
      <c r="E920" s="20"/>
      <c r="F920" s="20"/>
      <c r="G920" s="124"/>
      <c r="H920" s="20"/>
      <c r="I920" s="20"/>
      <c r="J920" s="20"/>
      <c r="K920" s="124"/>
      <c r="L920" s="127"/>
      <c r="M920" s="20"/>
      <c r="N920" s="20"/>
      <c r="O920" s="20"/>
      <c r="P920" s="124"/>
      <c r="Q920" s="127"/>
      <c r="R920" s="20"/>
      <c r="S920" s="20"/>
      <c r="T920" s="20"/>
      <c r="U920" s="124"/>
      <c r="V920" s="127"/>
      <c r="W920" s="20"/>
      <c r="X920" s="20"/>
      <c r="Y920" s="20"/>
      <c r="Z920" s="20"/>
      <c r="AA920" s="20"/>
      <c r="AB920" s="20"/>
      <c r="AC920" s="20"/>
      <c r="AD920" s="20"/>
      <c r="AE920" s="20"/>
    </row>
    <row r="921" spans="1:31" ht="19.5">
      <c r="A921" s="20"/>
      <c r="B921" s="20"/>
      <c r="C921" s="20"/>
      <c r="D921" s="20"/>
      <c r="E921" s="20"/>
      <c r="F921" s="20"/>
      <c r="G921" s="124"/>
      <c r="H921" s="20"/>
      <c r="I921" s="20"/>
      <c r="J921" s="20"/>
      <c r="K921" s="124"/>
      <c r="L921" s="127"/>
      <c r="M921" s="20"/>
      <c r="N921" s="20"/>
      <c r="O921" s="20"/>
      <c r="P921" s="124"/>
      <c r="Q921" s="127"/>
      <c r="R921" s="20"/>
      <c r="S921" s="20"/>
      <c r="T921" s="20"/>
      <c r="U921" s="124"/>
      <c r="V921" s="127"/>
      <c r="W921" s="20"/>
      <c r="X921" s="20"/>
      <c r="Y921" s="20"/>
      <c r="Z921" s="20"/>
      <c r="AA921" s="20"/>
      <c r="AB921" s="20"/>
      <c r="AC921" s="20"/>
      <c r="AD921" s="20"/>
      <c r="AE921" s="20"/>
    </row>
    <row r="922" spans="1:31" ht="19.5">
      <c r="A922" s="20"/>
      <c r="B922" s="20"/>
      <c r="C922" s="20"/>
      <c r="D922" s="20"/>
      <c r="E922" s="20"/>
      <c r="F922" s="20"/>
      <c r="G922" s="124"/>
      <c r="H922" s="20"/>
      <c r="I922" s="20"/>
      <c r="J922" s="20"/>
      <c r="K922" s="124"/>
      <c r="L922" s="127"/>
      <c r="M922" s="20"/>
      <c r="N922" s="20"/>
      <c r="O922" s="20"/>
      <c r="P922" s="124"/>
      <c r="Q922" s="127"/>
      <c r="R922" s="20"/>
      <c r="S922" s="20"/>
      <c r="T922" s="20"/>
      <c r="U922" s="124"/>
      <c r="V922" s="127"/>
      <c r="W922" s="20"/>
      <c r="X922" s="20"/>
      <c r="Y922" s="20"/>
      <c r="Z922" s="20"/>
      <c r="AA922" s="20"/>
      <c r="AB922" s="20"/>
      <c r="AC922" s="20"/>
      <c r="AD922" s="20"/>
      <c r="AE922" s="20"/>
    </row>
    <row r="923" spans="1:31" ht="19.5">
      <c r="A923" s="20"/>
      <c r="B923" s="20"/>
      <c r="C923" s="20"/>
      <c r="D923" s="20"/>
      <c r="E923" s="20"/>
      <c r="F923" s="20"/>
      <c r="G923" s="124"/>
      <c r="H923" s="20"/>
      <c r="I923" s="20"/>
      <c r="J923" s="20"/>
      <c r="K923" s="124"/>
      <c r="L923" s="127"/>
      <c r="M923" s="20"/>
      <c r="N923" s="20"/>
      <c r="O923" s="20"/>
      <c r="P923" s="124"/>
      <c r="Q923" s="127"/>
      <c r="R923" s="20"/>
      <c r="S923" s="20"/>
      <c r="T923" s="20"/>
      <c r="U923" s="124"/>
      <c r="V923" s="127"/>
      <c r="W923" s="20"/>
      <c r="X923" s="20"/>
      <c r="Y923" s="20"/>
      <c r="Z923" s="20"/>
      <c r="AA923" s="20"/>
      <c r="AB923" s="20"/>
      <c r="AC923" s="20"/>
      <c r="AD923" s="20"/>
      <c r="AE923" s="20"/>
    </row>
    <row r="924" spans="1:31" ht="19.5">
      <c r="A924" s="20"/>
      <c r="B924" s="20"/>
      <c r="C924" s="20"/>
      <c r="D924" s="20"/>
      <c r="E924" s="20"/>
      <c r="F924" s="20"/>
      <c r="G924" s="124"/>
      <c r="H924" s="20"/>
      <c r="I924" s="20"/>
      <c r="J924" s="20"/>
      <c r="K924" s="124"/>
      <c r="L924" s="127"/>
      <c r="M924" s="20"/>
      <c r="N924" s="20"/>
      <c r="O924" s="20"/>
      <c r="P924" s="124"/>
      <c r="Q924" s="127"/>
      <c r="R924" s="20"/>
      <c r="S924" s="20"/>
      <c r="T924" s="20"/>
      <c r="U924" s="124"/>
      <c r="V924" s="127"/>
      <c r="W924" s="20"/>
      <c r="X924" s="20"/>
      <c r="Y924" s="20"/>
      <c r="Z924" s="20"/>
      <c r="AA924" s="20"/>
      <c r="AB924" s="20"/>
      <c r="AC924" s="20"/>
      <c r="AD924" s="20"/>
      <c r="AE924" s="20"/>
    </row>
    <row r="925" spans="1:31" ht="19.5">
      <c r="A925" s="20"/>
      <c r="B925" s="20"/>
      <c r="C925" s="20"/>
      <c r="D925" s="20"/>
      <c r="E925" s="20"/>
      <c r="F925" s="20"/>
      <c r="G925" s="124"/>
      <c r="H925" s="20"/>
      <c r="I925" s="20"/>
      <c r="J925" s="20"/>
      <c r="K925" s="124"/>
      <c r="L925" s="127"/>
      <c r="M925" s="20"/>
      <c r="N925" s="20"/>
      <c r="O925" s="20"/>
      <c r="P925" s="124"/>
      <c r="Q925" s="127"/>
      <c r="R925" s="20"/>
      <c r="S925" s="20"/>
      <c r="T925" s="20"/>
      <c r="U925" s="124"/>
      <c r="V925" s="127"/>
      <c r="W925" s="20"/>
      <c r="X925" s="20"/>
      <c r="Y925" s="20"/>
      <c r="Z925" s="20"/>
      <c r="AA925" s="20"/>
      <c r="AB925" s="20"/>
      <c r="AC925" s="20"/>
      <c r="AD925" s="20"/>
      <c r="AE925" s="20"/>
    </row>
    <row r="926" spans="1:31" ht="19.5">
      <c r="A926" s="20"/>
      <c r="B926" s="20"/>
      <c r="C926" s="20"/>
      <c r="D926" s="20"/>
      <c r="E926" s="20"/>
      <c r="F926" s="20"/>
      <c r="G926" s="124"/>
      <c r="H926" s="20"/>
      <c r="I926" s="20"/>
      <c r="J926" s="20"/>
      <c r="K926" s="124"/>
      <c r="L926" s="127"/>
      <c r="M926" s="20"/>
      <c r="N926" s="20"/>
      <c r="O926" s="20"/>
      <c r="P926" s="124"/>
      <c r="Q926" s="127"/>
      <c r="R926" s="20"/>
      <c r="S926" s="20"/>
      <c r="T926" s="20"/>
      <c r="U926" s="124"/>
      <c r="V926" s="127"/>
      <c r="W926" s="20"/>
      <c r="X926" s="20"/>
      <c r="Y926" s="20"/>
      <c r="Z926" s="20"/>
      <c r="AA926" s="20"/>
      <c r="AB926" s="20"/>
      <c r="AC926" s="20"/>
      <c r="AD926" s="20"/>
      <c r="AE926" s="20"/>
    </row>
    <row r="927" spans="1:31" ht="19.5">
      <c r="A927" s="20"/>
      <c r="B927" s="20"/>
      <c r="C927" s="20"/>
      <c r="D927" s="20"/>
      <c r="E927" s="20"/>
      <c r="F927" s="20"/>
      <c r="G927" s="124"/>
      <c r="H927" s="20"/>
      <c r="I927" s="20"/>
      <c r="J927" s="20"/>
      <c r="K927" s="124"/>
      <c r="L927" s="127"/>
      <c r="M927" s="20"/>
      <c r="N927" s="20"/>
      <c r="O927" s="20"/>
      <c r="P927" s="124"/>
      <c r="Q927" s="127"/>
      <c r="R927" s="20"/>
      <c r="S927" s="20"/>
      <c r="T927" s="20"/>
      <c r="U927" s="124"/>
      <c r="V927" s="127"/>
      <c r="W927" s="20"/>
      <c r="X927" s="20"/>
      <c r="Y927" s="20"/>
      <c r="Z927" s="20"/>
      <c r="AA927" s="20"/>
      <c r="AB927" s="20"/>
      <c r="AC927" s="20"/>
      <c r="AD927" s="20"/>
      <c r="AE927" s="20"/>
    </row>
    <row r="928" spans="1:31" ht="19.5">
      <c r="A928" s="20"/>
      <c r="B928" s="20"/>
      <c r="C928" s="20"/>
      <c r="D928" s="20"/>
      <c r="E928" s="20"/>
      <c r="F928" s="20"/>
      <c r="G928" s="124"/>
      <c r="H928" s="20"/>
      <c r="I928" s="20"/>
      <c r="J928" s="20"/>
      <c r="K928" s="124"/>
      <c r="L928" s="127"/>
      <c r="M928" s="20"/>
      <c r="N928" s="20"/>
      <c r="O928" s="20"/>
      <c r="P928" s="124"/>
      <c r="Q928" s="127"/>
      <c r="R928" s="20"/>
      <c r="S928" s="20"/>
      <c r="T928" s="20"/>
      <c r="U928" s="124"/>
      <c r="V928" s="127"/>
      <c r="W928" s="20"/>
      <c r="X928" s="20"/>
      <c r="Y928" s="20"/>
      <c r="Z928" s="20"/>
      <c r="AA928" s="20"/>
      <c r="AB928" s="20"/>
      <c r="AC928" s="20"/>
      <c r="AD928" s="20"/>
      <c r="AE928" s="20"/>
    </row>
    <row r="929" spans="1:31" ht="19.5">
      <c r="A929" s="20"/>
      <c r="B929" s="20"/>
      <c r="C929" s="20"/>
      <c r="D929" s="20"/>
      <c r="E929" s="20"/>
      <c r="F929" s="20"/>
      <c r="G929" s="124"/>
      <c r="H929" s="20"/>
      <c r="I929" s="20"/>
      <c r="J929" s="20"/>
      <c r="K929" s="124"/>
      <c r="L929" s="127"/>
      <c r="M929" s="20"/>
      <c r="N929" s="20"/>
      <c r="O929" s="20"/>
      <c r="P929" s="124"/>
      <c r="Q929" s="127"/>
      <c r="R929" s="20"/>
      <c r="S929" s="20"/>
      <c r="T929" s="20"/>
      <c r="U929" s="124"/>
      <c r="V929" s="127"/>
      <c r="W929" s="20"/>
      <c r="X929" s="20"/>
      <c r="Y929" s="20"/>
      <c r="Z929" s="20"/>
      <c r="AA929" s="20"/>
      <c r="AB929" s="20"/>
      <c r="AC929" s="20"/>
      <c r="AD929" s="20"/>
      <c r="AE929" s="20"/>
    </row>
    <row r="930" spans="1:31" ht="19.5">
      <c r="A930" s="20"/>
      <c r="B930" s="20"/>
      <c r="C930" s="20"/>
      <c r="D930" s="20"/>
      <c r="E930" s="20"/>
      <c r="F930" s="20"/>
      <c r="G930" s="124"/>
      <c r="H930" s="20"/>
      <c r="I930" s="20"/>
      <c r="J930" s="20"/>
      <c r="K930" s="124"/>
      <c r="L930" s="127"/>
      <c r="M930" s="20"/>
      <c r="N930" s="20"/>
      <c r="O930" s="20"/>
      <c r="P930" s="124"/>
      <c r="Q930" s="127"/>
      <c r="R930" s="20"/>
      <c r="S930" s="20"/>
      <c r="T930" s="20"/>
      <c r="U930" s="124"/>
      <c r="V930" s="127"/>
      <c r="W930" s="20"/>
      <c r="X930" s="20"/>
      <c r="Y930" s="20"/>
      <c r="Z930" s="20"/>
      <c r="AA930" s="20"/>
      <c r="AB930" s="20"/>
      <c r="AC930" s="20"/>
      <c r="AD930" s="20"/>
      <c r="AE930" s="20"/>
    </row>
    <row r="931" spans="1:31" ht="19.5">
      <c r="A931" s="20"/>
      <c r="B931" s="20"/>
      <c r="C931" s="20"/>
      <c r="D931" s="20"/>
      <c r="E931" s="20"/>
      <c r="F931" s="20"/>
      <c r="G931" s="124"/>
      <c r="H931" s="20"/>
      <c r="I931" s="20"/>
      <c r="J931" s="20"/>
      <c r="K931" s="124"/>
      <c r="L931" s="127"/>
      <c r="M931" s="20"/>
      <c r="N931" s="20"/>
      <c r="O931" s="20"/>
      <c r="P931" s="124"/>
      <c r="Q931" s="127"/>
      <c r="R931" s="20"/>
      <c r="S931" s="20"/>
      <c r="T931" s="20"/>
      <c r="U931" s="124"/>
      <c r="V931" s="127"/>
      <c r="W931" s="20"/>
      <c r="X931" s="20"/>
      <c r="Y931" s="20"/>
      <c r="Z931" s="20"/>
      <c r="AA931" s="20"/>
      <c r="AB931" s="20"/>
      <c r="AC931" s="20"/>
      <c r="AD931" s="20"/>
      <c r="AE931" s="20"/>
    </row>
    <row r="932" spans="1:31" ht="19.5">
      <c r="A932" s="20"/>
      <c r="B932" s="20"/>
      <c r="C932" s="20"/>
      <c r="D932" s="20"/>
      <c r="E932" s="20"/>
      <c r="F932" s="20"/>
      <c r="G932" s="124"/>
      <c r="H932" s="20"/>
      <c r="I932" s="20"/>
      <c r="J932" s="20"/>
      <c r="K932" s="124"/>
      <c r="L932" s="127"/>
      <c r="M932" s="20"/>
      <c r="N932" s="20"/>
      <c r="O932" s="20"/>
      <c r="P932" s="124"/>
      <c r="Q932" s="127"/>
      <c r="R932" s="20"/>
      <c r="S932" s="20"/>
      <c r="T932" s="20"/>
      <c r="U932" s="124"/>
      <c r="V932" s="127"/>
      <c r="W932" s="20"/>
      <c r="X932" s="20"/>
      <c r="Y932" s="20"/>
      <c r="Z932" s="20"/>
      <c r="AA932" s="20"/>
      <c r="AB932" s="20"/>
      <c r="AC932" s="20"/>
      <c r="AD932" s="20"/>
      <c r="AE932" s="20"/>
    </row>
    <row r="933" spans="1:31" ht="19.5">
      <c r="A933" s="20"/>
      <c r="B933" s="20"/>
      <c r="C933" s="20"/>
      <c r="D933" s="20"/>
      <c r="E933" s="20"/>
      <c r="F933" s="20"/>
      <c r="G933" s="124"/>
      <c r="H933" s="20"/>
      <c r="I933" s="20"/>
      <c r="J933" s="20"/>
      <c r="K933" s="124"/>
      <c r="L933" s="127"/>
      <c r="M933" s="20"/>
      <c r="N933" s="20"/>
      <c r="O933" s="20"/>
      <c r="P933" s="124"/>
      <c r="Q933" s="127"/>
      <c r="R933" s="20"/>
      <c r="S933" s="20"/>
      <c r="T933" s="20"/>
      <c r="U933" s="124"/>
      <c r="V933" s="127"/>
      <c r="W933" s="20"/>
      <c r="X933" s="20"/>
      <c r="Y933" s="20"/>
      <c r="Z933" s="20"/>
      <c r="AA933" s="20"/>
      <c r="AB933" s="20"/>
      <c r="AC933" s="20"/>
      <c r="AD933" s="20"/>
      <c r="AE933" s="20"/>
    </row>
    <row r="934" spans="1:31" ht="19.5">
      <c r="A934" s="20"/>
      <c r="B934" s="20"/>
      <c r="C934" s="20"/>
      <c r="D934" s="20"/>
      <c r="E934" s="20"/>
      <c r="F934" s="20"/>
      <c r="G934" s="124"/>
      <c r="H934" s="20"/>
      <c r="I934" s="20"/>
      <c r="J934" s="20"/>
      <c r="K934" s="124"/>
      <c r="L934" s="127"/>
      <c r="M934" s="20"/>
      <c r="N934" s="20"/>
      <c r="O934" s="20"/>
      <c r="P934" s="124"/>
      <c r="Q934" s="127"/>
      <c r="R934" s="20"/>
      <c r="S934" s="20"/>
      <c r="T934" s="20"/>
      <c r="U934" s="124"/>
      <c r="V934" s="127"/>
      <c r="W934" s="20"/>
      <c r="X934" s="20"/>
      <c r="Y934" s="20"/>
      <c r="Z934" s="20"/>
      <c r="AA934" s="20"/>
      <c r="AB934" s="20"/>
      <c r="AC934" s="20"/>
      <c r="AD934" s="20"/>
      <c r="AE934" s="20"/>
    </row>
    <row r="935" spans="1:31" ht="19.5">
      <c r="A935" s="20"/>
      <c r="B935" s="20"/>
      <c r="C935" s="20"/>
      <c r="D935" s="20"/>
      <c r="E935" s="20"/>
      <c r="F935" s="20"/>
      <c r="G935" s="124"/>
      <c r="H935" s="20"/>
      <c r="I935" s="20"/>
      <c r="J935" s="20"/>
      <c r="K935" s="124"/>
      <c r="L935" s="127"/>
      <c r="M935" s="20"/>
      <c r="N935" s="20"/>
      <c r="O935" s="20"/>
      <c r="P935" s="124"/>
      <c r="Q935" s="127"/>
      <c r="R935" s="20"/>
      <c r="S935" s="20"/>
      <c r="T935" s="20"/>
      <c r="U935" s="124"/>
      <c r="V935" s="127"/>
      <c r="W935" s="20"/>
      <c r="X935" s="20"/>
      <c r="Y935" s="20"/>
      <c r="Z935" s="20"/>
      <c r="AA935" s="20"/>
      <c r="AB935" s="20"/>
      <c r="AC935" s="20"/>
      <c r="AD935" s="20"/>
      <c r="AE935" s="20"/>
    </row>
    <row r="936" spans="1:31" ht="19.5">
      <c r="A936" s="20"/>
      <c r="B936" s="20"/>
      <c r="C936" s="20"/>
      <c r="D936" s="20"/>
      <c r="E936" s="20"/>
      <c r="F936" s="20"/>
      <c r="G936" s="124"/>
      <c r="H936" s="20"/>
      <c r="I936" s="20"/>
      <c r="J936" s="20"/>
      <c r="K936" s="124"/>
      <c r="L936" s="127"/>
      <c r="M936" s="20"/>
      <c r="N936" s="20"/>
      <c r="O936" s="20"/>
      <c r="P936" s="124"/>
      <c r="Q936" s="127"/>
      <c r="R936" s="20"/>
      <c r="S936" s="20"/>
      <c r="T936" s="20"/>
      <c r="U936" s="124"/>
      <c r="V936" s="127"/>
      <c r="W936" s="20"/>
      <c r="X936" s="20"/>
      <c r="Y936" s="20"/>
      <c r="Z936" s="20"/>
      <c r="AA936" s="20"/>
      <c r="AB936" s="20"/>
      <c r="AC936" s="20"/>
      <c r="AD936" s="20"/>
      <c r="AE936" s="20"/>
    </row>
    <row r="937" spans="1:31" ht="19.5">
      <c r="A937" s="20"/>
      <c r="B937" s="20"/>
      <c r="C937" s="20"/>
      <c r="D937" s="20"/>
      <c r="E937" s="20"/>
      <c r="F937" s="20"/>
      <c r="G937" s="124"/>
      <c r="H937" s="20"/>
      <c r="I937" s="20"/>
      <c r="J937" s="20"/>
      <c r="K937" s="124"/>
      <c r="L937" s="127"/>
      <c r="M937" s="20"/>
      <c r="N937" s="20"/>
      <c r="O937" s="20"/>
      <c r="P937" s="124"/>
      <c r="Q937" s="127"/>
      <c r="R937" s="20"/>
      <c r="S937" s="20"/>
      <c r="T937" s="20"/>
      <c r="U937" s="124"/>
      <c r="V937" s="127"/>
      <c r="W937" s="20"/>
      <c r="X937" s="20"/>
      <c r="Y937" s="20"/>
      <c r="Z937" s="20"/>
      <c r="AA937" s="20"/>
      <c r="AB937" s="20"/>
      <c r="AC937" s="20"/>
      <c r="AD937" s="20"/>
      <c r="AE937" s="20"/>
    </row>
    <row r="938" spans="1:31" ht="19.5">
      <c r="A938" s="20"/>
      <c r="B938" s="20"/>
      <c r="C938" s="20"/>
      <c r="D938" s="20"/>
      <c r="E938" s="20"/>
      <c r="F938" s="20"/>
      <c r="G938" s="124"/>
      <c r="H938" s="20"/>
      <c r="I938" s="20"/>
      <c r="J938" s="20"/>
      <c r="K938" s="124"/>
      <c r="L938" s="127"/>
      <c r="M938" s="20"/>
      <c r="N938" s="20"/>
      <c r="O938" s="20"/>
      <c r="P938" s="124"/>
      <c r="Q938" s="127"/>
      <c r="R938" s="20"/>
      <c r="S938" s="20"/>
      <c r="T938" s="20"/>
      <c r="U938" s="124"/>
      <c r="V938" s="127"/>
      <c r="W938" s="20"/>
      <c r="X938" s="20"/>
      <c r="Y938" s="20"/>
      <c r="Z938" s="20"/>
      <c r="AA938" s="20"/>
      <c r="AB938" s="20"/>
      <c r="AC938" s="20"/>
      <c r="AD938" s="20"/>
      <c r="AE938" s="20"/>
    </row>
    <row r="939" spans="1:31" ht="19.5">
      <c r="A939" s="20"/>
      <c r="B939" s="20"/>
      <c r="C939" s="20"/>
      <c r="D939" s="20"/>
      <c r="E939" s="20"/>
      <c r="F939" s="20"/>
      <c r="G939" s="124"/>
      <c r="H939" s="20"/>
      <c r="I939" s="20"/>
      <c r="J939" s="20"/>
      <c r="K939" s="124"/>
      <c r="L939" s="127"/>
      <c r="M939" s="20"/>
      <c r="N939" s="20"/>
      <c r="O939" s="20"/>
      <c r="P939" s="124"/>
      <c r="Q939" s="127"/>
      <c r="R939" s="20"/>
      <c r="S939" s="20"/>
      <c r="T939" s="20"/>
      <c r="U939" s="124"/>
      <c r="V939" s="127"/>
      <c r="W939" s="20"/>
      <c r="X939" s="20"/>
      <c r="Y939" s="20"/>
      <c r="Z939" s="20"/>
      <c r="AA939" s="20"/>
      <c r="AB939" s="20"/>
      <c r="AC939" s="20"/>
      <c r="AD939" s="20"/>
      <c r="AE939" s="20"/>
    </row>
    <row r="940" spans="1:31" ht="19.5">
      <c r="A940" s="20"/>
      <c r="B940" s="20"/>
      <c r="C940" s="20"/>
      <c r="D940" s="20"/>
      <c r="E940" s="20"/>
      <c r="F940" s="20"/>
      <c r="G940" s="124"/>
      <c r="H940" s="20"/>
      <c r="I940" s="20"/>
      <c r="J940" s="20"/>
      <c r="K940" s="124"/>
      <c r="L940" s="127"/>
      <c r="M940" s="20"/>
      <c r="N940" s="20"/>
      <c r="O940" s="20"/>
      <c r="P940" s="124"/>
      <c r="Q940" s="127"/>
      <c r="R940" s="20"/>
      <c r="S940" s="20"/>
      <c r="T940" s="20"/>
      <c r="U940" s="124"/>
      <c r="V940" s="127"/>
      <c r="W940" s="20"/>
      <c r="X940" s="20"/>
      <c r="Y940" s="20"/>
      <c r="Z940" s="20"/>
      <c r="AA940" s="20"/>
      <c r="AB940" s="20"/>
      <c r="AC940" s="20"/>
      <c r="AD940" s="20"/>
      <c r="AE940" s="20"/>
    </row>
    <row r="941" spans="1:31" ht="19.5">
      <c r="A941" s="20"/>
      <c r="B941" s="20"/>
      <c r="C941" s="20"/>
      <c r="D941" s="20"/>
      <c r="E941" s="20"/>
      <c r="F941" s="20"/>
      <c r="G941" s="124"/>
      <c r="H941" s="20"/>
      <c r="I941" s="20"/>
      <c r="J941" s="20"/>
      <c r="K941" s="124"/>
      <c r="L941" s="127"/>
      <c r="M941" s="20"/>
      <c r="N941" s="20"/>
      <c r="O941" s="20"/>
      <c r="P941" s="124"/>
      <c r="Q941" s="127"/>
      <c r="R941" s="20"/>
      <c r="S941" s="20"/>
      <c r="T941" s="20"/>
      <c r="U941" s="124"/>
      <c r="V941" s="127"/>
      <c r="W941" s="20"/>
      <c r="X941" s="20"/>
      <c r="Y941" s="20"/>
      <c r="Z941" s="20"/>
      <c r="AA941" s="20"/>
      <c r="AB941" s="20"/>
      <c r="AC941" s="20"/>
      <c r="AD941" s="20"/>
      <c r="AE941" s="20"/>
    </row>
    <row r="942" spans="1:31" ht="19.5">
      <c r="A942" s="20"/>
      <c r="B942" s="20"/>
      <c r="C942" s="20"/>
      <c r="D942" s="20"/>
      <c r="E942" s="20"/>
      <c r="F942" s="20"/>
      <c r="G942" s="124"/>
      <c r="H942" s="20"/>
      <c r="I942" s="20"/>
      <c r="J942" s="20"/>
      <c r="K942" s="124"/>
      <c r="L942" s="127"/>
      <c r="M942" s="20"/>
      <c r="N942" s="20"/>
      <c r="O942" s="20"/>
      <c r="P942" s="124"/>
      <c r="Q942" s="127"/>
      <c r="R942" s="20"/>
      <c r="S942" s="20"/>
      <c r="T942" s="20"/>
      <c r="U942" s="124"/>
      <c r="V942" s="127"/>
      <c r="W942" s="20"/>
      <c r="X942" s="20"/>
      <c r="Y942" s="20"/>
      <c r="Z942" s="20"/>
      <c r="AA942" s="20"/>
      <c r="AB942" s="20"/>
      <c r="AC942" s="20"/>
      <c r="AD942" s="20"/>
      <c r="AE942" s="20"/>
    </row>
    <row r="943" spans="1:31" ht="19.5">
      <c r="A943" s="20"/>
      <c r="B943" s="20"/>
      <c r="C943" s="20"/>
      <c r="D943" s="20"/>
      <c r="E943" s="20"/>
      <c r="F943" s="20"/>
      <c r="G943" s="124"/>
      <c r="H943" s="20"/>
      <c r="I943" s="20"/>
      <c r="J943" s="20"/>
      <c r="K943" s="124"/>
      <c r="L943" s="127"/>
      <c r="M943" s="20"/>
      <c r="N943" s="20"/>
      <c r="O943" s="20"/>
      <c r="P943" s="124"/>
      <c r="Q943" s="127"/>
      <c r="R943" s="20"/>
      <c r="S943" s="20"/>
      <c r="T943" s="20"/>
      <c r="U943" s="124"/>
      <c r="V943" s="127"/>
      <c r="W943" s="20"/>
      <c r="X943" s="20"/>
      <c r="Y943" s="20"/>
      <c r="Z943" s="20"/>
      <c r="AA943" s="20"/>
      <c r="AB943" s="20"/>
      <c r="AC943" s="20"/>
      <c r="AD943" s="20"/>
      <c r="AE943" s="20"/>
    </row>
    <row r="944" spans="1:31" ht="19.5">
      <c r="A944" s="20"/>
      <c r="B944" s="20"/>
      <c r="C944" s="20"/>
      <c r="D944" s="20"/>
      <c r="E944" s="20"/>
      <c r="F944" s="20"/>
      <c r="G944" s="124"/>
      <c r="H944" s="20"/>
      <c r="I944" s="20"/>
      <c r="J944" s="20"/>
      <c r="K944" s="124"/>
      <c r="L944" s="127"/>
      <c r="M944" s="20"/>
      <c r="N944" s="20"/>
      <c r="O944" s="20"/>
      <c r="P944" s="124"/>
      <c r="Q944" s="127"/>
      <c r="R944" s="20"/>
      <c r="S944" s="20"/>
      <c r="T944" s="20"/>
      <c r="U944" s="124"/>
      <c r="V944" s="127"/>
      <c r="W944" s="20"/>
      <c r="X944" s="20"/>
      <c r="Y944" s="20"/>
      <c r="Z944" s="20"/>
      <c r="AA944" s="20"/>
      <c r="AB944" s="20"/>
      <c r="AC944" s="20"/>
      <c r="AD944" s="20"/>
      <c r="AE944" s="20"/>
    </row>
    <row r="945" spans="1:31" ht="19.5">
      <c r="A945" s="20"/>
      <c r="B945" s="20"/>
      <c r="C945" s="20"/>
      <c r="D945" s="20"/>
      <c r="E945" s="20"/>
      <c r="F945" s="20"/>
      <c r="G945" s="124"/>
      <c r="H945" s="20"/>
      <c r="I945" s="20"/>
      <c r="J945" s="20"/>
      <c r="K945" s="124"/>
      <c r="L945" s="127"/>
      <c r="M945" s="20"/>
      <c r="N945" s="20"/>
      <c r="O945" s="20"/>
      <c r="P945" s="124"/>
      <c r="Q945" s="127"/>
      <c r="R945" s="20"/>
      <c r="S945" s="20"/>
      <c r="T945" s="20"/>
      <c r="U945" s="124"/>
      <c r="V945" s="127"/>
      <c r="W945" s="20"/>
      <c r="X945" s="20"/>
      <c r="Y945" s="20"/>
      <c r="Z945" s="20"/>
      <c r="AA945" s="20"/>
      <c r="AB945" s="20"/>
      <c r="AC945" s="20"/>
      <c r="AD945" s="20"/>
      <c r="AE945" s="20"/>
    </row>
    <row r="946" spans="1:31" ht="19.5">
      <c r="A946" s="20"/>
      <c r="B946" s="20"/>
      <c r="C946" s="20"/>
      <c r="D946" s="20"/>
      <c r="E946" s="20"/>
      <c r="F946" s="20"/>
      <c r="G946" s="124"/>
      <c r="H946" s="20"/>
      <c r="I946" s="20"/>
      <c r="J946" s="20"/>
      <c r="K946" s="124"/>
      <c r="L946" s="127"/>
      <c r="M946" s="20"/>
      <c r="N946" s="20"/>
      <c r="O946" s="20"/>
      <c r="P946" s="124"/>
      <c r="Q946" s="127"/>
      <c r="R946" s="20"/>
      <c r="S946" s="20"/>
      <c r="T946" s="20"/>
      <c r="U946" s="124"/>
      <c r="V946" s="127"/>
      <c r="W946" s="20"/>
      <c r="X946" s="20"/>
      <c r="Y946" s="20"/>
      <c r="Z946" s="20"/>
      <c r="AA946" s="20"/>
      <c r="AB946" s="20"/>
      <c r="AC946" s="20"/>
      <c r="AD946" s="20"/>
      <c r="AE946" s="20"/>
    </row>
    <row r="947" spans="1:31" ht="19.5">
      <c r="A947" s="20"/>
      <c r="B947" s="20"/>
      <c r="C947" s="20"/>
      <c r="D947" s="20"/>
      <c r="E947" s="20"/>
      <c r="F947" s="20"/>
      <c r="G947" s="124"/>
      <c r="H947" s="20"/>
      <c r="I947" s="20"/>
      <c r="J947" s="20"/>
      <c r="K947" s="124"/>
      <c r="L947" s="127"/>
      <c r="M947" s="20"/>
      <c r="N947" s="20"/>
      <c r="O947" s="20"/>
      <c r="P947" s="124"/>
      <c r="Q947" s="127"/>
      <c r="R947" s="20"/>
      <c r="S947" s="20"/>
      <c r="T947" s="20"/>
      <c r="U947" s="124"/>
      <c r="V947" s="127"/>
      <c r="W947" s="20"/>
      <c r="X947" s="20"/>
      <c r="Y947" s="20"/>
      <c r="Z947" s="20"/>
      <c r="AA947" s="20"/>
      <c r="AB947" s="20"/>
      <c r="AC947" s="20"/>
      <c r="AD947" s="20"/>
      <c r="AE947" s="20"/>
    </row>
    <row r="948" spans="1:31" ht="19.5">
      <c r="A948" s="20"/>
      <c r="B948" s="20"/>
      <c r="C948" s="20"/>
      <c r="D948" s="20"/>
      <c r="E948" s="20"/>
      <c r="F948" s="20"/>
      <c r="G948" s="124"/>
      <c r="H948" s="20"/>
      <c r="I948" s="20"/>
      <c r="J948" s="20"/>
      <c r="K948" s="124"/>
      <c r="L948" s="127"/>
      <c r="M948" s="20"/>
      <c r="N948" s="20"/>
      <c r="O948" s="20"/>
      <c r="P948" s="124"/>
      <c r="Q948" s="127"/>
      <c r="R948" s="20"/>
      <c r="S948" s="20"/>
      <c r="T948" s="20"/>
      <c r="U948" s="124"/>
      <c r="V948" s="127"/>
      <c r="W948" s="20"/>
      <c r="X948" s="20"/>
      <c r="Y948" s="20"/>
      <c r="Z948" s="20"/>
      <c r="AA948" s="20"/>
      <c r="AB948" s="20"/>
      <c r="AC948" s="20"/>
      <c r="AD948" s="20"/>
      <c r="AE948" s="20"/>
    </row>
    <row r="949" spans="1:31" ht="19.5">
      <c r="A949" s="20"/>
      <c r="B949" s="20"/>
      <c r="C949" s="20"/>
      <c r="D949" s="20"/>
      <c r="E949" s="20"/>
      <c r="F949" s="20"/>
      <c r="G949" s="124"/>
      <c r="H949" s="20"/>
      <c r="I949" s="20"/>
      <c r="J949" s="20"/>
      <c r="K949" s="124"/>
      <c r="L949" s="127"/>
      <c r="M949" s="20"/>
      <c r="N949" s="20"/>
      <c r="O949" s="20"/>
      <c r="P949" s="124"/>
      <c r="Q949" s="127"/>
      <c r="R949" s="20"/>
      <c r="S949" s="20"/>
      <c r="T949" s="20"/>
      <c r="U949" s="124"/>
      <c r="V949" s="127"/>
      <c r="W949" s="20"/>
      <c r="X949" s="20"/>
      <c r="Y949" s="20"/>
      <c r="Z949" s="20"/>
      <c r="AA949" s="20"/>
      <c r="AB949" s="20"/>
      <c r="AC949" s="20"/>
      <c r="AD949" s="20"/>
      <c r="AE949" s="20"/>
    </row>
    <row r="950" spans="1:31" ht="19.5">
      <c r="A950" s="20"/>
      <c r="B950" s="20"/>
      <c r="C950" s="20"/>
      <c r="D950" s="20"/>
      <c r="E950" s="20"/>
      <c r="F950" s="20"/>
      <c r="G950" s="124"/>
      <c r="H950" s="20"/>
      <c r="I950" s="20"/>
      <c r="J950" s="20"/>
      <c r="K950" s="124"/>
      <c r="L950" s="127"/>
      <c r="M950" s="20"/>
      <c r="N950" s="20"/>
      <c r="O950" s="20"/>
      <c r="P950" s="124"/>
      <c r="Q950" s="127"/>
      <c r="R950" s="20"/>
      <c r="S950" s="20"/>
      <c r="T950" s="20"/>
      <c r="U950" s="124"/>
      <c r="V950" s="127"/>
      <c r="W950" s="20"/>
      <c r="X950" s="20"/>
      <c r="Y950" s="20"/>
      <c r="Z950" s="20"/>
      <c r="AA950" s="20"/>
      <c r="AB950" s="20"/>
      <c r="AC950" s="20"/>
      <c r="AD950" s="20"/>
      <c r="AE950" s="20"/>
    </row>
    <row r="951" spans="1:31" ht="19.5">
      <c r="A951" s="20"/>
      <c r="B951" s="20"/>
      <c r="C951" s="20"/>
      <c r="D951" s="20"/>
      <c r="E951" s="20"/>
      <c r="F951" s="20"/>
      <c r="G951" s="124"/>
      <c r="H951" s="20"/>
      <c r="I951" s="20"/>
      <c r="J951" s="20"/>
      <c r="K951" s="124"/>
      <c r="L951" s="127"/>
      <c r="M951" s="20"/>
      <c r="N951" s="20"/>
      <c r="O951" s="20"/>
      <c r="P951" s="124"/>
      <c r="Q951" s="127"/>
      <c r="R951" s="20"/>
      <c r="S951" s="20"/>
      <c r="T951" s="20"/>
      <c r="U951" s="124"/>
      <c r="V951" s="127"/>
      <c r="W951" s="20"/>
      <c r="X951" s="20"/>
      <c r="Y951" s="20"/>
      <c r="Z951" s="20"/>
      <c r="AA951" s="20"/>
      <c r="AB951" s="20"/>
      <c r="AC951" s="20"/>
      <c r="AD951" s="20"/>
      <c r="AE951" s="20"/>
    </row>
    <row r="952" spans="1:31" ht="19.5">
      <c r="A952" s="20"/>
      <c r="B952" s="20"/>
      <c r="C952" s="20"/>
      <c r="D952" s="20"/>
      <c r="E952" s="20"/>
      <c r="F952" s="20"/>
      <c r="G952" s="124"/>
      <c r="H952" s="20"/>
      <c r="I952" s="20"/>
      <c r="J952" s="20"/>
      <c r="K952" s="124"/>
      <c r="L952" s="127"/>
      <c r="M952" s="20"/>
      <c r="N952" s="20"/>
      <c r="O952" s="20"/>
      <c r="P952" s="124"/>
      <c r="Q952" s="127"/>
      <c r="R952" s="20"/>
      <c r="S952" s="20"/>
      <c r="T952" s="20"/>
      <c r="U952" s="124"/>
      <c r="V952" s="127"/>
      <c r="W952" s="20"/>
      <c r="X952" s="20"/>
      <c r="Y952" s="20"/>
      <c r="Z952" s="20"/>
      <c r="AA952" s="20"/>
      <c r="AB952" s="20"/>
      <c r="AC952" s="20"/>
      <c r="AD952" s="20"/>
      <c r="AE952" s="20"/>
    </row>
    <row r="953" spans="1:31" ht="19.5">
      <c r="A953" s="20"/>
      <c r="B953" s="20"/>
      <c r="C953" s="20"/>
      <c r="D953" s="20"/>
      <c r="E953" s="20"/>
      <c r="F953" s="20"/>
      <c r="G953" s="124"/>
      <c r="H953" s="20"/>
      <c r="I953" s="20"/>
      <c r="J953" s="20"/>
      <c r="K953" s="124"/>
      <c r="L953" s="127"/>
      <c r="M953" s="20"/>
      <c r="N953" s="20"/>
      <c r="O953" s="20"/>
      <c r="P953" s="124"/>
      <c r="Q953" s="127"/>
      <c r="R953" s="20"/>
      <c r="S953" s="20"/>
      <c r="T953" s="20"/>
      <c r="U953" s="124"/>
      <c r="V953" s="127"/>
      <c r="W953" s="20"/>
      <c r="X953" s="20"/>
      <c r="Y953" s="20"/>
      <c r="Z953" s="20"/>
      <c r="AA953" s="20"/>
      <c r="AB953" s="20"/>
      <c r="AC953" s="20"/>
      <c r="AD953" s="20"/>
      <c r="AE953" s="20"/>
    </row>
    <row r="954" spans="1:31" ht="19.5">
      <c r="A954" s="20"/>
      <c r="B954" s="20"/>
      <c r="C954" s="20"/>
      <c r="D954" s="20"/>
      <c r="E954" s="20"/>
      <c r="F954" s="20"/>
      <c r="G954" s="124"/>
      <c r="H954" s="20"/>
      <c r="I954" s="20"/>
      <c r="J954" s="20"/>
      <c r="K954" s="124"/>
      <c r="L954" s="127"/>
      <c r="M954" s="20"/>
      <c r="N954" s="20"/>
      <c r="O954" s="20"/>
      <c r="P954" s="124"/>
      <c r="Q954" s="127"/>
      <c r="R954" s="20"/>
      <c r="S954" s="20"/>
      <c r="T954" s="20"/>
      <c r="U954" s="124"/>
      <c r="V954" s="127"/>
      <c r="W954" s="20"/>
      <c r="X954" s="20"/>
      <c r="Y954" s="20"/>
      <c r="Z954" s="20"/>
      <c r="AA954" s="20"/>
      <c r="AB954" s="20"/>
      <c r="AC954" s="20"/>
      <c r="AD954" s="20"/>
      <c r="AE954" s="20"/>
    </row>
    <row r="955" spans="1:31" ht="19.5">
      <c r="A955" s="20"/>
      <c r="B955" s="20"/>
      <c r="C955" s="20"/>
      <c r="D955" s="20"/>
      <c r="E955" s="20"/>
      <c r="F955" s="20"/>
      <c r="G955" s="124"/>
      <c r="H955" s="20"/>
      <c r="I955" s="20"/>
      <c r="J955" s="20"/>
      <c r="K955" s="124"/>
      <c r="L955" s="127"/>
      <c r="M955" s="20"/>
      <c r="N955" s="20"/>
      <c r="O955" s="20"/>
      <c r="P955" s="124"/>
      <c r="Q955" s="127"/>
      <c r="R955" s="20"/>
      <c r="S955" s="20"/>
      <c r="T955" s="20"/>
      <c r="U955" s="124"/>
      <c r="V955" s="127"/>
      <c r="W955" s="20"/>
      <c r="X955" s="20"/>
      <c r="Y955" s="20"/>
      <c r="Z955" s="20"/>
      <c r="AA955" s="20"/>
      <c r="AB955" s="20"/>
      <c r="AC955" s="20"/>
      <c r="AD955" s="20"/>
      <c r="AE955" s="20"/>
    </row>
    <row r="956" spans="1:31" ht="19.5">
      <c r="A956" s="20"/>
      <c r="B956" s="20"/>
      <c r="C956" s="20"/>
      <c r="D956" s="20"/>
      <c r="E956" s="20"/>
      <c r="F956" s="20"/>
      <c r="G956" s="124"/>
      <c r="H956" s="20"/>
      <c r="I956" s="20"/>
      <c r="J956" s="20"/>
      <c r="K956" s="124"/>
      <c r="L956" s="127"/>
      <c r="M956" s="20"/>
      <c r="N956" s="20"/>
      <c r="O956" s="20"/>
      <c r="P956" s="124"/>
      <c r="Q956" s="127"/>
      <c r="R956" s="20"/>
      <c r="S956" s="20"/>
      <c r="T956" s="20"/>
      <c r="U956" s="124"/>
      <c r="V956" s="127"/>
      <c r="W956" s="20"/>
      <c r="X956" s="20"/>
      <c r="Y956" s="20"/>
      <c r="Z956" s="20"/>
      <c r="AA956" s="20"/>
      <c r="AB956" s="20"/>
      <c r="AC956" s="20"/>
      <c r="AD956" s="20"/>
      <c r="AE956" s="20"/>
    </row>
    <row r="957" spans="1:31" ht="19.5">
      <c r="A957" s="20"/>
      <c r="B957" s="20"/>
      <c r="C957" s="20"/>
      <c r="D957" s="20"/>
      <c r="E957" s="20"/>
      <c r="F957" s="20"/>
      <c r="G957" s="124"/>
      <c r="H957" s="20"/>
      <c r="I957" s="20"/>
      <c r="J957" s="20"/>
      <c r="K957" s="124"/>
      <c r="L957" s="127"/>
      <c r="M957" s="20"/>
      <c r="N957" s="20"/>
      <c r="O957" s="20"/>
      <c r="P957" s="124"/>
      <c r="Q957" s="127"/>
      <c r="R957" s="20"/>
      <c r="S957" s="20"/>
      <c r="T957" s="20"/>
      <c r="U957" s="124"/>
      <c r="V957" s="127"/>
      <c r="W957" s="20"/>
      <c r="X957" s="20"/>
      <c r="Y957" s="20"/>
      <c r="Z957" s="20"/>
      <c r="AA957" s="20"/>
      <c r="AB957" s="20"/>
      <c r="AC957" s="20"/>
      <c r="AD957" s="20"/>
      <c r="AE957" s="20"/>
    </row>
    <row r="958" spans="1:31" ht="19.5">
      <c r="A958" s="20"/>
      <c r="B958" s="20"/>
      <c r="C958" s="20"/>
      <c r="D958" s="20"/>
      <c r="E958" s="20"/>
      <c r="F958" s="20"/>
      <c r="G958" s="124"/>
      <c r="H958" s="20"/>
      <c r="I958" s="20"/>
      <c r="J958" s="20"/>
      <c r="K958" s="124"/>
      <c r="L958" s="127"/>
      <c r="M958" s="20"/>
      <c r="N958" s="20"/>
      <c r="O958" s="20"/>
      <c r="P958" s="124"/>
      <c r="Q958" s="127"/>
      <c r="R958" s="20"/>
      <c r="S958" s="20"/>
      <c r="T958" s="20"/>
      <c r="U958" s="124"/>
      <c r="V958" s="127"/>
      <c r="W958" s="20"/>
      <c r="X958" s="20"/>
      <c r="Y958" s="20"/>
      <c r="Z958" s="20"/>
      <c r="AA958" s="20"/>
      <c r="AB958" s="20"/>
      <c r="AC958" s="20"/>
      <c r="AD958" s="20"/>
      <c r="AE958" s="20"/>
    </row>
    <row r="959" spans="1:31" ht="19.5">
      <c r="A959" s="20"/>
      <c r="B959" s="20"/>
      <c r="C959" s="20"/>
      <c r="D959" s="20"/>
      <c r="E959" s="20"/>
      <c r="F959" s="20"/>
      <c r="G959" s="124"/>
      <c r="H959" s="20"/>
      <c r="I959" s="20"/>
      <c r="J959" s="20"/>
      <c r="K959" s="124"/>
      <c r="L959" s="127"/>
      <c r="M959" s="20"/>
      <c r="N959" s="20"/>
      <c r="O959" s="20"/>
      <c r="P959" s="124"/>
      <c r="Q959" s="127"/>
      <c r="R959" s="20"/>
      <c r="S959" s="20"/>
      <c r="T959" s="20"/>
      <c r="U959" s="124"/>
      <c r="V959" s="127"/>
      <c r="W959" s="20"/>
      <c r="X959" s="20"/>
      <c r="Y959" s="20"/>
      <c r="Z959" s="20"/>
      <c r="AA959" s="20"/>
      <c r="AB959" s="20"/>
      <c r="AC959" s="20"/>
      <c r="AD959" s="20"/>
      <c r="AE959" s="20"/>
    </row>
    <row r="960" spans="1:31" ht="19.5">
      <c r="A960" s="20"/>
      <c r="B960" s="20"/>
      <c r="C960" s="20"/>
      <c r="D960" s="20"/>
      <c r="E960" s="20"/>
      <c r="F960" s="20"/>
      <c r="G960" s="124"/>
      <c r="H960" s="20"/>
      <c r="I960" s="20"/>
      <c r="J960" s="20"/>
      <c r="K960" s="124"/>
      <c r="L960" s="127"/>
      <c r="M960" s="20"/>
      <c r="N960" s="20"/>
      <c r="O960" s="20"/>
      <c r="P960" s="124"/>
      <c r="Q960" s="127"/>
      <c r="R960" s="20"/>
      <c r="S960" s="20"/>
      <c r="T960" s="20"/>
      <c r="U960" s="124"/>
      <c r="V960" s="127"/>
      <c r="W960" s="20"/>
      <c r="X960" s="20"/>
      <c r="Y960" s="20"/>
      <c r="Z960" s="20"/>
      <c r="AA960" s="20"/>
      <c r="AB960" s="20"/>
      <c r="AC960" s="20"/>
      <c r="AD960" s="20"/>
      <c r="AE960" s="20"/>
    </row>
    <row r="961" spans="1:31" ht="19.5">
      <c r="A961" s="20"/>
      <c r="B961" s="20"/>
      <c r="C961" s="20"/>
      <c r="D961" s="20"/>
      <c r="E961" s="20"/>
      <c r="F961" s="20"/>
      <c r="G961" s="124"/>
      <c r="H961" s="20"/>
      <c r="I961" s="20"/>
      <c r="J961" s="20"/>
      <c r="K961" s="124"/>
      <c r="L961" s="127"/>
      <c r="M961" s="20"/>
      <c r="N961" s="20"/>
      <c r="O961" s="20"/>
      <c r="P961" s="124"/>
      <c r="Q961" s="127"/>
      <c r="R961" s="20"/>
      <c r="S961" s="20"/>
      <c r="T961" s="20"/>
      <c r="U961" s="124"/>
      <c r="V961" s="127"/>
      <c r="W961" s="20"/>
      <c r="X961" s="20"/>
      <c r="Y961" s="20"/>
      <c r="Z961" s="20"/>
      <c r="AA961" s="20"/>
      <c r="AB961" s="20"/>
      <c r="AC961" s="20"/>
      <c r="AD961" s="20"/>
      <c r="AE961" s="20"/>
    </row>
    <row r="962" spans="1:31" ht="19.5">
      <c r="A962" s="20"/>
      <c r="B962" s="20"/>
      <c r="C962" s="20"/>
      <c r="D962" s="20"/>
      <c r="E962" s="20"/>
      <c r="F962" s="20"/>
      <c r="G962" s="124"/>
      <c r="H962" s="20"/>
      <c r="I962" s="20"/>
      <c r="J962" s="20"/>
      <c r="K962" s="124"/>
      <c r="L962" s="127"/>
      <c r="M962" s="20"/>
      <c r="N962" s="20"/>
      <c r="O962" s="20"/>
      <c r="P962" s="124"/>
      <c r="Q962" s="127"/>
      <c r="R962" s="20"/>
      <c r="S962" s="20"/>
      <c r="T962" s="20"/>
      <c r="U962" s="124"/>
      <c r="V962" s="127"/>
      <c r="W962" s="20"/>
      <c r="X962" s="20"/>
      <c r="Y962" s="20"/>
      <c r="Z962" s="20"/>
      <c r="AA962" s="20"/>
      <c r="AB962" s="20"/>
      <c r="AC962" s="20"/>
      <c r="AD962" s="20"/>
      <c r="AE962" s="20"/>
    </row>
    <row r="963" spans="1:31" ht="19.5">
      <c r="A963" s="20"/>
      <c r="B963" s="20"/>
      <c r="C963" s="20"/>
      <c r="D963" s="20"/>
      <c r="E963" s="20"/>
      <c r="F963" s="20"/>
      <c r="G963" s="124"/>
      <c r="H963" s="20"/>
      <c r="I963" s="20"/>
      <c r="J963" s="20"/>
      <c r="K963" s="124"/>
      <c r="L963" s="127"/>
      <c r="M963" s="20"/>
      <c r="N963" s="20"/>
      <c r="O963" s="20"/>
      <c r="P963" s="124"/>
      <c r="Q963" s="127"/>
      <c r="R963" s="20"/>
      <c r="S963" s="20"/>
      <c r="T963" s="20"/>
      <c r="U963" s="124"/>
      <c r="V963" s="127"/>
      <c r="W963" s="20"/>
      <c r="X963" s="20"/>
      <c r="Y963" s="20"/>
      <c r="Z963" s="20"/>
      <c r="AA963" s="20"/>
      <c r="AB963" s="20"/>
      <c r="AC963" s="20"/>
      <c r="AD963" s="20"/>
      <c r="AE963" s="20"/>
    </row>
    <row r="964" spans="1:31" ht="19.5">
      <c r="A964" s="20"/>
      <c r="B964" s="20"/>
      <c r="C964" s="20"/>
      <c r="D964" s="20"/>
      <c r="E964" s="20"/>
      <c r="F964" s="20"/>
      <c r="G964" s="124"/>
      <c r="H964" s="20"/>
      <c r="I964" s="20"/>
      <c r="J964" s="20"/>
      <c r="K964" s="124"/>
      <c r="L964" s="127"/>
      <c r="M964" s="20"/>
      <c r="N964" s="20"/>
      <c r="O964" s="20"/>
      <c r="P964" s="124"/>
      <c r="Q964" s="127"/>
      <c r="R964" s="20"/>
      <c r="S964" s="20"/>
      <c r="T964" s="20"/>
      <c r="U964" s="124"/>
      <c r="V964" s="127"/>
      <c r="W964" s="20"/>
      <c r="X964" s="20"/>
      <c r="Y964" s="20"/>
      <c r="Z964" s="20"/>
      <c r="AA964" s="20"/>
      <c r="AB964" s="20"/>
      <c r="AC964" s="20"/>
      <c r="AD964" s="20"/>
      <c r="AE964" s="20"/>
    </row>
    <row r="965" spans="1:31" ht="19.5">
      <c r="A965" s="20"/>
      <c r="B965" s="20"/>
      <c r="C965" s="20"/>
      <c r="D965" s="20"/>
      <c r="E965" s="20"/>
      <c r="F965" s="20"/>
      <c r="G965" s="124"/>
      <c r="H965" s="20"/>
      <c r="I965" s="20"/>
      <c r="J965" s="20"/>
      <c r="K965" s="124"/>
      <c r="L965" s="127"/>
      <c r="M965" s="20"/>
      <c r="N965" s="20"/>
      <c r="O965" s="20"/>
      <c r="P965" s="124"/>
      <c r="Q965" s="127"/>
      <c r="R965" s="20"/>
      <c r="S965" s="20"/>
      <c r="T965" s="20"/>
      <c r="U965" s="124"/>
      <c r="V965" s="127"/>
      <c r="W965" s="20"/>
      <c r="X965" s="20"/>
      <c r="Y965" s="20"/>
      <c r="Z965" s="20"/>
      <c r="AA965" s="20"/>
      <c r="AB965" s="20"/>
      <c r="AC965" s="20"/>
      <c r="AD965" s="20"/>
      <c r="AE965" s="20"/>
    </row>
    <row r="966" spans="1:31" ht="19.5">
      <c r="A966" s="20"/>
      <c r="B966" s="20"/>
      <c r="C966" s="20"/>
      <c r="D966" s="20"/>
      <c r="E966" s="20"/>
      <c r="F966" s="20"/>
      <c r="G966" s="124"/>
      <c r="H966" s="20"/>
      <c r="I966" s="20"/>
      <c r="J966" s="20"/>
      <c r="K966" s="124"/>
      <c r="L966" s="127"/>
      <c r="M966" s="20"/>
      <c r="N966" s="20"/>
      <c r="O966" s="20"/>
      <c r="P966" s="124"/>
      <c r="Q966" s="127"/>
      <c r="R966" s="20"/>
      <c r="S966" s="20"/>
      <c r="T966" s="20"/>
      <c r="U966" s="124"/>
      <c r="V966" s="127"/>
      <c r="W966" s="20"/>
      <c r="X966" s="20"/>
      <c r="Y966" s="20"/>
      <c r="Z966" s="20"/>
      <c r="AA966" s="20"/>
      <c r="AB966" s="20"/>
      <c r="AC966" s="20"/>
      <c r="AD966" s="20"/>
      <c r="AE966" s="20"/>
    </row>
    <row r="967" spans="1:31" ht="19.5">
      <c r="A967" s="20"/>
      <c r="B967" s="20"/>
      <c r="C967" s="20"/>
      <c r="D967" s="20"/>
      <c r="E967" s="20"/>
      <c r="F967" s="20"/>
      <c r="G967" s="124"/>
      <c r="H967" s="20"/>
      <c r="I967" s="20"/>
      <c r="J967" s="20"/>
      <c r="K967" s="124"/>
      <c r="L967" s="127"/>
      <c r="M967" s="20"/>
      <c r="N967" s="20"/>
      <c r="O967" s="20"/>
      <c r="P967" s="124"/>
      <c r="Q967" s="127"/>
      <c r="R967" s="20"/>
      <c r="S967" s="20"/>
      <c r="T967" s="20"/>
      <c r="U967" s="124"/>
      <c r="V967" s="127"/>
      <c r="W967" s="20"/>
      <c r="X967" s="20"/>
      <c r="Y967" s="20"/>
      <c r="Z967" s="20"/>
      <c r="AA967" s="20"/>
      <c r="AB967" s="20"/>
      <c r="AC967" s="20"/>
      <c r="AD967" s="20"/>
      <c r="AE967" s="20"/>
    </row>
    <row r="968" spans="1:31" ht="19.5">
      <c r="A968" s="20"/>
      <c r="B968" s="20"/>
      <c r="C968" s="20"/>
      <c r="D968" s="20"/>
      <c r="E968" s="20"/>
      <c r="F968" s="20"/>
      <c r="G968" s="124"/>
      <c r="H968" s="20"/>
      <c r="I968" s="20"/>
      <c r="J968" s="20"/>
      <c r="K968" s="124"/>
      <c r="L968" s="127"/>
      <c r="M968" s="20"/>
      <c r="N968" s="20"/>
      <c r="O968" s="20"/>
      <c r="P968" s="124"/>
      <c r="Q968" s="127"/>
      <c r="R968" s="20"/>
      <c r="S968" s="20"/>
      <c r="T968" s="20"/>
      <c r="U968" s="124"/>
      <c r="V968" s="127"/>
      <c r="W968" s="20"/>
      <c r="X968" s="20"/>
      <c r="Y968" s="20"/>
      <c r="Z968" s="20"/>
      <c r="AA968" s="20"/>
      <c r="AB968" s="20"/>
      <c r="AC968" s="20"/>
      <c r="AD968" s="20"/>
      <c r="AE968" s="20"/>
    </row>
    <row r="969" spans="1:31" ht="19.5">
      <c r="A969" s="20"/>
      <c r="B969" s="20"/>
      <c r="C969" s="20"/>
      <c r="D969" s="20"/>
      <c r="E969" s="20"/>
      <c r="F969" s="20"/>
      <c r="G969" s="124"/>
      <c r="H969" s="20"/>
      <c r="I969" s="20"/>
      <c r="J969" s="20"/>
      <c r="K969" s="124"/>
      <c r="L969" s="127"/>
      <c r="M969" s="20"/>
      <c r="N969" s="20"/>
      <c r="O969" s="20"/>
      <c r="P969" s="124"/>
      <c r="Q969" s="127"/>
      <c r="R969" s="20"/>
      <c r="S969" s="20"/>
      <c r="T969" s="20"/>
      <c r="U969" s="124"/>
      <c r="V969" s="127"/>
      <c r="W969" s="20"/>
      <c r="X969" s="20"/>
      <c r="Y969" s="20"/>
      <c r="Z969" s="20"/>
      <c r="AA969" s="20"/>
      <c r="AB969" s="20"/>
      <c r="AC969" s="20"/>
      <c r="AD969" s="20"/>
      <c r="AE969" s="20"/>
    </row>
    <row r="970" spans="1:31" ht="19.5">
      <c r="A970" s="20"/>
      <c r="B970" s="20"/>
      <c r="C970" s="20"/>
      <c r="D970" s="20"/>
      <c r="E970" s="20"/>
      <c r="F970" s="20"/>
      <c r="G970" s="124"/>
      <c r="H970" s="20"/>
      <c r="I970" s="20"/>
      <c r="J970" s="20"/>
      <c r="K970" s="124"/>
      <c r="L970" s="127"/>
      <c r="M970" s="20"/>
      <c r="N970" s="20"/>
      <c r="O970" s="20"/>
      <c r="P970" s="124"/>
      <c r="Q970" s="127"/>
      <c r="R970" s="20"/>
      <c r="S970" s="20"/>
      <c r="T970" s="20"/>
      <c r="U970" s="124"/>
      <c r="V970" s="127"/>
      <c r="W970" s="20"/>
      <c r="X970" s="20"/>
      <c r="Y970" s="20"/>
      <c r="Z970" s="20"/>
      <c r="AA970" s="20"/>
      <c r="AB970" s="20"/>
      <c r="AC970" s="20"/>
      <c r="AD970" s="20"/>
      <c r="AE970" s="20"/>
    </row>
    <row r="971" spans="1:31" ht="19.5">
      <c r="A971" s="20"/>
      <c r="B971" s="20"/>
      <c r="C971" s="20"/>
      <c r="D971" s="20"/>
      <c r="E971" s="20"/>
      <c r="F971" s="20"/>
      <c r="G971" s="124"/>
      <c r="H971" s="20"/>
      <c r="I971" s="20"/>
      <c r="J971" s="20"/>
      <c r="K971" s="124"/>
      <c r="L971" s="127"/>
      <c r="M971" s="20"/>
      <c r="N971" s="20"/>
      <c r="O971" s="20"/>
      <c r="P971" s="124"/>
      <c r="Q971" s="127"/>
      <c r="R971" s="20"/>
      <c r="S971" s="20"/>
      <c r="T971" s="20"/>
      <c r="U971" s="124"/>
      <c r="V971" s="127"/>
      <c r="W971" s="20"/>
      <c r="X971" s="20"/>
      <c r="Y971" s="20"/>
      <c r="Z971" s="20"/>
      <c r="AA971" s="20"/>
      <c r="AB971" s="20"/>
      <c r="AC971" s="20"/>
      <c r="AD971" s="20"/>
      <c r="AE971" s="20"/>
    </row>
    <row r="972" spans="1:31" ht="19.5">
      <c r="A972" s="20"/>
      <c r="B972" s="20"/>
      <c r="C972" s="20"/>
      <c r="D972" s="20"/>
      <c r="E972" s="20"/>
      <c r="F972" s="20"/>
      <c r="G972" s="124"/>
      <c r="H972" s="20"/>
      <c r="I972" s="20"/>
      <c r="J972" s="20"/>
      <c r="K972" s="124"/>
      <c r="L972" s="127"/>
      <c r="M972" s="20"/>
      <c r="N972" s="20"/>
      <c r="O972" s="20"/>
      <c r="P972" s="124"/>
      <c r="Q972" s="127"/>
      <c r="R972" s="20"/>
      <c r="S972" s="20"/>
      <c r="T972" s="20"/>
      <c r="U972" s="124"/>
      <c r="V972" s="127"/>
      <c r="W972" s="20"/>
      <c r="X972" s="20"/>
      <c r="Y972" s="20"/>
      <c r="Z972" s="20"/>
      <c r="AA972" s="20"/>
      <c r="AB972" s="20"/>
      <c r="AC972" s="20"/>
      <c r="AD972" s="20"/>
      <c r="AE972" s="20"/>
    </row>
    <row r="973" spans="1:31" ht="19.5">
      <c r="A973" s="20"/>
      <c r="B973" s="20"/>
      <c r="C973" s="20"/>
      <c r="D973" s="20"/>
      <c r="E973" s="20"/>
      <c r="F973" s="20"/>
      <c r="G973" s="124"/>
      <c r="H973" s="20"/>
      <c r="I973" s="20"/>
      <c r="J973" s="20"/>
      <c r="K973" s="124"/>
      <c r="L973" s="127"/>
      <c r="M973" s="20"/>
      <c r="N973" s="20"/>
      <c r="O973" s="20"/>
      <c r="P973" s="124"/>
      <c r="Q973" s="127"/>
      <c r="R973" s="20"/>
      <c r="S973" s="20"/>
      <c r="T973" s="20"/>
      <c r="U973" s="124"/>
      <c r="V973" s="127"/>
      <c r="W973" s="20"/>
      <c r="X973" s="20"/>
      <c r="Y973" s="20"/>
      <c r="Z973" s="20"/>
      <c r="AA973" s="20"/>
      <c r="AB973" s="20"/>
      <c r="AC973" s="20"/>
      <c r="AD973" s="20"/>
      <c r="AE973" s="20"/>
    </row>
    <row r="974" spans="1:31" ht="19.5">
      <c r="A974" s="20"/>
      <c r="B974" s="20"/>
      <c r="C974" s="20"/>
      <c r="D974" s="20"/>
      <c r="E974" s="20"/>
      <c r="F974" s="20"/>
      <c r="G974" s="124"/>
      <c r="H974" s="20"/>
      <c r="I974" s="20"/>
      <c r="J974" s="20"/>
      <c r="K974" s="124"/>
      <c r="L974" s="127"/>
      <c r="M974" s="20"/>
      <c r="N974" s="20"/>
      <c r="O974" s="20"/>
      <c r="P974" s="124"/>
      <c r="Q974" s="127"/>
      <c r="R974" s="20"/>
      <c r="S974" s="20"/>
      <c r="T974" s="20"/>
      <c r="U974" s="124"/>
      <c r="V974" s="127"/>
      <c r="W974" s="20"/>
      <c r="X974" s="20"/>
      <c r="Y974" s="20"/>
      <c r="Z974" s="20"/>
      <c r="AA974" s="20"/>
      <c r="AB974" s="20"/>
      <c r="AC974" s="20"/>
      <c r="AD974" s="20"/>
      <c r="AE974" s="20"/>
    </row>
    <row r="975" spans="1:31" ht="19.5">
      <c r="A975" s="20"/>
      <c r="B975" s="20"/>
      <c r="C975" s="20"/>
      <c r="D975" s="20"/>
      <c r="E975" s="20"/>
      <c r="F975" s="20"/>
      <c r="G975" s="124"/>
      <c r="H975" s="20"/>
      <c r="I975" s="20"/>
      <c r="J975" s="20"/>
      <c r="K975" s="124"/>
      <c r="L975" s="127"/>
      <c r="M975" s="20"/>
      <c r="N975" s="20"/>
      <c r="O975" s="20"/>
      <c r="P975" s="124"/>
      <c r="Q975" s="127"/>
      <c r="R975" s="20"/>
      <c r="S975" s="20"/>
      <c r="T975" s="20"/>
      <c r="U975" s="124"/>
      <c r="V975" s="127"/>
      <c r="W975" s="20"/>
      <c r="X975" s="20"/>
      <c r="Y975" s="20"/>
      <c r="Z975" s="20"/>
      <c r="AA975" s="20"/>
      <c r="AB975" s="20"/>
      <c r="AC975" s="20"/>
      <c r="AD975" s="20"/>
      <c r="AE975" s="20"/>
    </row>
    <row r="976" spans="1:31" ht="19.5">
      <c r="A976" s="20"/>
      <c r="B976" s="20"/>
      <c r="C976" s="20"/>
      <c r="D976" s="20"/>
      <c r="E976" s="20"/>
      <c r="F976" s="20"/>
      <c r="G976" s="124"/>
      <c r="H976" s="20"/>
      <c r="I976" s="20"/>
      <c r="J976" s="20"/>
      <c r="K976" s="124"/>
      <c r="L976" s="127"/>
      <c r="M976" s="20"/>
      <c r="N976" s="20"/>
      <c r="O976" s="20"/>
      <c r="P976" s="124"/>
      <c r="Q976" s="127"/>
      <c r="R976" s="20"/>
      <c r="S976" s="20"/>
      <c r="T976" s="20"/>
      <c r="U976" s="124"/>
      <c r="V976" s="127"/>
      <c r="W976" s="20"/>
      <c r="X976" s="20"/>
      <c r="Y976" s="20"/>
      <c r="Z976" s="20"/>
      <c r="AA976" s="20"/>
      <c r="AB976" s="20"/>
      <c r="AC976" s="20"/>
      <c r="AD976" s="20"/>
      <c r="AE976" s="20"/>
    </row>
    <row r="977" spans="1:31" ht="19.5">
      <c r="A977" s="20"/>
      <c r="B977" s="20"/>
      <c r="C977" s="20"/>
      <c r="D977" s="20"/>
      <c r="E977" s="20"/>
      <c r="F977" s="20"/>
      <c r="G977" s="124"/>
      <c r="H977" s="20"/>
      <c r="I977" s="20"/>
      <c r="J977" s="20"/>
      <c r="K977" s="124"/>
      <c r="L977" s="127"/>
      <c r="M977" s="20"/>
      <c r="N977" s="20"/>
      <c r="O977" s="20"/>
      <c r="P977" s="124"/>
      <c r="Q977" s="127"/>
      <c r="R977" s="20"/>
      <c r="S977" s="20"/>
      <c r="T977" s="20"/>
      <c r="U977" s="124"/>
      <c r="V977" s="127"/>
      <c r="W977" s="20"/>
      <c r="X977" s="20"/>
      <c r="Y977" s="20"/>
      <c r="Z977" s="20"/>
      <c r="AA977" s="20"/>
      <c r="AB977" s="20"/>
      <c r="AC977" s="20"/>
      <c r="AD977" s="20"/>
      <c r="AE977" s="20"/>
    </row>
    <row r="978" spans="1:31" ht="19.5">
      <c r="A978" s="20"/>
      <c r="B978" s="20"/>
      <c r="C978" s="20"/>
      <c r="D978" s="20"/>
      <c r="E978" s="20"/>
      <c r="F978" s="20"/>
      <c r="G978" s="124"/>
      <c r="H978" s="20"/>
      <c r="I978" s="20"/>
      <c r="J978" s="20"/>
      <c r="K978" s="124"/>
      <c r="L978" s="127"/>
      <c r="M978" s="20"/>
      <c r="N978" s="20"/>
      <c r="O978" s="20"/>
      <c r="P978" s="124"/>
      <c r="Q978" s="127"/>
      <c r="R978" s="20"/>
      <c r="S978" s="20"/>
      <c r="T978" s="20"/>
      <c r="U978" s="124"/>
      <c r="V978" s="127"/>
      <c r="W978" s="20"/>
      <c r="X978" s="20"/>
      <c r="Y978" s="20"/>
      <c r="Z978" s="20"/>
      <c r="AA978" s="20"/>
      <c r="AB978" s="20"/>
      <c r="AC978" s="20"/>
      <c r="AD978" s="20"/>
      <c r="AE978" s="20"/>
    </row>
    <row r="979" spans="1:31" ht="19.5">
      <c r="A979" s="20"/>
      <c r="B979" s="20"/>
      <c r="C979" s="20"/>
      <c r="D979" s="20"/>
      <c r="E979" s="20"/>
      <c r="F979" s="20"/>
      <c r="G979" s="124"/>
      <c r="H979" s="20"/>
      <c r="I979" s="20"/>
      <c r="J979" s="20"/>
      <c r="K979" s="124"/>
      <c r="L979" s="127"/>
      <c r="M979" s="20"/>
      <c r="N979" s="20"/>
      <c r="O979" s="20"/>
      <c r="P979" s="124"/>
      <c r="Q979" s="127"/>
      <c r="R979" s="20"/>
      <c r="S979" s="20"/>
      <c r="T979" s="20"/>
      <c r="U979" s="124"/>
      <c r="V979" s="127"/>
      <c r="W979" s="20"/>
      <c r="X979" s="20"/>
      <c r="Y979" s="20"/>
      <c r="Z979" s="20"/>
      <c r="AA979" s="20"/>
      <c r="AB979" s="20"/>
      <c r="AC979" s="20"/>
      <c r="AD979" s="20"/>
      <c r="AE979" s="20"/>
    </row>
    <row r="980" spans="1:31" ht="19.5">
      <c r="A980" s="20"/>
      <c r="B980" s="20"/>
      <c r="C980" s="20"/>
      <c r="D980" s="20"/>
      <c r="E980" s="20"/>
      <c r="F980" s="20"/>
      <c r="G980" s="124"/>
      <c r="H980" s="20"/>
      <c r="I980" s="20"/>
      <c r="J980" s="20"/>
      <c r="K980" s="124"/>
      <c r="L980" s="127"/>
      <c r="M980" s="20"/>
      <c r="N980" s="20"/>
      <c r="O980" s="20"/>
      <c r="P980" s="124"/>
      <c r="Q980" s="127"/>
      <c r="R980" s="20"/>
      <c r="S980" s="20"/>
      <c r="T980" s="20"/>
      <c r="U980" s="124"/>
      <c r="V980" s="127"/>
      <c r="W980" s="20"/>
      <c r="X980" s="20"/>
      <c r="Y980" s="20"/>
      <c r="Z980" s="20"/>
      <c r="AA980" s="20"/>
      <c r="AB980" s="20"/>
      <c r="AC980" s="20"/>
      <c r="AD980" s="20"/>
      <c r="AE980" s="20"/>
    </row>
    <row r="981" spans="1:31" ht="19.5">
      <c r="A981" s="20"/>
      <c r="B981" s="20"/>
      <c r="C981" s="20"/>
      <c r="D981" s="20"/>
      <c r="E981" s="20"/>
      <c r="F981" s="20"/>
      <c r="G981" s="124"/>
      <c r="H981" s="20"/>
      <c r="I981" s="20"/>
      <c r="J981" s="20"/>
      <c r="K981" s="124"/>
      <c r="L981" s="127"/>
      <c r="M981" s="20"/>
      <c r="N981" s="20"/>
      <c r="O981" s="20"/>
      <c r="P981" s="124"/>
      <c r="Q981" s="127"/>
      <c r="R981" s="20"/>
      <c r="S981" s="20"/>
      <c r="T981" s="20"/>
      <c r="U981" s="124"/>
      <c r="V981" s="127"/>
      <c r="W981" s="20"/>
      <c r="X981" s="20"/>
      <c r="Y981" s="20"/>
      <c r="Z981" s="20"/>
      <c r="AA981" s="20"/>
      <c r="AB981" s="20"/>
      <c r="AC981" s="20"/>
      <c r="AD981" s="20"/>
      <c r="AE981" s="20"/>
    </row>
    <row r="982" spans="1:31" ht="19.5">
      <c r="A982" s="20"/>
      <c r="B982" s="20"/>
      <c r="C982" s="20"/>
      <c r="D982" s="20"/>
      <c r="E982" s="20"/>
      <c r="F982" s="20"/>
      <c r="G982" s="124"/>
      <c r="H982" s="20"/>
      <c r="I982" s="20"/>
      <c r="J982" s="20"/>
      <c r="K982" s="124"/>
      <c r="L982" s="127"/>
      <c r="M982" s="20"/>
      <c r="N982" s="20"/>
      <c r="O982" s="20"/>
      <c r="P982" s="124"/>
      <c r="Q982" s="127"/>
      <c r="R982" s="20"/>
      <c r="S982" s="20"/>
      <c r="T982" s="20"/>
      <c r="U982" s="124"/>
      <c r="V982" s="127"/>
      <c r="W982" s="20"/>
      <c r="X982" s="20"/>
      <c r="Y982" s="20"/>
      <c r="Z982" s="20"/>
      <c r="AA982" s="20"/>
      <c r="AB982" s="20"/>
      <c r="AC982" s="20"/>
      <c r="AD982" s="20"/>
      <c r="AE982" s="20"/>
    </row>
    <row r="983" spans="1:31" ht="19.5">
      <c r="A983" s="20"/>
      <c r="B983" s="20"/>
      <c r="C983" s="20"/>
      <c r="D983" s="20"/>
      <c r="E983" s="20"/>
      <c r="F983" s="20"/>
      <c r="G983" s="124"/>
      <c r="H983" s="20"/>
      <c r="I983" s="20"/>
      <c r="J983" s="20"/>
      <c r="K983" s="124"/>
      <c r="L983" s="127"/>
      <c r="M983" s="20"/>
      <c r="N983" s="20"/>
      <c r="O983" s="20"/>
      <c r="P983" s="124"/>
      <c r="Q983" s="127"/>
      <c r="R983" s="20"/>
      <c r="S983" s="20"/>
      <c r="T983" s="20"/>
      <c r="U983" s="124"/>
      <c r="V983" s="127"/>
      <c r="W983" s="20"/>
      <c r="X983" s="20"/>
      <c r="Y983" s="20"/>
      <c r="Z983" s="20"/>
      <c r="AA983" s="20"/>
      <c r="AB983" s="20"/>
      <c r="AC983" s="20"/>
      <c r="AD983" s="20"/>
      <c r="AE983" s="20"/>
    </row>
    <row r="984" spans="1:31" ht="19.5">
      <c r="A984" s="20"/>
      <c r="B984" s="20"/>
      <c r="C984" s="20"/>
      <c r="D984" s="20"/>
      <c r="E984" s="20"/>
      <c r="F984" s="20"/>
      <c r="G984" s="124"/>
      <c r="H984" s="20"/>
      <c r="I984" s="20"/>
      <c r="J984" s="20"/>
      <c r="K984" s="124"/>
      <c r="L984" s="127"/>
      <c r="M984" s="20"/>
      <c r="N984" s="20"/>
      <c r="O984" s="20"/>
      <c r="P984" s="124"/>
      <c r="Q984" s="127"/>
      <c r="R984" s="20"/>
      <c r="S984" s="20"/>
      <c r="T984" s="20"/>
      <c r="U984" s="124"/>
      <c r="V984" s="127"/>
      <c r="W984" s="20"/>
      <c r="X984" s="20"/>
      <c r="Y984" s="20"/>
      <c r="Z984" s="20"/>
      <c r="AA984" s="20"/>
      <c r="AB984" s="20"/>
      <c r="AC984" s="20"/>
      <c r="AD984" s="20"/>
      <c r="AE984" s="20"/>
    </row>
    <row r="985" spans="1:31" ht="19.5">
      <c r="A985" s="20"/>
      <c r="B985" s="20"/>
      <c r="C985" s="20"/>
      <c r="D985" s="20"/>
      <c r="E985" s="20"/>
      <c r="F985" s="20"/>
      <c r="G985" s="124"/>
      <c r="H985" s="20"/>
      <c r="I985" s="20"/>
      <c r="J985" s="20"/>
      <c r="K985" s="124"/>
      <c r="L985" s="127"/>
      <c r="M985" s="20"/>
      <c r="N985" s="20"/>
      <c r="O985" s="20"/>
      <c r="P985" s="124"/>
      <c r="Q985" s="127"/>
      <c r="R985" s="20"/>
      <c r="S985" s="20"/>
      <c r="T985" s="20"/>
      <c r="U985" s="124"/>
      <c r="V985" s="127"/>
      <c r="W985" s="20"/>
      <c r="X985" s="20"/>
      <c r="Y985" s="20"/>
      <c r="Z985" s="20"/>
      <c r="AA985" s="20"/>
      <c r="AB985" s="20"/>
      <c r="AC985" s="20"/>
      <c r="AD985" s="20"/>
      <c r="AE985" s="20"/>
    </row>
    <row r="986" spans="1:31" ht="19.5">
      <c r="A986" s="20"/>
      <c r="B986" s="20"/>
      <c r="C986" s="20"/>
      <c r="D986" s="20"/>
      <c r="E986" s="20"/>
      <c r="F986" s="20"/>
      <c r="G986" s="124"/>
      <c r="H986" s="20"/>
      <c r="I986" s="20"/>
      <c r="J986" s="20"/>
      <c r="K986" s="124"/>
      <c r="L986" s="127"/>
      <c r="M986" s="20"/>
      <c r="N986" s="20"/>
      <c r="O986" s="20"/>
      <c r="P986" s="124"/>
      <c r="Q986" s="127"/>
      <c r="R986" s="20"/>
      <c r="S986" s="20"/>
      <c r="T986" s="20"/>
      <c r="U986" s="124"/>
      <c r="V986" s="127"/>
      <c r="W986" s="20"/>
      <c r="X986" s="20"/>
      <c r="Y986" s="20"/>
      <c r="Z986" s="20"/>
      <c r="AA986" s="20"/>
      <c r="AB986" s="20"/>
      <c r="AC986" s="20"/>
      <c r="AD986" s="20"/>
      <c r="AE986" s="20"/>
    </row>
    <row r="987" spans="1:31" ht="19.5">
      <c r="A987" s="20"/>
      <c r="B987" s="20"/>
      <c r="C987" s="20"/>
      <c r="D987" s="20"/>
      <c r="E987" s="20"/>
      <c r="F987" s="20"/>
      <c r="G987" s="124"/>
      <c r="H987" s="20"/>
      <c r="I987" s="20"/>
      <c r="J987" s="20"/>
      <c r="K987" s="124"/>
      <c r="L987" s="127"/>
      <c r="M987" s="20"/>
      <c r="N987" s="20"/>
      <c r="O987" s="20"/>
      <c r="P987" s="124"/>
      <c r="Q987" s="127"/>
      <c r="R987" s="20"/>
      <c r="S987" s="20"/>
      <c r="T987" s="20"/>
      <c r="U987" s="124"/>
      <c r="V987" s="127"/>
      <c r="W987" s="20"/>
      <c r="X987" s="20"/>
      <c r="Y987" s="20"/>
      <c r="Z987" s="20"/>
      <c r="AA987" s="20"/>
      <c r="AB987" s="20"/>
      <c r="AC987" s="20"/>
      <c r="AD987" s="20"/>
      <c r="AE987" s="20"/>
    </row>
    <row r="988" spans="1:31" ht="19.5">
      <c r="A988" s="20"/>
      <c r="B988" s="20"/>
      <c r="C988" s="20"/>
      <c r="D988" s="20"/>
      <c r="E988" s="20"/>
      <c r="F988" s="20"/>
      <c r="G988" s="124"/>
      <c r="H988" s="20"/>
      <c r="I988" s="20"/>
      <c r="J988" s="20"/>
      <c r="K988" s="124"/>
      <c r="L988" s="127"/>
      <c r="M988" s="20"/>
      <c r="N988" s="20"/>
      <c r="O988" s="20"/>
      <c r="P988" s="124"/>
      <c r="Q988" s="127"/>
      <c r="R988" s="20"/>
      <c r="S988" s="20"/>
      <c r="T988" s="20"/>
      <c r="U988" s="124"/>
      <c r="V988" s="127"/>
      <c r="W988" s="20"/>
      <c r="X988" s="20"/>
      <c r="Y988" s="20"/>
      <c r="Z988" s="20"/>
      <c r="AA988" s="20"/>
      <c r="AB988" s="20"/>
      <c r="AC988" s="20"/>
      <c r="AD988" s="20"/>
      <c r="AE988" s="20"/>
    </row>
    <row r="989" spans="1:31" ht="19.5">
      <c r="A989" s="20"/>
      <c r="B989" s="20"/>
      <c r="C989" s="20"/>
      <c r="D989" s="20"/>
      <c r="E989" s="20"/>
      <c r="F989" s="20"/>
      <c r="G989" s="124"/>
      <c r="H989" s="20"/>
      <c r="I989" s="20"/>
      <c r="J989" s="20"/>
      <c r="K989" s="124"/>
      <c r="L989" s="127"/>
      <c r="M989" s="20"/>
      <c r="N989" s="20"/>
      <c r="O989" s="20"/>
      <c r="P989" s="124"/>
      <c r="Q989" s="127"/>
      <c r="R989" s="20"/>
      <c r="S989" s="20"/>
      <c r="T989" s="20"/>
      <c r="U989" s="124"/>
      <c r="V989" s="127"/>
      <c r="W989" s="20"/>
      <c r="X989" s="20"/>
      <c r="Y989" s="20"/>
      <c r="Z989" s="20"/>
      <c r="AA989" s="20"/>
      <c r="AB989" s="20"/>
      <c r="AC989" s="20"/>
      <c r="AD989" s="20"/>
      <c r="AE989" s="20"/>
    </row>
    <row r="990" spans="1:31" ht="19.5">
      <c r="A990" s="20"/>
      <c r="B990" s="20"/>
      <c r="C990" s="20"/>
      <c r="D990" s="20"/>
      <c r="E990" s="20"/>
      <c r="F990" s="20"/>
      <c r="G990" s="124"/>
      <c r="H990" s="20"/>
      <c r="I990" s="20"/>
      <c r="J990" s="20"/>
      <c r="K990" s="124"/>
      <c r="L990" s="127"/>
      <c r="M990" s="20"/>
      <c r="N990" s="20"/>
      <c r="O990" s="20"/>
      <c r="P990" s="124"/>
      <c r="Q990" s="127"/>
      <c r="R990" s="20"/>
      <c r="S990" s="20"/>
      <c r="T990" s="20"/>
      <c r="U990" s="124"/>
      <c r="V990" s="127"/>
      <c r="W990" s="20"/>
      <c r="X990" s="20"/>
      <c r="Y990" s="20"/>
      <c r="Z990" s="20"/>
      <c r="AA990" s="20"/>
      <c r="AB990" s="20"/>
      <c r="AC990" s="20"/>
      <c r="AD990" s="20"/>
      <c r="AE990" s="20"/>
    </row>
    <row r="991" spans="1:31" ht="19.5">
      <c r="A991" s="20"/>
      <c r="B991" s="20"/>
      <c r="C991" s="20"/>
      <c r="D991" s="20"/>
      <c r="E991" s="20"/>
      <c r="F991" s="20"/>
      <c r="G991" s="124"/>
      <c r="H991" s="20"/>
      <c r="I991" s="20"/>
      <c r="J991" s="20"/>
      <c r="K991" s="124"/>
      <c r="L991" s="127"/>
      <c r="M991" s="20"/>
      <c r="N991" s="20"/>
      <c r="O991" s="20"/>
      <c r="P991" s="124"/>
      <c r="Q991" s="127"/>
      <c r="R991" s="20"/>
      <c r="S991" s="20"/>
      <c r="T991" s="20"/>
      <c r="U991" s="124"/>
      <c r="V991" s="127"/>
      <c r="W991" s="20"/>
      <c r="X991" s="20"/>
      <c r="Y991" s="20"/>
      <c r="Z991" s="20"/>
      <c r="AA991" s="20"/>
      <c r="AB991" s="20"/>
      <c r="AC991" s="20"/>
      <c r="AD991" s="20"/>
      <c r="AE991" s="20"/>
    </row>
    <row r="992" spans="1:31" ht="19.5">
      <c r="A992" s="20"/>
      <c r="B992" s="20"/>
      <c r="C992" s="20"/>
      <c r="D992" s="20"/>
      <c r="E992" s="20"/>
      <c r="F992" s="20"/>
      <c r="G992" s="124"/>
      <c r="H992" s="20"/>
      <c r="I992" s="20"/>
      <c r="J992" s="20"/>
      <c r="K992" s="124"/>
      <c r="L992" s="127"/>
      <c r="M992" s="20"/>
      <c r="N992" s="20"/>
      <c r="O992" s="20"/>
      <c r="P992" s="124"/>
      <c r="Q992" s="127"/>
      <c r="R992" s="20"/>
      <c r="S992" s="20"/>
      <c r="T992" s="20"/>
      <c r="U992" s="124"/>
      <c r="V992" s="127"/>
      <c r="W992" s="20"/>
      <c r="X992" s="20"/>
      <c r="Y992" s="20"/>
      <c r="Z992" s="20"/>
      <c r="AA992" s="20"/>
      <c r="AB992" s="20"/>
      <c r="AC992" s="20"/>
      <c r="AD992" s="20"/>
      <c r="AE992" s="20"/>
    </row>
    <row r="993" spans="1:31" ht="19.5">
      <c r="A993" s="20"/>
      <c r="B993" s="20"/>
      <c r="C993" s="20"/>
      <c r="D993" s="20"/>
      <c r="E993" s="20"/>
      <c r="F993" s="20"/>
      <c r="G993" s="124"/>
      <c r="H993" s="20"/>
      <c r="I993" s="20"/>
      <c r="J993" s="20"/>
      <c r="K993" s="124"/>
      <c r="L993" s="127"/>
      <c r="M993" s="20"/>
      <c r="N993" s="20"/>
      <c r="O993" s="20"/>
      <c r="P993" s="124"/>
      <c r="Q993" s="127"/>
      <c r="R993" s="20"/>
      <c r="S993" s="20"/>
      <c r="T993" s="20"/>
      <c r="U993" s="124"/>
      <c r="V993" s="127"/>
      <c r="W993" s="20"/>
      <c r="X993" s="20"/>
      <c r="Y993" s="20"/>
      <c r="Z993" s="20"/>
      <c r="AA993" s="20"/>
      <c r="AB993" s="20"/>
      <c r="AC993" s="20"/>
      <c r="AD993" s="20"/>
      <c r="AE993" s="20"/>
    </row>
    <row r="994" spans="1:31" ht="19.5">
      <c r="A994" s="20"/>
      <c r="B994" s="20"/>
      <c r="C994" s="20"/>
      <c r="D994" s="20"/>
      <c r="E994" s="20"/>
      <c r="F994" s="20"/>
      <c r="G994" s="124"/>
      <c r="H994" s="20"/>
      <c r="I994" s="20"/>
      <c r="J994" s="20"/>
      <c r="K994" s="124"/>
      <c r="L994" s="127"/>
      <c r="M994" s="20"/>
      <c r="N994" s="20"/>
      <c r="O994" s="20"/>
      <c r="P994" s="124"/>
      <c r="Q994" s="127"/>
      <c r="R994" s="20"/>
      <c r="S994" s="20"/>
      <c r="T994" s="20"/>
      <c r="U994" s="124"/>
      <c r="V994" s="127"/>
      <c r="W994" s="20"/>
      <c r="X994" s="20"/>
      <c r="Y994" s="20"/>
      <c r="Z994" s="20"/>
      <c r="AA994" s="20"/>
      <c r="AB994" s="20"/>
      <c r="AC994" s="20"/>
      <c r="AD994" s="20"/>
      <c r="AE994" s="20"/>
    </row>
    <row r="995" spans="1:31" ht="19.5">
      <c r="A995" s="20"/>
      <c r="B995" s="20"/>
      <c r="C995" s="20"/>
      <c r="D995" s="20"/>
      <c r="E995" s="20"/>
      <c r="F995" s="20"/>
      <c r="G995" s="124"/>
      <c r="H995" s="20"/>
      <c r="I995" s="20"/>
      <c r="J995" s="20"/>
      <c r="K995" s="124"/>
      <c r="L995" s="127"/>
      <c r="M995" s="20"/>
      <c r="N995" s="20"/>
      <c r="O995" s="20"/>
      <c r="P995" s="124"/>
      <c r="Q995" s="127"/>
      <c r="R995" s="20"/>
      <c r="S995" s="20"/>
      <c r="T995" s="20"/>
      <c r="U995" s="124"/>
      <c r="V995" s="127"/>
      <c r="W995" s="20"/>
      <c r="X995" s="20"/>
      <c r="Y995" s="20"/>
      <c r="Z995" s="20"/>
      <c r="AA995" s="20"/>
      <c r="AB995" s="20"/>
      <c r="AC995" s="20"/>
      <c r="AD995" s="20"/>
      <c r="AE995" s="20"/>
    </row>
    <row r="996" spans="1:31" ht="19.5">
      <c r="A996" s="20"/>
      <c r="B996" s="20"/>
      <c r="C996" s="20"/>
      <c r="D996" s="20"/>
      <c r="E996" s="20"/>
      <c r="F996" s="20"/>
      <c r="G996" s="124"/>
      <c r="H996" s="20"/>
      <c r="I996" s="20"/>
      <c r="J996" s="20"/>
      <c r="K996" s="124"/>
      <c r="L996" s="127"/>
      <c r="M996" s="20"/>
      <c r="N996" s="20"/>
      <c r="O996" s="20"/>
      <c r="P996" s="124"/>
      <c r="Q996" s="127"/>
      <c r="R996" s="20"/>
      <c r="S996" s="20"/>
      <c r="T996" s="20"/>
      <c r="U996" s="124"/>
      <c r="V996" s="127"/>
      <c r="W996" s="20"/>
      <c r="X996" s="20"/>
      <c r="Y996" s="20"/>
      <c r="Z996" s="20"/>
      <c r="AA996" s="20"/>
      <c r="AB996" s="20"/>
      <c r="AC996" s="20"/>
      <c r="AD996" s="20"/>
      <c r="AE996" s="20"/>
    </row>
    <row r="997" spans="1:31" ht="19.5">
      <c r="A997" s="20"/>
      <c r="B997" s="20"/>
      <c r="C997" s="20"/>
      <c r="D997" s="20"/>
      <c r="E997" s="20"/>
      <c r="F997" s="20"/>
      <c r="G997" s="124"/>
      <c r="H997" s="20"/>
      <c r="I997" s="20"/>
      <c r="J997" s="20"/>
      <c r="K997" s="124"/>
      <c r="L997" s="127"/>
      <c r="M997" s="20"/>
      <c r="N997" s="20"/>
      <c r="O997" s="20"/>
      <c r="P997" s="124"/>
      <c r="Q997" s="127"/>
      <c r="R997" s="20"/>
      <c r="S997" s="20"/>
      <c r="T997" s="20"/>
      <c r="U997" s="124"/>
      <c r="V997" s="127"/>
      <c r="W997" s="20"/>
      <c r="X997" s="20"/>
      <c r="Y997" s="20"/>
      <c r="Z997" s="20"/>
      <c r="AA997" s="20"/>
      <c r="AB997" s="20"/>
      <c r="AC997" s="20"/>
      <c r="AD997" s="20"/>
      <c r="AE997" s="20"/>
    </row>
    <row r="998" spans="1:31" ht="19.5">
      <c r="A998" s="20"/>
      <c r="B998" s="20"/>
      <c r="C998" s="20"/>
      <c r="D998" s="20"/>
      <c r="E998" s="20"/>
      <c r="F998" s="20"/>
      <c r="G998" s="124"/>
      <c r="H998" s="20"/>
      <c r="I998" s="20"/>
      <c r="J998" s="20"/>
      <c r="K998" s="124"/>
      <c r="L998" s="127"/>
      <c r="M998" s="20"/>
      <c r="N998" s="20"/>
      <c r="O998" s="20"/>
      <c r="P998" s="124"/>
      <c r="Q998" s="127"/>
      <c r="R998" s="20"/>
      <c r="S998" s="20"/>
      <c r="T998" s="20"/>
      <c r="U998" s="124"/>
      <c r="V998" s="127"/>
      <c r="W998" s="20"/>
      <c r="X998" s="20"/>
      <c r="Y998" s="20"/>
      <c r="Z998" s="20"/>
      <c r="AA998" s="20"/>
      <c r="AB998" s="20"/>
      <c r="AC998" s="20"/>
      <c r="AD998" s="20"/>
      <c r="AE998" s="20"/>
    </row>
    <row r="999" spans="1:31" ht="19.5">
      <c r="A999" s="20"/>
      <c r="B999" s="20"/>
      <c r="C999" s="20"/>
      <c r="D999" s="20"/>
      <c r="E999" s="20"/>
      <c r="F999" s="20"/>
      <c r="G999" s="124"/>
      <c r="H999" s="20"/>
      <c r="I999" s="20"/>
      <c r="J999" s="20"/>
      <c r="K999" s="124"/>
      <c r="L999" s="127"/>
      <c r="M999" s="20"/>
      <c r="N999" s="20"/>
      <c r="O999" s="20"/>
      <c r="P999" s="124"/>
      <c r="Q999" s="127"/>
      <c r="R999" s="20"/>
      <c r="S999" s="20"/>
      <c r="T999" s="20"/>
      <c r="U999" s="124"/>
      <c r="V999" s="127"/>
      <c r="W999" s="20"/>
      <c r="X999" s="20"/>
      <c r="Y999" s="20"/>
      <c r="Z999" s="20"/>
      <c r="AA999" s="20"/>
      <c r="AB999" s="20"/>
      <c r="AC999" s="20"/>
      <c r="AD999" s="20"/>
      <c r="AE999" s="20"/>
    </row>
    <row r="1000" spans="1:31" ht="19.5">
      <c r="A1000" s="20"/>
      <c r="B1000" s="20"/>
      <c r="C1000" s="20"/>
      <c r="D1000" s="20"/>
      <c r="E1000" s="20"/>
      <c r="F1000" s="20"/>
      <c r="G1000" s="124"/>
      <c r="H1000" s="20"/>
      <c r="I1000" s="20"/>
      <c r="J1000" s="20"/>
      <c r="K1000" s="124"/>
      <c r="L1000" s="127"/>
      <c r="M1000" s="20"/>
      <c r="N1000" s="20"/>
      <c r="O1000" s="20"/>
      <c r="P1000" s="124"/>
      <c r="Q1000" s="127"/>
      <c r="R1000" s="20"/>
      <c r="S1000" s="20"/>
      <c r="T1000" s="20"/>
      <c r="U1000" s="124"/>
      <c r="V1000" s="127"/>
      <c r="W1000" s="20"/>
      <c r="X1000" s="20"/>
      <c r="Y1000" s="20"/>
      <c r="Z1000" s="20"/>
      <c r="AA1000" s="20"/>
      <c r="AB1000" s="20"/>
      <c r="AC1000" s="20"/>
      <c r="AD1000" s="20"/>
      <c r="AE1000" s="20"/>
    </row>
    <row r="1001" spans="1:31" ht="19.5">
      <c r="A1001" s="20"/>
      <c r="B1001" s="20"/>
      <c r="C1001" s="20"/>
      <c r="D1001" s="20"/>
      <c r="E1001" s="20"/>
      <c r="F1001" s="20"/>
      <c r="G1001" s="124"/>
      <c r="H1001" s="20"/>
      <c r="I1001" s="20"/>
      <c r="J1001" s="20"/>
      <c r="K1001" s="124"/>
      <c r="L1001" s="127"/>
      <c r="M1001" s="20"/>
      <c r="N1001" s="20"/>
      <c r="O1001" s="20"/>
      <c r="P1001" s="124"/>
      <c r="Q1001" s="127"/>
      <c r="R1001" s="20"/>
      <c r="S1001" s="20"/>
      <c r="T1001" s="20"/>
      <c r="U1001" s="124"/>
      <c r="V1001" s="127"/>
      <c r="W1001" s="20"/>
      <c r="X1001" s="20"/>
      <c r="Y1001" s="20"/>
      <c r="Z1001" s="20"/>
      <c r="AA1001" s="20"/>
      <c r="AB1001" s="20"/>
      <c r="AC1001" s="20"/>
      <c r="AD1001" s="20"/>
      <c r="AE1001" s="20"/>
    </row>
    <row r="1002" spans="1:31" ht="19.5">
      <c r="A1002" s="20"/>
      <c r="B1002" s="20"/>
      <c r="C1002" s="20"/>
      <c r="D1002" s="20"/>
      <c r="E1002" s="20"/>
      <c r="F1002" s="20"/>
      <c r="G1002" s="124"/>
      <c r="H1002" s="20"/>
      <c r="I1002" s="20"/>
      <c r="J1002" s="20"/>
      <c r="K1002" s="124"/>
      <c r="L1002" s="127"/>
      <c r="M1002" s="20"/>
      <c r="N1002" s="20"/>
      <c r="O1002" s="20"/>
      <c r="P1002" s="124"/>
      <c r="Q1002" s="127"/>
      <c r="R1002" s="20"/>
      <c r="S1002" s="20"/>
      <c r="T1002" s="20"/>
      <c r="U1002" s="124"/>
      <c r="V1002" s="127"/>
      <c r="W1002" s="20"/>
      <c r="X1002" s="20"/>
      <c r="Y1002" s="20"/>
      <c r="Z1002" s="20"/>
      <c r="AA1002" s="20"/>
      <c r="AB1002" s="20"/>
      <c r="AC1002" s="20"/>
      <c r="AD1002" s="20"/>
      <c r="AE1002" s="20"/>
    </row>
    <row r="1003" spans="1:31" ht="19.5">
      <c r="A1003" s="20"/>
      <c r="B1003" s="20"/>
      <c r="C1003" s="20"/>
      <c r="D1003" s="20"/>
      <c r="E1003" s="20"/>
      <c r="F1003" s="20"/>
      <c r="G1003" s="124"/>
      <c r="H1003" s="20"/>
      <c r="I1003" s="20"/>
      <c r="J1003" s="20"/>
      <c r="K1003" s="124"/>
      <c r="L1003" s="127"/>
      <c r="M1003" s="20"/>
      <c r="N1003" s="20"/>
      <c r="O1003" s="20"/>
      <c r="P1003" s="124"/>
      <c r="Q1003" s="127"/>
      <c r="R1003" s="20"/>
      <c r="S1003" s="20"/>
      <c r="T1003" s="20"/>
      <c r="U1003" s="124"/>
      <c r="V1003" s="127"/>
      <c r="W1003" s="20"/>
      <c r="X1003" s="20"/>
      <c r="Y1003" s="20"/>
      <c r="Z1003" s="20"/>
      <c r="AA1003" s="20"/>
      <c r="AB1003" s="20"/>
      <c r="AC1003" s="20"/>
      <c r="AD1003" s="20"/>
      <c r="AE1003" s="20"/>
    </row>
    <row r="1004" spans="1:31" ht="19.5">
      <c r="A1004" s="20"/>
      <c r="B1004" s="20"/>
      <c r="C1004" s="20"/>
      <c r="D1004" s="20"/>
      <c r="E1004" s="20"/>
      <c r="F1004" s="20"/>
      <c r="G1004" s="124"/>
      <c r="H1004" s="20"/>
      <c r="I1004" s="20"/>
      <c r="J1004" s="20"/>
      <c r="K1004" s="124"/>
      <c r="L1004" s="127"/>
      <c r="M1004" s="20"/>
      <c r="N1004" s="20"/>
      <c r="O1004" s="20"/>
      <c r="P1004" s="124"/>
      <c r="Q1004" s="127"/>
      <c r="R1004" s="20"/>
      <c r="S1004" s="20"/>
      <c r="T1004" s="20"/>
      <c r="U1004" s="124"/>
      <c r="V1004" s="127"/>
      <c r="W1004" s="20"/>
      <c r="X1004" s="20"/>
      <c r="Y1004" s="20"/>
      <c r="Z1004" s="20"/>
      <c r="AA1004" s="20"/>
      <c r="AB1004" s="20"/>
      <c r="AC1004" s="20"/>
      <c r="AD1004" s="20"/>
      <c r="AE1004" s="20"/>
    </row>
    <row r="1005" spans="1:31" ht="19.5">
      <c r="A1005" s="20"/>
      <c r="B1005" s="20"/>
      <c r="C1005" s="20"/>
      <c r="D1005" s="20"/>
      <c r="E1005" s="20"/>
      <c r="F1005" s="20"/>
      <c r="G1005" s="124"/>
      <c r="H1005" s="20"/>
      <c r="I1005" s="20"/>
      <c r="J1005" s="20"/>
      <c r="K1005" s="124"/>
      <c r="L1005" s="127"/>
      <c r="M1005" s="20"/>
      <c r="N1005" s="20"/>
      <c r="O1005" s="20"/>
      <c r="P1005" s="124"/>
      <c r="Q1005" s="127"/>
      <c r="R1005" s="20"/>
      <c r="S1005" s="20"/>
      <c r="T1005" s="20"/>
      <c r="U1005" s="124"/>
      <c r="V1005" s="127"/>
      <c r="W1005" s="20"/>
      <c r="X1005" s="20"/>
      <c r="Y1005" s="20"/>
      <c r="Z1005" s="20"/>
      <c r="AA1005" s="20"/>
      <c r="AB1005" s="20"/>
      <c r="AC1005" s="20"/>
      <c r="AD1005" s="20"/>
      <c r="AE1005" s="20"/>
    </row>
    <row r="1006" spans="1:31" ht="19.5">
      <c r="A1006" s="20"/>
      <c r="B1006" s="20"/>
      <c r="C1006" s="20"/>
      <c r="D1006" s="20"/>
      <c r="E1006" s="20"/>
      <c r="F1006" s="20"/>
      <c r="G1006" s="124"/>
      <c r="H1006" s="20"/>
      <c r="I1006" s="20"/>
      <c r="J1006" s="20"/>
      <c r="K1006" s="124"/>
      <c r="L1006" s="127"/>
      <c r="M1006" s="20"/>
      <c r="N1006" s="20"/>
      <c r="O1006" s="20"/>
      <c r="P1006" s="124"/>
      <c r="Q1006" s="127"/>
      <c r="R1006" s="20"/>
      <c r="S1006" s="20"/>
      <c r="T1006" s="20"/>
      <c r="U1006" s="124"/>
      <c r="V1006" s="127"/>
      <c r="W1006" s="20"/>
      <c r="X1006" s="20"/>
      <c r="Y1006" s="20"/>
      <c r="Z1006" s="20"/>
      <c r="AA1006" s="20"/>
      <c r="AB1006" s="20"/>
      <c r="AC1006" s="20"/>
      <c r="AD1006" s="20"/>
      <c r="AE1006" s="20"/>
    </row>
    <row r="1007" spans="1:31" ht="19.5">
      <c r="A1007" s="20"/>
      <c r="B1007" s="20"/>
      <c r="C1007" s="20"/>
      <c r="D1007" s="20"/>
      <c r="E1007" s="20"/>
      <c r="F1007" s="20"/>
      <c r="G1007" s="124"/>
      <c r="H1007" s="20"/>
      <c r="I1007" s="20"/>
      <c r="J1007" s="20"/>
      <c r="K1007" s="124"/>
      <c r="L1007" s="127"/>
      <c r="M1007" s="20"/>
      <c r="N1007" s="20"/>
      <c r="O1007" s="20"/>
      <c r="P1007" s="124"/>
      <c r="Q1007" s="127"/>
      <c r="R1007" s="20"/>
      <c r="S1007" s="20"/>
      <c r="T1007" s="20"/>
      <c r="U1007" s="124"/>
      <c r="V1007" s="127"/>
      <c r="W1007" s="20"/>
      <c r="X1007" s="20"/>
      <c r="Y1007" s="20"/>
      <c r="Z1007" s="20"/>
      <c r="AA1007" s="20"/>
      <c r="AB1007" s="20"/>
      <c r="AC1007" s="20"/>
      <c r="AD1007" s="20"/>
      <c r="AE1007" s="20"/>
    </row>
    <row r="1008" spans="1:31" ht="19.5">
      <c r="A1008" s="20"/>
      <c r="B1008" s="20"/>
      <c r="C1008" s="20"/>
      <c r="D1008" s="20"/>
      <c r="E1008" s="20"/>
      <c r="F1008" s="20"/>
      <c r="G1008" s="124"/>
      <c r="H1008" s="20"/>
      <c r="I1008" s="20"/>
      <c r="J1008" s="20"/>
      <c r="K1008" s="124"/>
      <c r="L1008" s="127"/>
      <c r="M1008" s="20"/>
      <c r="N1008" s="20"/>
      <c r="O1008" s="20"/>
      <c r="P1008" s="124"/>
      <c r="Q1008" s="127"/>
      <c r="R1008" s="20"/>
      <c r="S1008" s="20"/>
      <c r="T1008" s="20"/>
      <c r="U1008" s="124"/>
      <c r="V1008" s="127"/>
      <c r="W1008" s="20"/>
      <c r="X1008" s="20"/>
      <c r="Y1008" s="20"/>
      <c r="Z1008" s="20"/>
      <c r="AA1008" s="20"/>
      <c r="AB1008" s="20"/>
      <c r="AC1008" s="20"/>
      <c r="AD1008" s="20"/>
      <c r="AE1008" s="20"/>
    </row>
    <row r="1009" spans="1:31" ht="19.5">
      <c r="A1009" s="20"/>
      <c r="B1009" s="20"/>
      <c r="C1009" s="20"/>
      <c r="D1009" s="20"/>
      <c r="E1009" s="20"/>
      <c r="F1009" s="20"/>
      <c r="G1009" s="124"/>
      <c r="H1009" s="20"/>
      <c r="I1009" s="20"/>
      <c r="J1009" s="20"/>
      <c r="K1009" s="124"/>
      <c r="L1009" s="127"/>
      <c r="M1009" s="20"/>
      <c r="N1009" s="20"/>
      <c r="O1009" s="20"/>
      <c r="P1009" s="124"/>
      <c r="Q1009" s="127"/>
      <c r="R1009" s="20"/>
      <c r="S1009" s="20"/>
      <c r="T1009" s="20"/>
      <c r="U1009" s="124"/>
      <c r="V1009" s="127"/>
      <c r="W1009" s="20"/>
      <c r="X1009" s="20"/>
      <c r="Y1009" s="20"/>
      <c r="Z1009" s="20"/>
      <c r="AA1009" s="20"/>
      <c r="AB1009" s="20"/>
      <c r="AC1009" s="20"/>
      <c r="AD1009" s="20"/>
      <c r="AE1009" s="20"/>
    </row>
    <row r="1010" spans="1:31" ht="19.5">
      <c r="A1010" s="20"/>
      <c r="B1010" s="20"/>
      <c r="C1010" s="20"/>
      <c r="D1010" s="20"/>
      <c r="E1010" s="20"/>
      <c r="F1010" s="20"/>
      <c r="G1010" s="124"/>
      <c r="H1010" s="20"/>
      <c r="I1010" s="20"/>
      <c r="J1010" s="20"/>
      <c r="K1010" s="124"/>
      <c r="L1010" s="127"/>
      <c r="M1010" s="20"/>
      <c r="N1010" s="20"/>
      <c r="O1010" s="20"/>
      <c r="P1010" s="124"/>
      <c r="Q1010" s="127"/>
      <c r="R1010" s="20"/>
      <c r="S1010" s="20"/>
      <c r="T1010" s="20"/>
      <c r="U1010" s="124"/>
      <c r="V1010" s="127"/>
      <c r="W1010" s="20"/>
      <c r="X1010" s="20"/>
      <c r="Y1010" s="20"/>
      <c r="Z1010" s="20"/>
      <c r="AA1010" s="20"/>
      <c r="AB1010" s="20"/>
      <c r="AC1010" s="20"/>
      <c r="AD1010" s="20"/>
      <c r="AE1010" s="20"/>
    </row>
    <row r="1011" spans="1:31" ht="19.5">
      <c r="A1011" s="20"/>
      <c r="B1011" s="20"/>
      <c r="C1011" s="20"/>
      <c r="D1011" s="20"/>
      <c r="E1011" s="20"/>
      <c r="F1011" s="20"/>
      <c r="G1011" s="124"/>
      <c r="H1011" s="20"/>
      <c r="I1011" s="20"/>
      <c r="J1011" s="20"/>
      <c r="K1011" s="124"/>
      <c r="L1011" s="127"/>
      <c r="M1011" s="20"/>
      <c r="N1011" s="20"/>
      <c r="O1011" s="20"/>
      <c r="P1011" s="124"/>
      <c r="Q1011" s="127"/>
      <c r="R1011" s="20"/>
      <c r="S1011" s="20"/>
      <c r="T1011" s="20"/>
      <c r="U1011" s="124"/>
      <c r="V1011" s="127"/>
      <c r="W1011" s="20"/>
      <c r="X1011" s="20"/>
      <c r="Y1011" s="20"/>
      <c r="Z1011" s="20"/>
      <c r="AA1011" s="20"/>
      <c r="AB1011" s="20"/>
      <c r="AC1011" s="20"/>
      <c r="AD1011" s="20"/>
      <c r="AE1011" s="20"/>
    </row>
    <row r="1012" spans="1:31" ht="19.5">
      <c r="A1012" s="20"/>
      <c r="B1012" s="20"/>
      <c r="C1012" s="20"/>
      <c r="D1012" s="20"/>
      <c r="E1012" s="20"/>
      <c r="F1012" s="20"/>
      <c r="G1012" s="124"/>
      <c r="H1012" s="20"/>
      <c r="I1012" s="20"/>
      <c r="J1012" s="20"/>
      <c r="K1012" s="124"/>
      <c r="L1012" s="127"/>
      <c r="M1012" s="20"/>
      <c r="N1012" s="20"/>
      <c r="O1012" s="20"/>
      <c r="P1012" s="124"/>
      <c r="Q1012" s="127"/>
      <c r="R1012" s="20"/>
      <c r="S1012" s="20"/>
      <c r="T1012" s="20"/>
      <c r="U1012" s="124"/>
      <c r="V1012" s="127"/>
      <c r="W1012" s="20"/>
      <c r="X1012" s="20"/>
      <c r="Y1012" s="20"/>
      <c r="Z1012" s="20"/>
      <c r="AA1012" s="20"/>
      <c r="AB1012" s="20"/>
      <c r="AC1012" s="20"/>
      <c r="AD1012" s="20"/>
      <c r="AE1012" s="20"/>
    </row>
    <row r="1013" spans="1:31" ht="19.5">
      <c r="A1013" s="20"/>
      <c r="B1013" s="20"/>
      <c r="C1013" s="20"/>
      <c r="D1013" s="20"/>
      <c r="E1013" s="20"/>
      <c r="F1013" s="20"/>
      <c r="G1013" s="124"/>
      <c r="H1013" s="20"/>
      <c r="I1013" s="20"/>
      <c r="J1013" s="20"/>
      <c r="K1013" s="124"/>
      <c r="L1013" s="127"/>
      <c r="M1013" s="20"/>
      <c r="N1013" s="20"/>
      <c r="O1013" s="20"/>
      <c r="P1013" s="124"/>
      <c r="Q1013" s="127"/>
      <c r="R1013" s="20"/>
      <c r="S1013" s="20"/>
      <c r="T1013" s="20"/>
      <c r="U1013" s="124"/>
      <c r="V1013" s="127"/>
      <c r="W1013" s="20"/>
      <c r="X1013" s="20"/>
      <c r="Y1013" s="20"/>
      <c r="Z1013" s="20"/>
      <c r="AA1013" s="20"/>
      <c r="AB1013" s="20"/>
      <c r="AC1013" s="20"/>
      <c r="AD1013" s="20"/>
      <c r="AE1013" s="20"/>
    </row>
    <row r="1014" spans="1:31" ht="19.5">
      <c r="A1014" s="20"/>
      <c r="B1014" s="20"/>
      <c r="C1014" s="20"/>
      <c r="D1014" s="20"/>
      <c r="E1014" s="20"/>
      <c r="F1014" s="20"/>
      <c r="G1014" s="124"/>
      <c r="H1014" s="20"/>
      <c r="I1014" s="20"/>
      <c r="J1014" s="20"/>
      <c r="K1014" s="124"/>
      <c r="L1014" s="127"/>
      <c r="M1014" s="20"/>
      <c r="N1014" s="20"/>
      <c r="O1014" s="20"/>
      <c r="P1014" s="124"/>
      <c r="Q1014" s="127"/>
      <c r="R1014" s="20"/>
      <c r="S1014" s="20"/>
      <c r="T1014" s="20"/>
      <c r="U1014" s="124"/>
      <c r="V1014" s="127"/>
      <c r="W1014" s="20"/>
      <c r="X1014" s="20"/>
      <c r="Y1014" s="20"/>
      <c r="Z1014" s="20"/>
      <c r="AA1014" s="20"/>
      <c r="AB1014" s="20"/>
      <c r="AC1014" s="20"/>
      <c r="AD1014" s="20"/>
      <c r="AE1014" s="20"/>
    </row>
    <row r="1015" spans="1:31" ht="19.5">
      <c r="A1015" s="20"/>
      <c r="B1015" s="20"/>
      <c r="C1015" s="20"/>
      <c r="D1015" s="20"/>
      <c r="E1015" s="20"/>
      <c r="F1015" s="20"/>
      <c r="G1015" s="124"/>
      <c r="H1015" s="20"/>
      <c r="I1015" s="20"/>
      <c r="J1015" s="20"/>
      <c r="K1015" s="124"/>
      <c r="L1015" s="127"/>
      <c r="M1015" s="20"/>
      <c r="N1015" s="20"/>
      <c r="O1015" s="20"/>
      <c r="P1015" s="124"/>
      <c r="Q1015" s="127"/>
      <c r="R1015" s="20"/>
      <c r="S1015" s="20"/>
      <c r="T1015" s="20"/>
      <c r="U1015" s="124"/>
      <c r="V1015" s="127"/>
      <c r="W1015" s="20"/>
      <c r="X1015" s="20"/>
      <c r="Y1015" s="20"/>
      <c r="Z1015" s="20"/>
      <c r="AA1015" s="20"/>
      <c r="AB1015" s="20"/>
      <c r="AC1015" s="20"/>
      <c r="AD1015" s="20"/>
      <c r="AE1015" s="20"/>
    </row>
    <row r="1016" spans="1:31" ht="19.5">
      <c r="A1016" s="20"/>
      <c r="B1016" s="20"/>
      <c r="C1016" s="20"/>
      <c r="D1016" s="20"/>
      <c r="E1016" s="20"/>
      <c r="F1016" s="20"/>
      <c r="G1016" s="124"/>
      <c r="H1016" s="20"/>
      <c r="I1016" s="20"/>
      <c r="J1016" s="20"/>
      <c r="K1016" s="124"/>
      <c r="L1016" s="127"/>
      <c r="M1016" s="20"/>
      <c r="N1016" s="20"/>
      <c r="O1016" s="20"/>
      <c r="P1016" s="124"/>
      <c r="Q1016" s="127"/>
      <c r="R1016" s="20"/>
      <c r="S1016" s="20"/>
      <c r="T1016" s="20"/>
      <c r="U1016" s="124"/>
      <c r="V1016" s="127"/>
      <c r="W1016" s="20"/>
      <c r="X1016" s="20"/>
      <c r="Y1016" s="20"/>
      <c r="Z1016" s="20"/>
      <c r="AA1016" s="20"/>
      <c r="AB1016" s="20"/>
      <c r="AC1016" s="20"/>
      <c r="AD1016" s="20"/>
      <c r="AE1016" s="20"/>
    </row>
    <row r="1017" spans="1:31" ht="19.5">
      <c r="A1017" s="20"/>
      <c r="B1017" s="20"/>
      <c r="C1017" s="20"/>
      <c r="D1017" s="20"/>
      <c r="E1017" s="20"/>
      <c r="F1017" s="20"/>
      <c r="G1017" s="124"/>
      <c r="H1017" s="20"/>
      <c r="I1017" s="20"/>
      <c r="J1017" s="20"/>
      <c r="K1017" s="124"/>
      <c r="L1017" s="127"/>
      <c r="M1017" s="20"/>
      <c r="N1017" s="20"/>
      <c r="O1017" s="20"/>
      <c r="P1017" s="124"/>
      <c r="Q1017" s="127"/>
      <c r="R1017" s="20"/>
      <c r="S1017" s="20"/>
      <c r="T1017" s="20"/>
      <c r="U1017" s="124"/>
      <c r="V1017" s="127"/>
      <c r="W1017" s="20"/>
      <c r="X1017" s="20"/>
      <c r="Y1017" s="20"/>
      <c r="Z1017" s="20"/>
      <c r="AA1017" s="20"/>
      <c r="AB1017" s="20"/>
      <c r="AC1017" s="20"/>
      <c r="AD1017" s="20"/>
      <c r="AE1017" s="20"/>
    </row>
    <row r="1018" spans="1:31" ht="19.5">
      <c r="A1018" s="20"/>
      <c r="B1018" s="20"/>
      <c r="C1018" s="20"/>
      <c r="D1018" s="20"/>
      <c r="E1018" s="20"/>
      <c r="F1018" s="20"/>
      <c r="G1018" s="124"/>
      <c r="H1018" s="20"/>
      <c r="I1018" s="20"/>
      <c r="J1018" s="20"/>
      <c r="K1018" s="124"/>
      <c r="L1018" s="127"/>
      <c r="M1018" s="20"/>
      <c r="N1018" s="20"/>
      <c r="O1018" s="20"/>
      <c r="P1018" s="124"/>
      <c r="Q1018" s="127"/>
      <c r="R1018" s="20"/>
      <c r="S1018" s="20"/>
      <c r="T1018" s="20"/>
      <c r="U1018" s="124"/>
      <c r="V1018" s="127"/>
      <c r="W1018" s="20"/>
      <c r="X1018" s="20"/>
      <c r="Y1018" s="20"/>
      <c r="Z1018" s="20"/>
      <c r="AA1018" s="20"/>
      <c r="AB1018" s="20"/>
      <c r="AC1018" s="20"/>
      <c r="AD1018" s="20"/>
      <c r="AE1018" s="20"/>
    </row>
  </sheetData>
  <mergeCells count="1">
    <mergeCell ref="C60:D60"/>
  </mergeCells>
  <conditionalFormatting sqref="E7:X8">
    <cfRule type="colorScale" priority="3">
      <colorScale>
        <cfvo type="min"/>
        <cfvo type="formula" val="0"/>
        <cfvo type="max"/>
        <color rgb="FFE67C73"/>
        <color rgb="FFFFFFFF"/>
        <color rgb="FF57BB8A"/>
      </colorScale>
    </cfRule>
  </conditionalFormatting>
  <conditionalFormatting sqref="I24:W24">
    <cfRule type="colorScale" priority="6">
      <colorScale>
        <cfvo type="min"/>
        <cfvo type="formula" val="0"/>
        <cfvo type="max"/>
        <color rgb="FFE67C73"/>
        <color rgb="FFFFFFFF"/>
        <color rgb="FF57BB8A"/>
      </colorScale>
    </cfRule>
  </conditionalFormatting>
  <conditionalFormatting sqref="R17:AA18 I18:Q18">
    <cfRule type="colorScale" priority="5">
      <colorScale>
        <cfvo type="min"/>
        <cfvo type="formula" val="0"/>
        <color rgb="FFFFFFFF"/>
        <color rgb="FFE67C73"/>
      </colorScale>
    </cfRule>
  </conditionalFormatting>
  <conditionalFormatting sqref="AA1:AE1">
    <cfRule type="containsText" dxfId="1" priority="1" operator="containsText" text="bull">
      <formula>NOT(ISERROR(SEARCH("bull",AA1)))</formula>
    </cfRule>
    <cfRule type="containsText" dxfId="0" priority="2" operator="containsText" text="bear">
      <formula>NOT(ISERROR(SEARCH("bear",AA1)))</formula>
    </cfRule>
  </conditionalFormatting>
  <conditionalFormatting sqref="R17:AE18 I18:Q18">
    <cfRule type="colorScale" priority="96">
      <colorScale>
        <cfvo type="min"/>
        <cfvo type="formula" val="0"/>
        <cfvo type="max"/>
        <color rgb="FFE67C73"/>
        <color rgb="FFFFFFFF"/>
        <color rgb="FF57BB8A"/>
      </colorScale>
    </cfRule>
  </conditionalFormatting>
  <conditionalFormatting sqref="I13:AE13">
    <cfRule type="colorScale" priority="98">
      <colorScale>
        <cfvo type="min"/>
        <cfvo type="formula" val="0"/>
        <cfvo type="max"/>
        <color rgb="FFE67C73"/>
        <color rgb="FFFFFFFF"/>
        <color rgb="FF57BB8A"/>
      </colorScale>
    </cfRule>
  </conditionalFormatting>
  <conditionalFormatting sqref="Y7:AE8">
    <cfRule type="colorScale" priority="99">
      <colorScale>
        <cfvo type="min"/>
        <cfvo type="formula" val="0"/>
        <cfvo type="max"/>
        <color rgb="FFE67C73"/>
        <color rgb="FFFFFFFF"/>
        <color rgb="FF57BB8A"/>
      </colorScale>
    </cfRule>
  </conditionalFormatting>
  <hyperlinks>
    <hyperlink ref="A31" r:id="rId1" xr:uid="{31A98945-2027-43FF-BE5E-140CA617CD0B}"/>
    <hyperlink ref="A34" r:id="rId2" xr:uid="{4370E521-C69B-4A48-A933-92C101FA9088}"/>
  </hyperlinks>
  <pageMargins left="0.7" right="0.7" top="0.75" bottom="0.75" header="0.3" footer="0.3"/>
  <drawing r:id="rId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01BC05-432C-424D-AD79-3C759D812299}">
  <sheetPr>
    <tabColor rgb="FF002060"/>
  </sheetPr>
  <dimension ref="A1:R287"/>
  <sheetViews>
    <sheetView topLeftCell="A263" workbookViewId="0">
      <selection activeCell="L265" sqref="L265"/>
    </sheetView>
  </sheetViews>
  <sheetFormatPr defaultRowHeight="15"/>
  <cols>
    <col min="1" max="1" width="10.5703125" bestFit="1" customWidth="1"/>
    <col min="9" max="9" width="23.140625" customWidth="1"/>
  </cols>
  <sheetData>
    <row r="1" spans="1:18">
      <c r="A1" t="s">
        <v>789</v>
      </c>
      <c r="B1" t="s">
        <v>790</v>
      </c>
      <c r="C1" t="s">
        <v>790</v>
      </c>
      <c r="D1" t="s">
        <v>791</v>
      </c>
      <c r="E1" t="s">
        <v>792</v>
      </c>
      <c r="H1">
        <f>_xlfn.COVARIANCE.S(D2:D228,E2:E228)/_xlfn.VAR.S(D2:D228)</f>
        <v>0.86098049250776076</v>
      </c>
      <c r="I1">
        <f>SLOPE(E2:E263,D2:D263)</f>
        <v>0.8045130480184558</v>
      </c>
    </row>
    <row r="2" spans="1:18">
      <c r="A2" s="403">
        <v>45473</v>
      </c>
      <c r="B2" s="386">
        <v>28800</v>
      </c>
      <c r="C2" s="386">
        <v>1270.6199999999999</v>
      </c>
      <c r="D2">
        <f>IFERROR(C2/C3-1,"")</f>
        <v>2.0316063341149215E-2</v>
      </c>
      <c r="E2">
        <f t="shared" ref="E2:E65" si="0">IFERROR(B2/B3-1,"")</f>
        <v>1.7667844522968101E-2</v>
      </c>
      <c r="H2" s="519" t="s">
        <v>896</v>
      </c>
    </row>
    <row r="3" spans="1:18">
      <c r="A3" s="403">
        <v>45466</v>
      </c>
      <c r="B3" s="386">
        <v>28300</v>
      </c>
      <c r="C3" s="386">
        <v>1245.32</v>
      </c>
      <c r="D3">
        <f t="shared" ref="D3:D66" si="1">IFERROR(C3/C4-1,"")</f>
        <v>-2.8626698491443281E-2</v>
      </c>
      <c r="E3">
        <f t="shared" si="0"/>
        <v>-2.5817555938037917E-2</v>
      </c>
      <c r="H3" s="519" t="s">
        <v>897</v>
      </c>
    </row>
    <row r="4" spans="1:18">
      <c r="A4" s="403">
        <v>45459</v>
      </c>
      <c r="B4" s="386">
        <v>29050</v>
      </c>
      <c r="C4" s="386">
        <v>1282.02</v>
      </c>
      <c r="D4">
        <f t="shared" si="1"/>
        <v>1.6485534139119018E-3</v>
      </c>
      <c r="E4">
        <f t="shared" si="0"/>
        <v>-1.7182130584192379E-3</v>
      </c>
      <c r="H4" s="519" t="s">
        <v>898</v>
      </c>
    </row>
    <row r="5" spans="1:18">
      <c r="A5" s="403">
        <v>45452</v>
      </c>
      <c r="B5" s="386">
        <v>29100</v>
      </c>
      <c r="C5" s="386">
        <v>1279.9100000000001</v>
      </c>
      <c r="D5">
        <f t="shared" si="1"/>
        <v>-5.9569114152129288E-3</v>
      </c>
      <c r="E5">
        <f t="shared" si="0"/>
        <v>-6.8259385665528916E-3</v>
      </c>
    </row>
    <row r="6" spans="1:18">
      <c r="A6" s="403">
        <v>45445</v>
      </c>
      <c r="B6" s="386">
        <v>29300</v>
      </c>
      <c r="C6" s="386">
        <v>1287.58</v>
      </c>
      <c r="D6">
        <f t="shared" si="1"/>
        <v>2.0495831087721461E-2</v>
      </c>
      <c r="E6">
        <f t="shared" si="0"/>
        <v>2.4475524475524368E-2</v>
      </c>
      <c r="H6" t="s">
        <v>765</v>
      </c>
      <c r="I6" s="404">
        <v>4.5999999999999999E-2</v>
      </c>
    </row>
    <row r="7" spans="1:18">
      <c r="A7" s="403">
        <v>45438</v>
      </c>
      <c r="B7" s="386">
        <v>28600</v>
      </c>
      <c r="C7" s="386">
        <v>1261.72</v>
      </c>
      <c r="D7">
        <f t="shared" si="1"/>
        <v>-1.6641176610432407E-4</v>
      </c>
      <c r="E7">
        <f t="shared" si="0"/>
        <v>-1.038062283737029E-2</v>
      </c>
      <c r="H7" t="s">
        <v>766</v>
      </c>
      <c r="I7" s="416">
        <f>(2*'Close price'!O6+1)/3</f>
        <v>0.33333333333333331</v>
      </c>
      <c r="Q7" s="626" t="s">
        <v>793</v>
      </c>
      <c r="R7" s="626"/>
    </row>
    <row r="8" spans="1:18">
      <c r="A8" s="403">
        <v>45431</v>
      </c>
      <c r="B8" s="386">
        <v>28900</v>
      </c>
      <c r="C8" s="386">
        <v>1261.93</v>
      </c>
      <c r="D8">
        <f t="shared" si="1"/>
        <v>-8.7816449481975534E-3</v>
      </c>
      <c r="E8">
        <f t="shared" si="0"/>
        <v>6.0117031534463461E-3</v>
      </c>
      <c r="H8" t="s">
        <v>767</v>
      </c>
      <c r="I8" s="407">
        <v>-0.13</v>
      </c>
      <c r="Q8" s="406"/>
      <c r="R8" s="406"/>
    </row>
    <row r="9" spans="1:18">
      <c r="A9" s="403">
        <v>45424</v>
      </c>
      <c r="B9" s="386">
        <v>28727.3</v>
      </c>
      <c r="C9" s="386">
        <v>1273.1099999999999</v>
      </c>
      <c r="D9">
        <f t="shared" si="1"/>
        <v>2.2824777054711864E-2</v>
      </c>
      <c r="E9">
        <f t="shared" si="0"/>
        <v>3.7768497713299043E-2</v>
      </c>
      <c r="H9" t="s">
        <v>768</v>
      </c>
      <c r="J9" s="408" t="s">
        <v>794</v>
      </c>
      <c r="K9" s="408" t="s">
        <v>795</v>
      </c>
      <c r="L9" s="408" t="s">
        <v>796</v>
      </c>
      <c r="M9" s="408" t="s">
        <v>797</v>
      </c>
      <c r="N9" s="408" t="s">
        <v>774</v>
      </c>
      <c r="O9" s="408" t="s">
        <v>798</v>
      </c>
      <c r="Q9" s="409" t="s">
        <v>799</v>
      </c>
      <c r="R9" s="409" t="s">
        <v>800</v>
      </c>
    </row>
    <row r="10" spans="1:18">
      <c r="A10" s="403">
        <v>45417</v>
      </c>
      <c r="B10" s="386">
        <v>27681.8</v>
      </c>
      <c r="C10" s="386">
        <v>1244.7</v>
      </c>
      <c r="D10">
        <f t="shared" si="1"/>
        <v>1.9385273089113308E-2</v>
      </c>
      <c r="E10">
        <f t="shared" si="0"/>
        <v>6.2824672208250831E-2</v>
      </c>
      <c r="H10" s="410" t="s">
        <v>801</v>
      </c>
      <c r="I10" s="411">
        <v>0.09</v>
      </c>
      <c r="J10" s="412">
        <f>MAX(I6+I7*I10,12%)</f>
        <v>0.12</v>
      </c>
      <c r="K10" s="413">
        <f>7.4%</f>
        <v>7.400000000000001E-2</v>
      </c>
      <c r="L10" s="414">
        <f>I17</f>
        <v>0.54763554555916882</v>
      </c>
      <c r="M10" s="413">
        <f>1-L10</f>
        <v>0.45236445444083118</v>
      </c>
      <c r="N10" s="412">
        <f>J10*L10+M10*K10</f>
        <v>9.9191235095721766E-2</v>
      </c>
      <c r="O10" s="415">
        <f>(J10+K10*(1-I8)*(M10/L10))/(1+(1-I8)*(M10/L10))</f>
        <v>9.7792084937748103E-2</v>
      </c>
      <c r="Q10" s="407" t="e">
        <f>SUM(#REF!)/(SUM(#REF!)+SUM(#REF!))</f>
        <v>#REF!</v>
      </c>
      <c r="R10" s="407" t="e">
        <f>1-Q10</f>
        <v>#REF!</v>
      </c>
    </row>
    <row r="11" spans="1:18">
      <c r="A11" s="403">
        <v>45410</v>
      </c>
      <c r="B11" s="386">
        <v>26045.5</v>
      </c>
      <c r="C11" s="386">
        <v>1221.03</v>
      </c>
      <c r="D11">
        <f t="shared" si="1"/>
        <v>9.5161717044778271E-3</v>
      </c>
      <c r="E11">
        <f t="shared" si="0"/>
        <v>8.8038670395302887E-3</v>
      </c>
      <c r="H11" s="410" t="s">
        <v>802</v>
      </c>
      <c r="I11" s="411">
        <v>6.2899999999999998E-2</v>
      </c>
      <c r="J11" s="413"/>
      <c r="K11" s="413"/>
      <c r="L11" s="413"/>
      <c r="M11" s="413"/>
      <c r="N11" s="413"/>
      <c r="O11" s="413"/>
      <c r="Q11" s="407"/>
      <c r="R11" s="407"/>
    </row>
    <row r="12" spans="1:18">
      <c r="A12" s="403">
        <v>45403</v>
      </c>
      <c r="B12" s="386">
        <v>25818.2</v>
      </c>
      <c r="C12" s="386">
        <v>1209.52</v>
      </c>
      <c r="D12">
        <f t="shared" si="1"/>
        <v>2.9510150231944587E-2</v>
      </c>
      <c r="E12">
        <f t="shared" si="0"/>
        <v>2.1584555666786631E-2</v>
      </c>
      <c r="H12" s="410" t="s">
        <v>803</v>
      </c>
    </row>
    <row r="13" spans="1:18">
      <c r="A13" s="403">
        <v>45396</v>
      </c>
      <c r="B13" s="386">
        <v>25272.7</v>
      </c>
      <c r="C13" s="386">
        <v>1174.8499999999999</v>
      </c>
      <c r="D13">
        <f t="shared" si="1"/>
        <v>-7.9703900986996756E-2</v>
      </c>
      <c r="E13">
        <f t="shared" si="0"/>
        <v>-7.1788241948338549E-2</v>
      </c>
    </row>
    <row r="14" spans="1:18">
      <c r="A14" s="403">
        <v>45389</v>
      </c>
      <c r="B14" s="386">
        <v>27227.3</v>
      </c>
      <c r="C14" s="386">
        <v>1276.5999999999999</v>
      </c>
      <c r="D14">
        <f t="shared" si="1"/>
        <v>1.7122005242568461E-2</v>
      </c>
      <c r="E14">
        <f t="shared" si="0"/>
        <v>1.6979983341239402E-2</v>
      </c>
      <c r="H14" t="s">
        <v>769</v>
      </c>
    </row>
    <row r="15" spans="1:18">
      <c r="A15" s="403">
        <v>45382</v>
      </c>
      <c r="B15" s="386">
        <v>26772.7</v>
      </c>
      <c r="C15" s="386">
        <v>1255.1099999999999</v>
      </c>
      <c r="D15">
        <f t="shared" si="1"/>
        <v>-2.2568511552928494E-2</v>
      </c>
      <c r="E15">
        <f t="shared" si="0"/>
        <v>-2.6447272727272653E-2</v>
      </c>
      <c r="H15" t="s">
        <v>770</v>
      </c>
      <c r="I15" s="387">
        <v>102836419239379</v>
      </c>
    </row>
    <row r="16" spans="1:18">
      <c r="A16" s="403">
        <v>45375</v>
      </c>
      <c r="B16" s="386">
        <v>27500</v>
      </c>
      <c r="C16" s="386">
        <v>1284.0899999999999</v>
      </c>
      <c r="D16">
        <f t="shared" si="1"/>
        <v>1.7865501638321124E-3</v>
      </c>
      <c r="E16">
        <f t="shared" si="0"/>
        <v>-9.8189949122700071E-3</v>
      </c>
      <c r="H16" t="s">
        <v>771</v>
      </c>
      <c r="I16" s="387">
        <v>84946167324422</v>
      </c>
    </row>
    <row r="17" spans="1:9">
      <c r="A17" s="403">
        <v>45368</v>
      </c>
      <c r="B17" s="386">
        <v>27772.7</v>
      </c>
      <c r="C17" s="386">
        <v>1281.8</v>
      </c>
      <c r="D17">
        <f t="shared" si="1"/>
        <v>1.4258810868980287E-2</v>
      </c>
      <c r="E17">
        <f t="shared" si="0"/>
        <v>1.4950518206668706E-2</v>
      </c>
      <c r="H17" t="s">
        <v>772</v>
      </c>
      <c r="I17" s="411">
        <f>I15/SUM(I15:I16)</f>
        <v>0.54763554555916882</v>
      </c>
    </row>
    <row r="18" spans="1:9">
      <c r="A18" s="403">
        <v>45361</v>
      </c>
      <c r="B18" s="386">
        <v>27363.599999999999</v>
      </c>
      <c r="C18" s="386">
        <v>1263.78</v>
      </c>
      <c r="D18">
        <f t="shared" si="1"/>
        <v>1.3171924479897346E-2</v>
      </c>
      <c r="E18">
        <f t="shared" si="0"/>
        <v>-6.6036194659745417E-3</v>
      </c>
      <c r="H18" t="s">
        <v>773</v>
      </c>
      <c r="I18" s="411">
        <f>1-I17</f>
        <v>0.45236445444083118</v>
      </c>
    </row>
    <row r="19" spans="1:9">
      <c r="A19" s="403">
        <v>45354</v>
      </c>
      <c r="B19" s="386">
        <v>27545.5</v>
      </c>
      <c r="C19" s="386">
        <v>1247.3499999999999</v>
      </c>
      <c r="D19">
        <f t="shared" si="1"/>
        <v>-8.6864608831103141E-3</v>
      </c>
      <c r="E19">
        <f t="shared" si="0"/>
        <v>-1.7828172077516857E-2</v>
      </c>
    </row>
    <row r="20" spans="1:9">
      <c r="A20" s="403">
        <v>45347</v>
      </c>
      <c r="B20" s="386">
        <v>28045.5</v>
      </c>
      <c r="C20" s="386">
        <v>1258.28</v>
      </c>
      <c r="D20">
        <f t="shared" si="1"/>
        <v>3.8184818481848071E-2</v>
      </c>
      <c r="E20">
        <f t="shared" si="0"/>
        <v>8.6268601219294805E-2</v>
      </c>
    </row>
    <row r="21" spans="1:9">
      <c r="A21" s="403">
        <v>45340</v>
      </c>
      <c r="B21" s="386">
        <v>25818.2</v>
      </c>
      <c r="C21" s="386">
        <v>1212</v>
      </c>
      <c r="D21">
        <f t="shared" si="1"/>
        <v>1.9012978424401972E-3</v>
      </c>
      <c r="E21">
        <f t="shared" si="0"/>
        <v>-6.9923076923076311E-3</v>
      </c>
    </row>
    <row r="22" spans="1:9">
      <c r="A22" s="403">
        <v>45333</v>
      </c>
      <c r="B22" s="386">
        <v>26000</v>
      </c>
      <c r="C22" s="386">
        <v>1209.7</v>
      </c>
      <c r="D22">
        <f t="shared" si="1"/>
        <v>9.3197500271167133E-3</v>
      </c>
      <c r="E22">
        <f t="shared" si="0"/>
        <v>1.598615132722947E-2</v>
      </c>
    </row>
    <row r="23" spans="1:9">
      <c r="A23" s="403">
        <v>45326</v>
      </c>
      <c r="B23" s="386">
        <v>25590.9</v>
      </c>
      <c r="C23" s="386">
        <v>1198.53</v>
      </c>
      <c r="D23">
        <f t="shared" si="1"/>
        <v>2.215683766150689E-2</v>
      </c>
      <c r="E23">
        <f t="shared" si="0"/>
        <v>8.9616615937802013E-3</v>
      </c>
    </row>
    <row r="24" spans="1:9">
      <c r="A24" s="403">
        <v>45319</v>
      </c>
      <c r="B24" s="386">
        <v>25363.599999999999</v>
      </c>
      <c r="C24" s="386">
        <v>1172.55</v>
      </c>
      <c r="D24">
        <f t="shared" si="1"/>
        <v>-2.6538059149252557E-3</v>
      </c>
      <c r="E24">
        <f t="shared" si="0"/>
        <v>-1.5873385403935236E-2</v>
      </c>
    </row>
    <row r="25" spans="1:9">
      <c r="A25" s="403">
        <v>45312</v>
      </c>
      <c r="B25" s="386">
        <v>25772.7</v>
      </c>
      <c r="C25" s="386">
        <v>1175.67</v>
      </c>
      <c r="D25">
        <f t="shared" si="1"/>
        <v>-4.9344054168429796E-3</v>
      </c>
      <c r="E25">
        <f t="shared" si="0"/>
        <v>1.9784194011720047E-2</v>
      </c>
    </row>
    <row r="26" spans="1:9">
      <c r="A26" s="403">
        <v>45305</v>
      </c>
      <c r="B26" s="386">
        <v>25272.7</v>
      </c>
      <c r="C26" s="386">
        <v>1181.5</v>
      </c>
      <c r="D26">
        <f t="shared" si="1"/>
        <v>2.320949164285091E-2</v>
      </c>
      <c r="E26">
        <f t="shared" si="0"/>
        <v>2.3940717451725657E-2</v>
      </c>
    </row>
    <row r="27" spans="1:9">
      <c r="A27" s="403">
        <v>45298</v>
      </c>
      <c r="B27" s="386">
        <v>24681.8</v>
      </c>
      <c r="C27" s="386">
        <v>1154.7</v>
      </c>
      <c r="D27">
        <f t="shared" si="1"/>
        <v>1.7320816156907171E-5</v>
      </c>
      <c r="E27">
        <f t="shared" si="0"/>
        <v>-2.3380960483050939E-2</v>
      </c>
    </row>
    <row r="28" spans="1:9">
      <c r="A28" s="403">
        <v>45291</v>
      </c>
      <c r="B28" s="386">
        <v>25272.7</v>
      </c>
      <c r="C28" s="386">
        <v>1154.68</v>
      </c>
      <c r="D28">
        <f t="shared" si="1"/>
        <v>2.1904011752940544E-2</v>
      </c>
      <c r="E28">
        <f t="shared" si="0"/>
        <v>-5.3681555033432415E-3</v>
      </c>
    </row>
    <row r="29" spans="1:9">
      <c r="A29" s="403">
        <v>45284</v>
      </c>
      <c r="B29" s="386">
        <v>25409.1</v>
      </c>
      <c r="C29" s="386">
        <v>1129.93</v>
      </c>
      <c r="D29">
        <f t="shared" si="1"/>
        <v>2.4359509002230162E-2</v>
      </c>
      <c r="E29">
        <f t="shared" si="0"/>
        <v>3.3272470710709934E-2</v>
      </c>
    </row>
    <row r="30" spans="1:9">
      <c r="A30" s="403">
        <v>45277</v>
      </c>
      <c r="B30" s="386">
        <v>24590.9</v>
      </c>
      <c r="C30" s="386">
        <v>1103.06</v>
      </c>
      <c r="D30">
        <f t="shared" si="1"/>
        <v>6.8946747709341949E-4</v>
      </c>
      <c r="E30">
        <f t="shared" si="0"/>
        <v>9.3294915365547126E-3</v>
      </c>
    </row>
    <row r="31" spans="1:9">
      <c r="A31" s="403">
        <v>45270</v>
      </c>
      <c r="B31" s="386">
        <v>24363.599999999999</v>
      </c>
      <c r="C31" s="386">
        <v>1102.3</v>
      </c>
      <c r="D31">
        <f t="shared" si="1"/>
        <v>-1.9689801145459151E-2</v>
      </c>
      <c r="E31">
        <f t="shared" si="0"/>
        <v>-3.2491720210628294E-2</v>
      </c>
    </row>
    <row r="32" spans="1:9">
      <c r="A32" s="403">
        <v>45263</v>
      </c>
      <c r="B32" s="386">
        <v>25181.8</v>
      </c>
      <c r="C32" s="386">
        <v>1124.44</v>
      </c>
      <c r="D32">
        <f t="shared" si="1"/>
        <v>2.0214850838353726E-2</v>
      </c>
      <c r="E32">
        <f t="shared" si="0"/>
        <v>2.9740947473880119E-2</v>
      </c>
    </row>
    <row r="33" spans="1:5">
      <c r="A33" s="403">
        <v>45256</v>
      </c>
      <c r="B33" s="386">
        <v>24454.5</v>
      </c>
      <c r="C33" s="386">
        <v>1102.1600000000001</v>
      </c>
      <c r="D33">
        <f t="shared" si="1"/>
        <v>5.9784047243089944E-3</v>
      </c>
      <c r="E33">
        <f t="shared" si="0"/>
        <v>1.8937500000000052E-2</v>
      </c>
    </row>
    <row r="34" spans="1:5">
      <c r="A34" s="403">
        <v>45249</v>
      </c>
      <c r="B34" s="386">
        <v>24000</v>
      </c>
      <c r="C34" s="386">
        <v>1095.6099999999999</v>
      </c>
      <c r="D34">
        <f t="shared" si="1"/>
        <v>-5.0672454344846685E-3</v>
      </c>
      <c r="E34">
        <f t="shared" si="0"/>
        <v>-3.7732089710222905E-3</v>
      </c>
    </row>
    <row r="35" spans="1:5">
      <c r="A35" s="403">
        <v>45242</v>
      </c>
      <c r="B35" s="386">
        <v>24090.9</v>
      </c>
      <c r="C35" s="386">
        <v>1101.19</v>
      </c>
      <c r="D35">
        <f t="shared" si="1"/>
        <v>-4.4477525234187798E-4</v>
      </c>
      <c r="E35">
        <f t="shared" si="0"/>
        <v>0</v>
      </c>
    </row>
    <row r="36" spans="1:5">
      <c r="A36" s="403">
        <v>45235</v>
      </c>
      <c r="B36" s="386">
        <v>24090.9</v>
      </c>
      <c r="C36" s="386">
        <v>1101.68</v>
      </c>
      <c r="D36">
        <f t="shared" si="1"/>
        <v>2.3124500826538386E-2</v>
      </c>
      <c r="E36">
        <f t="shared" si="0"/>
        <v>5.5775652768404127E-2</v>
      </c>
    </row>
    <row r="37" spans="1:5">
      <c r="A37" s="403">
        <v>45228</v>
      </c>
      <c r="B37" s="386">
        <v>22818.2</v>
      </c>
      <c r="C37" s="386">
        <v>1076.78</v>
      </c>
      <c r="D37">
        <f t="shared" si="1"/>
        <v>1.5236371179121688E-2</v>
      </c>
      <c r="E37">
        <f t="shared" si="0"/>
        <v>7.49459422536074E-2</v>
      </c>
    </row>
    <row r="38" spans="1:5">
      <c r="A38" s="403">
        <v>45221</v>
      </c>
      <c r="B38" s="386">
        <v>21227.3</v>
      </c>
      <c r="C38" s="386">
        <v>1060.6199999999999</v>
      </c>
      <c r="D38">
        <f t="shared" si="1"/>
        <v>-4.2787650153876755E-2</v>
      </c>
      <c r="E38">
        <f t="shared" si="0"/>
        <v>-4.1068105021593526E-2</v>
      </c>
    </row>
    <row r="39" spans="1:5">
      <c r="A39" s="403">
        <v>45214</v>
      </c>
      <c r="B39" s="386">
        <v>22136.400000000001</v>
      </c>
      <c r="C39" s="386">
        <v>1108.03</v>
      </c>
      <c r="D39">
        <f t="shared" si="1"/>
        <v>-4.0442354489794163E-2</v>
      </c>
      <c r="E39">
        <f t="shared" si="0"/>
        <v>-5.4367745876603424E-2</v>
      </c>
    </row>
    <row r="40" spans="1:5">
      <c r="A40" s="403">
        <v>45207</v>
      </c>
      <c r="B40" s="386">
        <v>23409.1</v>
      </c>
      <c r="C40" s="386">
        <v>1154.73</v>
      </c>
      <c r="D40">
        <f t="shared" si="1"/>
        <v>2.320697538412464E-2</v>
      </c>
      <c r="E40">
        <f t="shared" si="0"/>
        <v>3.2065356365015063E-2</v>
      </c>
    </row>
    <row r="41" spans="1:5">
      <c r="A41" s="403">
        <v>45200</v>
      </c>
      <c r="B41" s="386">
        <v>22681.8</v>
      </c>
      <c r="C41" s="386">
        <v>1128.54</v>
      </c>
      <c r="D41">
        <f t="shared" si="1"/>
        <v>-2.2189490100940179E-2</v>
      </c>
      <c r="E41">
        <f t="shared" si="0"/>
        <v>-5.1331919645657864E-2</v>
      </c>
    </row>
    <row r="42" spans="1:5">
      <c r="A42" s="403">
        <v>45193</v>
      </c>
      <c r="B42" s="386">
        <v>23909.1</v>
      </c>
      <c r="C42" s="386">
        <v>1154.1500000000001</v>
      </c>
      <c r="D42">
        <f t="shared" si="1"/>
        <v>-3.2605506894094805E-2</v>
      </c>
      <c r="E42">
        <f t="shared" si="0"/>
        <v>-3.6630376094962669E-2</v>
      </c>
    </row>
    <row r="43" spans="1:5">
      <c r="A43" s="403">
        <v>45186</v>
      </c>
      <c r="B43" s="386">
        <v>24818.2</v>
      </c>
      <c r="C43" s="386">
        <v>1193.05</v>
      </c>
      <c r="D43">
        <f t="shared" si="1"/>
        <v>-2.7954308434363195E-2</v>
      </c>
      <c r="E43">
        <f t="shared" si="0"/>
        <v>-1.0868482198725493E-2</v>
      </c>
    </row>
    <row r="44" spans="1:5">
      <c r="A44" s="403">
        <v>45179</v>
      </c>
      <c r="B44" s="386">
        <v>25090.9</v>
      </c>
      <c r="C44" s="386">
        <v>1227.3599999999999</v>
      </c>
      <c r="D44">
        <f t="shared" si="1"/>
        <v>-1.1373521925443941E-2</v>
      </c>
      <c r="E44">
        <f t="shared" si="0"/>
        <v>-4.0001683475918592E-2</v>
      </c>
    </row>
    <row r="45" spans="1:5">
      <c r="A45" s="403">
        <v>45172</v>
      </c>
      <c r="B45" s="386">
        <v>26136.400000000001</v>
      </c>
      <c r="C45" s="386">
        <v>1241.48</v>
      </c>
      <c r="D45">
        <f t="shared" si="1"/>
        <v>1.4239614394836897E-2</v>
      </c>
      <c r="E45">
        <f t="shared" si="0"/>
        <v>4.1668493358149705E-2</v>
      </c>
    </row>
    <row r="46" spans="1:5">
      <c r="A46" s="403">
        <v>45165</v>
      </c>
      <c r="B46" s="386">
        <v>25090.9</v>
      </c>
      <c r="C46" s="386">
        <v>1224.05</v>
      </c>
      <c r="D46">
        <f t="shared" si="1"/>
        <v>3.4376399604519436E-2</v>
      </c>
      <c r="E46">
        <f t="shared" si="0"/>
        <v>6.358383953134461E-2</v>
      </c>
    </row>
    <row r="47" spans="1:5">
      <c r="A47" s="403">
        <v>45158</v>
      </c>
      <c r="B47" s="386">
        <v>23590.9</v>
      </c>
      <c r="C47" s="386">
        <v>1183.3699999999999</v>
      </c>
      <c r="D47">
        <f t="shared" si="1"/>
        <v>4.5671015882986499E-3</v>
      </c>
      <c r="E47">
        <f t="shared" si="0"/>
        <v>-2.0754724813103698E-2</v>
      </c>
    </row>
    <row r="48" spans="1:5">
      <c r="A48" s="403">
        <v>45151</v>
      </c>
      <c r="B48" s="386">
        <v>24090.9</v>
      </c>
      <c r="C48" s="386">
        <v>1177.99</v>
      </c>
      <c r="D48">
        <f t="shared" si="1"/>
        <v>-4.4002239877942939E-2</v>
      </c>
      <c r="E48">
        <f t="shared" si="0"/>
        <v>-4.3320969906837425E-2</v>
      </c>
    </row>
    <row r="49" spans="1:5">
      <c r="A49" s="403">
        <v>45144</v>
      </c>
      <c r="B49" s="386">
        <v>25181.8</v>
      </c>
      <c r="C49" s="386">
        <v>1232.21</v>
      </c>
      <c r="D49">
        <f t="shared" si="1"/>
        <v>5.0816489665410636E-3</v>
      </c>
      <c r="E49">
        <f t="shared" si="0"/>
        <v>1.2797824932833546E-2</v>
      </c>
    </row>
    <row r="50" spans="1:5">
      <c r="A50" s="403">
        <v>45137</v>
      </c>
      <c r="B50" s="386">
        <v>24863.599999999999</v>
      </c>
      <c r="C50" s="386">
        <v>1225.98</v>
      </c>
      <c r="D50">
        <f t="shared" si="1"/>
        <v>1.5161426548643275E-2</v>
      </c>
      <c r="E50">
        <f t="shared" si="0"/>
        <v>-3.3571342503877277E-2</v>
      </c>
    </row>
    <row r="51" spans="1:5">
      <c r="A51" s="403">
        <v>45130</v>
      </c>
      <c r="B51" s="386">
        <v>25727.3</v>
      </c>
      <c r="C51" s="386">
        <v>1207.67</v>
      </c>
      <c r="D51">
        <f t="shared" si="1"/>
        <v>1.8357365713803864E-2</v>
      </c>
      <c r="E51">
        <f t="shared" si="0"/>
        <v>-3.5207721684703541E-3</v>
      </c>
    </row>
    <row r="52" spans="1:5">
      <c r="A52" s="403">
        <v>45123</v>
      </c>
      <c r="B52" s="386">
        <v>25818.2</v>
      </c>
      <c r="C52" s="386">
        <v>1185.9000000000001</v>
      </c>
      <c r="D52">
        <f t="shared" si="1"/>
        <v>1.4977747346799131E-2</v>
      </c>
      <c r="E52">
        <f t="shared" si="0"/>
        <v>3.272800000000009E-2</v>
      </c>
    </row>
    <row r="53" spans="1:5">
      <c r="A53" s="403">
        <v>45116</v>
      </c>
      <c r="B53" s="386">
        <v>25000</v>
      </c>
      <c r="C53" s="386">
        <v>1168.4000000000001</v>
      </c>
      <c r="D53">
        <f t="shared" si="1"/>
        <v>2.6650381786709199E-2</v>
      </c>
      <c r="E53">
        <f t="shared" si="0"/>
        <v>1.8233184395599622E-3</v>
      </c>
    </row>
    <row r="54" spans="1:5">
      <c r="A54" s="403">
        <v>45109</v>
      </c>
      <c r="B54" s="386">
        <v>24954.5</v>
      </c>
      <c r="C54" s="386">
        <v>1138.07</v>
      </c>
      <c r="D54">
        <f t="shared" si="1"/>
        <v>1.5970647574496732E-2</v>
      </c>
      <c r="E54">
        <f t="shared" si="0"/>
        <v>4.9712485329810985E-2</v>
      </c>
    </row>
    <row r="55" spans="1:5">
      <c r="A55" s="403">
        <v>45102</v>
      </c>
      <c r="B55" s="386">
        <v>23772.7</v>
      </c>
      <c r="C55" s="386">
        <v>1120.18</v>
      </c>
      <c r="D55">
        <f t="shared" si="1"/>
        <v>-8.1460624413395299E-3</v>
      </c>
      <c r="E55">
        <f t="shared" si="0"/>
        <v>2.9526783278261082E-2</v>
      </c>
    </row>
    <row r="56" spans="1:5">
      <c r="A56" s="403">
        <v>45095</v>
      </c>
      <c r="B56" s="386">
        <v>23090.9</v>
      </c>
      <c r="C56" s="386">
        <v>1129.3800000000001</v>
      </c>
      <c r="D56">
        <f t="shared" si="1"/>
        <v>1.2697046322698746E-2</v>
      </c>
      <c r="E56">
        <f t="shared" si="0"/>
        <v>8.3154300081620391E-2</v>
      </c>
    </row>
    <row r="57" spans="1:5">
      <c r="A57" s="403">
        <v>45088</v>
      </c>
      <c r="B57" s="386">
        <v>21318.2</v>
      </c>
      <c r="C57" s="386">
        <v>1115.22</v>
      </c>
      <c r="D57">
        <f t="shared" si="1"/>
        <v>6.9433785089343392E-3</v>
      </c>
      <c r="E57">
        <f t="shared" si="0"/>
        <v>2.4017446272972753E-2</v>
      </c>
    </row>
    <row r="58" spans="1:5">
      <c r="A58" s="403">
        <v>45081</v>
      </c>
      <c r="B58" s="386">
        <v>20818.2</v>
      </c>
      <c r="C58" s="386">
        <v>1107.53</v>
      </c>
      <c r="D58">
        <f t="shared" si="1"/>
        <v>1.5300135675259563E-2</v>
      </c>
      <c r="E58">
        <f t="shared" si="0"/>
        <v>6.0184147807133659E-2</v>
      </c>
    </row>
    <row r="59" spans="1:5">
      <c r="A59" s="403">
        <v>45074</v>
      </c>
      <c r="B59" s="386">
        <v>19636.400000000001</v>
      </c>
      <c r="C59" s="386">
        <v>1090.8399999999999</v>
      </c>
      <c r="D59">
        <f t="shared" si="1"/>
        <v>2.5456869970670093E-2</v>
      </c>
      <c r="E59">
        <f t="shared" si="0"/>
        <v>2.3699548530377923E-2</v>
      </c>
    </row>
    <row r="60" spans="1:5">
      <c r="A60" s="403">
        <v>45067</v>
      </c>
      <c r="B60" s="386">
        <v>19181.8</v>
      </c>
      <c r="C60" s="386">
        <v>1063.76</v>
      </c>
      <c r="D60">
        <f t="shared" si="1"/>
        <v>-3.1019520743718054E-3</v>
      </c>
      <c r="E60">
        <f t="shared" si="0"/>
        <v>-3.2111897145048585E-2</v>
      </c>
    </row>
    <row r="61" spans="1:5">
      <c r="A61" s="403">
        <v>45060</v>
      </c>
      <c r="B61" s="386">
        <v>19818.2</v>
      </c>
      <c r="C61" s="386">
        <v>1067.07</v>
      </c>
      <c r="D61">
        <f t="shared" si="1"/>
        <v>1.593401443433784E-4</v>
      </c>
      <c r="E61">
        <f t="shared" si="0"/>
        <v>-2.4608479097557812E-2</v>
      </c>
    </row>
    <row r="62" spans="1:5">
      <c r="A62" s="403">
        <v>45053</v>
      </c>
      <c r="B62" s="386">
        <v>20318.2</v>
      </c>
      <c r="C62" s="386">
        <v>1066.9000000000001</v>
      </c>
      <c r="D62">
        <f t="shared" si="1"/>
        <v>2.5559688938874059E-2</v>
      </c>
      <c r="E62">
        <f t="shared" si="0"/>
        <v>4.1958974358974332E-2</v>
      </c>
    </row>
    <row r="63" spans="1:5">
      <c r="A63" s="403">
        <v>45046</v>
      </c>
      <c r="B63" s="386">
        <v>19500</v>
      </c>
      <c r="C63" s="386">
        <v>1040.31</v>
      </c>
      <c r="D63">
        <f t="shared" si="1"/>
        <v>-8.3975141070611325E-3</v>
      </c>
      <c r="E63">
        <f t="shared" si="0"/>
        <v>-9.2369600341432045E-3</v>
      </c>
    </row>
    <row r="64" spans="1:5">
      <c r="A64" s="403">
        <v>45039</v>
      </c>
      <c r="B64" s="386">
        <v>19681.8</v>
      </c>
      <c r="C64" s="386">
        <v>1049.1199999999999</v>
      </c>
      <c r="D64">
        <f t="shared" si="1"/>
        <v>5.9544927174921547E-3</v>
      </c>
      <c r="E64">
        <f t="shared" si="0"/>
        <v>4.5891743099764959E-2</v>
      </c>
    </row>
    <row r="65" spans="1:5">
      <c r="A65" s="403">
        <v>45032</v>
      </c>
      <c r="B65" s="386">
        <v>18818.2</v>
      </c>
      <c r="C65" s="386">
        <v>1042.9100000000001</v>
      </c>
      <c r="D65">
        <f t="shared" si="1"/>
        <v>-9.4786729857819774E-3</v>
      </c>
      <c r="E65">
        <f t="shared" si="0"/>
        <v>2.4237323347200412E-3</v>
      </c>
    </row>
    <row r="66" spans="1:5">
      <c r="A66" s="403">
        <v>45025</v>
      </c>
      <c r="B66" s="386">
        <v>18772.7</v>
      </c>
      <c r="C66" s="386">
        <v>1052.8900000000001</v>
      </c>
      <c r="D66">
        <f t="shared" si="1"/>
        <v>-1.5723887782669976E-2</v>
      </c>
      <c r="E66">
        <f t="shared" ref="E66:E129" si="2">IFERROR(B66/B67-1,"")</f>
        <v>-2.5943432938820177E-2</v>
      </c>
    </row>
    <row r="67" spans="1:5">
      <c r="A67" s="403">
        <v>45018</v>
      </c>
      <c r="B67" s="386">
        <v>19272.7</v>
      </c>
      <c r="C67" s="386">
        <v>1069.71</v>
      </c>
      <c r="D67">
        <f t="shared" ref="D67:D130" si="3">IFERROR(C67/C68-1,"")</f>
        <v>4.762173128944891E-3</v>
      </c>
      <c r="E67">
        <f t="shared" si="2"/>
        <v>1.9228836909213065E-2</v>
      </c>
    </row>
    <row r="68" spans="1:5">
      <c r="A68" s="403">
        <v>45011</v>
      </c>
      <c r="B68" s="386">
        <v>18909.099999999999</v>
      </c>
      <c r="C68" s="386">
        <v>1064.6400000000001</v>
      </c>
      <c r="D68">
        <f t="shared" si="3"/>
        <v>1.705213079987411E-2</v>
      </c>
      <c r="E68">
        <f t="shared" si="2"/>
        <v>1.960583429942564E-2</v>
      </c>
    </row>
    <row r="69" spans="1:5">
      <c r="A69" s="403">
        <v>45004</v>
      </c>
      <c r="B69" s="386">
        <v>18545.5</v>
      </c>
      <c r="C69" s="386">
        <v>1046.79</v>
      </c>
      <c r="D69">
        <f t="shared" si="3"/>
        <v>1.5787358631378368E-3</v>
      </c>
      <c r="E69">
        <f t="shared" si="2"/>
        <v>0</v>
      </c>
    </row>
    <row r="70" spans="1:5">
      <c r="A70" s="403">
        <v>44997</v>
      </c>
      <c r="B70" s="386">
        <v>18545.5</v>
      </c>
      <c r="C70" s="386">
        <v>1045.1400000000001</v>
      </c>
      <c r="D70">
        <f t="shared" si="3"/>
        <v>-7.4643874643873787E-3</v>
      </c>
      <c r="E70">
        <f t="shared" si="2"/>
        <v>-4.2249375116197307E-2</v>
      </c>
    </row>
    <row r="71" spans="1:5">
      <c r="A71" s="403">
        <v>44990</v>
      </c>
      <c r="B71" s="386">
        <v>19363.599999999999</v>
      </c>
      <c r="C71" s="386">
        <v>1053</v>
      </c>
      <c r="D71">
        <f t="shared" si="3"/>
        <v>2.7547644837378149E-2</v>
      </c>
      <c r="E71">
        <f t="shared" si="2"/>
        <v>4.6681081081080933E-2</v>
      </c>
    </row>
    <row r="72" spans="1:5">
      <c r="A72" s="403">
        <v>44983</v>
      </c>
      <c r="B72" s="386">
        <v>18500</v>
      </c>
      <c r="C72" s="386">
        <v>1024.77</v>
      </c>
      <c r="D72">
        <f t="shared" si="3"/>
        <v>-1.4227173034745411E-2</v>
      </c>
      <c r="E72">
        <f t="shared" si="2"/>
        <v>-2.1635085752362504E-2</v>
      </c>
    </row>
    <row r="73" spans="1:5">
      <c r="A73" s="403">
        <v>44976</v>
      </c>
      <c r="B73" s="386">
        <v>18909.099999999999</v>
      </c>
      <c r="C73" s="386">
        <v>1039.56</v>
      </c>
      <c r="D73">
        <f t="shared" si="3"/>
        <v>-1.8644211798246046E-2</v>
      </c>
      <c r="E73">
        <f t="shared" si="2"/>
        <v>-9.5228616775533403E-3</v>
      </c>
    </row>
    <row r="74" spans="1:5">
      <c r="A74" s="403">
        <v>44969</v>
      </c>
      <c r="B74" s="386">
        <v>19090.900000000001</v>
      </c>
      <c r="C74" s="386">
        <v>1059.31</v>
      </c>
      <c r="D74">
        <f t="shared" si="3"/>
        <v>3.7998673363024427E-3</v>
      </c>
      <c r="E74">
        <f t="shared" si="2"/>
        <v>2.43877572921809E-2</v>
      </c>
    </row>
    <row r="75" spans="1:5">
      <c r="A75" s="403">
        <v>44962</v>
      </c>
      <c r="B75" s="386">
        <v>18636.400000000001</v>
      </c>
      <c r="C75" s="386">
        <v>1055.3</v>
      </c>
      <c r="D75">
        <f t="shared" si="3"/>
        <v>-2.0285011372603745E-2</v>
      </c>
      <c r="E75">
        <f t="shared" si="2"/>
        <v>-2.8433202306352823E-2</v>
      </c>
    </row>
    <row r="76" spans="1:5">
      <c r="A76" s="403">
        <v>44955</v>
      </c>
      <c r="B76" s="386">
        <v>19181.8</v>
      </c>
      <c r="C76" s="386">
        <v>1077.1500000000001</v>
      </c>
      <c r="D76">
        <f t="shared" si="3"/>
        <v>-3.5762241518216609E-2</v>
      </c>
      <c r="E76">
        <f t="shared" si="2"/>
        <v>-1.8607863702642558E-2</v>
      </c>
    </row>
    <row r="77" spans="1:5">
      <c r="A77" s="403">
        <v>44948</v>
      </c>
      <c r="B77" s="386">
        <v>19545.5</v>
      </c>
      <c r="C77" s="386">
        <v>1117.0999999999999</v>
      </c>
      <c r="D77">
        <f t="shared" si="3"/>
        <v>8.140206483286283E-3</v>
      </c>
      <c r="E77">
        <f t="shared" si="2"/>
        <v>1.6549385509145864E-2</v>
      </c>
    </row>
    <row r="78" spans="1:5">
      <c r="A78" s="403">
        <v>44941</v>
      </c>
      <c r="B78" s="386">
        <v>19227.3</v>
      </c>
      <c r="C78" s="386">
        <v>1108.08</v>
      </c>
      <c r="D78">
        <f t="shared" si="3"/>
        <v>4.5190865615891695E-2</v>
      </c>
      <c r="E78">
        <f t="shared" si="2"/>
        <v>6.0149754085705887E-2</v>
      </c>
    </row>
    <row r="79" spans="1:5">
      <c r="A79" s="403">
        <v>44934</v>
      </c>
      <c r="B79" s="386">
        <v>18136.400000000001</v>
      </c>
      <c r="C79" s="386">
        <v>1060.17</v>
      </c>
      <c r="D79">
        <f t="shared" si="3"/>
        <v>8.3028988815339044E-3</v>
      </c>
      <c r="E79">
        <f t="shared" si="2"/>
        <v>2.8350457009366892E-2</v>
      </c>
    </row>
    <row r="80" spans="1:5">
      <c r="A80" s="403">
        <v>44927</v>
      </c>
      <c r="B80" s="386">
        <v>17636.400000000001</v>
      </c>
      <c r="C80" s="386">
        <v>1051.44</v>
      </c>
      <c r="D80">
        <f t="shared" si="3"/>
        <v>4.4037772195136604E-2</v>
      </c>
      <c r="E80">
        <f t="shared" si="2"/>
        <v>7.7782395071989141E-2</v>
      </c>
    </row>
    <row r="81" spans="1:5">
      <c r="A81" s="403">
        <v>44920</v>
      </c>
      <c r="B81" s="386">
        <v>16363.6</v>
      </c>
      <c r="C81" s="386">
        <v>1007.09</v>
      </c>
      <c r="D81">
        <f t="shared" si="3"/>
        <v>-1.2985867455946098E-2</v>
      </c>
      <c r="E81">
        <f t="shared" si="2"/>
        <v>-1.907468019038705E-2</v>
      </c>
    </row>
    <row r="82" spans="1:5">
      <c r="A82" s="403">
        <v>44913</v>
      </c>
      <c r="B82" s="386">
        <v>16681.8</v>
      </c>
      <c r="C82" s="386">
        <v>1020.34</v>
      </c>
      <c r="D82">
        <f t="shared" si="3"/>
        <v>-3.053739738522343E-2</v>
      </c>
      <c r="E82">
        <f t="shared" si="2"/>
        <v>-0.10049338114367368</v>
      </c>
    </row>
    <row r="83" spans="1:5">
      <c r="A83" s="403">
        <v>44906</v>
      </c>
      <c r="B83" s="386">
        <v>18545.5</v>
      </c>
      <c r="C83" s="386">
        <v>1052.48</v>
      </c>
      <c r="D83">
        <f t="shared" si="3"/>
        <v>6.3699717629606134E-4</v>
      </c>
      <c r="E83">
        <f t="shared" si="2"/>
        <v>6.250537110773724E-2</v>
      </c>
    </row>
    <row r="84" spans="1:5">
      <c r="A84" s="403">
        <v>44899</v>
      </c>
      <c r="B84" s="386">
        <v>17454.5</v>
      </c>
      <c r="C84" s="386">
        <v>1051.81</v>
      </c>
      <c r="D84">
        <f t="shared" si="3"/>
        <v>-2.6110869343802467E-2</v>
      </c>
      <c r="E84">
        <f t="shared" si="2"/>
        <v>-1.285502607200617E-2</v>
      </c>
    </row>
    <row r="85" spans="1:5">
      <c r="A85" s="403">
        <v>44892</v>
      </c>
      <c r="B85" s="386">
        <v>17681.8</v>
      </c>
      <c r="C85" s="386">
        <v>1080.01</v>
      </c>
      <c r="D85">
        <f t="shared" si="3"/>
        <v>0.11173903197249491</v>
      </c>
      <c r="E85">
        <f t="shared" si="2"/>
        <v>0.27123969200020115</v>
      </c>
    </row>
    <row r="86" spans="1:5">
      <c r="A86" s="403">
        <v>44885</v>
      </c>
      <c r="B86" s="386">
        <v>13909.1</v>
      </c>
      <c r="C86">
        <v>971.46</v>
      </c>
      <c r="D86">
        <f t="shared" si="3"/>
        <v>2.1973940763206912E-3</v>
      </c>
      <c r="E86">
        <f t="shared" si="2"/>
        <v>1.3243682297320092E-2</v>
      </c>
    </row>
    <row r="87" spans="1:5">
      <c r="A87" s="403">
        <v>44878</v>
      </c>
      <c r="B87" s="386">
        <v>13727.3</v>
      </c>
      <c r="C87">
        <v>969.33</v>
      </c>
      <c r="D87">
        <f t="shared" si="3"/>
        <v>1.5505012938304752E-2</v>
      </c>
      <c r="E87">
        <f t="shared" si="2"/>
        <v>0.2276467116206693</v>
      </c>
    </row>
    <row r="88" spans="1:5">
      <c r="A88" s="403">
        <v>44871</v>
      </c>
      <c r="B88" s="386">
        <v>11181.8</v>
      </c>
      <c r="C88">
        <v>954.53</v>
      </c>
      <c r="D88">
        <f t="shared" si="3"/>
        <v>-4.2741814170385584E-2</v>
      </c>
      <c r="E88">
        <f t="shared" si="2"/>
        <v>-0.16041206769683602</v>
      </c>
    </row>
    <row r="89" spans="1:5">
      <c r="A89" s="403">
        <v>44864</v>
      </c>
      <c r="B89" s="386">
        <v>13318.2</v>
      </c>
      <c r="C89">
        <v>997.15</v>
      </c>
      <c r="D89">
        <f t="shared" si="3"/>
        <v>-2.9405466438249372E-2</v>
      </c>
      <c r="E89">
        <f t="shared" si="2"/>
        <v>-0.12797344280971934</v>
      </c>
    </row>
    <row r="90" spans="1:5">
      <c r="A90" s="403">
        <v>44857</v>
      </c>
      <c r="B90" s="386">
        <v>15272.7</v>
      </c>
      <c r="C90" s="386">
        <v>1027.3599999999999</v>
      </c>
      <c r="D90">
        <f t="shared" si="3"/>
        <v>7.3934615912609747E-3</v>
      </c>
      <c r="E90">
        <f t="shared" si="2"/>
        <v>-5.916582051081809E-3</v>
      </c>
    </row>
    <row r="91" spans="1:5">
      <c r="A91" s="403">
        <v>44850</v>
      </c>
      <c r="B91" s="386">
        <v>15363.6</v>
      </c>
      <c r="C91" s="386">
        <v>1019.82</v>
      </c>
      <c r="D91">
        <f t="shared" si="3"/>
        <v>-3.9581861844893207E-2</v>
      </c>
      <c r="E91">
        <f t="shared" si="2"/>
        <v>-0.13110656154916345</v>
      </c>
    </row>
    <row r="92" spans="1:5">
      <c r="A92" s="403">
        <v>44843</v>
      </c>
      <c r="B92" s="386">
        <v>17681.8</v>
      </c>
      <c r="C92" s="386">
        <v>1061.8499999999999</v>
      </c>
      <c r="D92">
        <f t="shared" si="3"/>
        <v>2.5040785396414522E-2</v>
      </c>
      <c r="E92">
        <f t="shared" si="2"/>
        <v>0.10511249999999994</v>
      </c>
    </row>
    <row r="93" spans="1:5">
      <c r="A93" s="403">
        <v>44836</v>
      </c>
      <c r="B93" s="386">
        <v>16000</v>
      </c>
      <c r="C93" s="386">
        <v>1035.9100000000001</v>
      </c>
      <c r="D93">
        <f t="shared" si="3"/>
        <v>-8.4974074957380297E-2</v>
      </c>
      <c r="E93">
        <f t="shared" si="2"/>
        <v>-0.16981014595775379</v>
      </c>
    </row>
    <row r="94" spans="1:5">
      <c r="A94" s="403">
        <v>44829</v>
      </c>
      <c r="B94" s="386">
        <v>19272.7</v>
      </c>
      <c r="C94" s="386">
        <v>1132.1099999999999</v>
      </c>
      <c r="D94">
        <f t="shared" si="3"/>
        <v>-5.9146665780200891E-2</v>
      </c>
      <c r="E94">
        <f t="shared" si="2"/>
        <v>-6.6082262410110282E-2</v>
      </c>
    </row>
    <row r="95" spans="1:5">
      <c r="A95" s="403">
        <v>44822</v>
      </c>
      <c r="B95" s="386">
        <v>20636.400000000001</v>
      </c>
      <c r="C95" s="386">
        <v>1203.28</v>
      </c>
      <c r="D95">
        <f t="shared" si="3"/>
        <v>-2.4918356928113616E-2</v>
      </c>
      <c r="E95">
        <f t="shared" si="2"/>
        <v>-1.3042168242535457E-2</v>
      </c>
    </row>
    <row r="96" spans="1:5">
      <c r="A96" s="403">
        <v>44815</v>
      </c>
      <c r="B96" s="386">
        <v>20909.099999999999</v>
      </c>
      <c r="C96" s="386">
        <v>1234.03</v>
      </c>
      <c r="D96">
        <f t="shared" si="3"/>
        <v>-1.1811528051378195E-2</v>
      </c>
      <c r="E96">
        <f t="shared" si="2"/>
        <v>-3.361464938714398E-2</v>
      </c>
    </row>
    <row r="97" spans="1:5">
      <c r="A97" s="403">
        <v>44808</v>
      </c>
      <c r="B97" s="386">
        <v>21636.400000000001</v>
      </c>
      <c r="C97" s="386">
        <v>1248.78</v>
      </c>
      <c r="D97">
        <f t="shared" si="3"/>
        <v>-2.4779189541667024E-2</v>
      </c>
      <c r="E97">
        <f t="shared" si="2"/>
        <v>3.4783897920044549E-2</v>
      </c>
    </row>
    <row r="98" spans="1:5">
      <c r="A98" s="403">
        <v>44801</v>
      </c>
      <c r="B98" s="386">
        <v>20909.099999999999</v>
      </c>
      <c r="C98" s="386">
        <v>1280.51</v>
      </c>
      <c r="D98">
        <f t="shared" si="3"/>
        <v>-1.6061501516485555E-3</v>
      </c>
      <c r="E98">
        <f t="shared" si="2"/>
        <v>-2.1274504297028596E-2</v>
      </c>
    </row>
    <row r="99" spans="1:5">
      <c r="A99" s="403">
        <v>44794</v>
      </c>
      <c r="B99" s="386">
        <v>21363.599999999999</v>
      </c>
      <c r="C99" s="386">
        <v>1282.57</v>
      </c>
      <c r="D99">
        <f t="shared" si="3"/>
        <v>1.0550118974455902E-2</v>
      </c>
      <c r="E99">
        <f t="shared" si="2"/>
        <v>-1.0527583380035233E-2</v>
      </c>
    </row>
    <row r="100" spans="1:5">
      <c r="A100" s="403">
        <v>44787</v>
      </c>
      <c r="B100" s="386">
        <v>21590.9</v>
      </c>
      <c r="C100" s="386">
        <v>1269.18</v>
      </c>
      <c r="D100">
        <f t="shared" si="3"/>
        <v>5.426473267687637E-3</v>
      </c>
      <c r="E100">
        <f t="shared" si="2"/>
        <v>-8.3499060750389376E-3</v>
      </c>
    </row>
    <row r="101" spans="1:5">
      <c r="A101" s="403">
        <v>44780</v>
      </c>
      <c r="B101" s="386">
        <v>21772.7</v>
      </c>
      <c r="C101" s="386">
        <v>1262.33</v>
      </c>
      <c r="D101">
        <f t="shared" si="3"/>
        <v>7.6552197582897552E-3</v>
      </c>
      <c r="E101">
        <f t="shared" si="2"/>
        <v>2.7896590469176363E-2</v>
      </c>
    </row>
    <row r="102" spans="1:5">
      <c r="A102" s="403">
        <v>44773</v>
      </c>
      <c r="B102" s="386">
        <v>21181.8</v>
      </c>
      <c r="C102" s="386">
        <v>1252.74</v>
      </c>
      <c r="D102">
        <f t="shared" si="3"/>
        <v>3.8472059884111287E-2</v>
      </c>
      <c r="E102">
        <f t="shared" si="2"/>
        <v>8.3717479726791222E-2</v>
      </c>
    </row>
    <row r="103" spans="1:5">
      <c r="A103" s="403">
        <v>44766</v>
      </c>
      <c r="B103" s="386">
        <v>19545.5</v>
      </c>
      <c r="C103" s="386">
        <v>1206.33</v>
      </c>
      <c r="D103">
        <f t="shared" si="3"/>
        <v>9.6839532625798697E-3</v>
      </c>
      <c r="E103">
        <f t="shared" si="2"/>
        <v>-3.1528406782348473E-2</v>
      </c>
    </row>
    <row r="104" spans="1:5">
      <c r="A104" s="403">
        <v>44759</v>
      </c>
      <c r="B104" s="386">
        <v>20181.8</v>
      </c>
      <c r="C104" s="386">
        <v>1194.76</v>
      </c>
      <c r="D104">
        <f t="shared" si="3"/>
        <v>1.3152427390290322E-2</v>
      </c>
      <c r="E104">
        <f t="shared" si="2"/>
        <v>-4.310389788961122E-2</v>
      </c>
    </row>
    <row r="105" spans="1:5">
      <c r="A105" s="403">
        <v>44752</v>
      </c>
      <c r="B105" s="386">
        <v>21090.9</v>
      </c>
      <c r="C105" s="386">
        <v>1179.25</v>
      </c>
      <c r="D105">
        <f t="shared" si="3"/>
        <v>6.7787349207297787E-3</v>
      </c>
      <c r="E105">
        <f t="shared" si="2"/>
        <v>3.3406666634001603E-2</v>
      </c>
    </row>
    <row r="106" spans="1:5">
      <c r="A106" s="403">
        <v>44745</v>
      </c>
      <c r="B106" s="386">
        <v>20409.099999999999</v>
      </c>
      <c r="C106" s="386">
        <v>1171.31</v>
      </c>
      <c r="D106">
        <f t="shared" si="3"/>
        <v>-2.3012761698223527E-2</v>
      </c>
      <c r="E106">
        <f t="shared" si="2"/>
        <v>2.2343789899625932E-3</v>
      </c>
    </row>
    <row r="107" spans="1:5">
      <c r="A107" s="403">
        <v>44738</v>
      </c>
      <c r="B107" s="386">
        <v>20363.599999999999</v>
      </c>
      <c r="C107" s="386">
        <v>1198.9000000000001</v>
      </c>
      <c r="D107">
        <f t="shared" si="3"/>
        <v>1.1320309073118207E-2</v>
      </c>
      <c r="E107">
        <f t="shared" si="2"/>
        <v>2.7520158238386827E-2</v>
      </c>
    </row>
    <row r="108" spans="1:5">
      <c r="A108" s="403">
        <v>44731</v>
      </c>
      <c r="B108" s="386">
        <v>19818.2</v>
      </c>
      <c r="C108" s="386">
        <v>1185.48</v>
      </c>
      <c r="D108">
        <f t="shared" si="3"/>
        <v>-2.6139817629179274E-2</v>
      </c>
      <c r="E108">
        <f t="shared" si="2"/>
        <v>-6.0343560492914006E-2</v>
      </c>
    </row>
    <row r="109" spans="1:5">
      <c r="A109" s="403">
        <v>44724</v>
      </c>
      <c r="B109" s="386">
        <v>21090.9</v>
      </c>
      <c r="C109" s="386">
        <v>1217.3</v>
      </c>
      <c r="D109">
        <f t="shared" si="3"/>
        <v>-5.2006105538595748E-2</v>
      </c>
      <c r="E109">
        <f t="shared" si="2"/>
        <v>-8.7665188709851738E-2</v>
      </c>
    </row>
    <row r="110" spans="1:5">
      <c r="A110" s="403">
        <v>44717</v>
      </c>
      <c r="B110" s="386">
        <v>23117.5</v>
      </c>
      <c r="C110" s="386">
        <v>1284.08</v>
      </c>
      <c r="D110">
        <f t="shared" si="3"/>
        <v>-3.0279973291511553E-3</v>
      </c>
      <c r="E110">
        <f t="shared" si="2"/>
        <v>5.9878415484835301E-3</v>
      </c>
    </row>
    <row r="111" spans="1:5">
      <c r="A111" s="403">
        <v>44710</v>
      </c>
      <c r="B111" s="386">
        <v>22979.9</v>
      </c>
      <c r="C111" s="386">
        <v>1287.98</v>
      </c>
      <c r="D111">
        <f t="shared" si="3"/>
        <v>1.96818234859375E-3</v>
      </c>
      <c r="E111">
        <f t="shared" si="2"/>
        <v>-5.7830129887168735E-2</v>
      </c>
    </row>
    <row r="112" spans="1:5">
      <c r="A112" s="403">
        <v>44703</v>
      </c>
      <c r="B112" s="386">
        <v>24390.400000000001</v>
      </c>
      <c r="C112" s="386">
        <v>1285.45</v>
      </c>
      <c r="D112">
        <f t="shared" si="3"/>
        <v>3.60599979044256E-2</v>
      </c>
      <c r="E112">
        <f t="shared" si="2"/>
        <v>-5.8431130327362468E-2</v>
      </c>
    </row>
    <row r="113" spans="1:5">
      <c r="A113" s="403">
        <v>44696</v>
      </c>
      <c r="B113" s="386">
        <v>25904</v>
      </c>
      <c r="C113" s="386">
        <v>1240.71</v>
      </c>
      <c r="D113">
        <f t="shared" si="3"/>
        <v>4.8986700711042719E-2</v>
      </c>
      <c r="E113">
        <f t="shared" si="2"/>
        <v>4.8744939271255117E-2</v>
      </c>
    </row>
    <row r="114" spans="1:5">
      <c r="A114" s="403">
        <v>44689</v>
      </c>
      <c r="B114" s="386">
        <v>24700</v>
      </c>
      <c r="C114" s="386">
        <v>1182.77</v>
      </c>
      <c r="D114">
        <f t="shared" si="3"/>
        <v>-0.11020417375080871</v>
      </c>
      <c r="E114">
        <f t="shared" si="2"/>
        <v>-0.14114738536751592</v>
      </c>
    </row>
    <row r="115" spans="1:5">
      <c r="A115" s="403">
        <v>44682</v>
      </c>
      <c r="B115" s="386">
        <v>28759.3</v>
      </c>
      <c r="C115" s="386">
        <v>1329.26</v>
      </c>
      <c r="D115">
        <f t="shared" si="3"/>
        <v>-2.7465613110915998E-2</v>
      </c>
      <c r="E115">
        <f t="shared" si="2"/>
        <v>-3.4644226186080651E-2</v>
      </c>
    </row>
    <row r="116" spans="1:5">
      <c r="A116" s="403">
        <v>44675</v>
      </c>
      <c r="B116" s="386">
        <v>29791.4</v>
      </c>
      <c r="C116" s="386">
        <v>1366.8</v>
      </c>
      <c r="D116">
        <f t="shared" si="3"/>
        <v>-9.0122749650167755E-3</v>
      </c>
      <c r="E116">
        <f t="shared" si="2"/>
        <v>-1.1415146306337443E-2</v>
      </c>
    </row>
    <row r="117" spans="1:5">
      <c r="A117" s="403">
        <v>44668</v>
      </c>
      <c r="B117" s="386">
        <v>30135.4</v>
      </c>
      <c r="C117" s="386">
        <v>1379.23</v>
      </c>
      <c r="D117">
        <f t="shared" si="3"/>
        <v>-5.4389260640631765E-2</v>
      </c>
      <c r="E117">
        <f t="shared" si="2"/>
        <v>-9.0494761694934756E-3</v>
      </c>
    </row>
    <row r="118" spans="1:5">
      <c r="A118" s="403">
        <v>44661</v>
      </c>
      <c r="B118" s="386">
        <v>30410.6</v>
      </c>
      <c r="C118" s="386">
        <v>1458.56</v>
      </c>
      <c r="D118">
        <f t="shared" si="3"/>
        <v>-1.5816464237516925E-2</v>
      </c>
      <c r="E118">
        <f t="shared" si="2"/>
        <v>-4.7412307904348472E-2</v>
      </c>
    </row>
    <row r="119" spans="1:5">
      <c r="A119" s="403">
        <v>44654</v>
      </c>
      <c r="B119" s="386">
        <v>31924.2</v>
      </c>
      <c r="C119" s="386">
        <v>1482</v>
      </c>
      <c r="D119">
        <f t="shared" si="3"/>
        <v>-2.2711086492047228E-2</v>
      </c>
      <c r="E119">
        <f t="shared" si="2"/>
        <v>1.5316799501313483E-2</v>
      </c>
    </row>
    <row r="120" spans="1:5">
      <c r="A120" s="403">
        <v>44647</v>
      </c>
      <c r="B120" s="386">
        <v>31442.6</v>
      </c>
      <c r="C120" s="386">
        <v>1516.44</v>
      </c>
      <c r="D120">
        <f t="shared" si="3"/>
        <v>1.1971971971971973E-2</v>
      </c>
      <c r="E120">
        <f t="shared" si="2"/>
        <v>-1.5085734333201817E-2</v>
      </c>
    </row>
    <row r="121" spans="1:5">
      <c r="A121" s="403">
        <v>44640</v>
      </c>
      <c r="B121" s="386">
        <v>31924.2</v>
      </c>
      <c r="C121" s="386">
        <v>1498.5</v>
      </c>
      <c r="D121">
        <f t="shared" si="3"/>
        <v>2.0012252399428387E-2</v>
      </c>
      <c r="E121">
        <f t="shared" si="2"/>
        <v>-2.1504704154033938E-3</v>
      </c>
    </row>
    <row r="122" spans="1:5">
      <c r="A122" s="403">
        <v>44633</v>
      </c>
      <c r="B122" s="386">
        <v>31993</v>
      </c>
      <c r="C122" s="386">
        <v>1469.1</v>
      </c>
      <c r="D122">
        <f t="shared" si="3"/>
        <v>1.7456053022759654E-3</v>
      </c>
      <c r="E122">
        <f t="shared" si="2"/>
        <v>-2.310853806740798E-2</v>
      </c>
    </row>
    <row r="123" spans="1:5">
      <c r="A123" s="403">
        <v>44626</v>
      </c>
      <c r="B123" s="386">
        <v>32749.8</v>
      </c>
      <c r="C123" s="386">
        <v>1466.54</v>
      </c>
      <c r="D123">
        <f t="shared" si="3"/>
        <v>-2.5768436156855978E-2</v>
      </c>
      <c r="E123">
        <f t="shared" si="2"/>
        <v>-4.4178207130036395E-2</v>
      </c>
    </row>
    <row r="124" spans="1:5">
      <c r="A124" s="403">
        <v>44619</v>
      </c>
      <c r="B124" s="386">
        <v>34263.5</v>
      </c>
      <c r="C124" s="386">
        <v>1505.33</v>
      </c>
      <c r="D124">
        <f t="shared" si="3"/>
        <v>4.2965127527703206E-3</v>
      </c>
      <c r="E124">
        <f t="shared" si="2"/>
        <v>8.4967796277414243E-2</v>
      </c>
    </row>
    <row r="125" spans="1:5">
      <c r="A125" s="403">
        <v>44612</v>
      </c>
      <c r="B125" s="386">
        <v>31580.2</v>
      </c>
      <c r="C125" s="386">
        <v>1498.89</v>
      </c>
      <c r="D125">
        <f t="shared" si="3"/>
        <v>-3.9539087211928337E-3</v>
      </c>
      <c r="E125">
        <f t="shared" si="2"/>
        <v>-2.4441327838771287E-2</v>
      </c>
    </row>
    <row r="126" spans="1:5">
      <c r="A126" s="403">
        <v>44605</v>
      </c>
      <c r="B126" s="386">
        <v>32371.4</v>
      </c>
      <c r="C126" s="386">
        <v>1504.84</v>
      </c>
      <c r="D126">
        <f t="shared" si="3"/>
        <v>2.0842905754105967E-3</v>
      </c>
      <c r="E126">
        <f t="shared" si="2"/>
        <v>-2.1208253956510603E-3</v>
      </c>
    </row>
    <row r="127" spans="1:5">
      <c r="A127" s="403">
        <v>44598</v>
      </c>
      <c r="B127" s="386">
        <v>32440.2</v>
      </c>
      <c r="C127" s="386">
        <v>1501.71</v>
      </c>
      <c r="D127">
        <f t="shared" si="3"/>
        <v>1.5382430897387334E-2</v>
      </c>
      <c r="E127">
        <f t="shared" si="2"/>
        <v>0.11729838640238333</v>
      </c>
    </row>
    <row r="128" spans="1:5">
      <c r="A128" s="403">
        <v>44591</v>
      </c>
      <c r="B128" s="386">
        <v>29034.5</v>
      </c>
      <c r="C128" s="386">
        <v>1478.96</v>
      </c>
      <c r="D128">
        <f t="shared" si="3"/>
        <v>0</v>
      </c>
      <c r="E128">
        <f t="shared" si="2"/>
        <v>-2.5406660982699725E-2</v>
      </c>
    </row>
    <row r="129" spans="1:5">
      <c r="A129" s="403">
        <v>44584</v>
      </c>
      <c r="B129" s="386">
        <v>29791.4</v>
      </c>
      <c r="C129" s="386">
        <v>1478.96</v>
      </c>
      <c r="D129">
        <f t="shared" si="3"/>
        <v>4.1211495766826367E-3</v>
      </c>
      <c r="E129">
        <f t="shared" si="2"/>
        <v>-6.3781779328116572E-2</v>
      </c>
    </row>
    <row r="130" spans="1:5">
      <c r="A130" s="403">
        <v>44577</v>
      </c>
      <c r="B130" s="386">
        <v>31821</v>
      </c>
      <c r="C130" s="386">
        <v>1472.89</v>
      </c>
      <c r="D130">
        <f t="shared" si="3"/>
        <v>-1.546102324835219E-2</v>
      </c>
      <c r="E130">
        <f t="shared" ref="E130:E193" si="4">IFERROR(B130/B131-1,"")</f>
        <v>9.8250157086006151E-3</v>
      </c>
    </row>
    <row r="131" spans="1:5">
      <c r="A131" s="403">
        <v>44570</v>
      </c>
      <c r="B131" s="386">
        <v>31511.4</v>
      </c>
      <c r="C131" s="386">
        <v>1496.02</v>
      </c>
      <c r="D131">
        <f t="shared" ref="D131:D194" si="5">IFERROR(C131/C132-1,"")</f>
        <v>-2.1236784256254637E-2</v>
      </c>
      <c r="E131">
        <f t="shared" si="4"/>
        <v>-1.2930629428458684E-2</v>
      </c>
    </row>
    <row r="132" spans="1:5">
      <c r="A132" s="403">
        <v>44563</v>
      </c>
      <c r="B132" s="386">
        <v>31924.2</v>
      </c>
      <c r="C132" s="386">
        <v>1528.48</v>
      </c>
      <c r="D132">
        <f t="shared" si="5"/>
        <v>2.0156446058146704E-2</v>
      </c>
      <c r="E132">
        <f t="shared" si="4"/>
        <v>7.6001944235781771E-3</v>
      </c>
    </row>
    <row r="133" spans="1:5">
      <c r="A133" s="403">
        <v>44556</v>
      </c>
      <c r="B133" s="386">
        <v>31683.4</v>
      </c>
      <c r="C133" s="386">
        <v>1498.28</v>
      </c>
      <c r="D133">
        <f t="shared" si="5"/>
        <v>1.4386979275979428E-2</v>
      </c>
      <c r="E133">
        <f t="shared" si="4"/>
        <v>-1.3918196361101143E-2</v>
      </c>
    </row>
    <row r="134" spans="1:5">
      <c r="A134" s="403">
        <v>44549</v>
      </c>
      <c r="B134" s="386">
        <v>32130.6</v>
      </c>
      <c r="C134" s="386">
        <v>1477.03</v>
      </c>
      <c r="D134">
        <f t="shared" si="5"/>
        <v>-1.8651295116198785E-3</v>
      </c>
      <c r="E134">
        <f t="shared" si="4"/>
        <v>4.3009408308067876E-3</v>
      </c>
    </row>
    <row r="135" spans="1:5">
      <c r="A135" s="403">
        <v>44542</v>
      </c>
      <c r="B135" s="386">
        <v>31993</v>
      </c>
      <c r="C135" s="386">
        <v>1479.79</v>
      </c>
      <c r="D135">
        <f t="shared" si="5"/>
        <v>1.1103215491206297E-2</v>
      </c>
      <c r="E135">
        <f t="shared" si="4"/>
        <v>-2.5156466150292767E-2</v>
      </c>
    </row>
    <row r="136" spans="1:5">
      <c r="A136" s="403">
        <v>44535</v>
      </c>
      <c r="B136" s="386">
        <v>32818.6</v>
      </c>
      <c r="C136" s="386">
        <v>1463.54</v>
      </c>
      <c r="D136">
        <f t="shared" si="5"/>
        <v>1.4009367292076691E-2</v>
      </c>
      <c r="E136">
        <f t="shared" si="4"/>
        <v>-2.7525001851989028E-2</v>
      </c>
    </row>
    <row r="137" spans="1:5">
      <c r="A137" s="403">
        <v>44528</v>
      </c>
      <c r="B137" s="386">
        <v>33747.5</v>
      </c>
      <c r="C137" s="386">
        <v>1443.32</v>
      </c>
      <c r="D137">
        <f t="shared" si="5"/>
        <v>-3.3294709416421653E-2</v>
      </c>
      <c r="E137">
        <f t="shared" si="4"/>
        <v>2.1874271387520405E-2</v>
      </c>
    </row>
    <row r="138" spans="1:5">
      <c r="A138" s="403">
        <v>44521</v>
      </c>
      <c r="B138" s="386">
        <v>33025.1</v>
      </c>
      <c r="C138" s="386">
        <v>1493.03</v>
      </c>
      <c r="D138">
        <f t="shared" si="5"/>
        <v>2.8009777257548052E-2</v>
      </c>
      <c r="E138">
        <f t="shared" si="4"/>
        <v>-0.12087792152478305</v>
      </c>
    </row>
    <row r="139" spans="1:5">
      <c r="A139" s="403">
        <v>44514</v>
      </c>
      <c r="B139" s="386">
        <v>37566</v>
      </c>
      <c r="C139" s="386">
        <v>1452.35</v>
      </c>
      <c r="D139">
        <f t="shared" si="5"/>
        <v>-1.426661327433032E-2</v>
      </c>
      <c r="E139">
        <f t="shared" si="4"/>
        <v>-3.5334600174618647E-2</v>
      </c>
    </row>
    <row r="140" spans="1:5">
      <c r="A140" s="403">
        <v>44507</v>
      </c>
      <c r="B140" s="386">
        <v>38942</v>
      </c>
      <c r="C140" s="386">
        <v>1473.37</v>
      </c>
      <c r="D140">
        <f t="shared" si="5"/>
        <v>1.1575615684066731E-2</v>
      </c>
      <c r="E140">
        <f t="shared" si="4"/>
        <v>-8.7588230951913815E-3</v>
      </c>
    </row>
    <row r="141" spans="1:5">
      <c r="A141" s="403">
        <v>44500</v>
      </c>
      <c r="B141" s="386">
        <v>39286.1</v>
      </c>
      <c r="C141" s="386">
        <v>1456.51</v>
      </c>
      <c r="D141">
        <f t="shared" si="5"/>
        <v>8.4748696573355708E-3</v>
      </c>
      <c r="E141">
        <f t="shared" si="4"/>
        <v>7.0570201072521765E-3</v>
      </c>
    </row>
    <row r="142" spans="1:5">
      <c r="A142" s="403">
        <v>44493</v>
      </c>
      <c r="B142" s="386">
        <v>39010.800000000003</v>
      </c>
      <c r="C142" s="386">
        <v>1444.27</v>
      </c>
      <c r="D142">
        <f t="shared" si="5"/>
        <v>3.9611586191010906E-2</v>
      </c>
      <c r="E142">
        <f t="shared" si="4"/>
        <v>-1.0473395444871803E-2</v>
      </c>
    </row>
    <row r="143" spans="1:5">
      <c r="A143" s="403">
        <v>44486</v>
      </c>
      <c r="B143" s="386">
        <v>39423.699999999997</v>
      </c>
      <c r="C143" s="386">
        <v>1389.24</v>
      </c>
      <c r="D143">
        <f t="shared" si="5"/>
        <v>-2.4843828534502066E-3</v>
      </c>
      <c r="E143">
        <f t="shared" si="4"/>
        <v>2.8727024121410594E-2</v>
      </c>
    </row>
    <row r="144" spans="1:5">
      <c r="A144" s="403">
        <v>44479</v>
      </c>
      <c r="B144" s="386">
        <v>38322.800000000003</v>
      </c>
      <c r="C144" s="386">
        <v>1392.7</v>
      </c>
      <c r="D144">
        <f t="shared" si="5"/>
        <v>1.4547653216583134E-2</v>
      </c>
      <c r="E144">
        <f t="shared" si="4"/>
        <v>4.3069754275947059E-2</v>
      </c>
    </row>
    <row r="145" spans="1:5">
      <c r="A145" s="403">
        <v>44472</v>
      </c>
      <c r="B145" s="386">
        <v>36740.400000000001</v>
      </c>
      <c r="C145" s="386">
        <v>1372.73</v>
      </c>
      <c r="D145">
        <f t="shared" si="5"/>
        <v>2.8346904988425958E-2</v>
      </c>
      <c r="E145">
        <f t="shared" si="4"/>
        <v>5.1182352688725841E-2</v>
      </c>
    </row>
    <row r="146" spans="1:5">
      <c r="A146" s="403">
        <v>44465</v>
      </c>
      <c r="B146" s="386">
        <v>34951.5</v>
      </c>
      <c r="C146" s="386">
        <v>1334.89</v>
      </c>
      <c r="D146">
        <f t="shared" si="5"/>
        <v>-1.2048816951234831E-2</v>
      </c>
      <c r="E146">
        <f t="shared" si="4"/>
        <v>-1.930442346273098E-2</v>
      </c>
    </row>
    <row r="147" spans="1:5">
      <c r="A147" s="403">
        <v>44458</v>
      </c>
      <c r="B147" s="386">
        <v>35639.5</v>
      </c>
      <c r="C147" s="386">
        <v>1351.17</v>
      </c>
      <c r="D147">
        <f t="shared" si="5"/>
        <v>-1.0867636621717525E-3</v>
      </c>
      <c r="E147">
        <f t="shared" si="4"/>
        <v>5.8250618771713558E-3</v>
      </c>
    </row>
    <row r="148" spans="1:5">
      <c r="A148" s="403">
        <v>44451</v>
      </c>
      <c r="B148" s="386">
        <v>35433.1</v>
      </c>
      <c r="C148" s="386">
        <v>1352.64</v>
      </c>
      <c r="D148">
        <f t="shared" si="5"/>
        <v>5.4485583248471414E-3</v>
      </c>
      <c r="E148">
        <f t="shared" si="4"/>
        <v>4.6746448374775262E-2</v>
      </c>
    </row>
    <row r="149" spans="1:5">
      <c r="A149" s="403">
        <v>44444</v>
      </c>
      <c r="B149" s="386">
        <v>33850.699999999997</v>
      </c>
      <c r="C149" s="386">
        <v>1345.31</v>
      </c>
      <c r="D149">
        <f t="shared" si="5"/>
        <v>7.987112726182799E-3</v>
      </c>
      <c r="E149">
        <f t="shared" si="4"/>
        <v>3.3615472460900353E-2</v>
      </c>
    </row>
    <row r="150" spans="1:5">
      <c r="A150" s="403">
        <v>44437</v>
      </c>
      <c r="B150" s="386">
        <v>32749.8</v>
      </c>
      <c r="C150" s="386">
        <v>1334.65</v>
      </c>
      <c r="D150">
        <f t="shared" si="5"/>
        <v>1.6334145598537964E-2</v>
      </c>
      <c r="E150">
        <f t="shared" si="4"/>
        <v>-2.8573462541267358E-2</v>
      </c>
    </row>
    <row r="151" spans="1:5">
      <c r="A151" s="403">
        <v>44430</v>
      </c>
      <c r="B151" s="386">
        <v>33713.1</v>
      </c>
      <c r="C151" s="386">
        <v>1313.2</v>
      </c>
      <c r="D151">
        <f t="shared" si="5"/>
        <v>-1.2208239621491979E-2</v>
      </c>
      <c r="E151">
        <f t="shared" si="4"/>
        <v>7.1940081798977928E-3</v>
      </c>
    </row>
    <row r="152" spans="1:5">
      <c r="A152" s="403">
        <v>44423</v>
      </c>
      <c r="B152" s="386">
        <v>33472.300000000003</v>
      </c>
      <c r="C152" s="386">
        <v>1329.43</v>
      </c>
      <c r="D152">
        <f t="shared" si="5"/>
        <v>-2.0352971519103868E-2</v>
      </c>
      <c r="E152">
        <f t="shared" si="4"/>
        <v>5.1651186325649689E-3</v>
      </c>
    </row>
    <row r="153" spans="1:5">
      <c r="A153" s="403">
        <v>44416</v>
      </c>
      <c r="B153" s="386">
        <v>33300.300000000003</v>
      </c>
      <c r="C153" s="386">
        <v>1357.05</v>
      </c>
      <c r="D153">
        <f t="shared" si="5"/>
        <v>1.1629207201162783E-2</v>
      </c>
      <c r="E153">
        <f t="shared" si="4"/>
        <v>2.3258172163941104E-2</v>
      </c>
    </row>
    <row r="154" spans="1:5">
      <c r="A154" s="403">
        <v>44409</v>
      </c>
      <c r="B154" s="386">
        <v>32543.4</v>
      </c>
      <c r="C154" s="386">
        <v>1341.45</v>
      </c>
      <c r="D154">
        <f t="shared" si="5"/>
        <v>2.3968550818671108E-2</v>
      </c>
      <c r="E154">
        <f t="shared" si="4"/>
        <v>3.2750052362002346E-2</v>
      </c>
    </row>
    <row r="155" spans="1:5">
      <c r="A155" s="403">
        <v>44402</v>
      </c>
      <c r="B155" s="386">
        <v>31511.4</v>
      </c>
      <c r="C155" s="386">
        <v>1310.05</v>
      </c>
      <c r="D155">
        <f t="shared" si="5"/>
        <v>3.248662153322357E-2</v>
      </c>
      <c r="E155">
        <f t="shared" si="4"/>
        <v>-2.0320223845795127E-2</v>
      </c>
    </row>
    <row r="156" spans="1:5">
      <c r="A156" s="403">
        <v>44395</v>
      </c>
      <c r="B156" s="386">
        <v>32165</v>
      </c>
      <c r="C156" s="386">
        <v>1268.83</v>
      </c>
      <c r="D156">
        <f t="shared" si="5"/>
        <v>-2.345860495185903E-2</v>
      </c>
      <c r="E156">
        <f t="shared" si="4"/>
        <v>-1.16275496721302E-2</v>
      </c>
    </row>
    <row r="157" spans="1:5">
      <c r="A157" s="403">
        <v>44388</v>
      </c>
      <c r="B157" s="386">
        <v>32543.4</v>
      </c>
      <c r="C157" s="386">
        <v>1299.31</v>
      </c>
      <c r="D157">
        <f t="shared" si="5"/>
        <v>-3.5504847306145004E-2</v>
      </c>
      <c r="E157">
        <f t="shared" si="4"/>
        <v>-9.5602150985868439E-2</v>
      </c>
    </row>
    <row r="158" spans="1:5">
      <c r="A158" s="403">
        <v>44381</v>
      </c>
      <c r="B158" s="386">
        <v>35983.5</v>
      </c>
      <c r="C158" s="386">
        <v>1347.14</v>
      </c>
      <c r="D158">
        <f t="shared" si="5"/>
        <v>-5.1490209608032189E-2</v>
      </c>
      <c r="E158">
        <f t="shared" si="4"/>
        <v>3.1557190240434352E-2</v>
      </c>
    </row>
    <row r="159" spans="1:5">
      <c r="A159" s="403">
        <v>44374</v>
      </c>
      <c r="B159" s="386">
        <v>34882.699999999997</v>
      </c>
      <c r="C159" s="386">
        <v>1420.27</v>
      </c>
      <c r="D159">
        <f t="shared" si="5"/>
        <v>2.1688775069778288E-2</v>
      </c>
      <c r="E159">
        <f t="shared" si="4"/>
        <v>-2.6870576551293324E-2</v>
      </c>
    </row>
    <row r="160" spans="1:5">
      <c r="A160" s="403">
        <v>44367</v>
      </c>
      <c r="B160" s="386">
        <v>35845.9</v>
      </c>
      <c r="C160" s="386">
        <v>1390.12</v>
      </c>
      <c r="D160">
        <f t="shared" si="5"/>
        <v>8.9637602792917992E-3</v>
      </c>
      <c r="E160">
        <f t="shared" si="4"/>
        <v>-1.8834510319154729E-2</v>
      </c>
    </row>
    <row r="161" spans="1:5">
      <c r="A161" s="403">
        <v>44360</v>
      </c>
      <c r="B161" s="386">
        <v>36534</v>
      </c>
      <c r="C161" s="386">
        <v>1377.77</v>
      </c>
      <c r="D161">
        <f t="shared" si="5"/>
        <v>1.9256661784070817E-2</v>
      </c>
      <c r="E161">
        <f t="shared" si="4"/>
        <v>-2.5687251314764792E-2</v>
      </c>
    </row>
    <row r="162" spans="1:5">
      <c r="A162" s="403">
        <v>44353</v>
      </c>
      <c r="B162" s="386">
        <v>37497.199999999997</v>
      </c>
      <c r="C162" s="386">
        <v>1351.74</v>
      </c>
      <c r="D162">
        <f t="shared" si="5"/>
        <v>-1.6236672610167036E-2</v>
      </c>
      <c r="E162">
        <f t="shared" si="4"/>
        <v>0.10258317773497794</v>
      </c>
    </row>
    <row r="163" spans="1:5">
      <c r="A163" s="403">
        <v>44346</v>
      </c>
      <c r="B163" s="386">
        <v>34008.5</v>
      </c>
      <c r="C163" s="386">
        <v>1374.05</v>
      </c>
      <c r="D163">
        <f t="shared" si="5"/>
        <v>4.0584341820274705E-2</v>
      </c>
      <c r="E163">
        <f t="shared" si="4"/>
        <v>2.2867403348151294E-2</v>
      </c>
    </row>
    <row r="164" spans="1:5">
      <c r="A164" s="403">
        <v>44339</v>
      </c>
      <c r="B164" s="386">
        <v>33248.199999999997</v>
      </c>
      <c r="C164" s="386">
        <v>1320.46</v>
      </c>
      <c r="D164">
        <f t="shared" si="5"/>
        <v>2.8451706868754423E-2</v>
      </c>
      <c r="E164">
        <f t="shared" si="4"/>
        <v>6.8404055335079095E-2</v>
      </c>
    </row>
    <row r="165" spans="1:5">
      <c r="A165" s="403">
        <v>44332</v>
      </c>
      <c r="B165" s="386">
        <v>31119.5</v>
      </c>
      <c r="C165" s="386">
        <v>1283.93</v>
      </c>
      <c r="D165">
        <f t="shared" si="5"/>
        <v>1.3874411699674738E-2</v>
      </c>
      <c r="E165">
        <f t="shared" si="4"/>
        <v>9.8684424021755479E-3</v>
      </c>
    </row>
    <row r="166" spans="1:5">
      <c r="A166" s="403">
        <v>44325</v>
      </c>
      <c r="B166" s="386">
        <v>30815.4</v>
      </c>
      <c r="C166" s="386">
        <v>1266.3599999999999</v>
      </c>
      <c r="D166">
        <f t="shared" si="5"/>
        <v>1.9769529960299792E-2</v>
      </c>
      <c r="E166">
        <f t="shared" si="4"/>
        <v>4.6469929025028112E-2</v>
      </c>
    </row>
    <row r="167" spans="1:5">
      <c r="A167" s="403">
        <v>44318</v>
      </c>
      <c r="B167" s="386">
        <v>29447</v>
      </c>
      <c r="C167" s="386">
        <v>1241.81</v>
      </c>
      <c r="D167">
        <f t="shared" si="5"/>
        <v>1.9525734433873954E-3</v>
      </c>
      <c r="E167">
        <f t="shared" si="4"/>
        <v>3.0141260923408408E-2</v>
      </c>
    </row>
    <row r="168" spans="1:5">
      <c r="A168" s="403">
        <v>44311</v>
      </c>
      <c r="B168" s="386">
        <v>28585.4</v>
      </c>
      <c r="C168" s="386">
        <v>1239.3900000000001</v>
      </c>
      <c r="D168">
        <f t="shared" si="5"/>
        <v>-7.3206090362265552E-3</v>
      </c>
      <c r="E168">
        <f t="shared" si="4"/>
        <v>3.2967032967033072E-2</v>
      </c>
    </row>
    <row r="169" spans="1:5">
      <c r="A169" s="403">
        <v>44304</v>
      </c>
      <c r="B169" s="386">
        <v>27673.1</v>
      </c>
      <c r="C169" s="386">
        <v>1248.53</v>
      </c>
      <c r="D169">
        <f t="shared" si="5"/>
        <v>7.9276021021867926E-3</v>
      </c>
      <c r="E169">
        <f t="shared" si="4"/>
        <v>0.10191688965341483</v>
      </c>
    </row>
    <row r="170" spans="1:5">
      <c r="A170" s="403">
        <v>44297</v>
      </c>
      <c r="B170" s="386">
        <v>25113.599999999999</v>
      </c>
      <c r="C170" s="386">
        <v>1238.71</v>
      </c>
      <c r="D170">
        <f t="shared" si="5"/>
        <v>5.7239822678336605E-3</v>
      </c>
      <c r="E170">
        <f t="shared" si="4"/>
        <v>1.0197062763223075E-2</v>
      </c>
    </row>
    <row r="171" spans="1:5">
      <c r="A171" s="403">
        <v>44290</v>
      </c>
      <c r="B171" s="386">
        <v>24860.1</v>
      </c>
      <c r="C171" s="386">
        <v>1231.6600000000001</v>
      </c>
      <c r="D171">
        <f t="shared" si="5"/>
        <v>5.8883580383028988E-3</v>
      </c>
      <c r="E171">
        <f t="shared" si="4"/>
        <v>6.1685108709113923E-2</v>
      </c>
    </row>
    <row r="172" spans="1:5">
      <c r="A172" s="403">
        <v>44283</v>
      </c>
      <c r="B172" s="386">
        <v>23415.7</v>
      </c>
      <c r="C172" s="386">
        <v>1224.45</v>
      </c>
      <c r="D172">
        <f t="shared" si="5"/>
        <v>5.3553144440333433E-2</v>
      </c>
      <c r="E172">
        <f t="shared" si="4"/>
        <v>-2.0148804043988444E-2</v>
      </c>
    </row>
    <row r="173" spans="1:5">
      <c r="A173" s="403">
        <v>44276</v>
      </c>
      <c r="B173" s="386">
        <v>23897.200000000001</v>
      </c>
      <c r="C173" s="386">
        <v>1162.21</v>
      </c>
      <c r="D173">
        <f t="shared" si="5"/>
        <v>-2.6665550018843409E-2</v>
      </c>
      <c r="E173">
        <f t="shared" si="4"/>
        <v>1.5070680984096807E-2</v>
      </c>
    </row>
    <row r="174" spans="1:5">
      <c r="A174" s="403">
        <v>44269</v>
      </c>
      <c r="B174" s="386">
        <v>23542.400000000001</v>
      </c>
      <c r="C174" s="386">
        <v>1194.05</v>
      </c>
      <c r="D174">
        <f t="shared" si="5"/>
        <v>1.0570770845323096E-2</v>
      </c>
      <c r="E174">
        <f t="shared" si="4"/>
        <v>9.7836949854810396E-3</v>
      </c>
    </row>
    <row r="175" spans="1:5">
      <c r="A175" s="403">
        <v>44262</v>
      </c>
      <c r="B175" s="386">
        <v>23314.3</v>
      </c>
      <c r="C175" s="386">
        <v>1181.56</v>
      </c>
      <c r="D175">
        <f t="shared" si="5"/>
        <v>1.1012330044750884E-2</v>
      </c>
      <c r="E175">
        <f t="shared" si="4"/>
        <v>8.7704875473788579E-3</v>
      </c>
    </row>
    <row r="176" spans="1:5">
      <c r="A176" s="403">
        <v>44255</v>
      </c>
      <c r="B176" s="386">
        <v>23111.599999999999</v>
      </c>
      <c r="C176" s="386">
        <v>1168.69</v>
      </c>
      <c r="D176">
        <f t="shared" si="5"/>
        <v>1.8828040086615871E-4</v>
      </c>
      <c r="E176">
        <f t="shared" si="4"/>
        <v>4.9482560542005727E-2</v>
      </c>
    </row>
    <row r="177" spans="1:5">
      <c r="A177" s="403">
        <v>44248</v>
      </c>
      <c r="B177" s="386">
        <v>22021.9</v>
      </c>
      <c r="C177" s="386">
        <v>1168.47</v>
      </c>
      <c r="D177">
        <f t="shared" si="5"/>
        <v>-4.2863229654878099E-3</v>
      </c>
      <c r="E177">
        <f t="shared" si="4"/>
        <v>3.9474926365078211E-2</v>
      </c>
    </row>
    <row r="178" spans="1:5">
      <c r="A178" s="403">
        <v>44241</v>
      </c>
      <c r="B178" s="386">
        <v>21185.599999999999</v>
      </c>
      <c r="C178" s="386">
        <v>1173.5</v>
      </c>
      <c r="D178">
        <f t="shared" si="5"/>
        <v>5.2532445983155762E-2</v>
      </c>
      <c r="E178">
        <f t="shared" si="4"/>
        <v>-1.6471374719132514E-2</v>
      </c>
    </row>
    <row r="179" spans="1:5">
      <c r="A179" s="403">
        <v>44234</v>
      </c>
      <c r="B179" s="386">
        <v>21540.400000000001</v>
      </c>
      <c r="C179" s="386">
        <v>1114.93</v>
      </c>
      <c r="D179">
        <f t="shared" si="5"/>
        <v>-1.0630840084833726E-2</v>
      </c>
      <c r="E179">
        <f t="shared" si="4"/>
        <v>8.5568854731006727E-2</v>
      </c>
    </row>
    <row r="180" spans="1:5">
      <c r="A180" s="403">
        <v>44227</v>
      </c>
      <c r="B180" s="386">
        <v>19842.5</v>
      </c>
      <c r="C180" s="386">
        <v>1126.9100000000001</v>
      </c>
      <c r="D180">
        <f t="shared" si="5"/>
        <v>6.6533536498802892E-2</v>
      </c>
      <c r="E180">
        <f t="shared" si="4"/>
        <v>-0.10309492706784251</v>
      </c>
    </row>
    <row r="181" spans="1:5">
      <c r="A181" s="403">
        <v>44220</v>
      </c>
      <c r="B181" s="386">
        <v>22123.3</v>
      </c>
      <c r="C181" s="386">
        <v>1056.6099999999999</v>
      </c>
      <c r="D181">
        <f t="shared" si="5"/>
        <v>-9.4422256123690929E-2</v>
      </c>
      <c r="E181">
        <f t="shared" si="4"/>
        <v>-1.9100739998492489E-2</v>
      </c>
    </row>
    <row r="182" spans="1:5">
      <c r="A182" s="403">
        <v>44213</v>
      </c>
      <c r="B182" s="386">
        <v>22554.1</v>
      </c>
      <c r="C182" s="386">
        <v>1166.78</v>
      </c>
      <c r="D182">
        <f t="shared" si="5"/>
        <v>-2.2960978060626469E-2</v>
      </c>
      <c r="E182">
        <f t="shared" si="4"/>
        <v>4.0937642785605854E-2</v>
      </c>
    </row>
    <row r="183" spans="1:5">
      <c r="A183" s="403">
        <v>44206</v>
      </c>
      <c r="B183" s="386">
        <v>21667.1</v>
      </c>
      <c r="C183" s="386">
        <v>1194.2</v>
      </c>
      <c r="D183">
        <f t="shared" si="5"/>
        <v>2.2702943418201782E-2</v>
      </c>
      <c r="E183">
        <f t="shared" si="4"/>
        <v>3.1363943602974009E-2</v>
      </c>
    </row>
    <row r="184" spans="1:5">
      <c r="A184" s="403">
        <v>44199</v>
      </c>
      <c r="B184" s="386">
        <v>21008.2</v>
      </c>
      <c r="C184" s="386">
        <v>1167.69</v>
      </c>
      <c r="D184">
        <f t="shared" si="5"/>
        <v>5.7814778914183851E-2</v>
      </c>
      <c r="E184">
        <f t="shared" si="4"/>
        <v>1.7178769597257615E-2</v>
      </c>
    </row>
    <row r="185" spans="1:5">
      <c r="A185" s="403">
        <v>44192</v>
      </c>
      <c r="B185" s="386">
        <v>20653.400000000001</v>
      </c>
      <c r="C185" s="386">
        <v>1103.8699999999999</v>
      </c>
      <c r="D185">
        <f t="shared" si="5"/>
        <v>1.7935855111488097E-2</v>
      </c>
      <c r="E185">
        <f t="shared" si="4"/>
        <v>5.5700097629793888E-2</v>
      </c>
    </row>
    <row r="186" spans="1:5">
      <c r="A186" s="403">
        <v>44185</v>
      </c>
      <c r="B186" s="386">
        <v>19563.7</v>
      </c>
      <c r="C186" s="386">
        <v>1084.42</v>
      </c>
      <c r="D186">
        <f t="shared" si="5"/>
        <v>1.5888183163772052E-2</v>
      </c>
      <c r="E186">
        <f t="shared" si="4"/>
        <v>-5.1563429629138957E-3</v>
      </c>
    </row>
    <row r="187" spans="1:5">
      <c r="A187" s="403">
        <v>44178</v>
      </c>
      <c r="B187" s="386">
        <v>19665.099999999999</v>
      </c>
      <c r="C187" s="386">
        <v>1067.46</v>
      </c>
      <c r="D187">
        <f t="shared" si="5"/>
        <v>2.0555279360587431E-2</v>
      </c>
      <c r="E187">
        <f t="shared" si="4"/>
        <v>5.0065411827526329E-2</v>
      </c>
    </row>
    <row r="188" spans="1:5">
      <c r="A188" s="403">
        <v>44171</v>
      </c>
      <c r="B188" s="386">
        <v>18727.5</v>
      </c>
      <c r="C188" s="386">
        <v>1045.96</v>
      </c>
      <c r="D188">
        <f t="shared" si="5"/>
        <v>2.3955202694103672E-2</v>
      </c>
      <c r="E188">
        <f t="shared" si="4"/>
        <v>1.9311260729234059E-2</v>
      </c>
    </row>
    <row r="189" spans="1:5">
      <c r="A189" s="403">
        <v>44164</v>
      </c>
      <c r="B189" s="386">
        <v>18372.7</v>
      </c>
      <c r="C189" s="386">
        <v>1021.49</v>
      </c>
      <c r="D189">
        <f t="shared" si="5"/>
        <v>1.1155985824869763E-2</v>
      </c>
      <c r="E189">
        <f t="shared" si="4"/>
        <v>1.5408507839658636E-2</v>
      </c>
    </row>
    <row r="190" spans="1:5">
      <c r="A190" s="403">
        <v>44157</v>
      </c>
      <c r="B190" s="386">
        <v>18093.900000000001</v>
      </c>
      <c r="C190" s="386">
        <v>1010.22</v>
      </c>
      <c r="D190">
        <f t="shared" si="5"/>
        <v>2.0424242424242456E-2</v>
      </c>
      <c r="E190">
        <f t="shared" si="4"/>
        <v>0.11736952937325951</v>
      </c>
    </row>
    <row r="191" spans="1:5">
      <c r="A191" s="403">
        <v>44150</v>
      </c>
      <c r="B191" s="386">
        <v>16193.3</v>
      </c>
      <c r="C191">
        <v>990</v>
      </c>
      <c r="D191">
        <f t="shared" si="5"/>
        <v>2.4537147233232304E-2</v>
      </c>
      <c r="E191">
        <f t="shared" si="4"/>
        <v>5.0987493266353656E-2</v>
      </c>
    </row>
    <row r="192" spans="1:5">
      <c r="A192" s="403">
        <v>44143</v>
      </c>
      <c r="B192" s="386">
        <v>15407.7</v>
      </c>
      <c r="C192">
        <v>966.29</v>
      </c>
      <c r="D192">
        <f t="shared" si="5"/>
        <v>2.984152021230102E-2</v>
      </c>
      <c r="E192">
        <f t="shared" si="4"/>
        <v>-4.908387530112357E-3</v>
      </c>
    </row>
    <row r="193" spans="1:5">
      <c r="A193" s="403">
        <v>44136</v>
      </c>
      <c r="B193" s="386">
        <v>15483.7</v>
      </c>
      <c r="C193">
        <v>938.29</v>
      </c>
      <c r="D193">
        <f t="shared" si="5"/>
        <v>1.3852420932066956E-2</v>
      </c>
      <c r="E193">
        <f t="shared" si="4"/>
        <v>-1.1327429107789388E-2</v>
      </c>
    </row>
    <row r="194" spans="1:5">
      <c r="A194" s="403">
        <v>44129</v>
      </c>
      <c r="B194" s="386">
        <v>15661.1</v>
      </c>
      <c r="C194">
        <v>925.47</v>
      </c>
      <c r="D194">
        <f t="shared" si="5"/>
        <v>-3.7232382497971339E-2</v>
      </c>
      <c r="E194">
        <f t="shared" ref="E194:E257" si="6">IFERROR(B194/B195-1,"")</f>
        <v>6.1855879800390534E-2</v>
      </c>
    </row>
    <row r="195" spans="1:5">
      <c r="A195" s="403">
        <v>44122</v>
      </c>
      <c r="B195" s="386">
        <v>14748.8</v>
      </c>
      <c r="C195">
        <v>961.26</v>
      </c>
      <c r="D195">
        <f t="shared" ref="D195:D258" si="7">IFERROR(C195/C196-1,"")</f>
        <v>1.9039542033287393E-2</v>
      </c>
      <c r="E195">
        <f t="shared" si="6"/>
        <v>2.1052704452151794E-2</v>
      </c>
    </row>
    <row r="196" spans="1:5">
      <c r="A196" s="403">
        <v>44115</v>
      </c>
      <c r="B196" s="386">
        <v>14444.7</v>
      </c>
      <c r="C196">
        <v>943.3</v>
      </c>
      <c r="D196">
        <f t="shared" si="7"/>
        <v>2.0887445887445732E-2</v>
      </c>
      <c r="E196">
        <f t="shared" si="6"/>
        <v>6.7415979427152717E-2</v>
      </c>
    </row>
    <row r="197" spans="1:5">
      <c r="A197" s="403">
        <v>44108</v>
      </c>
      <c r="B197" s="386">
        <v>13532.4</v>
      </c>
      <c r="C197">
        <v>924</v>
      </c>
      <c r="D197">
        <f t="shared" si="7"/>
        <v>1.548504797177741E-2</v>
      </c>
      <c r="E197">
        <f t="shared" si="6"/>
        <v>3.6894007309840715E-2</v>
      </c>
    </row>
    <row r="198" spans="1:5">
      <c r="A198" s="403">
        <v>44101</v>
      </c>
      <c r="B198" s="386">
        <v>13050.9</v>
      </c>
      <c r="C198">
        <v>909.91</v>
      </c>
      <c r="D198">
        <f t="shared" si="7"/>
        <v>1.8056304843272475E-3</v>
      </c>
      <c r="E198">
        <f t="shared" si="6"/>
        <v>1.9423289522171316E-3</v>
      </c>
    </row>
    <row r="199" spans="1:5">
      <c r="A199" s="403">
        <v>44094</v>
      </c>
      <c r="B199" s="386">
        <v>13025.6</v>
      </c>
      <c r="C199">
        <v>908.27</v>
      </c>
      <c r="D199">
        <f t="shared" si="7"/>
        <v>8.1247572007325797E-3</v>
      </c>
      <c r="E199">
        <f t="shared" si="6"/>
        <v>5.1121278879286081E-2</v>
      </c>
    </row>
    <row r="200" spans="1:5">
      <c r="A200" s="403">
        <v>44087</v>
      </c>
      <c r="B200" s="386">
        <v>12392.1</v>
      </c>
      <c r="C200">
        <v>900.95</v>
      </c>
      <c r="D200">
        <f t="shared" si="7"/>
        <v>1.3476270290335934E-2</v>
      </c>
      <c r="E200">
        <f t="shared" si="6"/>
        <v>-2.0038748962081354E-2</v>
      </c>
    </row>
    <row r="201" spans="1:5">
      <c r="A201" s="403">
        <v>44080</v>
      </c>
      <c r="B201" s="386">
        <v>12645.5</v>
      </c>
      <c r="C201">
        <v>888.97</v>
      </c>
      <c r="D201">
        <f t="shared" si="7"/>
        <v>-1.3942808971315723E-2</v>
      </c>
      <c r="E201">
        <f t="shared" si="6"/>
        <v>2.6753816174082568E-2</v>
      </c>
    </row>
    <row r="202" spans="1:5">
      <c r="A202" s="403">
        <v>44073</v>
      </c>
      <c r="B202" s="386">
        <v>12316</v>
      </c>
      <c r="C202">
        <v>901.54</v>
      </c>
      <c r="D202">
        <f t="shared" si="7"/>
        <v>2.5666112994607415E-2</v>
      </c>
      <c r="E202">
        <f t="shared" si="6"/>
        <v>-2.0581133420843889E-3</v>
      </c>
    </row>
    <row r="203" spans="1:5">
      <c r="A203" s="403">
        <v>44066</v>
      </c>
      <c r="B203" s="386">
        <v>12341.4</v>
      </c>
      <c r="C203">
        <v>878.98</v>
      </c>
      <c r="D203">
        <f t="shared" si="7"/>
        <v>2.8311378366363327E-2</v>
      </c>
      <c r="E203">
        <f t="shared" si="6"/>
        <v>1.0372747591017362E-2</v>
      </c>
    </row>
    <row r="204" spans="1:5">
      <c r="A204" s="403">
        <v>44059</v>
      </c>
      <c r="B204" s="386">
        <v>12214.7</v>
      </c>
      <c r="C204">
        <v>854.78</v>
      </c>
      <c r="D204">
        <f t="shared" si="7"/>
        <v>4.7488069210332995E-3</v>
      </c>
      <c r="E204">
        <f t="shared" si="6"/>
        <v>-4.1335790108760762E-3</v>
      </c>
    </row>
    <row r="205" spans="1:5">
      <c r="A205" s="403">
        <v>44052</v>
      </c>
      <c r="B205" s="386">
        <v>12265.4</v>
      </c>
      <c r="C205">
        <v>850.74</v>
      </c>
      <c r="D205">
        <f t="shared" si="7"/>
        <v>1.1028450550234048E-2</v>
      </c>
      <c r="E205">
        <f t="shared" si="6"/>
        <v>0.11520871407399325</v>
      </c>
    </row>
    <row r="206" spans="1:5">
      <c r="A206" s="403">
        <v>44045</v>
      </c>
      <c r="B206" s="386">
        <v>10998.3</v>
      </c>
      <c r="C206">
        <v>841.46</v>
      </c>
      <c r="D206">
        <f t="shared" si="7"/>
        <v>5.3946066458748332E-2</v>
      </c>
      <c r="E206">
        <f t="shared" si="6"/>
        <v>-1.5159926931480494E-2</v>
      </c>
    </row>
    <row r="207" spans="1:5">
      <c r="A207" s="403">
        <v>44038</v>
      </c>
      <c r="B207" s="386">
        <v>11167.6</v>
      </c>
      <c r="C207">
        <v>798.39</v>
      </c>
      <c r="D207">
        <f t="shared" si="7"/>
        <v>-3.7109846109315447E-2</v>
      </c>
      <c r="E207">
        <f t="shared" si="6"/>
        <v>-5.9546767497284159E-2</v>
      </c>
    </row>
    <row r="208" spans="1:5">
      <c r="A208" s="403">
        <v>44031</v>
      </c>
      <c r="B208" s="386">
        <v>11874.7</v>
      </c>
      <c r="C208">
        <v>829.16</v>
      </c>
      <c r="D208">
        <f t="shared" si="7"/>
        <v>-4.9150248847503519E-2</v>
      </c>
      <c r="E208">
        <f t="shared" si="6"/>
        <v>2.8834074112581209E-2</v>
      </c>
    </row>
    <row r="209" spans="1:5">
      <c r="A209" s="403">
        <v>44024</v>
      </c>
      <c r="B209" s="386">
        <v>11541.9</v>
      </c>
      <c r="C209">
        <v>872.02</v>
      </c>
      <c r="D209">
        <f t="shared" si="7"/>
        <v>9.2974139415291646E-4</v>
      </c>
      <c r="E209">
        <f t="shared" si="6"/>
        <v>9.0837559013812186E-3</v>
      </c>
    </row>
    <row r="210" spans="1:5">
      <c r="A210" s="403">
        <v>44017</v>
      </c>
      <c r="B210" s="386">
        <v>11438</v>
      </c>
      <c r="C210">
        <v>871.21</v>
      </c>
      <c r="D210">
        <f t="shared" si="7"/>
        <v>2.7842993829709339E-2</v>
      </c>
      <c r="E210">
        <f t="shared" si="6"/>
        <v>1.1031361595304601E-2</v>
      </c>
    </row>
    <row r="211" spans="1:5">
      <c r="A211" s="403">
        <v>44010</v>
      </c>
      <c r="B211" s="386">
        <v>11313.2</v>
      </c>
      <c r="C211">
        <v>847.61</v>
      </c>
      <c r="D211">
        <f t="shared" si="7"/>
        <v>-5.1292283856428922E-3</v>
      </c>
      <c r="E211">
        <f t="shared" si="6"/>
        <v>-5.4854249446182335E-3</v>
      </c>
    </row>
    <row r="212" spans="1:5">
      <c r="A212" s="403">
        <v>44003</v>
      </c>
      <c r="B212" s="386">
        <v>11375.6</v>
      </c>
      <c r="C212">
        <v>851.98</v>
      </c>
      <c r="D212">
        <f t="shared" si="7"/>
        <v>-1.9089066961407331E-2</v>
      </c>
      <c r="E212">
        <f t="shared" si="6"/>
        <v>3.2081291961531422E-2</v>
      </c>
    </row>
    <row r="213" spans="1:5">
      <c r="A213" s="403">
        <v>43996</v>
      </c>
      <c r="B213" s="386">
        <v>11022</v>
      </c>
      <c r="C213">
        <v>868.56</v>
      </c>
      <c r="D213">
        <f t="shared" si="7"/>
        <v>5.8365758754863606E-3</v>
      </c>
      <c r="E213">
        <f t="shared" si="6"/>
        <v>-2.0336331638639016E-2</v>
      </c>
    </row>
    <row r="214" spans="1:5">
      <c r="A214" s="403">
        <v>43989</v>
      </c>
      <c r="B214" s="386">
        <v>11250.8</v>
      </c>
      <c r="C214">
        <v>863.52</v>
      </c>
      <c r="D214">
        <f t="shared" si="7"/>
        <v>-2.5614407257791516E-2</v>
      </c>
      <c r="E214">
        <f t="shared" si="6"/>
        <v>-1.2775964339616031E-2</v>
      </c>
    </row>
    <row r="215" spans="1:5">
      <c r="A215" s="403">
        <v>43982</v>
      </c>
      <c r="B215" s="386">
        <v>11396.4</v>
      </c>
      <c r="C215">
        <v>886.22</v>
      </c>
      <c r="D215">
        <f t="shared" si="7"/>
        <v>2.5159924578065151E-2</v>
      </c>
      <c r="E215">
        <f t="shared" si="6"/>
        <v>5.5055584965590931E-3</v>
      </c>
    </row>
    <row r="216" spans="1:5">
      <c r="A216" s="403">
        <v>43975</v>
      </c>
      <c r="B216" s="386">
        <v>11334</v>
      </c>
      <c r="C216">
        <v>864.47</v>
      </c>
      <c r="D216">
        <f t="shared" si="7"/>
        <v>1.3755658231113799E-2</v>
      </c>
      <c r="E216">
        <f t="shared" si="6"/>
        <v>0.15957152941898656</v>
      </c>
    </row>
    <row r="217" spans="1:5">
      <c r="A217" s="403">
        <v>43968</v>
      </c>
      <c r="B217" s="386">
        <v>9774.2999999999993</v>
      </c>
      <c r="C217">
        <v>852.74</v>
      </c>
      <c r="D217">
        <f t="shared" si="7"/>
        <v>3.108714315079264E-2</v>
      </c>
      <c r="E217">
        <f t="shared" si="6"/>
        <v>4.2742507217934378E-3</v>
      </c>
    </row>
    <row r="218" spans="1:5">
      <c r="A218" s="403">
        <v>43961</v>
      </c>
      <c r="B218" s="386">
        <v>9732.7000000000007</v>
      </c>
      <c r="C218">
        <v>827.03</v>
      </c>
      <c r="D218">
        <f t="shared" si="7"/>
        <v>1.6344487729345047E-2</v>
      </c>
      <c r="E218">
        <f t="shared" si="6"/>
        <v>8.8376722132760932E-2</v>
      </c>
    </row>
    <row r="219" spans="1:5">
      <c r="A219" s="403">
        <v>43954</v>
      </c>
      <c r="B219" s="386">
        <v>8942.4</v>
      </c>
      <c r="C219">
        <v>813.73</v>
      </c>
      <c r="D219">
        <f t="shared" si="7"/>
        <v>5.8015108372014401E-2</v>
      </c>
      <c r="E219">
        <f t="shared" si="6"/>
        <v>-2.7154046997389103E-2</v>
      </c>
    </row>
    <row r="220" spans="1:5">
      <c r="A220" s="403">
        <v>43947</v>
      </c>
      <c r="B220" s="386">
        <v>9192</v>
      </c>
      <c r="C220">
        <v>769.11</v>
      </c>
      <c r="D220">
        <f t="shared" si="7"/>
        <v>-9.7211134859526149E-3</v>
      </c>
      <c r="E220">
        <f t="shared" si="6"/>
        <v>6.7633018572075487E-2</v>
      </c>
    </row>
    <row r="221" spans="1:5">
      <c r="A221" s="403">
        <v>43940</v>
      </c>
      <c r="B221" s="386">
        <v>8609.7000000000007</v>
      </c>
      <c r="C221">
        <v>776.66</v>
      </c>
      <c r="D221">
        <f t="shared" si="7"/>
        <v>-1.6388044579534022E-2</v>
      </c>
      <c r="E221">
        <f t="shared" si="6"/>
        <v>0.1010691357393152</v>
      </c>
    </row>
    <row r="222" spans="1:5">
      <c r="A222" s="403">
        <v>43933</v>
      </c>
      <c r="B222" s="386">
        <v>7819.4</v>
      </c>
      <c r="C222">
        <v>789.6</v>
      </c>
      <c r="D222">
        <f t="shared" si="7"/>
        <v>4.1771116447212098E-2</v>
      </c>
      <c r="E222">
        <f t="shared" si="6"/>
        <v>6.5153723556415244E-2</v>
      </c>
    </row>
    <row r="223" spans="1:5">
      <c r="A223" s="403">
        <v>43926</v>
      </c>
      <c r="B223" s="386">
        <v>7341.1</v>
      </c>
      <c r="C223">
        <v>757.94</v>
      </c>
      <c r="D223">
        <f t="shared" si="7"/>
        <v>7.9994300370476168E-2</v>
      </c>
      <c r="E223">
        <f t="shared" si="6"/>
        <v>8.9507272187592912E-2</v>
      </c>
    </row>
    <row r="224" spans="1:5">
      <c r="A224" s="403">
        <v>43919</v>
      </c>
      <c r="B224" s="386">
        <v>6738</v>
      </c>
      <c r="C224">
        <v>701.8</v>
      </c>
      <c r="D224">
        <f t="shared" si="7"/>
        <v>8.2464155388903837E-3</v>
      </c>
      <c r="E224">
        <f t="shared" si="6"/>
        <v>-0.12902975621105972</v>
      </c>
    </row>
    <row r="225" spans="1:5">
      <c r="A225" s="403">
        <v>43912</v>
      </c>
      <c r="B225" s="386">
        <v>7736.2</v>
      </c>
      <c r="C225">
        <v>696.06</v>
      </c>
      <c r="D225">
        <f t="shared" si="7"/>
        <v>-1.9260845673707006E-2</v>
      </c>
      <c r="E225">
        <f t="shared" si="6"/>
        <v>-2.3626221066713748E-2</v>
      </c>
    </row>
    <row r="226" spans="1:5">
      <c r="A226" s="403">
        <v>43905</v>
      </c>
      <c r="B226" s="386">
        <v>7923.4</v>
      </c>
      <c r="C226">
        <v>709.73</v>
      </c>
      <c r="D226">
        <f t="shared" si="7"/>
        <v>-6.8326813515713125E-2</v>
      </c>
      <c r="E226">
        <f t="shared" si="6"/>
        <v>-0.14954865993323829</v>
      </c>
    </row>
    <row r="227" spans="1:5">
      <c r="A227" s="403">
        <v>43898</v>
      </c>
      <c r="B227" s="386">
        <v>9316.7000000000007</v>
      </c>
      <c r="C227">
        <v>761.78</v>
      </c>
      <c r="D227">
        <f t="shared" si="7"/>
        <v>-0.14545005833258551</v>
      </c>
      <c r="E227">
        <f t="shared" si="6"/>
        <v>2.2375455846126435E-3</v>
      </c>
    </row>
    <row r="228" spans="1:5">
      <c r="A228" s="403">
        <v>43891</v>
      </c>
      <c r="B228" s="386">
        <v>9295.9</v>
      </c>
      <c r="C228">
        <v>891.44</v>
      </c>
      <c r="D228">
        <f t="shared" si="7"/>
        <v>1.0485269613121906E-2</v>
      </c>
      <c r="E228">
        <f t="shared" si="6"/>
        <v>-5.096425763902368E-2</v>
      </c>
    </row>
    <row r="229" spans="1:5">
      <c r="A229" s="403">
        <v>43884</v>
      </c>
      <c r="B229" s="386">
        <v>9795.1</v>
      </c>
      <c r="C229">
        <v>882.19</v>
      </c>
      <c r="D229">
        <f t="shared" si="7"/>
        <v>-5.4549936233375118E-2</v>
      </c>
      <c r="E229">
        <f t="shared" si="6"/>
        <v>-6.3201249822467664E-3</v>
      </c>
    </row>
    <row r="230" spans="1:5">
      <c r="A230" s="403">
        <v>43877</v>
      </c>
      <c r="B230" s="386">
        <v>9857.4</v>
      </c>
      <c r="C230">
        <v>933.09</v>
      </c>
      <c r="D230">
        <f t="shared" si="7"/>
        <v>-4.6509147154515373E-3</v>
      </c>
      <c r="E230">
        <f t="shared" si="6"/>
        <v>-2.6698789470566142E-2</v>
      </c>
    </row>
    <row r="231" spans="1:5">
      <c r="A231" s="403">
        <v>43870</v>
      </c>
      <c r="B231" s="386">
        <v>10127.799999999999</v>
      </c>
      <c r="C231">
        <v>937.45</v>
      </c>
      <c r="D231">
        <f t="shared" si="7"/>
        <v>-3.5078394897687382E-3</v>
      </c>
      <c r="E231">
        <f t="shared" si="6"/>
        <v>1.0375306769887738E-2</v>
      </c>
    </row>
    <row r="232" spans="1:5">
      <c r="A232" s="403">
        <v>43863</v>
      </c>
      <c r="B232" s="386">
        <v>10023.799999999999</v>
      </c>
      <c r="C232">
        <v>940.75</v>
      </c>
      <c r="D232">
        <f t="shared" si="7"/>
        <v>4.4094723580534456E-3</v>
      </c>
      <c r="E232">
        <f t="shared" si="6"/>
        <v>-8.3647200789848997E-2</v>
      </c>
    </row>
    <row r="233" spans="1:5">
      <c r="A233" s="403">
        <v>43856</v>
      </c>
      <c r="B233" s="386">
        <v>10938.8</v>
      </c>
      <c r="C233">
        <v>936.62</v>
      </c>
      <c r="D233">
        <f t="shared" si="7"/>
        <v>-5.5312367619470337E-2</v>
      </c>
      <c r="E233">
        <f t="shared" si="6"/>
        <v>5.1999884594300827E-2</v>
      </c>
    </row>
    <row r="234" spans="1:5">
      <c r="A234" s="403">
        <v>43849</v>
      </c>
      <c r="B234" s="386">
        <v>10398.1</v>
      </c>
      <c r="C234">
        <v>991.46</v>
      </c>
      <c r="D234">
        <f t="shared" si="7"/>
        <v>1.2768652447495255E-2</v>
      </c>
      <c r="E234">
        <f t="shared" si="6"/>
        <v>3.3053827965108251E-2</v>
      </c>
    </row>
    <row r="235" spans="1:5">
      <c r="A235" s="403">
        <v>43842</v>
      </c>
      <c r="B235" s="386">
        <v>10065.4</v>
      </c>
      <c r="C235">
        <v>978.96</v>
      </c>
      <c r="D235">
        <f t="shared" si="7"/>
        <v>1.0758461189006141E-2</v>
      </c>
      <c r="E235">
        <f t="shared" si="6"/>
        <v>2.0707643908168816E-3</v>
      </c>
    </row>
    <row r="236" spans="1:5">
      <c r="A236" s="403">
        <v>43835</v>
      </c>
      <c r="B236" s="386">
        <v>10044.6</v>
      </c>
      <c r="C236">
        <v>968.54</v>
      </c>
      <c r="D236">
        <f t="shared" si="7"/>
        <v>3.5228049816606877E-3</v>
      </c>
      <c r="E236">
        <f t="shared" si="6"/>
        <v>2.5471919633285989E-2</v>
      </c>
    </row>
    <row r="237" spans="1:5">
      <c r="A237" s="403">
        <v>43828</v>
      </c>
      <c r="B237" s="386">
        <v>9795.1</v>
      </c>
      <c r="C237">
        <v>965.14</v>
      </c>
      <c r="D237">
        <f t="shared" si="7"/>
        <v>1.6917312741953072E-3</v>
      </c>
      <c r="E237">
        <f t="shared" si="6"/>
        <v>2.3917292997292616E-2</v>
      </c>
    </row>
    <row r="238" spans="1:5">
      <c r="A238" s="403">
        <v>43821</v>
      </c>
      <c r="B238" s="386">
        <v>9566.2999999999993</v>
      </c>
      <c r="C238">
        <v>963.51</v>
      </c>
      <c r="D238">
        <f t="shared" si="7"/>
        <v>7.4235944835374656E-3</v>
      </c>
      <c r="E238">
        <f t="shared" si="6"/>
        <v>-3.3609455500555718E-2</v>
      </c>
    </row>
    <row r="239" spans="1:5">
      <c r="A239" s="403">
        <v>43814</v>
      </c>
      <c r="B239" s="386">
        <v>9899</v>
      </c>
      <c r="C239">
        <v>956.41</v>
      </c>
      <c r="D239">
        <f t="shared" si="7"/>
        <v>-1.0111987414353374E-2</v>
      </c>
      <c r="E239">
        <f t="shared" si="6"/>
        <v>-2.0968164680739143E-3</v>
      </c>
    </row>
    <row r="240" spans="1:5">
      <c r="A240" s="403">
        <v>43807</v>
      </c>
      <c r="B240" s="386">
        <v>9919.7999999999993</v>
      </c>
      <c r="C240">
        <v>966.18</v>
      </c>
      <c r="D240">
        <f t="shared" si="7"/>
        <v>2.7190833990617946E-3</v>
      </c>
      <c r="E240">
        <f t="shared" si="6"/>
        <v>4.3760982333568288E-2</v>
      </c>
    </row>
    <row r="241" spans="1:5">
      <c r="A241" s="403">
        <v>43800</v>
      </c>
      <c r="B241" s="386">
        <v>9503.9</v>
      </c>
      <c r="C241">
        <v>963.56</v>
      </c>
      <c r="D241">
        <f t="shared" si="7"/>
        <v>-7.4066443471543231E-3</v>
      </c>
      <c r="E241">
        <f t="shared" si="6"/>
        <v>3.3931679721497021E-2</v>
      </c>
    </row>
    <row r="242" spans="1:5">
      <c r="A242" s="403">
        <v>43793</v>
      </c>
      <c r="B242" s="386">
        <v>9192</v>
      </c>
      <c r="C242">
        <v>970.75</v>
      </c>
      <c r="D242">
        <f t="shared" si="7"/>
        <v>-7.1897563869173231E-3</v>
      </c>
      <c r="E242">
        <f t="shared" si="6"/>
        <v>-2.4276327661426511E-2</v>
      </c>
    </row>
    <row r="243" spans="1:5">
      <c r="A243" s="403">
        <v>43786</v>
      </c>
      <c r="B243" s="386">
        <v>9420.7000000000007</v>
      </c>
      <c r="C243">
        <v>977.78</v>
      </c>
      <c r="D243">
        <f t="shared" si="7"/>
        <v>-3.1929744661049697E-2</v>
      </c>
      <c r="E243">
        <f t="shared" si="6"/>
        <v>-2.2030397712227145E-3</v>
      </c>
    </row>
    <row r="244" spans="1:5">
      <c r="A244" s="403">
        <v>43779</v>
      </c>
      <c r="B244" s="386">
        <v>9441.5</v>
      </c>
      <c r="C244" s="386">
        <v>1010.03</v>
      </c>
      <c r="D244">
        <f t="shared" si="7"/>
        <v>-1.2185938248784889E-2</v>
      </c>
      <c r="E244">
        <f t="shared" si="6"/>
        <v>3.6525118566660852E-2</v>
      </c>
    </row>
    <row r="245" spans="1:5">
      <c r="A245" s="403">
        <v>43772</v>
      </c>
      <c r="B245" s="386">
        <v>9108.7999999999993</v>
      </c>
      <c r="C245" s="386">
        <v>1022.49</v>
      </c>
      <c r="D245">
        <f t="shared" si="7"/>
        <v>6.7940802883053042E-3</v>
      </c>
      <c r="E245">
        <f t="shared" si="6"/>
        <v>4.5879654137990222E-3</v>
      </c>
    </row>
    <row r="246" spans="1:5">
      <c r="A246" s="403">
        <v>43765</v>
      </c>
      <c r="B246" s="386">
        <v>9067.2000000000007</v>
      </c>
      <c r="C246" s="386">
        <v>1015.59</v>
      </c>
      <c r="D246">
        <f t="shared" si="7"/>
        <v>1.9085463138565295E-2</v>
      </c>
      <c r="E246">
        <f t="shared" si="6"/>
        <v>1.8694948768650077E-2</v>
      </c>
    </row>
    <row r="247" spans="1:5">
      <c r="A247" s="403">
        <v>43758</v>
      </c>
      <c r="B247" s="386">
        <v>8900.7999999999993</v>
      </c>
      <c r="C247">
        <v>996.57</v>
      </c>
      <c r="D247">
        <f t="shared" si="7"/>
        <v>7.4504650222402269E-3</v>
      </c>
      <c r="E247">
        <f t="shared" si="6"/>
        <v>-4.651994990159336E-3</v>
      </c>
    </row>
    <row r="248" spans="1:5">
      <c r="A248" s="403">
        <v>43751</v>
      </c>
      <c r="B248" s="386">
        <v>8942.4</v>
      </c>
      <c r="C248">
        <v>989.2</v>
      </c>
      <c r="D248">
        <f t="shared" si="7"/>
        <v>-2.6617196321987446E-3</v>
      </c>
      <c r="E248">
        <f t="shared" si="6"/>
        <v>7.0270270270269553E-3</v>
      </c>
    </row>
    <row r="249" spans="1:5">
      <c r="A249" s="403">
        <v>43744</v>
      </c>
      <c r="B249" s="386">
        <v>8880</v>
      </c>
      <c r="C249">
        <v>991.84</v>
      </c>
      <c r="D249">
        <f t="shared" si="7"/>
        <v>4.3034052592674232E-3</v>
      </c>
      <c r="E249">
        <f t="shared" si="6"/>
        <v>-3.6123654046543829E-2</v>
      </c>
    </row>
    <row r="250" spans="1:5">
      <c r="A250" s="403">
        <v>43737</v>
      </c>
      <c r="B250" s="386">
        <v>9212.7999999999993</v>
      </c>
      <c r="C250">
        <v>987.59</v>
      </c>
      <c r="D250">
        <f t="shared" si="7"/>
        <v>-1.0272187925919996E-2</v>
      </c>
      <c r="E250">
        <f t="shared" si="6"/>
        <v>-2.2068423790164382E-2</v>
      </c>
    </row>
    <row r="251" spans="1:5">
      <c r="A251" s="403">
        <v>43730</v>
      </c>
      <c r="B251" s="386">
        <v>9420.7000000000007</v>
      </c>
      <c r="C251">
        <v>997.84</v>
      </c>
      <c r="D251">
        <f t="shared" si="7"/>
        <v>7.5528090795267122E-3</v>
      </c>
      <c r="E251">
        <f t="shared" si="6"/>
        <v>2.2127894977608253E-3</v>
      </c>
    </row>
    <row r="252" spans="1:5">
      <c r="A252" s="403">
        <v>43723</v>
      </c>
      <c r="B252" s="386">
        <v>9399.9</v>
      </c>
      <c r="C252">
        <v>990.36</v>
      </c>
      <c r="D252">
        <f t="shared" si="7"/>
        <v>3.1806486902614672E-3</v>
      </c>
      <c r="E252">
        <f t="shared" si="6"/>
        <v>5.6073611360776709E-2</v>
      </c>
    </row>
    <row r="253" spans="1:5">
      <c r="A253" s="403">
        <v>43716</v>
      </c>
      <c r="B253" s="386">
        <v>8900.7999999999993</v>
      </c>
      <c r="C253">
        <v>987.22</v>
      </c>
      <c r="D253">
        <f t="shared" si="7"/>
        <v>1.3489651773981537E-2</v>
      </c>
      <c r="E253">
        <f t="shared" si="6"/>
        <v>-3.6042280367354129E-2</v>
      </c>
    </row>
    <row r="254" spans="1:5">
      <c r="A254" s="403">
        <v>43709</v>
      </c>
      <c r="B254" s="386">
        <v>9233.6</v>
      </c>
      <c r="C254">
        <v>974.08</v>
      </c>
      <c r="D254">
        <f t="shared" si="7"/>
        <v>-1.0141658028981926E-2</v>
      </c>
      <c r="E254">
        <f t="shared" si="6"/>
        <v>-5.1280734020364371E-2</v>
      </c>
    </row>
    <row r="255" spans="1:5">
      <c r="A255" s="403">
        <v>43702</v>
      </c>
      <c r="B255" s="386">
        <v>9732.7000000000007</v>
      </c>
      <c r="C255">
        <v>984.06</v>
      </c>
      <c r="D255">
        <f t="shared" si="7"/>
        <v>-8.453826389238861E-3</v>
      </c>
      <c r="E255">
        <f t="shared" si="6"/>
        <v>1.5187074297754233E-2</v>
      </c>
    </row>
    <row r="256" spans="1:5">
      <c r="A256" s="403">
        <v>43695</v>
      </c>
      <c r="B256" s="386">
        <v>9587.1</v>
      </c>
      <c r="C256">
        <v>992.45</v>
      </c>
      <c r="D256">
        <f t="shared" si="7"/>
        <v>1.270408163265313E-2</v>
      </c>
      <c r="E256">
        <f t="shared" si="6"/>
        <v>-2.1648851465980723E-3</v>
      </c>
    </row>
    <row r="257" spans="1:5">
      <c r="A257" s="403">
        <v>43688</v>
      </c>
      <c r="B257" s="386">
        <v>9607.9</v>
      </c>
      <c r="C257">
        <v>980</v>
      </c>
      <c r="D257">
        <f t="shared" si="7"/>
        <v>5.8090604922305111E-3</v>
      </c>
      <c r="E257">
        <f t="shared" si="6"/>
        <v>2.8958500669344023E-2</v>
      </c>
    </row>
    <row r="258" spans="1:5">
      <c r="A258" s="403">
        <v>43681</v>
      </c>
      <c r="B258" s="386">
        <v>9337.5</v>
      </c>
      <c r="C258">
        <v>974.34</v>
      </c>
      <c r="D258">
        <f t="shared" si="7"/>
        <v>-1.6910503480980665E-2</v>
      </c>
      <c r="E258">
        <f t="shared" ref="E258:E287" si="8">IFERROR(B258/B259-1,"")</f>
        <v>-4.4353935878709283E-3</v>
      </c>
    </row>
    <row r="259" spans="1:5">
      <c r="A259" s="403">
        <v>43674</v>
      </c>
      <c r="B259" s="386">
        <v>9379.1</v>
      </c>
      <c r="C259">
        <v>991.1</v>
      </c>
      <c r="D259">
        <f t="shared" ref="D259:D287" si="9">IFERROR(C259/C260-1,"")</f>
        <v>-2.2650626667337637E-3</v>
      </c>
      <c r="E259">
        <f t="shared" si="8"/>
        <v>9.4653423746221543E-2</v>
      </c>
    </row>
    <row r="260" spans="1:5">
      <c r="A260" s="403">
        <v>43667</v>
      </c>
      <c r="B260" s="386">
        <v>8568.1</v>
      </c>
      <c r="C260">
        <v>993.35</v>
      </c>
      <c r="D260">
        <f t="shared" si="9"/>
        <v>1.1207932080542271E-2</v>
      </c>
      <c r="E260">
        <f t="shared" si="8"/>
        <v>-5.9360179167398441E-2</v>
      </c>
    </row>
    <row r="261" spans="1:5">
      <c r="A261" s="403">
        <v>43660</v>
      </c>
      <c r="B261" s="386">
        <v>9108.7999999999993</v>
      </c>
      <c r="C261">
        <v>982.34</v>
      </c>
      <c r="D261">
        <f t="shared" si="9"/>
        <v>7.1150297313922195E-3</v>
      </c>
      <c r="E261">
        <f t="shared" si="8"/>
        <v>-1.7929725825058584E-2</v>
      </c>
    </row>
    <row r="262" spans="1:5">
      <c r="A262" s="403">
        <v>43653</v>
      </c>
      <c r="B262" s="386">
        <v>9275.1</v>
      </c>
      <c r="C262">
        <v>975.4</v>
      </c>
      <c r="D262">
        <f t="shared" si="9"/>
        <v>6.151700945311589E-5</v>
      </c>
      <c r="E262">
        <f t="shared" si="8"/>
        <v>-5.1072711089285017E-2</v>
      </c>
    </row>
    <row r="263" spans="1:5">
      <c r="A263" s="403">
        <v>43646</v>
      </c>
      <c r="B263" s="386">
        <v>9774.2999999999993</v>
      </c>
      <c r="C263">
        <v>975.34</v>
      </c>
      <c r="D263">
        <f t="shared" si="9"/>
        <v>2.6738530854580222E-2</v>
      </c>
      <c r="E263">
        <f t="shared" si="8"/>
        <v>-8.4302148639601171E-3</v>
      </c>
    </row>
    <row r="264" spans="1:5">
      <c r="A264" s="403">
        <v>43639</v>
      </c>
      <c r="B264" s="386">
        <v>9857.4</v>
      </c>
      <c r="C264">
        <v>949.94</v>
      </c>
      <c r="D264">
        <f t="shared" si="9"/>
        <v>-9.6538782318599248E-3</v>
      </c>
      <c r="E264">
        <f t="shared" si="8"/>
        <v>3.2675082499607155E-2</v>
      </c>
    </row>
    <row r="265" spans="1:5">
      <c r="A265" s="403">
        <v>43632</v>
      </c>
      <c r="B265" s="386">
        <v>9545.5</v>
      </c>
      <c r="C265">
        <v>959.2</v>
      </c>
      <c r="D265">
        <f t="shared" si="9"/>
        <v>5.8619351726596491E-3</v>
      </c>
      <c r="E265">
        <f t="shared" si="8"/>
        <v>0</v>
      </c>
    </row>
    <row r="266" spans="1:5">
      <c r="A266" s="403">
        <v>43625</v>
      </c>
      <c r="B266" s="386">
        <v>9545.5</v>
      </c>
      <c r="C266">
        <v>953.61</v>
      </c>
      <c r="D266">
        <f t="shared" si="9"/>
        <v>-4.873314688817465E-3</v>
      </c>
      <c r="E266">
        <f t="shared" si="8"/>
        <v>-7.0563377538898964E-2</v>
      </c>
    </row>
    <row r="267" spans="1:5">
      <c r="A267" s="403">
        <v>43618</v>
      </c>
      <c r="B267" s="386">
        <v>10270.200000000001</v>
      </c>
      <c r="C267">
        <v>958.28</v>
      </c>
      <c r="D267">
        <f t="shared" si="9"/>
        <v>-1.6668750260449006E-3</v>
      </c>
      <c r="E267">
        <f t="shared" si="8"/>
        <v>-1.555482102234107E-3</v>
      </c>
    </row>
    <row r="268" spans="1:5">
      <c r="A268" s="403">
        <v>43611</v>
      </c>
      <c r="B268" s="386">
        <v>10286.200000000001</v>
      </c>
      <c r="C268">
        <v>959.88</v>
      </c>
      <c r="D268">
        <f t="shared" si="9"/>
        <v>-1.0463593909466717E-2</v>
      </c>
      <c r="E268">
        <f t="shared" si="8"/>
        <v>-3.1013161210288187E-3</v>
      </c>
    </row>
    <row r="269" spans="1:5">
      <c r="A269" s="403">
        <v>43604</v>
      </c>
      <c r="B269" s="386">
        <v>10318.200000000001</v>
      </c>
      <c r="C269">
        <v>970.03</v>
      </c>
      <c r="D269">
        <f t="shared" si="9"/>
        <v>-6.6053580206456575E-3</v>
      </c>
      <c r="E269">
        <f t="shared" si="8"/>
        <v>-1.8258627415533635E-2</v>
      </c>
    </row>
    <row r="270" spans="1:5">
      <c r="A270" s="403">
        <v>43597</v>
      </c>
      <c r="B270" s="386">
        <v>10510.1</v>
      </c>
      <c r="C270">
        <v>976.48</v>
      </c>
      <c r="D270">
        <f t="shared" si="9"/>
        <v>2.5122040837751269E-2</v>
      </c>
      <c r="E270">
        <f t="shared" si="8"/>
        <v>-3.8073969668957819E-2</v>
      </c>
    </row>
    <row r="271" spans="1:5">
      <c r="A271" s="403">
        <v>43590</v>
      </c>
      <c r="B271" s="386">
        <v>10926.1</v>
      </c>
      <c r="C271">
        <v>952.55</v>
      </c>
      <c r="D271">
        <f t="shared" si="9"/>
        <v>-2.2163138768554913E-2</v>
      </c>
      <c r="E271">
        <f t="shared" si="8"/>
        <v>1.6371940726132683E-2</v>
      </c>
    </row>
    <row r="272" spans="1:5">
      <c r="A272" s="403">
        <v>43583</v>
      </c>
      <c r="B272" s="386">
        <v>10750.1</v>
      </c>
      <c r="C272">
        <v>974.14</v>
      </c>
      <c r="D272">
        <f t="shared" si="9"/>
        <v>-5.6143072965578744E-3</v>
      </c>
      <c r="E272">
        <f t="shared" si="8"/>
        <v>6.3292516468516968E-2</v>
      </c>
    </row>
    <row r="273" spans="1:5">
      <c r="A273" s="403">
        <v>43576</v>
      </c>
      <c r="B273" s="386">
        <v>10110.200000000001</v>
      </c>
      <c r="C273">
        <v>979.64</v>
      </c>
      <c r="D273">
        <f t="shared" si="9"/>
        <v>1.3899669844029683E-2</v>
      </c>
      <c r="E273">
        <f t="shared" si="8"/>
        <v>-1.4043026272161696E-2</v>
      </c>
    </row>
    <row r="274" spans="1:5">
      <c r="A274" s="403">
        <v>43569</v>
      </c>
      <c r="B274" s="386">
        <v>10254.200000000001</v>
      </c>
      <c r="C274">
        <v>966.21</v>
      </c>
      <c r="D274">
        <f t="shared" si="9"/>
        <v>-1.6980364228303957E-2</v>
      </c>
      <c r="E274">
        <f t="shared" si="8"/>
        <v>-1.3839066752579732E-2</v>
      </c>
    </row>
    <row r="275" spans="1:5">
      <c r="A275" s="403">
        <v>43562</v>
      </c>
      <c r="B275" s="386">
        <v>10398.1</v>
      </c>
      <c r="C275">
        <v>982.9</v>
      </c>
      <c r="D275">
        <f t="shared" si="9"/>
        <v>-6.4290479752542318E-3</v>
      </c>
      <c r="E275">
        <f t="shared" si="8"/>
        <v>9.3086913474791366E-3</v>
      </c>
    </row>
    <row r="276" spans="1:5">
      <c r="A276" s="403">
        <v>43555</v>
      </c>
      <c r="B276" s="386">
        <v>10302.200000000001</v>
      </c>
      <c r="C276">
        <v>989.26</v>
      </c>
      <c r="D276">
        <f t="shared" si="9"/>
        <v>8.6667482360618386E-3</v>
      </c>
      <c r="E276">
        <f t="shared" si="8"/>
        <v>7.8261039697913315E-3</v>
      </c>
    </row>
    <row r="277" spans="1:5">
      <c r="A277" s="403">
        <v>43548</v>
      </c>
      <c r="B277" s="386">
        <v>10222.200000000001</v>
      </c>
      <c r="C277">
        <v>980.76</v>
      </c>
      <c r="D277">
        <f t="shared" si="9"/>
        <v>-8.040780410838444E-3</v>
      </c>
      <c r="E277">
        <f t="shared" si="8"/>
        <v>1.5676745507633427E-3</v>
      </c>
    </row>
    <row r="278" spans="1:5">
      <c r="A278" s="403">
        <v>43541</v>
      </c>
      <c r="B278" s="386">
        <v>10206.200000000001</v>
      </c>
      <c r="C278">
        <v>988.71</v>
      </c>
      <c r="D278">
        <f t="shared" si="9"/>
        <v>-1.5346771302234719E-2</v>
      </c>
      <c r="E278">
        <f t="shared" si="8"/>
        <v>-0.14580316865160725</v>
      </c>
    </row>
    <row r="279" spans="1:5">
      <c r="A279" s="403">
        <v>43534</v>
      </c>
      <c r="B279" s="386">
        <v>11948.3</v>
      </c>
      <c r="C279" s="386">
        <v>1004.12</v>
      </c>
      <c r="D279">
        <f t="shared" si="9"/>
        <v>1.9152499365643338E-2</v>
      </c>
      <c r="E279">
        <f t="shared" si="8"/>
        <v>-8.7606500800571085E-3</v>
      </c>
    </row>
    <row r="280" spans="1:5">
      <c r="A280" s="403">
        <v>43527</v>
      </c>
      <c r="B280" s="386">
        <v>12053.9</v>
      </c>
      <c r="C280">
        <v>985.25</v>
      </c>
      <c r="D280">
        <f t="shared" si="9"/>
        <v>5.7368598348355171E-3</v>
      </c>
      <c r="E280">
        <f t="shared" si="8"/>
        <v>1.0326301055260778E-2</v>
      </c>
    </row>
    <row r="281" spans="1:5">
      <c r="A281" s="403">
        <v>43520</v>
      </c>
      <c r="B281" s="386">
        <v>11930.7</v>
      </c>
      <c r="C281">
        <v>979.63</v>
      </c>
      <c r="D281">
        <f t="shared" si="9"/>
        <v>-9.3840693288570476E-3</v>
      </c>
      <c r="E281">
        <f t="shared" si="8"/>
        <v>7.2788907671833991E-2</v>
      </c>
    </row>
    <row r="282" spans="1:5">
      <c r="A282" s="403">
        <v>43513</v>
      </c>
      <c r="B282" s="386">
        <v>11121.2</v>
      </c>
      <c r="C282">
        <v>988.91</v>
      </c>
      <c r="D282">
        <f t="shared" si="9"/>
        <v>3.9983594316903126E-2</v>
      </c>
      <c r="E282">
        <f t="shared" si="8"/>
        <v>0.15750580251667912</v>
      </c>
    </row>
    <row r="283" spans="1:5">
      <c r="A283" s="403">
        <v>43506</v>
      </c>
      <c r="B283" s="386">
        <v>9607.9</v>
      </c>
      <c r="C283">
        <v>950.89</v>
      </c>
      <c r="D283">
        <f t="shared" si="9"/>
        <v>4.6463512606336854E-2</v>
      </c>
      <c r="E283">
        <f t="shared" si="8"/>
        <v>-8.0803635493901016E-2</v>
      </c>
    </row>
    <row r="284" spans="1:5">
      <c r="A284" s="403">
        <v>43492</v>
      </c>
      <c r="B284" s="386">
        <v>10452.5</v>
      </c>
      <c r="C284">
        <v>908.67</v>
      </c>
      <c r="D284">
        <f t="shared" si="9"/>
        <v>-2.310536044363154E-4</v>
      </c>
      <c r="E284">
        <f t="shared" si="8"/>
        <v>1.7116556059397103E-2</v>
      </c>
    </row>
    <row r="285" spans="1:5">
      <c r="A285" s="403">
        <v>43485</v>
      </c>
      <c r="B285" s="386">
        <v>10276.6</v>
      </c>
      <c r="C285">
        <v>908.88</v>
      </c>
      <c r="D285">
        <f t="shared" si="9"/>
        <v>7.2924747866562889E-3</v>
      </c>
      <c r="E285">
        <f t="shared" si="8"/>
        <v>-5.1116231339670692E-3</v>
      </c>
    </row>
    <row r="286" spans="1:5">
      <c r="A286" s="403">
        <v>43478</v>
      </c>
      <c r="B286" s="386">
        <v>10329.4</v>
      </c>
      <c r="C286">
        <v>902.3</v>
      </c>
      <c r="D286">
        <f t="shared" si="9"/>
        <v>-4.541879451873676E-4</v>
      </c>
      <c r="E286" t="str">
        <f t="shared" si="8"/>
        <v/>
      </c>
    </row>
    <row r="287" spans="1:5">
      <c r="A287" s="403">
        <v>43471</v>
      </c>
      <c r="C287">
        <v>902.71</v>
      </c>
      <c r="D287" t="str">
        <f t="shared" si="9"/>
        <v/>
      </c>
      <c r="E287" t="str">
        <f t="shared" si="8"/>
        <v/>
      </c>
    </row>
  </sheetData>
  <mergeCells count="1">
    <mergeCell ref="Q7:R7"/>
  </mergeCells>
  <pageMargins left="0.7" right="0.7" top="0.75" bottom="0.75" header="0.3" footer="0.3"/>
  <drawing r:id="rId1"/>
  <legacy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I27"/>
  <sheetViews>
    <sheetView zoomScale="74" workbookViewId="0">
      <selection activeCell="C15" sqref="C15"/>
    </sheetView>
  </sheetViews>
  <sheetFormatPr defaultColWidth="14.42578125" defaultRowHeight="15" customHeight="1"/>
  <cols>
    <col min="1" max="1" width="33.42578125" customWidth="1"/>
    <col min="2" max="9" width="23.85546875" customWidth="1"/>
  </cols>
  <sheetData>
    <row r="1" spans="1:9">
      <c r="A1" s="9" t="s">
        <v>170</v>
      </c>
      <c r="B1" s="11">
        <v>2021</v>
      </c>
      <c r="C1" s="11">
        <v>2022</v>
      </c>
      <c r="D1" s="11">
        <v>2023</v>
      </c>
      <c r="E1" s="12">
        <v>2024</v>
      </c>
      <c r="F1" s="12">
        <v>2025</v>
      </c>
      <c r="G1" s="12">
        <v>2026</v>
      </c>
      <c r="H1" s="12">
        <v>2027</v>
      </c>
      <c r="I1" s="12">
        <v>2028</v>
      </c>
    </row>
    <row r="2" spans="1:9">
      <c r="A2" s="4" t="s">
        <v>171</v>
      </c>
      <c r="C2" s="10">
        <v>69280841784004</v>
      </c>
      <c r="D2" s="10">
        <v>70832915657865</v>
      </c>
      <c r="E2" s="10">
        <f>D4</f>
        <v>71998370737871</v>
      </c>
      <c r="F2" s="10">
        <f t="shared" ref="F2:I2" si="0">E4</f>
        <v>83117968806638.078</v>
      </c>
      <c r="G2" s="10">
        <f t="shared" si="0"/>
        <v>108736500572883.8</v>
      </c>
      <c r="H2" s="10">
        <f t="shared" si="0"/>
        <v>109400632703274.81</v>
      </c>
      <c r="I2" s="10">
        <f t="shared" si="0"/>
        <v>109110365197811.14</v>
      </c>
    </row>
    <row r="3" spans="1:9">
      <c r="A3" s="4" t="s">
        <v>172</v>
      </c>
      <c r="B3" s="6">
        <v>6076516295417</v>
      </c>
      <c r="C3" s="6">
        <v>6759462100582</v>
      </c>
      <c r="D3" s="6">
        <v>6761933539397</v>
      </c>
      <c r="E3" s="6">
        <f t="shared" ref="E3:I3" si="1">E27</f>
        <v>6999864228155.917</v>
      </c>
      <c r="F3" s="6">
        <f t="shared" si="1"/>
        <v>9834263864010.6113</v>
      </c>
      <c r="G3" s="6">
        <f t="shared" si="1"/>
        <v>10788663499865.307</v>
      </c>
      <c r="H3" s="6">
        <f t="shared" si="1"/>
        <v>11743063135720.002</v>
      </c>
      <c r="I3" s="6">
        <f t="shared" si="1"/>
        <v>12697462771574.697</v>
      </c>
    </row>
    <row r="4" spans="1:9">
      <c r="A4" s="4" t="s">
        <v>173</v>
      </c>
      <c r="B4" s="10">
        <v>69280841784004</v>
      </c>
      <c r="C4" s="10">
        <v>70832915657865</v>
      </c>
      <c r="D4" s="10">
        <v>71998370737871</v>
      </c>
      <c r="E4" s="10">
        <f>E2+E5-E3</f>
        <v>83117968806638.078</v>
      </c>
      <c r="F4" s="10">
        <f t="shared" ref="F4:I4" si="2">F2+F5-F3</f>
        <v>108736500572883.8</v>
      </c>
      <c r="G4" s="10">
        <f t="shared" si="2"/>
        <v>109400632703274.81</v>
      </c>
      <c r="H4" s="10">
        <f t="shared" si="2"/>
        <v>109110365197811.14</v>
      </c>
      <c r="I4" s="10">
        <f t="shared" si="2"/>
        <v>107865698056492.77</v>
      </c>
    </row>
    <row r="5" spans="1:9">
      <c r="A5" s="4" t="s">
        <v>174</v>
      </c>
      <c r="C5" s="10">
        <f t="shared" ref="C5:D5" si="3">C4-C2+C3</f>
        <v>8311535974443</v>
      </c>
      <c r="D5" s="10">
        <f t="shared" si="3"/>
        <v>7927388619403</v>
      </c>
      <c r="E5" s="10">
        <f>AVERAGE(C5:D5)+10000000000000</f>
        <v>18119462296923</v>
      </c>
      <c r="F5" s="10">
        <f>AVERAGE(C5:E5)+E15-B13-20000000000000</f>
        <v>35452795630256.328</v>
      </c>
      <c r="G5" s="10">
        <f>AVERAGE(C5:E5)</f>
        <v>11452795630256.334</v>
      </c>
      <c r="H5" s="10">
        <f>AVERAGE(C5:E5)</f>
        <v>11452795630256.334</v>
      </c>
      <c r="I5" s="10">
        <f>AVERAGE(G5:H5)</f>
        <v>11452795630256.334</v>
      </c>
    </row>
    <row r="8" spans="1:9">
      <c r="A8" s="13" t="s">
        <v>175</v>
      </c>
      <c r="B8" s="4">
        <v>50</v>
      </c>
    </row>
    <row r="9" spans="1:9">
      <c r="A9" s="13" t="s">
        <v>176</v>
      </c>
      <c r="B9" s="4">
        <v>12</v>
      </c>
    </row>
    <row r="10" spans="1:9">
      <c r="A10" s="9"/>
    </row>
    <row r="11" spans="1:9">
      <c r="A11" s="9" t="s">
        <v>177</v>
      </c>
    </row>
    <row r="12" spans="1:9">
      <c r="A12" s="14" t="s">
        <v>178</v>
      </c>
      <c r="B12" s="15" t="s">
        <v>179</v>
      </c>
      <c r="C12" s="15" t="s">
        <v>180</v>
      </c>
      <c r="D12" s="15" t="s">
        <v>181</v>
      </c>
      <c r="E12" s="15" t="s">
        <v>182</v>
      </c>
      <c r="F12" s="12"/>
      <c r="G12" s="12"/>
      <c r="H12" s="12"/>
      <c r="I12" s="12"/>
    </row>
    <row r="13" spans="1:9">
      <c r="A13" s="16" t="s">
        <v>183</v>
      </c>
      <c r="B13" s="17">
        <v>26000000000000</v>
      </c>
      <c r="C13" s="17">
        <f t="shared" ref="C13:E13" si="4">B15</f>
        <v>35000000000000</v>
      </c>
      <c r="D13" s="17">
        <f t="shared" si="4"/>
        <v>35000000000000</v>
      </c>
      <c r="E13" s="17">
        <f t="shared" si="4"/>
        <v>35000000000000</v>
      </c>
    </row>
    <row r="14" spans="1:9">
      <c r="A14" s="16" t="s">
        <v>184</v>
      </c>
      <c r="B14" s="17">
        <v>9000000000000</v>
      </c>
      <c r="C14" s="17">
        <v>0</v>
      </c>
      <c r="D14" s="17">
        <v>0</v>
      </c>
      <c r="E14" s="17">
        <v>35000000000000</v>
      </c>
    </row>
    <row r="15" spans="1:9">
      <c r="A15" s="16" t="s">
        <v>185</v>
      </c>
      <c r="B15" s="17">
        <f t="shared" ref="B15:E15" si="5">B14+B13</f>
        <v>35000000000000</v>
      </c>
      <c r="C15" s="17">
        <f t="shared" si="5"/>
        <v>35000000000000</v>
      </c>
      <c r="D15" s="17">
        <f t="shared" si="5"/>
        <v>35000000000000</v>
      </c>
      <c r="E15" s="17">
        <f t="shared" si="5"/>
        <v>70000000000000</v>
      </c>
    </row>
    <row r="16" spans="1:9">
      <c r="A16" s="18" t="s">
        <v>186</v>
      </c>
      <c r="B16" s="19">
        <f>4*B15/(4*B8)+E15/(4*(B8-1)+1)</f>
        <v>1055329949238.5786</v>
      </c>
    </row>
    <row r="17" spans="1:9">
      <c r="A17" s="18" t="s">
        <v>187</v>
      </c>
      <c r="B17" s="19">
        <f>E15/B8</f>
        <v>1400000000000</v>
      </c>
    </row>
    <row r="20" spans="1:9">
      <c r="A20" s="9" t="s">
        <v>188</v>
      </c>
      <c r="E20" s="12">
        <v>2024</v>
      </c>
      <c r="F20" s="12">
        <v>2025</v>
      </c>
      <c r="G20" s="12">
        <v>2026</v>
      </c>
      <c r="H20" s="12">
        <v>2027</v>
      </c>
      <c r="I20" s="12">
        <v>2028</v>
      </c>
    </row>
    <row r="21" spans="1:9">
      <c r="D21" s="4" t="s">
        <v>189</v>
      </c>
      <c r="E21" s="6">
        <f>(E2/B9)+1000000000000</f>
        <v>6999864228155.917</v>
      </c>
      <c r="F21" s="6">
        <f t="shared" ref="F21:I21" si="6">E21</f>
        <v>6999864228155.917</v>
      </c>
      <c r="G21" s="6">
        <f t="shared" si="6"/>
        <v>6999864228155.917</v>
      </c>
      <c r="H21" s="6">
        <f t="shared" si="6"/>
        <v>6999864228155.917</v>
      </c>
      <c r="I21" s="6">
        <f t="shared" si="6"/>
        <v>6999864228155.917</v>
      </c>
    </row>
    <row r="22" spans="1:9">
      <c r="E22" s="6"/>
      <c r="F22" s="6">
        <f>AVERAGE(C5:E5)/B9+1000000000000</f>
        <v>1954399635854.6943</v>
      </c>
      <c r="G22" s="6">
        <f t="shared" ref="G22:I22" si="7">F22</f>
        <v>1954399635854.6943</v>
      </c>
      <c r="H22" s="6">
        <f t="shared" si="7"/>
        <v>1954399635854.6943</v>
      </c>
      <c r="I22" s="6">
        <f t="shared" si="7"/>
        <v>1954399635854.6943</v>
      </c>
    </row>
    <row r="23" spans="1:9">
      <c r="D23" s="4" t="s">
        <v>190</v>
      </c>
      <c r="E23" s="6"/>
      <c r="F23" s="6">
        <f>(E15-B13)/B8</f>
        <v>880000000000</v>
      </c>
      <c r="G23" s="6">
        <f t="shared" ref="G23:I23" si="8">F23</f>
        <v>880000000000</v>
      </c>
      <c r="H23" s="6">
        <f t="shared" si="8"/>
        <v>880000000000</v>
      </c>
      <c r="I23" s="6">
        <f t="shared" si="8"/>
        <v>880000000000</v>
      </c>
    </row>
    <row r="24" spans="1:9">
      <c r="E24" s="6"/>
      <c r="F24" s="6"/>
      <c r="G24" s="6">
        <f>G5/B9</f>
        <v>954399635854.69446</v>
      </c>
      <c r="H24" s="6">
        <f t="shared" ref="H24:I24" si="9">G24</f>
        <v>954399635854.69446</v>
      </c>
      <c r="I24" s="6">
        <f t="shared" si="9"/>
        <v>954399635854.69446</v>
      </c>
    </row>
    <row r="25" spans="1:9">
      <c r="E25" s="6"/>
      <c r="F25" s="6"/>
      <c r="G25" s="6"/>
      <c r="H25" s="6">
        <f>H5/B9</f>
        <v>954399635854.69446</v>
      </c>
      <c r="I25" s="6">
        <f>H25</f>
        <v>954399635854.69446</v>
      </c>
    </row>
    <row r="26" spans="1:9">
      <c r="E26" s="6"/>
      <c r="F26" s="6"/>
      <c r="G26" s="6"/>
      <c r="H26" s="6"/>
      <c r="I26" s="6">
        <f>I5/B9</f>
        <v>954399635854.69446</v>
      </c>
    </row>
    <row r="27" spans="1:9">
      <c r="D27" s="9" t="s">
        <v>191</v>
      </c>
      <c r="E27" s="6">
        <f t="shared" ref="E27:I27" si="10">SUM(E21:E26)</f>
        <v>6999864228155.917</v>
      </c>
      <c r="F27" s="6">
        <f t="shared" si="10"/>
        <v>9834263864010.6113</v>
      </c>
      <c r="G27" s="6">
        <f t="shared" si="10"/>
        <v>10788663499865.307</v>
      </c>
      <c r="H27" s="6">
        <f t="shared" si="10"/>
        <v>11743063135720.002</v>
      </c>
      <c r="I27" s="6">
        <f t="shared" si="10"/>
        <v>12697462771574.697</v>
      </c>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V1013"/>
  <sheetViews>
    <sheetView workbookViewId="0">
      <selection activeCell="L12" sqref="L12"/>
    </sheetView>
  </sheetViews>
  <sheetFormatPr defaultColWidth="14.42578125" defaultRowHeight="15" customHeight="1"/>
  <cols>
    <col min="1" max="1" width="31.85546875" bestFit="1" customWidth="1"/>
    <col min="2" max="2" width="18.85546875" bestFit="1" customWidth="1"/>
    <col min="3" max="3" width="6.42578125" bestFit="1" customWidth="1"/>
    <col min="4" max="4" width="18.140625" bestFit="1" customWidth="1"/>
    <col min="5" max="5" width="20.5703125" bestFit="1" customWidth="1"/>
    <col min="6" max="7" width="28.5703125" bestFit="1" customWidth="1"/>
    <col min="8" max="13" width="26.5703125" bestFit="1" customWidth="1"/>
    <col min="14" max="16" width="20.5703125" bestFit="1" customWidth="1"/>
  </cols>
  <sheetData>
    <row r="1" spans="1:22">
      <c r="A1" s="135" t="s">
        <v>253</v>
      </c>
      <c r="B1" s="136" t="s">
        <v>254</v>
      </c>
      <c r="C1" s="136" t="s">
        <v>255</v>
      </c>
      <c r="D1" s="136" t="s">
        <v>256</v>
      </c>
      <c r="E1" s="136">
        <v>2023</v>
      </c>
      <c r="F1" s="137">
        <f t="shared" ref="F1:P1" si="0">E1+1</f>
        <v>2024</v>
      </c>
      <c r="G1" s="137">
        <f t="shared" si="0"/>
        <v>2025</v>
      </c>
      <c r="H1" s="137">
        <f t="shared" si="0"/>
        <v>2026</v>
      </c>
      <c r="I1" s="137">
        <f t="shared" si="0"/>
        <v>2027</v>
      </c>
      <c r="J1" s="137">
        <f t="shared" si="0"/>
        <v>2028</v>
      </c>
      <c r="K1" s="137">
        <f t="shared" si="0"/>
        <v>2029</v>
      </c>
      <c r="L1" s="137">
        <f t="shared" si="0"/>
        <v>2030</v>
      </c>
      <c r="M1" s="137">
        <f t="shared" si="0"/>
        <v>2031</v>
      </c>
      <c r="N1" s="137">
        <f t="shared" si="0"/>
        <v>2032</v>
      </c>
      <c r="O1" s="137">
        <f t="shared" si="0"/>
        <v>2033</v>
      </c>
      <c r="P1" s="138">
        <f t="shared" si="0"/>
        <v>2034</v>
      </c>
      <c r="Q1" s="139"/>
      <c r="R1" s="139"/>
      <c r="S1" s="139"/>
      <c r="T1" s="139"/>
      <c r="U1" s="139"/>
      <c r="V1" s="139"/>
    </row>
    <row r="2" spans="1:22">
      <c r="A2" s="140" t="s">
        <v>257</v>
      </c>
      <c r="B2" s="141">
        <v>3.5000000000000003E-2</v>
      </c>
      <c r="C2" s="142" t="s">
        <v>540</v>
      </c>
      <c r="D2" s="142" t="s">
        <v>540</v>
      </c>
      <c r="E2" s="142" t="s">
        <v>540</v>
      </c>
      <c r="F2" s="143"/>
      <c r="G2" s="144"/>
      <c r="H2" s="144"/>
      <c r="I2" s="144"/>
      <c r="J2" s="144"/>
      <c r="K2" s="144"/>
      <c r="L2" s="144"/>
      <c r="M2" s="144"/>
      <c r="N2" s="144"/>
      <c r="O2" s="144"/>
      <c r="P2" s="144"/>
      <c r="Q2" s="3"/>
      <c r="R2" s="139"/>
      <c r="S2" s="139"/>
      <c r="T2" s="139"/>
      <c r="U2" s="139"/>
      <c r="V2" s="139"/>
    </row>
    <row r="3" spans="1:22">
      <c r="A3" s="145" t="s">
        <v>258</v>
      </c>
      <c r="B3" s="146"/>
      <c r="C3" s="146">
        <v>1</v>
      </c>
      <c r="D3" s="146">
        <v>47305924871207</v>
      </c>
      <c r="E3" s="147"/>
      <c r="F3" s="148">
        <f t="shared" ref="F3:P3" si="1">E6</f>
        <v>54981883180636</v>
      </c>
      <c r="G3" s="148">
        <f t="shared" si="1"/>
        <v>7675997017852.3945</v>
      </c>
      <c r="H3" s="148">
        <f t="shared" si="1"/>
        <v>1071682663079.9065</v>
      </c>
      <c r="I3" s="148">
        <f t="shared" si="1"/>
        <v>149675835213.10605</v>
      </c>
      <c r="J3" s="148">
        <f t="shared" si="1"/>
        <v>20963757070.759106</v>
      </c>
      <c r="K3" s="148">
        <f t="shared" si="1"/>
        <v>2994784768.5268092</v>
      </c>
      <c r="L3" s="148">
        <f t="shared" si="1"/>
        <v>418098502.61769152</v>
      </c>
      <c r="M3" s="148">
        <f t="shared" si="1"/>
        <v>418098502.61769152</v>
      </c>
      <c r="N3" s="148">
        <f t="shared" si="1"/>
        <v>418098502.61769152</v>
      </c>
      <c r="O3" s="149">
        <f t="shared" si="1"/>
        <v>418098502.61769152</v>
      </c>
      <c r="P3" s="149">
        <f t="shared" si="1"/>
        <v>418098502.61769152</v>
      </c>
      <c r="Q3" s="3"/>
      <c r="R3" s="139"/>
      <c r="S3" s="139"/>
      <c r="T3" s="139"/>
      <c r="U3" s="139"/>
      <c r="V3" s="139"/>
    </row>
    <row r="4" spans="1:22">
      <c r="A4" s="145" t="s">
        <v>259</v>
      </c>
      <c r="B4" s="146"/>
      <c r="C4" s="146"/>
      <c r="D4" s="146"/>
      <c r="E4" s="147">
        <f>F4/F3</f>
        <v>0.86039113494511255</v>
      </c>
      <c r="F4" s="148">
        <v>47305924871207</v>
      </c>
      <c r="G4" s="150">
        <f t="shared" ref="G4:K4" si="2">$E$4*G3</f>
        <v>6604359786025.3213</v>
      </c>
      <c r="H4" s="150">
        <f t="shared" si="2"/>
        <v>922066262788.32141</v>
      </c>
      <c r="I4" s="150">
        <f t="shared" si="2"/>
        <v>128779761732.86195</v>
      </c>
      <c r="J4" s="150">
        <f t="shared" si="2"/>
        <v>18037030738.824055</v>
      </c>
      <c r="K4" s="150">
        <f t="shared" si="2"/>
        <v>2576686265.9091177</v>
      </c>
      <c r="L4" s="151"/>
      <c r="M4" s="151"/>
      <c r="N4" s="151"/>
      <c r="O4" s="151"/>
      <c r="P4" s="151"/>
      <c r="Q4" s="3"/>
      <c r="R4" s="139"/>
      <c r="S4" s="139"/>
      <c r="T4" s="139"/>
      <c r="U4" s="139"/>
      <c r="V4" s="139"/>
    </row>
    <row r="5" spans="1:22">
      <c r="A5" s="145" t="s">
        <v>260</v>
      </c>
      <c r="B5" s="146"/>
      <c r="C5" s="146"/>
      <c r="D5" s="146"/>
      <c r="E5" s="152"/>
      <c r="F5" s="153">
        <f>'IS HPG (base)'!K85</f>
        <v>38708423.39444375</v>
      </c>
      <c r="G5" s="153">
        <f>'IS HPG (base)'!L85</f>
        <v>45431252.833306812</v>
      </c>
      <c r="H5" s="153">
        <f>'IS HPG (base)'!M85</f>
        <v>59434921.520957597</v>
      </c>
      <c r="I5" s="153">
        <f>'IS HPG (base)'!N85</f>
        <v>67683590.515009299</v>
      </c>
      <c r="J5" s="153">
        <f>'IS HPG (base)'!O85</f>
        <v>68058436.591758251</v>
      </c>
      <c r="K5" s="153">
        <f>'IS HPG (base)'!P85</f>
        <v>0</v>
      </c>
      <c r="L5" s="153">
        <f>'IS HPG (base)'!Q85</f>
        <v>0</v>
      </c>
      <c r="M5" s="153"/>
      <c r="N5" s="153"/>
      <c r="O5" s="153"/>
      <c r="P5" s="153"/>
      <c r="Q5" s="3"/>
      <c r="R5" s="139"/>
      <c r="S5" s="139"/>
      <c r="T5" s="139"/>
      <c r="U5" s="139"/>
      <c r="V5" s="139"/>
    </row>
    <row r="6" spans="1:22">
      <c r="A6" s="145" t="s">
        <v>261</v>
      </c>
      <c r="B6" s="146"/>
      <c r="C6" s="146"/>
      <c r="D6" s="146"/>
      <c r="E6" s="154">
        <v>54981883180636</v>
      </c>
      <c r="F6" s="149">
        <f t="shared" ref="F6:P6" si="3">F3-F4+F5</f>
        <v>7675997017852.3945</v>
      </c>
      <c r="G6" s="149">
        <f t="shared" si="3"/>
        <v>1071682663079.9065</v>
      </c>
      <c r="H6" s="149">
        <f t="shared" si="3"/>
        <v>149675835213.10605</v>
      </c>
      <c r="I6" s="149">
        <f t="shared" si="3"/>
        <v>20963757070.759106</v>
      </c>
      <c r="J6" s="149">
        <f t="shared" si="3"/>
        <v>2994784768.5268092</v>
      </c>
      <c r="K6" s="149">
        <f t="shared" si="3"/>
        <v>418098502.61769152</v>
      </c>
      <c r="L6" s="149">
        <f t="shared" si="3"/>
        <v>418098502.61769152</v>
      </c>
      <c r="M6" s="149">
        <f t="shared" si="3"/>
        <v>418098502.61769152</v>
      </c>
      <c r="N6" s="149">
        <f t="shared" si="3"/>
        <v>418098502.61769152</v>
      </c>
      <c r="O6" s="149">
        <f t="shared" si="3"/>
        <v>418098502.61769152</v>
      </c>
      <c r="P6" s="149">
        <f t="shared" si="3"/>
        <v>418098502.61769152</v>
      </c>
      <c r="Q6" s="3"/>
      <c r="R6" s="139"/>
      <c r="S6" s="139"/>
      <c r="T6" s="139"/>
      <c r="U6" s="139"/>
      <c r="V6" s="139"/>
    </row>
    <row r="7" spans="1:22">
      <c r="A7" s="155"/>
      <c r="B7" s="146"/>
      <c r="C7" s="146"/>
      <c r="D7" s="146"/>
      <c r="E7" s="147"/>
      <c r="F7" s="156"/>
      <c r="G7" s="156"/>
      <c r="H7" s="156"/>
      <c r="I7" s="156"/>
      <c r="J7" s="156"/>
      <c r="K7" s="156"/>
      <c r="L7" s="156"/>
      <c r="M7" s="156"/>
      <c r="N7" s="156"/>
      <c r="O7" s="156"/>
      <c r="P7" s="157"/>
      <c r="Q7" s="3"/>
      <c r="R7" s="139"/>
      <c r="S7" s="139"/>
      <c r="T7" s="139"/>
      <c r="U7" s="139"/>
      <c r="V7" s="139"/>
    </row>
    <row r="8" spans="1:22">
      <c r="A8" s="140" t="s">
        <v>262</v>
      </c>
      <c r="B8" s="146"/>
      <c r="C8" s="146"/>
      <c r="D8" s="146"/>
      <c r="E8" s="147"/>
      <c r="F8" s="158">
        <f t="shared" ref="F8:L8" si="4">F6*$B$2</f>
        <v>268659895624.83383</v>
      </c>
      <c r="G8" s="158">
        <f t="shared" si="4"/>
        <v>37508893207.79673</v>
      </c>
      <c r="H8" s="158">
        <f t="shared" si="4"/>
        <v>5238654232.4587126</v>
      </c>
      <c r="I8" s="158">
        <f t="shared" si="4"/>
        <v>733731497.47656882</v>
      </c>
      <c r="J8" s="158">
        <f t="shared" si="4"/>
        <v>104817466.89843833</v>
      </c>
      <c r="K8" s="158">
        <f t="shared" si="4"/>
        <v>14633447.591619205</v>
      </c>
      <c r="L8" s="158">
        <f t="shared" si="4"/>
        <v>14633447.591619205</v>
      </c>
      <c r="M8" s="158" t="s">
        <v>541</v>
      </c>
      <c r="N8" s="158" t="s">
        <v>541</v>
      </c>
      <c r="O8" s="158" t="s">
        <v>541</v>
      </c>
      <c r="P8" s="158" t="s">
        <v>541</v>
      </c>
      <c r="Q8" s="3"/>
      <c r="R8" s="139"/>
      <c r="S8" s="139"/>
      <c r="T8" s="139"/>
      <c r="U8" s="139"/>
      <c r="V8" s="139"/>
    </row>
    <row r="9" spans="1:22">
      <c r="A9" s="155"/>
      <c r="B9" s="146"/>
      <c r="C9" s="146"/>
      <c r="D9" s="146"/>
      <c r="E9" s="147"/>
      <c r="F9" s="156"/>
      <c r="G9" s="156"/>
      <c r="H9" s="156"/>
      <c r="I9" s="156"/>
      <c r="J9" s="156"/>
      <c r="K9" s="156"/>
      <c r="L9" s="156"/>
      <c r="M9" s="156"/>
      <c r="N9" s="156"/>
      <c r="O9" s="156"/>
      <c r="P9" s="157"/>
      <c r="Q9" s="3"/>
      <c r="R9" s="139"/>
      <c r="S9" s="139"/>
      <c r="T9" s="139"/>
      <c r="U9" s="139"/>
      <c r="V9" s="139"/>
    </row>
    <row r="10" spans="1:22">
      <c r="A10" s="140" t="s">
        <v>263</v>
      </c>
      <c r="B10" s="141">
        <v>8.5000000000000006E-2</v>
      </c>
      <c r="C10" s="146"/>
      <c r="D10" s="146">
        <f>SUM(D11:D19)</f>
        <v>15893077601910</v>
      </c>
      <c r="E10" s="147"/>
      <c r="F10" s="156"/>
      <c r="G10" s="144"/>
      <c r="H10" s="144"/>
      <c r="I10" s="144"/>
      <c r="J10" s="144"/>
      <c r="K10" s="144"/>
      <c r="L10" s="144"/>
      <c r="M10" s="144"/>
      <c r="N10" s="156"/>
      <c r="O10" s="156"/>
      <c r="P10" s="156"/>
      <c r="Q10" s="3"/>
      <c r="R10" s="139"/>
      <c r="S10" s="139"/>
      <c r="T10" s="139"/>
      <c r="U10" s="139"/>
      <c r="V10" s="139"/>
    </row>
    <row r="11" spans="1:22">
      <c r="A11" s="159" t="s">
        <v>264</v>
      </c>
      <c r="B11" s="141">
        <v>8.5000000000000006E-2</v>
      </c>
      <c r="C11" s="146">
        <v>2</v>
      </c>
      <c r="D11" s="146">
        <v>242401952435</v>
      </c>
      <c r="E11" s="147"/>
      <c r="F11" s="160">
        <f t="shared" ref="F11:G11" si="5">$D$11/2</f>
        <v>121200976217.5</v>
      </c>
      <c r="G11" s="160">
        <f t="shared" si="5"/>
        <v>121200976217.5</v>
      </c>
      <c r="H11" s="161"/>
      <c r="I11" s="161"/>
      <c r="J11" s="144"/>
      <c r="K11" s="144"/>
      <c r="L11" s="144"/>
      <c r="M11" s="144"/>
      <c r="N11" s="156"/>
      <c r="O11" s="156"/>
      <c r="P11" s="156"/>
      <c r="Q11" s="3"/>
      <c r="R11" s="139"/>
      <c r="S11" s="139"/>
      <c r="T11" s="139"/>
      <c r="U11" s="139"/>
      <c r="V11" s="139"/>
    </row>
    <row r="12" spans="1:22">
      <c r="A12" s="159" t="s">
        <v>265</v>
      </c>
      <c r="B12" s="146"/>
      <c r="C12" s="146">
        <v>6</v>
      </c>
      <c r="D12" s="146">
        <v>8859451859918</v>
      </c>
      <c r="E12" s="147"/>
      <c r="F12" s="160"/>
      <c r="G12" s="160">
        <f t="shared" ref="G12:L12" si="6">$D$12/$C$12</f>
        <v>1476575309986.3333</v>
      </c>
      <c r="H12" s="160">
        <f t="shared" si="6"/>
        <v>1476575309986.3333</v>
      </c>
      <c r="I12" s="160">
        <f t="shared" si="6"/>
        <v>1476575309986.3333</v>
      </c>
      <c r="J12" s="160">
        <f t="shared" si="6"/>
        <v>1476575309986.3333</v>
      </c>
      <c r="K12" s="160">
        <f t="shared" si="6"/>
        <v>1476575309986.3333</v>
      </c>
      <c r="L12" s="160">
        <f t="shared" si="6"/>
        <v>1476575309986.3333</v>
      </c>
      <c r="M12" s="144"/>
      <c r="N12" s="156"/>
      <c r="O12" s="156"/>
      <c r="P12" s="156"/>
      <c r="Q12" s="3"/>
      <c r="R12" s="139"/>
      <c r="S12" s="139"/>
      <c r="T12" s="139"/>
      <c r="U12" s="139"/>
      <c r="V12" s="139"/>
    </row>
    <row r="13" spans="1:22">
      <c r="A13" s="159" t="s">
        <v>266</v>
      </c>
      <c r="B13" s="141">
        <v>8.5000000000000006E-2</v>
      </c>
      <c r="C13" s="146">
        <v>3</v>
      </c>
      <c r="D13" s="146">
        <v>413583333333</v>
      </c>
      <c r="E13" s="146"/>
      <c r="F13" s="162">
        <f t="shared" ref="F13:H13" si="7">$D$13/3</f>
        <v>137861111111</v>
      </c>
      <c r="G13" s="162">
        <f t="shared" si="7"/>
        <v>137861111111</v>
      </c>
      <c r="H13" s="162">
        <f t="shared" si="7"/>
        <v>137861111111</v>
      </c>
      <c r="I13" s="162"/>
      <c r="J13" s="149"/>
      <c r="K13" s="149"/>
      <c r="L13" s="149"/>
      <c r="M13" s="149"/>
      <c r="N13" s="149"/>
      <c r="O13" s="149"/>
      <c r="P13" s="149"/>
      <c r="Q13" s="3"/>
      <c r="R13" s="139"/>
      <c r="S13" s="139"/>
      <c r="T13" s="139"/>
      <c r="U13" s="139"/>
      <c r="V13" s="139"/>
    </row>
    <row r="14" spans="1:22">
      <c r="A14" s="159" t="s">
        <v>267</v>
      </c>
      <c r="B14" s="141">
        <v>8.5000000000000006E-2</v>
      </c>
      <c r="C14" s="146">
        <v>4</v>
      </c>
      <c r="D14" s="146">
        <v>3890128541743</v>
      </c>
      <c r="E14" s="146"/>
      <c r="F14" s="162">
        <f t="shared" ref="F14:I14" si="8">$D$14/4</f>
        <v>972532135435.75</v>
      </c>
      <c r="G14" s="162">
        <f t="shared" si="8"/>
        <v>972532135435.75</v>
      </c>
      <c r="H14" s="162">
        <f t="shared" si="8"/>
        <v>972532135435.75</v>
      </c>
      <c r="I14" s="162">
        <f t="shared" si="8"/>
        <v>972532135435.75</v>
      </c>
      <c r="J14" s="149"/>
      <c r="K14" s="149"/>
      <c r="L14" s="149"/>
      <c r="M14" s="149"/>
      <c r="N14" s="149"/>
      <c r="O14" s="149"/>
      <c r="P14" s="149"/>
      <c r="Q14" s="3"/>
      <c r="R14" s="139"/>
      <c r="S14" s="139"/>
      <c r="T14" s="139"/>
      <c r="U14" s="139"/>
      <c r="V14" s="139"/>
    </row>
    <row r="15" spans="1:22">
      <c r="A15" s="159" t="s">
        <v>268</v>
      </c>
      <c r="B15" s="146"/>
      <c r="C15" s="146">
        <v>2</v>
      </c>
      <c r="D15" s="146">
        <v>6106000000</v>
      </c>
      <c r="E15" s="146"/>
      <c r="F15" s="162">
        <f t="shared" ref="F15:G15" si="9">$D$15/2</f>
        <v>3053000000</v>
      </c>
      <c r="G15" s="162">
        <f t="shared" si="9"/>
        <v>3053000000</v>
      </c>
      <c r="H15" s="162"/>
      <c r="I15" s="162"/>
      <c r="J15" s="149"/>
      <c r="K15" s="149"/>
      <c r="L15" s="149"/>
      <c r="M15" s="149"/>
      <c r="N15" s="149"/>
      <c r="O15" s="149"/>
      <c r="P15" s="149"/>
      <c r="Q15" s="3"/>
      <c r="R15" s="139"/>
      <c r="S15" s="139"/>
      <c r="T15" s="139"/>
      <c r="U15" s="139"/>
      <c r="V15" s="139"/>
    </row>
    <row r="16" spans="1:22">
      <c r="A16" s="159" t="s">
        <v>269</v>
      </c>
      <c r="B16" s="141">
        <v>8.5000000000000006E-2</v>
      </c>
      <c r="C16" s="146">
        <v>4</v>
      </c>
      <c r="D16" s="146">
        <v>846918500000</v>
      </c>
      <c r="E16" s="146"/>
      <c r="F16" s="162">
        <f t="shared" ref="F16:I16" si="10">$D$16/4</f>
        <v>211729625000</v>
      </c>
      <c r="G16" s="162">
        <f t="shared" si="10"/>
        <v>211729625000</v>
      </c>
      <c r="H16" s="162">
        <f t="shared" si="10"/>
        <v>211729625000</v>
      </c>
      <c r="I16" s="162">
        <f t="shared" si="10"/>
        <v>211729625000</v>
      </c>
      <c r="J16" s="149"/>
      <c r="K16" s="149"/>
      <c r="L16" s="149"/>
      <c r="M16" s="149"/>
      <c r="N16" s="149"/>
      <c r="O16" s="149"/>
      <c r="P16" s="149"/>
      <c r="Q16" s="3"/>
      <c r="R16" s="139"/>
      <c r="S16" s="139"/>
      <c r="T16" s="139"/>
      <c r="U16" s="139"/>
      <c r="V16" s="139"/>
    </row>
    <row r="17" spans="1:22">
      <c r="A17" s="159" t="s">
        <v>270</v>
      </c>
      <c r="B17" s="141">
        <v>8.5000000000000006E-2</v>
      </c>
      <c r="C17" s="146">
        <v>2</v>
      </c>
      <c r="D17" s="146">
        <v>694183749799</v>
      </c>
      <c r="E17" s="146"/>
      <c r="F17" s="162">
        <f t="shared" ref="F17:G17" si="11">$D$17/2</f>
        <v>347091874899.5</v>
      </c>
      <c r="G17" s="162">
        <f t="shared" si="11"/>
        <v>347091874899.5</v>
      </c>
      <c r="H17" s="162"/>
      <c r="I17" s="162"/>
      <c r="J17" s="149"/>
      <c r="K17" s="149"/>
      <c r="L17" s="149"/>
      <c r="M17" s="149"/>
      <c r="N17" s="149"/>
      <c r="O17" s="149"/>
      <c r="P17" s="149"/>
      <c r="Q17" s="3"/>
      <c r="R17" s="139"/>
      <c r="S17" s="139"/>
      <c r="T17" s="139"/>
      <c r="U17" s="139"/>
      <c r="V17" s="139"/>
    </row>
    <row r="18" spans="1:22">
      <c r="A18" s="159" t="s">
        <v>271</v>
      </c>
      <c r="B18" s="146"/>
      <c r="C18" s="146">
        <v>3</v>
      </c>
      <c r="D18" s="146">
        <v>615303664682</v>
      </c>
      <c r="E18" s="146"/>
      <c r="F18" s="162">
        <f t="shared" ref="F18:H18" si="12">$D$18/3</f>
        <v>205101221560.66666</v>
      </c>
      <c r="G18" s="162">
        <f t="shared" si="12"/>
        <v>205101221560.66666</v>
      </c>
      <c r="H18" s="162">
        <f t="shared" si="12"/>
        <v>205101221560.66666</v>
      </c>
      <c r="I18" s="162"/>
      <c r="J18" s="149"/>
      <c r="K18" s="149"/>
      <c r="L18" s="149"/>
      <c r="M18" s="149"/>
      <c r="N18" s="149"/>
      <c r="O18" s="149"/>
      <c r="P18" s="149"/>
      <c r="Q18" s="3"/>
      <c r="R18" s="139"/>
      <c r="S18" s="139"/>
      <c r="T18" s="139"/>
      <c r="U18" s="139"/>
      <c r="V18" s="139"/>
    </row>
    <row r="19" spans="1:22">
      <c r="A19" s="159" t="s">
        <v>272</v>
      </c>
      <c r="B19" s="141">
        <v>8.5000000000000006E-2</v>
      </c>
      <c r="C19" s="146">
        <v>1</v>
      </c>
      <c r="D19" s="146">
        <v>325000000000</v>
      </c>
      <c r="E19" s="146"/>
      <c r="F19" s="162">
        <f>D19</f>
        <v>325000000000</v>
      </c>
      <c r="G19" s="162"/>
      <c r="H19" s="162"/>
      <c r="I19" s="162"/>
      <c r="J19" s="149"/>
      <c r="K19" s="149"/>
      <c r="L19" s="149"/>
      <c r="M19" s="149"/>
      <c r="N19" s="149"/>
      <c r="O19" s="149"/>
      <c r="P19" s="149"/>
      <c r="Q19" s="3"/>
      <c r="R19" s="139"/>
      <c r="S19" s="139"/>
      <c r="T19" s="139"/>
      <c r="U19" s="139"/>
      <c r="V19" s="139"/>
    </row>
    <row r="20" spans="1:22">
      <c r="A20" s="159"/>
      <c r="B20" s="141"/>
      <c r="C20" s="146"/>
      <c r="D20" s="146"/>
      <c r="E20" s="150"/>
      <c r="F20" s="150"/>
      <c r="G20" s="150">
        <f t="shared" ref="G20:K20" si="13">$F$26/5</f>
        <v>3500000000</v>
      </c>
      <c r="H20" s="150">
        <f t="shared" si="13"/>
        <v>3500000000</v>
      </c>
      <c r="I20" s="150">
        <f t="shared" si="13"/>
        <v>3500000000</v>
      </c>
      <c r="J20" s="150">
        <f t="shared" si="13"/>
        <v>3500000000</v>
      </c>
      <c r="K20" s="150">
        <f t="shared" si="13"/>
        <v>3500000000</v>
      </c>
      <c r="L20" s="150"/>
      <c r="M20" s="149"/>
      <c r="N20" s="149"/>
      <c r="O20" s="149"/>
      <c r="P20" s="149"/>
      <c r="Q20" s="3"/>
      <c r="R20" s="139"/>
      <c r="S20" s="139"/>
      <c r="T20" s="139"/>
      <c r="U20" s="139"/>
      <c r="V20" s="139"/>
    </row>
    <row r="21" spans="1:22">
      <c r="A21" s="159"/>
      <c r="B21" s="141"/>
      <c r="C21" s="146"/>
      <c r="D21" s="146"/>
      <c r="E21" s="150"/>
      <c r="F21" s="150"/>
      <c r="G21" s="150"/>
      <c r="H21" s="150">
        <f t="shared" ref="H21:L21" si="14">$G$26/5</f>
        <v>3500000000</v>
      </c>
      <c r="I21" s="150">
        <f t="shared" si="14"/>
        <v>3500000000</v>
      </c>
      <c r="J21" s="150">
        <f t="shared" si="14"/>
        <v>3500000000</v>
      </c>
      <c r="K21" s="150">
        <f t="shared" si="14"/>
        <v>3500000000</v>
      </c>
      <c r="L21" s="150">
        <f t="shared" si="14"/>
        <v>3500000000</v>
      </c>
      <c r="M21" s="149"/>
      <c r="N21" s="149"/>
      <c r="O21" s="149"/>
      <c r="P21" s="149"/>
      <c r="Q21" s="3"/>
      <c r="R21" s="139"/>
      <c r="S21" s="139"/>
      <c r="T21" s="139"/>
      <c r="U21" s="139"/>
      <c r="V21" s="139"/>
    </row>
    <row r="22" spans="1:22">
      <c r="A22" s="145" t="s">
        <v>258</v>
      </c>
      <c r="B22" s="163"/>
      <c r="C22" s="146"/>
      <c r="D22" s="146"/>
      <c r="E22" s="146"/>
      <c r="F22" s="149">
        <v>18075077601910</v>
      </c>
      <c r="G22" s="149">
        <f t="shared" ref="G22:P22" si="15">F27</f>
        <v>15769007657685.582</v>
      </c>
      <c r="H22" s="149">
        <f t="shared" si="15"/>
        <v>12429063379692.332</v>
      </c>
      <c r="I22" s="149">
        <f t="shared" si="15"/>
        <v>9418263976598.582</v>
      </c>
      <c r="J22" s="149">
        <f t="shared" si="15"/>
        <v>6750426906176.499</v>
      </c>
      <c r="K22" s="149">
        <f t="shared" si="15"/>
        <v>5266851596190.166</v>
      </c>
      <c r="L22" s="149">
        <f t="shared" si="15"/>
        <v>5266851596190.166</v>
      </c>
      <c r="M22" s="149">
        <f t="shared" si="15"/>
        <v>5266851596190.166</v>
      </c>
      <c r="N22" s="149">
        <f t="shared" si="15"/>
        <v>5266851596190.166</v>
      </c>
      <c r="O22" s="149">
        <f t="shared" si="15"/>
        <v>5266851596190.166</v>
      </c>
      <c r="P22" s="149">
        <f t="shared" si="15"/>
        <v>5266851596190.166</v>
      </c>
      <c r="Q22" s="3"/>
      <c r="R22" s="139"/>
      <c r="S22" s="139"/>
      <c r="T22" s="139"/>
      <c r="U22" s="139"/>
      <c r="V22" s="139"/>
    </row>
    <row r="23" spans="1:22">
      <c r="A23" s="145" t="s">
        <v>259</v>
      </c>
      <c r="B23" s="163"/>
      <c r="C23" s="146"/>
      <c r="D23" s="146"/>
      <c r="E23" s="146"/>
      <c r="F23" s="150">
        <f>SUM(F11:F19)</f>
        <v>2323569944224.417</v>
      </c>
      <c r="G23" s="150">
        <f t="shared" ref="G23:J23" si="16">SUM(G12:G21)</f>
        <v>3357444277993.2495</v>
      </c>
      <c r="H23" s="150">
        <f t="shared" si="16"/>
        <v>3010799403093.7495</v>
      </c>
      <c r="I23" s="150">
        <f t="shared" si="16"/>
        <v>2667837070422.083</v>
      </c>
      <c r="J23" s="150">
        <f t="shared" si="16"/>
        <v>1483575309986.3333</v>
      </c>
      <c r="K23" s="151"/>
      <c r="L23" s="151"/>
      <c r="M23" s="151"/>
      <c r="N23" s="151"/>
      <c r="O23" s="151"/>
      <c r="P23" s="151"/>
      <c r="Q23" s="3"/>
      <c r="R23" s="139"/>
      <c r="S23" s="139"/>
      <c r="T23" s="139"/>
      <c r="U23" s="139"/>
      <c r="V23" s="139"/>
    </row>
    <row r="24" spans="1:22">
      <c r="A24" s="145" t="s">
        <v>273</v>
      </c>
      <c r="B24" s="163"/>
      <c r="C24" s="146"/>
      <c r="D24" s="146"/>
      <c r="E24" s="146"/>
      <c r="F24" s="150">
        <f t="shared" ref="F24:J24" si="17">$F$26/5</f>
        <v>3500000000</v>
      </c>
      <c r="G24" s="150">
        <f t="shared" si="17"/>
        <v>3500000000</v>
      </c>
      <c r="H24" s="150">
        <f t="shared" si="17"/>
        <v>3500000000</v>
      </c>
      <c r="I24" s="150">
        <f t="shared" si="17"/>
        <v>3500000000</v>
      </c>
      <c r="J24" s="150">
        <f t="shared" si="17"/>
        <v>3500000000</v>
      </c>
      <c r="K24" s="150"/>
      <c r="L24" s="151"/>
      <c r="M24" s="151"/>
      <c r="N24" s="151"/>
      <c r="O24" s="151"/>
      <c r="P24" s="151"/>
      <c r="Q24" s="3"/>
      <c r="R24" s="139"/>
      <c r="S24" s="139"/>
      <c r="T24" s="139"/>
      <c r="U24" s="139"/>
      <c r="V24" s="139"/>
    </row>
    <row r="25" spans="1:22">
      <c r="A25" s="145" t="s">
        <v>274</v>
      </c>
      <c r="B25" s="163"/>
      <c r="C25" s="146"/>
      <c r="D25" s="146"/>
      <c r="E25" s="146"/>
      <c r="F25" s="150"/>
      <c r="G25" s="150">
        <f t="shared" ref="G25:K25" si="18">$G$26/5</f>
        <v>3500000000</v>
      </c>
      <c r="H25" s="150">
        <f t="shared" si="18"/>
        <v>3500000000</v>
      </c>
      <c r="I25" s="150">
        <f t="shared" si="18"/>
        <v>3500000000</v>
      </c>
      <c r="J25" s="150">
        <f t="shared" si="18"/>
        <v>3500000000</v>
      </c>
      <c r="K25" s="150">
        <f t="shared" si="18"/>
        <v>3500000000</v>
      </c>
      <c r="L25" s="151"/>
      <c r="M25" s="151"/>
      <c r="N25" s="151"/>
      <c r="O25" s="151"/>
      <c r="P25" s="151"/>
      <c r="Q25" s="3"/>
      <c r="R25" s="139"/>
      <c r="S25" s="139"/>
      <c r="T25" s="139"/>
      <c r="U25" s="139"/>
      <c r="V25" s="139"/>
    </row>
    <row r="26" spans="1:22">
      <c r="A26" s="145" t="s">
        <v>260</v>
      </c>
      <c r="B26" s="146"/>
      <c r="C26" s="146"/>
      <c r="D26" s="146"/>
      <c r="E26" s="147"/>
      <c r="F26" s="164">
        <v>17500000000</v>
      </c>
      <c r="G26" s="164">
        <v>17500000000</v>
      </c>
      <c r="H26" s="153"/>
      <c r="I26" s="153"/>
      <c r="J26" s="153"/>
      <c r="K26" s="153"/>
      <c r="L26" s="153"/>
      <c r="M26" s="153"/>
      <c r="N26" s="153"/>
      <c r="O26" s="153"/>
      <c r="P26" s="153"/>
      <c r="Q26" s="3"/>
      <c r="R26" s="139"/>
      <c r="S26" s="139"/>
      <c r="T26" s="139"/>
      <c r="U26" s="139"/>
      <c r="V26" s="139"/>
    </row>
    <row r="27" spans="1:22">
      <c r="A27" s="145" t="s">
        <v>261</v>
      </c>
      <c r="B27" s="146"/>
      <c r="C27" s="146"/>
      <c r="D27" s="146"/>
      <c r="E27" s="154"/>
      <c r="F27" s="149">
        <f t="shared" ref="F27:P27" si="19">F22-F23+F26</f>
        <v>15769007657685.582</v>
      </c>
      <c r="G27" s="149">
        <f t="shared" si="19"/>
        <v>12429063379692.332</v>
      </c>
      <c r="H27" s="149">
        <f t="shared" si="19"/>
        <v>9418263976598.582</v>
      </c>
      <c r="I27" s="149">
        <f t="shared" si="19"/>
        <v>6750426906176.499</v>
      </c>
      <c r="J27" s="149">
        <f t="shared" si="19"/>
        <v>5266851596190.166</v>
      </c>
      <c r="K27" s="149">
        <f t="shared" si="19"/>
        <v>5266851596190.166</v>
      </c>
      <c r="L27" s="149">
        <f t="shared" si="19"/>
        <v>5266851596190.166</v>
      </c>
      <c r="M27" s="149">
        <f t="shared" si="19"/>
        <v>5266851596190.166</v>
      </c>
      <c r="N27" s="149">
        <f t="shared" si="19"/>
        <v>5266851596190.166</v>
      </c>
      <c r="O27" s="149">
        <f t="shared" si="19"/>
        <v>5266851596190.166</v>
      </c>
      <c r="P27" s="149">
        <f t="shared" si="19"/>
        <v>5266851596190.166</v>
      </c>
      <c r="Q27" s="3"/>
      <c r="R27" s="139"/>
      <c r="S27" s="139"/>
      <c r="T27" s="139"/>
      <c r="U27" s="139"/>
      <c r="V27" s="139"/>
    </row>
    <row r="28" spans="1:22">
      <c r="A28" s="155"/>
      <c r="B28" s="146"/>
      <c r="C28" s="146"/>
      <c r="D28" s="146"/>
      <c r="E28" s="147"/>
      <c r="F28" s="156"/>
      <c r="G28" s="156"/>
      <c r="H28" s="156"/>
      <c r="I28" s="156"/>
      <c r="J28" s="156"/>
      <c r="K28" s="156"/>
      <c r="L28" s="156"/>
      <c r="M28" s="156"/>
      <c r="N28" s="156"/>
      <c r="O28" s="156"/>
      <c r="P28" s="157"/>
      <c r="Q28" s="3"/>
      <c r="R28" s="139"/>
      <c r="S28" s="139"/>
      <c r="T28" s="139"/>
      <c r="U28" s="139"/>
      <c r="V28" s="139"/>
    </row>
    <row r="29" spans="1:22">
      <c r="A29" s="140" t="s">
        <v>262</v>
      </c>
      <c r="B29" s="146"/>
      <c r="C29" s="146"/>
      <c r="D29" s="146"/>
      <c r="E29" s="147"/>
      <c r="F29" s="165">
        <f t="shared" ref="F29:M29" si="20">F27*8.5%</f>
        <v>1340365650903.2747</v>
      </c>
      <c r="G29" s="165">
        <f t="shared" si="20"/>
        <v>1056470387273.8483</v>
      </c>
      <c r="H29" s="165">
        <f t="shared" si="20"/>
        <v>800552438010.87952</v>
      </c>
      <c r="I29" s="165">
        <f t="shared" si="20"/>
        <v>573786287025.00244</v>
      </c>
      <c r="J29" s="165">
        <f t="shared" si="20"/>
        <v>447682385676.16412</v>
      </c>
      <c r="K29" s="165">
        <f t="shared" si="20"/>
        <v>447682385676.16412</v>
      </c>
      <c r="L29" s="165">
        <f t="shared" si="20"/>
        <v>447682385676.16412</v>
      </c>
      <c r="M29" s="165">
        <f t="shared" si="20"/>
        <v>447682385676.16412</v>
      </c>
      <c r="N29" s="165" t="s">
        <v>541</v>
      </c>
      <c r="O29" s="165" t="s">
        <v>541</v>
      </c>
      <c r="P29" s="165" t="s">
        <v>541</v>
      </c>
      <c r="Q29" s="3"/>
      <c r="R29" s="139"/>
      <c r="S29" s="139"/>
      <c r="T29" s="139"/>
      <c r="U29" s="139"/>
      <c r="V29" s="139"/>
    </row>
    <row r="30" spans="1:22">
      <c r="A30" s="155"/>
      <c r="B30" s="146"/>
      <c r="C30" s="146"/>
      <c r="D30" s="146"/>
      <c r="E30" s="147"/>
      <c r="F30" s="156"/>
      <c r="G30" s="156"/>
      <c r="H30" s="156"/>
      <c r="I30" s="156"/>
      <c r="J30" s="156"/>
      <c r="K30" s="156"/>
      <c r="L30" s="156"/>
      <c r="M30" s="156"/>
      <c r="N30" s="156"/>
      <c r="O30" s="156"/>
      <c r="P30" s="157"/>
      <c r="Q30" s="3"/>
      <c r="R30" s="139"/>
      <c r="S30" s="139"/>
      <c r="T30" s="139"/>
      <c r="U30" s="139"/>
      <c r="V30" s="139"/>
    </row>
    <row r="31" spans="1:22">
      <c r="A31" s="140" t="s">
        <v>275</v>
      </c>
      <c r="B31" s="146"/>
      <c r="C31" s="146"/>
      <c r="D31" s="146"/>
      <c r="E31" s="147"/>
      <c r="F31" s="156">
        <f t="shared" ref="F31:L31" si="21">F29+F8</f>
        <v>1609025546528.1084</v>
      </c>
      <c r="G31" s="156">
        <f t="shared" si="21"/>
        <v>1093979280481.645</v>
      </c>
      <c r="H31" s="156">
        <f t="shared" si="21"/>
        <v>805791092243.33826</v>
      </c>
      <c r="I31" s="156">
        <f t="shared" si="21"/>
        <v>574520018522.479</v>
      </c>
      <c r="J31" s="156">
        <f t="shared" si="21"/>
        <v>447787203143.06256</v>
      </c>
      <c r="K31" s="156">
        <f t="shared" si="21"/>
        <v>447697019123.75574</v>
      </c>
      <c r="L31" s="156">
        <f t="shared" si="21"/>
        <v>447697019123.75574</v>
      </c>
      <c r="M31" s="156"/>
      <c r="N31" s="156"/>
      <c r="O31" s="156"/>
      <c r="P31" s="156"/>
      <c r="Q31" s="3"/>
      <c r="R31" s="139"/>
      <c r="S31" s="139"/>
      <c r="T31" s="139"/>
      <c r="U31" s="139"/>
      <c r="V31" s="139"/>
    </row>
    <row r="32" spans="1:22">
      <c r="A32" s="155"/>
      <c r="B32" s="146"/>
      <c r="C32" s="146"/>
      <c r="D32" s="146"/>
      <c r="E32" s="147"/>
      <c r="F32" s="156"/>
      <c r="G32" s="156"/>
      <c r="H32" s="156"/>
      <c r="I32" s="156"/>
      <c r="J32" s="156"/>
      <c r="K32" s="156"/>
      <c r="L32" s="156"/>
      <c r="M32" s="156"/>
      <c r="N32" s="156"/>
      <c r="O32" s="156"/>
      <c r="P32" s="157"/>
      <c r="Q32" s="3"/>
      <c r="R32" s="139"/>
      <c r="S32" s="139"/>
      <c r="T32" s="139"/>
      <c r="U32" s="139"/>
      <c r="V32" s="139"/>
    </row>
    <row r="33" spans="1:22">
      <c r="A33" s="166"/>
      <c r="B33" s="167"/>
      <c r="C33" s="167"/>
      <c r="D33" s="167"/>
      <c r="E33" s="168"/>
      <c r="F33" s="156"/>
      <c r="G33" s="156"/>
      <c r="H33" s="156"/>
      <c r="I33" s="156"/>
      <c r="J33" s="156"/>
      <c r="K33" s="156"/>
      <c r="L33" s="156"/>
      <c r="M33" s="156"/>
      <c r="N33" s="156"/>
      <c r="O33" s="156"/>
      <c r="P33" s="157"/>
      <c r="Q33" s="3"/>
      <c r="R33" s="139"/>
      <c r="S33" s="139"/>
      <c r="T33" s="139"/>
      <c r="U33" s="139"/>
      <c r="V33" s="139"/>
    </row>
    <row r="34" spans="1:22">
      <c r="A34" s="169"/>
      <c r="B34" s="170" t="s">
        <v>276</v>
      </c>
      <c r="C34" s="171"/>
      <c r="D34" s="172"/>
      <c r="E34" s="172"/>
      <c r="F34" s="3"/>
      <c r="G34" s="3"/>
      <c r="H34" s="3"/>
      <c r="I34" s="3"/>
      <c r="J34" s="3"/>
      <c r="K34" s="3"/>
      <c r="L34" s="3"/>
      <c r="M34" s="3"/>
      <c r="N34" s="3"/>
      <c r="O34" s="3"/>
      <c r="P34" s="3"/>
      <c r="Q34" s="139"/>
      <c r="R34" s="139"/>
      <c r="S34" s="139"/>
      <c r="T34" s="139"/>
      <c r="U34" s="139"/>
      <c r="V34" s="139"/>
    </row>
    <row r="35" spans="1:22">
      <c r="A35" s="173">
        <v>1</v>
      </c>
      <c r="B35" s="7"/>
      <c r="C35" s="3"/>
      <c r="D35" s="174"/>
      <c r="E35" s="174"/>
      <c r="F35" s="175">
        <v>20</v>
      </c>
      <c r="G35" s="139">
        <v>21</v>
      </c>
      <c r="H35" s="139">
        <v>22</v>
      </c>
      <c r="I35" s="139">
        <v>23</v>
      </c>
      <c r="J35" s="139"/>
      <c r="K35" s="139"/>
      <c r="L35" s="139"/>
      <c r="M35" s="139"/>
      <c r="N35" s="139"/>
      <c r="O35" s="139"/>
      <c r="P35" s="139"/>
      <c r="Q35" s="139"/>
      <c r="R35" s="139"/>
      <c r="S35" s="139"/>
      <c r="T35" s="139"/>
      <c r="U35" s="139"/>
      <c r="V35" s="139"/>
    </row>
    <row r="36" spans="1:22">
      <c r="A36" s="173">
        <v>2</v>
      </c>
      <c r="B36" s="7"/>
      <c r="C36" s="3"/>
      <c r="D36" s="174"/>
      <c r="E36" s="174"/>
      <c r="F36" s="175">
        <v>66</v>
      </c>
      <c r="G36" s="139">
        <v>47</v>
      </c>
      <c r="H36" s="139">
        <v>47</v>
      </c>
      <c r="I36" s="139">
        <v>66</v>
      </c>
      <c r="J36" s="139">
        <v>60</v>
      </c>
      <c r="K36" s="139">
        <v>60</v>
      </c>
      <c r="L36" s="139">
        <v>50</v>
      </c>
      <c r="M36" s="139">
        <v>50</v>
      </c>
      <c r="N36" s="139"/>
      <c r="O36" s="139"/>
      <c r="P36" s="139"/>
      <c r="Q36" s="139"/>
      <c r="R36" s="139"/>
      <c r="S36" s="139"/>
      <c r="T36" s="139"/>
      <c r="U36" s="139"/>
      <c r="V36" s="139"/>
    </row>
    <row r="37" spans="1:22">
      <c r="A37" s="173">
        <v>3</v>
      </c>
      <c r="B37" s="7"/>
      <c r="C37" s="3"/>
      <c r="D37" s="174"/>
      <c r="E37" s="174"/>
      <c r="F37" s="175"/>
      <c r="G37" s="139" t="s">
        <v>277</v>
      </c>
      <c r="H37" s="139"/>
      <c r="I37" s="139"/>
      <c r="J37" s="139"/>
      <c r="K37" s="139"/>
      <c r="L37" s="139"/>
      <c r="M37" s="139"/>
      <c r="N37" s="139"/>
      <c r="O37" s="139"/>
      <c r="P37" s="139"/>
      <c r="Q37" s="139"/>
      <c r="R37" s="139"/>
      <c r="S37" s="139"/>
      <c r="T37" s="139"/>
      <c r="U37" s="139"/>
      <c r="V37" s="139"/>
    </row>
    <row r="38" spans="1:22">
      <c r="A38" s="173">
        <v>4</v>
      </c>
      <c r="B38" s="7"/>
      <c r="C38" s="3"/>
      <c r="D38" s="174"/>
      <c r="E38" s="174"/>
      <c r="F38" s="175"/>
      <c r="G38" s="139"/>
      <c r="H38" s="139"/>
      <c r="I38" s="139"/>
      <c r="J38" s="139"/>
      <c r="K38" s="139"/>
      <c r="L38" s="139"/>
      <c r="M38" s="139"/>
      <c r="N38" s="139"/>
      <c r="O38" s="139"/>
      <c r="P38" s="139"/>
      <c r="Q38" s="139"/>
      <c r="R38" s="139"/>
      <c r="S38" s="139"/>
      <c r="T38" s="139"/>
      <c r="U38" s="139"/>
      <c r="V38" s="139"/>
    </row>
    <row r="39" spans="1:22">
      <c r="A39" s="173">
        <v>5</v>
      </c>
      <c r="B39" s="7"/>
      <c r="C39" s="3"/>
      <c r="D39" s="174"/>
      <c r="E39" s="174"/>
      <c r="F39" s="175"/>
      <c r="G39" s="139"/>
      <c r="H39" s="139"/>
      <c r="I39" s="139"/>
      <c r="J39" s="139"/>
      <c r="K39" s="139"/>
      <c r="L39" s="139"/>
      <c r="M39" s="139"/>
      <c r="N39" s="139"/>
      <c r="O39" s="139"/>
      <c r="P39" s="139"/>
      <c r="Q39" s="139"/>
      <c r="R39" s="139"/>
      <c r="S39" s="139"/>
      <c r="T39" s="139"/>
      <c r="U39" s="139"/>
      <c r="V39" s="139"/>
    </row>
    <row r="40" spans="1:22">
      <c r="A40" s="173">
        <v>6</v>
      </c>
      <c r="B40" s="7"/>
      <c r="C40" s="3"/>
      <c r="D40" s="174"/>
      <c r="E40" s="174"/>
      <c r="F40" s="175"/>
      <c r="G40" s="139"/>
      <c r="H40" s="139"/>
      <c r="I40" s="139"/>
      <c r="J40" s="139"/>
      <c r="K40" s="139"/>
      <c r="L40" s="139"/>
      <c r="M40" s="139"/>
      <c r="N40" s="139"/>
      <c r="O40" s="139"/>
      <c r="P40" s="139"/>
      <c r="Q40" s="139"/>
      <c r="R40" s="139"/>
      <c r="S40" s="139"/>
      <c r="T40" s="139"/>
      <c r="U40" s="139"/>
      <c r="V40" s="139"/>
    </row>
    <row r="41" spans="1:22">
      <c r="A41" s="173">
        <v>7</v>
      </c>
      <c r="B41" s="7"/>
      <c r="C41" s="3"/>
      <c r="D41" s="174"/>
      <c r="E41" s="174"/>
      <c r="F41" s="175"/>
      <c r="G41" s="139"/>
      <c r="H41" s="139"/>
      <c r="I41" s="139"/>
      <c r="J41" s="139"/>
      <c r="K41" s="139"/>
      <c r="L41" s="139"/>
      <c r="M41" s="139"/>
      <c r="N41" s="139"/>
      <c r="O41" s="139"/>
      <c r="P41" s="139"/>
      <c r="Q41" s="139"/>
      <c r="R41" s="139"/>
      <c r="S41" s="139"/>
      <c r="T41" s="139"/>
      <c r="U41" s="139"/>
      <c r="V41" s="139"/>
    </row>
    <row r="42" spans="1:22">
      <c r="A42" s="173">
        <v>8</v>
      </c>
      <c r="B42" s="7"/>
      <c r="C42" s="3"/>
      <c r="D42" s="174"/>
      <c r="E42" s="174"/>
      <c r="F42" s="175"/>
      <c r="G42" s="139"/>
      <c r="H42" s="139"/>
      <c r="I42" s="139"/>
      <c r="J42" s="139"/>
      <c r="K42" s="139"/>
      <c r="L42" s="139"/>
      <c r="M42" s="139"/>
      <c r="N42" s="139"/>
      <c r="O42" s="139"/>
      <c r="P42" s="139"/>
      <c r="Q42" s="139"/>
      <c r="R42" s="139"/>
      <c r="S42" s="139"/>
      <c r="T42" s="139"/>
      <c r="U42" s="139"/>
      <c r="V42" s="139"/>
    </row>
    <row r="43" spans="1:22">
      <c r="A43" s="173">
        <v>9</v>
      </c>
      <c r="B43" s="7"/>
      <c r="C43" s="3"/>
      <c r="D43" s="174"/>
      <c r="E43" s="174"/>
      <c r="F43" s="175"/>
      <c r="G43" s="139"/>
      <c r="H43" s="139"/>
      <c r="I43" s="139"/>
      <c r="J43" s="139"/>
      <c r="K43" s="139"/>
      <c r="L43" s="139"/>
      <c r="M43" s="139"/>
      <c r="N43" s="139"/>
      <c r="O43" s="139"/>
      <c r="P43" s="139"/>
      <c r="Q43" s="139"/>
      <c r="R43" s="139"/>
      <c r="S43" s="139"/>
      <c r="T43" s="139"/>
      <c r="U43" s="139"/>
      <c r="V43" s="139"/>
    </row>
    <row r="44" spans="1:22">
      <c r="A44" s="173">
        <v>10</v>
      </c>
      <c r="B44" s="7"/>
      <c r="C44" s="3"/>
      <c r="D44" s="174"/>
      <c r="E44" s="174"/>
      <c r="F44" s="175"/>
      <c r="G44" s="139"/>
      <c r="H44" s="139"/>
      <c r="I44" s="139"/>
      <c r="J44" s="139"/>
      <c r="K44" s="139"/>
      <c r="L44" s="139"/>
      <c r="M44" s="139"/>
      <c r="N44" s="139"/>
      <c r="O44" s="139"/>
      <c r="P44" s="139"/>
      <c r="Q44" s="139"/>
      <c r="R44" s="139"/>
      <c r="S44" s="139"/>
      <c r="T44" s="139"/>
      <c r="U44" s="139"/>
      <c r="V44" s="139"/>
    </row>
    <row r="45" spans="1:22">
      <c r="A45" s="173">
        <v>11</v>
      </c>
      <c r="B45" s="7"/>
      <c r="C45" s="3"/>
      <c r="D45" s="174"/>
      <c r="E45" s="174"/>
      <c r="F45" s="175"/>
      <c r="G45" s="139"/>
      <c r="H45" s="139"/>
      <c r="I45" s="139"/>
      <c r="J45" s="139"/>
      <c r="K45" s="139"/>
      <c r="L45" s="139"/>
      <c r="M45" s="139"/>
      <c r="N45" s="139"/>
      <c r="O45" s="139"/>
      <c r="P45" s="139"/>
      <c r="Q45" s="139"/>
      <c r="R45" s="139"/>
      <c r="S45" s="139"/>
      <c r="T45" s="139"/>
      <c r="U45" s="139"/>
      <c r="V45" s="139"/>
    </row>
    <row r="46" spans="1:22">
      <c r="A46" s="173">
        <v>12</v>
      </c>
      <c r="B46" s="7"/>
      <c r="C46" s="3"/>
      <c r="D46" s="174"/>
      <c r="E46" s="174"/>
      <c r="F46" s="175"/>
      <c r="G46" s="139"/>
      <c r="H46" s="139"/>
      <c r="I46" s="139"/>
      <c r="J46" s="139"/>
      <c r="K46" s="139"/>
      <c r="L46" s="139"/>
      <c r="M46" s="139"/>
      <c r="N46" s="139"/>
      <c r="O46" s="139"/>
      <c r="P46" s="139"/>
      <c r="Q46" s="139"/>
      <c r="R46" s="139"/>
      <c r="S46" s="139"/>
      <c r="T46" s="139"/>
      <c r="U46" s="139"/>
      <c r="V46" s="139"/>
    </row>
    <row r="47" spans="1:22">
      <c r="A47" s="173">
        <v>13</v>
      </c>
      <c r="B47" s="7"/>
      <c r="C47" s="3"/>
      <c r="D47" s="174"/>
      <c r="E47" s="174"/>
      <c r="F47" s="175"/>
      <c r="G47" s="139"/>
      <c r="H47" s="139"/>
      <c r="I47" s="139"/>
      <c r="J47" s="139"/>
      <c r="K47" s="139"/>
      <c r="L47" s="139"/>
      <c r="M47" s="139"/>
      <c r="N47" s="139"/>
      <c r="O47" s="139"/>
      <c r="P47" s="139"/>
      <c r="Q47" s="139"/>
      <c r="R47" s="139"/>
      <c r="S47" s="139"/>
      <c r="T47" s="139"/>
      <c r="U47" s="139"/>
      <c r="V47" s="139"/>
    </row>
    <row r="48" spans="1:22">
      <c r="A48" s="176">
        <v>14</v>
      </c>
      <c r="B48" s="177"/>
      <c r="C48" s="178"/>
      <c r="D48" s="179"/>
      <c r="E48" s="179"/>
      <c r="F48" s="175"/>
      <c r="G48" s="139"/>
      <c r="H48" s="139"/>
      <c r="I48" s="139"/>
      <c r="J48" s="139"/>
      <c r="K48" s="139"/>
      <c r="L48" s="139"/>
      <c r="M48" s="139"/>
      <c r="N48" s="139"/>
      <c r="O48" s="139"/>
      <c r="P48" s="139"/>
      <c r="Q48" s="139"/>
      <c r="R48" s="139"/>
      <c r="S48" s="139"/>
      <c r="T48" s="139"/>
      <c r="U48" s="139"/>
      <c r="V48" s="139"/>
    </row>
    <row r="49" spans="1:22">
      <c r="A49" s="180" t="s">
        <v>278</v>
      </c>
      <c r="B49" s="181" t="s">
        <v>541</v>
      </c>
      <c r="C49" s="182">
        <f>SUM(C35:C48)</f>
        <v>0</v>
      </c>
      <c r="D49" s="172"/>
      <c r="E49" s="183"/>
      <c r="F49" s="184">
        <f>SUM(F35:F48)</f>
        <v>86</v>
      </c>
      <c r="G49" s="139"/>
      <c r="H49" s="139"/>
      <c r="I49" s="139"/>
      <c r="J49" s="139"/>
      <c r="K49" s="139"/>
      <c r="L49" s="139"/>
      <c r="M49" s="139"/>
      <c r="N49" s="139"/>
      <c r="O49" s="139"/>
      <c r="P49" s="139"/>
      <c r="Q49" s="139"/>
      <c r="R49" s="139"/>
      <c r="S49" s="139"/>
      <c r="T49" s="139"/>
      <c r="U49" s="139"/>
      <c r="V49" s="139"/>
    </row>
    <row r="50" spans="1:22">
      <c r="A50" s="139"/>
      <c r="B50" s="7"/>
      <c r="C50" s="139"/>
      <c r="D50" s="139"/>
      <c r="E50" s="139"/>
      <c r="F50" s="3"/>
      <c r="G50" s="139"/>
      <c r="H50" s="139"/>
      <c r="I50" s="139"/>
      <c r="J50" s="139"/>
      <c r="K50" s="139"/>
      <c r="L50" s="139"/>
      <c r="M50" s="139"/>
      <c r="N50" s="139"/>
      <c r="O50" s="139"/>
      <c r="P50" s="139"/>
      <c r="Q50" s="139"/>
      <c r="R50" s="139"/>
      <c r="S50" s="139"/>
      <c r="T50" s="139"/>
      <c r="U50" s="139"/>
      <c r="V50" s="139"/>
    </row>
    <row r="51" spans="1:22">
      <c r="A51" s="139"/>
      <c r="B51" s="139"/>
      <c r="C51" s="185"/>
      <c r="D51" s="185"/>
      <c r="E51" s="185"/>
      <c r="F51" s="185"/>
      <c r="G51" s="185"/>
      <c r="H51" s="185"/>
      <c r="I51" s="185"/>
      <c r="J51" s="185"/>
      <c r="K51" s="185"/>
      <c r="L51" s="185"/>
      <c r="M51" s="185"/>
      <c r="N51" s="185"/>
      <c r="O51" s="185"/>
      <c r="P51" s="185"/>
      <c r="Q51" s="139"/>
      <c r="R51" s="139"/>
      <c r="S51" s="139"/>
      <c r="T51" s="139"/>
      <c r="U51" s="139"/>
      <c r="V51" s="139"/>
    </row>
    <row r="52" spans="1:22">
      <c r="A52" s="185"/>
      <c r="B52" s="185"/>
      <c r="C52" s="185"/>
      <c r="D52" s="185"/>
      <c r="E52" s="185"/>
      <c r="F52" s="185"/>
      <c r="G52" s="185"/>
      <c r="H52" s="185"/>
      <c r="I52" s="185"/>
      <c r="J52" s="185"/>
      <c r="K52" s="185"/>
      <c r="L52" s="185"/>
      <c r="M52" s="185"/>
      <c r="N52" s="185"/>
      <c r="O52" s="185"/>
      <c r="P52" s="185"/>
      <c r="Q52" s="185"/>
      <c r="R52" s="185"/>
      <c r="S52" s="185"/>
      <c r="T52" s="185"/>
      <c r="U52" s="185"/>
      <c r="V52" s="185"/>
    </row>
    <row r="53" spans="1:22">
      <c r="A53" s="139"/>
      <c r="B53" s="139"/>
      <c r="C53" s="139"/>
      <c r="D53" s="139"/>
      <c r="E53" s="139"/>
      <c r="F53" s="185"/>
      <c r="G53" s="185"/>
      <c r="H53" s="185"/>
      <c r="I53" s="185"/>
      <c r="J53" s="185"/>
      <c r="K53" s="185"/>
      <c r="L53" s="185"/>
      <c r="M53" s="185"/>
      <c r="N53" s="185"/>
      <c r="O53" s="185"/>
      <c r="P53" s="185"/>
      <c r="Q53" s="139"/>
      <c r="R53" s="139"/>
      <c r="S53" s="139"/>
      <c r="T53" s="139"/>
      <c r="U53" s="139"/>
      <c r="V53" s="139"/>
    </row>
    <row r="54" spans="1:22">
      <c r="A54" s="139"/>
      <c r="B54" s="139"/>
      <c r="C54" s="139"/>
      <c r="D54" s="139"/>
      <c r="E54" s="185"/>
      <c r="F54" s="186"/>
      <c r="G54" s="186"/>
      <c r="H54" s="186"/>
      <c r="I54" s="139"/>
      <c r="J54" s="186"/>
      <c r="K54" s="186"/>
      <c r="L54" s="186"/>
      <c r="M54" s="186"/>
      <c r="N54" s="186"/>
      <c r="O54" s="186"/>
      <c r="P54" s="186"/>
      <c r="Q54" s="139"/>
      <c r="R54" s="139"/>
      <c r="S54" s="139"/>
      <c r="T54" s="139"/>
      <c r="U54" s="139"/>
      <c r="V54" s="139"/>
    </row>
    <row r="55" spans="1:22">
      <c r="A55" s="139"/>
      <c r="B55" s="139"/>
      <c r="C55" s="185"/>
      <c r="D55" s="185"/>
      <c r="E55" s="185"/>
      <c r="F55" s="185"/>
      <c r="G55" s="185"/>
      <c r="H55" s="185"/>
      <c r="I55" s="185"/>
      <c r="J55" s="185"/>
      <c r="K55" s="185"/>
      <c r="L55" s="185"/>
      <c r="M55" s="185"/>
      <c r="N55" s="185"/>
      <c r="O55" s="185"/>
      <c r="P55" s="185"/>
      <c r="Q55" s="139"/>
      <c r="R55" s="139"/>
      <c r="S55" s="139"/>
      <c r="T55" s="139"/>
      <c r="U55" s="139"/>
      <c r="V55" s="139"/>
    </row>
    <row r="56" spans="1:22">
      <c r="A56" s="139"/>
      <c r="B56" s="139"/>
      <c r="C56" s="139"/>
      <c r="D56" s="139"/>
      <c r="E56" s="139"/>
      <c r="F56" s="186"/>
      <c r="G56" s="186"/>
      <c r="H56" s="186"/>
      <c r="I56" s="186"/>
      <c r="J56" s="186"/>
      <c r="K56" s="186"/>
      <c r="L56" s="186"/>
      <c r="M56" s="186"/>
      <c r="N56" s="186"/>
      <c r="O56" s="186"/>
      <c r="P56" s="186"/>
      <c r="Q56" s="139"/>
      <c r="R56" s="139"/>
      <c r="S56" s="139"/>
      <c r="T56" s="139"/>
      <c r="U56" s="139"/>
      <c r="V56" s="139"/>
    </row>
    <row r="57" spans="1:22">
      <c r="A57" s="139"/>
      <c r="B57" s="139"/>
      <c r="C57" s="139"/>
      <c r="D57" s="139"/>
      <c r="E57" s="139"/>
      <c r="F57" s="185"/>
      <c r="G57" s="185"/>
      <c r="H57" s="185"/>
      <c r="I57" s="185"/>
      <c r="J57" s="185"/>
      <c r="K57" s="185"/>
      <c r="L57" s="185"/>
      <c r="M57" s="185"/>
      <c r="N57" s="185"/>
      <c r="O57" s="185"/>
      <c r="P57" s="185"/>
      <c r="Q57" s="139"/>
      <c r="R57" s="139"/>
      <c r="S57" s="139"/>
      <c r="T57" s="139"/>
      <c r="U57" s="139"/>
      <c r="V57" s="139"/>
    </row>
    <row r="58" spans="1:22">
      <c r="A58" s="139"/>
      <c r="B58" s="139"/>
      <c r="C58" s="139"/>
      <c r="D58" s="139"/>
      <c r="E58" s="139"/>
      <c r="F58" s="185"/>
      <c r="G58" s="185"/>
      <c r="H58" s="185"/>
      <c r="I58" s="185"/>
      <c r="J58" s="185"/>
      <c r="K58" s="185"/>
      <c r="L58" s="185"/>
      <c r="M58" s="185"/>
      <c r="N58" s="185"/>
      <c r="O58" s="185"/>
      <c r="P58" s="185"/>
      <c r="Q58" s="139"/>
      <c r="R58" s="139"/>
      <c r="S58" s="139"/>
      <c r="T58" s="139"/>
      <c r="U58" s="139"/>
      <c r="V58" s="139"/>
    </row>
    <row r="59" spans="1:22">
      <c r="A59" s="139"/>
      <c r="B59" s="139"/>
      <c r="C59" s="139"/>
      <c r="D59" s="139"/>
      <c r="E59" s="139"/>
      <c r="F59" s="139"/>
      <c r="G59" s="139"/>
      <c r="H59" s="139"/>
      <c r="I59" s="139"/>
      <c r="J59" s="139"/>
      <c r="K59" s="139"/>
      <c r="L59" s="139"/>
      <c r="M59" s="139"/>
      <c r="N59" s="139"/>
      <c r="O59" s="139"/>
      <c r="P59" s="139"/>
      <c r="Q59" s="139"/>
      <c r="R59" s="139"/>
      <c r="S59" s="139"/>
      <c r="T59" s="139"/>
      <c r="U59" s="139"/>
      <c r="V59" s="139"/>
    </row>
    <row r="60" spans="1:22">
      <c r="A60" s="139"/>
      <c r="B60" s="139"/>
      <c r="C60" s="3"/>
      <c r="D60" s="3"/>
      <c r="E60" s="3"/>
      <c r="F60" s="139"/>
      <c r="G60" s="139"/>
      <c r="H60" s="139"/>
      <c r="I60" s="139"/>
      <c r="J60" s="139"/>
      <c r="K60" s="139"/>
      <c r="L60" s="139"/>
      <c r="M60" s="139"/>
      <c r="N60" s="139"/>
      <c r="O60" s="139"/>
      <c r="P60" s="139"/>
      <c r="Q60" s="139"/>
      <c r="R60" s="139"/>
      <c r="S60" s="139"/>
      <c r="T60" s="139"/>
      <c r="U60" s="139"/>
      <c r="V60" s="139"/>
    </row>
    <row r="61" spans="1:22">
      <c r="A61" s="139"/>
      <c r="B61" s="139"/>
      <c r="C61" s="3"/>
      <c r="D61" s="3"/>
      <c r="E61" s="3"/>
      <c r="F61" s="139"/>
      <c r="G61" s="139"/>
      <c r="H61" s="139"/>
      <c r="I61" s="139"/>
      <c r="J61" s="139"/>
      <c r="K61" s="139"/>
      <c r="L61" s="139"/>
      <c r="M61" s="139"/>
      <c r="N61" s="139"/>
      <c r="O61" s="139"/>
      <c r="P61" s="139"/>
      <c r="Q61" s="139"/>
      <c r="R61" s="139"/>
      <c r="S61" s="139"/>
      <c r="T61" s="139"/>
      <c r="U61" s="139"/>
      <c r="V61" s="139"/>
    </row>
    <row r="62" spans="1:22">
      <c r="A62" s="139"/>
      <c r="B62" s="139"/>
      <c r="C62" s="185"/>
      <c r="D62" s="185"/>
      <c r="E62" s="185"/>
      <c r="F62" s="185"/>
      <c r="G62" s="185"/>
      <c r="H62" s="185"/>
      <c r="I62" s="185"/>
      <c r="J62" s="185"/>
      <c r="K62" s="185"/>
      <c r="L62" s="185"/>
      <c r="M62" s="185"/>
      <c r="N62" s="185"/>
      <c r="O62" s="185"/>
      <c r="P62" s="185"/>
      <c r="Q62" s="139"/>
      <c r="R62" s="139"/>
      <c r="S62" s="139"/>
      <c r="T62" s="139"/>
      <c r="U62" s="139"/>
      <c r="V62" s="139"/>
    </row>
    <row r="63" spans="1:22">
      <c r="A63" s="139"/>
      <c r="B63" s="139"/>
      <c r="C63" s="185"/>
      <c r="D63" s="185"/>
      <c r="E63" s="185"/>
      <c r="F63" s="185"/>
      <c r="G63" s="185"/>
      <c r="H63" s="185"/>
      <c r="I63" s="185"/>
      <c r="J63" s="185"/>
      <c r="K63" s="185"/>
      <c r="L63" s="185"/>
      <c r="M63" s="185"/>
      <c r="N63" s="185"/>
      <c r="O63" s="185"/>
      <c r="P63" s="185"/>
      <c r="Q63" s="139"/>
      <c r="R63" s="139"/>
      <c r="S63" s="139"/>
      <c r="T63" s="139"/>
      <c r="U63" s="139"/>
      <c r="V63" s="139"/>
    </row>
    <row r="64" spans="1:22">
      <c r="A64" s="139"/>
      <c r="B64" s="139"/>
      <c r="C64" s="139"/>
      <c r="D64" s="139"/>
      <c r="E64" s="139"/>
      <c r="F64" s="186"/>
      <c r="G64" s="186"/>
      <c r="H64" s="186"/>
      <c r="I64" s="186"/>
      <c r="J64" s="186"/>
      <c r="K64" s="186"/>
      <c r="L64" s="186"/>
      <c r="M64" s="186"/>
      <c r="N64" s="186"/>
      <c r="O64" s="186"/>
      <c r="P64" s="186"/>
      <c r="Q64" s="139"/>
      <c r="R64" s="139"/>
      <c r="S64" s="139"/>
      <c r="T64" s="139"/>
      <c r="U64" s="139"/>
      <c r="V64" s="139"/>
    </row>
    <row r="65" spans="1:22">
      <c r="A65" s="139"/>
      <c r="B65" s="139"/>
      <c r="C65" s="139"/>
      <c r="D65" s="139"/>
      <c r="E65" s="139"/>
      <c r="F65" s="139"/>
      <c r="G65" s="139"/>
      <c r="H65" s="139"/>
      <c r="I65" s="139"/>
      <c r="J65" s="139"/>
      <c r="K65" s="139"/>
      <c r="L65" s="139"/>
      <c r="M65" s="139"/>
      <c r="N65" s="139"/>
      <c r="O65" s="139"/>
      <c r="P65" s="139"/>
      <c r="Q65" s="139"/>
      <c r="R65" s="139"/>
      <c r="S65" s="139"/>
      <c r="T65" s="139"/>
      <c r="U65" s="139"/>
      <c r="V65" s="139"/>
    </row>
    <row r="66" spans="1:22">
      <c r="A66" s="139"/>
      <c r="B66" s="139"/>
      <c r="C66" s="139"/>
      <c r="D66" s="139"/>
      <c r="E66" s="139"/>
      <c r="F66" s="139"/>
      <c r="G66" s="139"/>
      <c r="H66" s="139"/>
      <c r="I66" s="139"/>
      <c r="J66" s="139"/>
      <c r="K66" s="139"/>
      <c r="L66" s="139"/>
      <c r="M66" s="139"/>
      <c r="N66" s="139"/>
      <c r="O66" s="139"/>
      <c r="P66" s="139"/>
      <c r="Q66" s="139"/>
      <c r="R66" s="139"/>
      <c r="S66" s="139"/>
      <c r="T66" s="139"/>
      <c r="U66" s="139"/>
      <c r="V66" s="139"/>
    </row>
    <row r="67" spans="1:22">
      <c r="A67" s="139"/>
      <c r="B67" s="139"/>
      <c r="C67" s="139"/>
      <c r="D67" s="139"/>
      <c r="E67" s="139"/>
      <c r="F67" s="139"/>
      <c r="G67" s="139"/>
      <c r="H67" s="139"/>
      <c r="I67" s="139"/>
      <c r="J67" s="139"/>
      <c r="K67" s="139"/>
      <c r="L67" s="139"/>
      <c r="M67" s="139"/>
      <c r="N67" s="139"/>
      <c r="O67" s="139"/>
      <c r="P67" s="139"/>
      <c r="Q67" s="139"/>
      <c r="R67" s="139"/>
      <c r="S67" s="139"/>
      <c r="T67" s="139"/>
      <c r="U67" s="139"/>
      <c r="V67" s="139"/>
    </row>
    <row r="68" spans="1:22">
      <c r="A68" s="139"/>
      <c r="B68" s="139"/>
      <c r="C68" s="139"/>
      <c r="D68" s="139"/>
      <c r="E68" s="139"/>
      <c r="F68" s="139"/>
      <c r="G68" s="139"/>
      <c r="H68" s="139"/>
      <c r="I68" s="139"/>
      <c r="J68" s="139"/>
      <c r="K68" s="139"/>
      <c r="L68" s="139"/>
      <c r="M68" s="139"/>
      <c r="N68" s="139"/>
      <c r="O68" s="139"/>
      <c r="P68" s="139"/>
      <c r="Q68" s="139"/>
      <c r="R68" s="139"/>
      <c r="S68" s="139"/>
      <c r="T68" s="139"/>
      <c r="U68" s="139"/>
      <c r="V68" s="139"/>
    </row>
    <row r="69" spans="1:22">
      <c r="A69" s="139"/>
      <c r="B69" s="139"/>
      <c r="C69" s="139"/>
      <c r="D69" s="139"/>
      <c r="E69" s="139"/>
      <c r="F69" s="139"/>
      <c r="G69" s="139"/>
      <c r="H69" s="139"/>
      <c r="I69" s="139"/>
      <c r="J69" s="139"/>
      <c r="K69" s="139"/>
      <c r="L69" s="139"/>
      <c r="M69" s="139"/>
      <c r="N69" s="139"/>
      <c r="O69" s="139"/>
      <c r="P69" s="139"/>
      <c r="Q69" s="139"/>
      <c r="R69" s="139"/>
      <c r="S69" s="139"/>
      <c r="T69" s="139"/>
      <c r="U69" s="139"/>
      <c r="V69" s="139"/>
    </row>
    <row r="70" spans="1:22">
      <c r="A70" s="139"/>
      <c r="B70" s="139"/>
      <c r="C70" s="139"/>
      <c r="D70" s="139"/>
      <c r="E70" s="139"/>
      <c r="F70" s="139"/>
      <c r="G70" s="139"/>
      <c r="H70" s="139"/>
      <c r="I70" s="139"/>
      <c r="J70" s="139"/>
      <c r="K70" s="139"/>
      <c r="L70" s="139"/>
      <c r="M70" s="139"/>
      <c r="N70" s="139"/>
      <c r="O70" s="139"/>
      <c r="P70" s="139"/>
      <c r="Q70" s="139"/>
      <c r="R70" s="139"/>
      <c r="S70" s="139"/>
      <c r="T70" s="139"/>
      <c r="U70" s="139"/>
      <c r="V70" s="139"/>
    </row>
    <row r="71" spans="1:22">
      <c r="A71" s="139"/>
      <c r="B71" s="139"/>
      <c r="C71" s="139"/>
      <c r="D71" s="139"/>
      <c r="E71" s="139"/>
      <c r="F71" s="139"/>
      <c r="G71" s="139"/>
      <c r="H71" s="139"/>
      <c r="I71" s="139"/>
      <c r="J71" s="139"/>
      <c r="K71" s="139"/>
      <c r="L71" s="139"/>
      <c r="M71" s="139"/>
      <c r="N71" s="139"/>
      <c r="O71" s="139"/>
      <c r="P71" s="139"/>
      <c r="Q71" s="139"/>
      <c r="R71" s="139"/>
      <c r="S71" s="139"/>
      <c r="T71" s="139"/>
      <c r="U71" s="139"/>
      <c r="V71" s="139"/>
    </row>
    <row r="72" spans="1:22">
      <c r="A72" s="139"/>
      <c r="B72" s="139"/>
      <c r="C72" s="139"/>
      <c r="D72" s="139"/>
      <c r="E72" s="139"/>
      <c r="F72" s="139"/>
      <c r="G72" s="139"/>
      <c r="H72" s="139"/>
      <c r="I72" s="139"/>
      <c r="J72" s="139"/>
      <c r="K72" s="139"/>
      <c r="L72" s="139"/>
      <c r="M72" s="139"/>
      <c r="N72" s="139"/>
      <c r="O72" s="139"/>
      <c r="P72" s="139"/>
      <c r="Q72" s="139"/>
      <c r="R72" s="139"/>
      <c r="S72" s="139"/>
      <c r="T72" s="139"/>
      <c r="U72" s="139"/>
      <c r="V72" s="139"/>
    </row>
    <row r="73" spans="1:22">
      <c r="A73" s="139"/>
      <c r="B73" s="139"/>
      <c r="C73" s="139"/>
      <c r="D73" s="139"/>
      <c r="E73" s="139"/>
      <c r="F73" s="139"/>
      <c r="G73" s="139"/>
      <c r="H73" s="139"/>
      <c r="I73" s="139"/>
      <c r="J73" s="139"/>
      <c r="K73" s="139"/>
      <c r="L73" s="139"/>
      <c r="M73" s="139"/>
      <c r="N73" s="139"/>
      <c r="O73" s="139"/>
      <c r="P73" s="139"/>
      <c r="Q73" s="139"/>
      <c r="R73" s="139"/>
      <c r="S73" s="139"/>
      <c r="T73" s="139"/>
      <c r="U73" s="139"/>
      <c r="V73" s="139"/>
    </row>
    <row r="74" spans="1:22">
      <c r="A74" s="139"/>
      <c r="B74" s="139"/>
      <c r="C74" s="139"/>
      <c r="D74" s="139"/>
      <c r="E74" s="139"/>
      <c r="F74" s="139"/>
      <c r="G74" s="139"/>
      <c r="H74" s="139"/>
      <c r="I74" s="139"/>
      <c r="J74" s="139"/>
      <c r="K74" s="139"/>
      <c r="L74" s="139"/>
      <c r="M74" s="139"/>
      <c r="N74" s="139"/>
      <c r="O74" s="139"/>
      <c r="P74" s="139"/>
      <c r="Q74" s="139"/>
      <c r="R74" s="139"/>
      <c r="S74" s="139"/>
      <c r="T74" s="139"/>
      <c r="U74" s="139"/>
      <c r="V74" s="139"/>
    </row>
    <row r="75" spans="1:22">
      <c r="A75" s="139"/>
      <c r="B75" s="139"/>
      <c r="C75" s="139"/>
      <c r="D75" s="139"/>
      <c r="E75" s="139"/>
      <c r="F75" s="139"/>
      <c r="G75" s="139"/>
      <c r="H75" s="139"/>
      <c r="I75" s="139"/>
      <c r="J75" s="139"/>
      <c r="K75" s="139"/>
      <c r="L75" s="139"/>
      <c r="M75" s="139"/>
      <c r="N75" s="139"/>
      <c r="O75" s="139"/>
      <c r="P75" s="139"/>
      <c r="Q75" s="139"/>
      <c r="R75" s="139"/>
      <c r="S75" s="139"/>
      <c r="T75" s="139"/>
      <c r="U75" s="139"/>
      <c r="V75" s="139"/>
    </row>
    <row r="76" spans="1:22">
      <c r="A76" s="139"/>
      <c r="B76" s="139"/>
      <c r="C76" s="139"/>
      <c r="D76" s="139"/>
      <c r="E76" s="139"/>
      <c r="F76" s="139"/>
      <c r="G76" s="139"/>
      <c r="H76" s="139"/>
      <c r="I76" s="139"/>
      <c r="J76" s="139"/>
      <c r="K76" s="139"/>
      <c r="L76" s="139"/>
      <c r="M76" s="139"/>
      <c r="N76" s="139"/>
      <c r="O76" s="139"/>
      <c r="P76" s="139"/>
      <c r="Q76" s="139"/>
      <c r="R76" s="139"/>
      <c r="S76" s="139"/>
      <c r="T76" s="139"/>
      <c r="U76" s="139"/>
      <c r="V76" s="139"/>
    </row>
    <row r="77" spans="1:22">
      <c r="A77" s="139"/>
      <c r="B77" s="139"/>
      <c r="C77" s="139"/>
      <c r="D77" s="139"/>
      <c r="E77" s="139"/>
      <c r="F77" s="139"/>
      <c r="G77" s="139"/>
      <c r="H77" s="139"/>
      <c r="I77" s="139"/>
      <c r="J77" s="139"/>
      <c r="K77" s="139"/>
      <c r="L77" s="139"/>
      <c r="M77" s="139"/>
      <c r="N77" s="139"/>
      <c r="O77" s="139"/>
      <c r="P77" s="139"/>
      <c r="Q77" s="139"/>
      <c r="R77" s="139"/>
      <c r="S77" s="139"/>
      <c r="T77" s="139"/>
      <c r="U77" s="139"/>
      <c r="V77" s="139"/>
    </row>
    <row r="78" spans="1:22">
      <c r="A78" s="139"/>
      <c r="B78" s="139"/>
      <c r="C78" s="139"/>
      <c r="D78" s="139"/>
      <c r="E78" s="139"/>
      <c r="F78" s="139"/>
      <c r="G78" s="139"/>
      <c r="H78" s="139"/>
      <c r="I78" s="139"/>
      <c r="J78" s="139"/>
      <c r="K78" s="139"/>
      <c r="L78" s="139"/>
      <c r="M78" s="139"/>
      <c r="N78" s="139"/>
      <c r="O78" s="139"/>
      <c r="P78" s="139"/>
      <c r="Q78" s="139"/>
      <c r="R78" s="139"/>
      <c r="S78" s="139"/>
      <c r="T78" s="139"/>
      <c r="U78" s="139"/>
      <c r="V78" s="139"/>
    </row>
    <row r="79" spans="1:22">
      <c r="A79" s="139"/>
      <c r="B79" s="139"/>
      <c r="C79" s="139"/>
      <c r="D79" s="139"/>
      <c r="E79" s="139"/>
      <c r="F79" s="139"/>
      <c r="G79" s="139"/>
      <c r="H79" s="139"/>
      <c r="I79" s="139"/>
      <c r="J79" s="139"/>
      <c r="K79" s="139"/>
      <c r="L79" s="139"/>
      <c r="M79" s="139"/>
      <c r="N79" s="139"/>
      <c r="O79" s="139"/>
      <c r="P79" s="139"/>
      <c r="Q79" s="139"/>
      <c r="R79" s="139"/>
      <c r="S79" s="139"/>
      <c r="T79" s="139"/>
      <c r="U79" s="139"/>
      <c r="V79" s="139"/>
    </row>
    <row r="80" spans="1:22">
      <c r="A80" s="139"/>
      <c r="B80" s="139"/>
      <c r="C80" s="139"/>
      <c r="D80" s="139"/>
      <c r="E80" s="139"/>
      <c r="F80" s="139"/>
      <c r="G80" s="139"/>
      <c r="H80" s="139"/>
      <c r="I80" s="139"/>
      <c r="J80" s="139"/>
      <c r="K80" s="139"/>
      <c r="L80" s="139"/>
      <c r="M80" s="139"/>
      <c r="N80" s="139"/>
      <c r="O80" s="139"/>
      <c r="P80" s="139"/>
      <c r="Q80" s="139"/>
      <c r="R80" s="139"/>
      <c r="S80" s="139"/>
      <c r="T80" s="139"/>
      <c r="U80" s="139"/>
      <c r="V80" s="139"/>
    </row>
    <row r="81" spans="1:22">
      <c r="A81" s="139"/>
      <c r="B81" s="139"/>
      <c r="C81" s="139"/>
      <c r="D81" s="139"/>
      <c r="E81" s="139"/>
      <c r="F81" s="139"/>
      <c r="G81" s="139"/>
      <c r="H81" s="139"/>
      <c r="I81" s="139"/>
      <c r="J81" s="139"/>
      <c r="K81" s="139"/>
      <c r="L81" s="139"/>
      <c r="M81" s="139"/>
      <c r="N81" s="139"/>
      <c r="O81" s="139"/>
      <c r="P81" s="139"/>
      <c r="Q81" s="139"/>
      <c r="R81" s="139"/>
      <c r="S81" s="139"/>
      <c r="T81" s="139"/>
      <c r="U81" s="139"/>
      <c r="V81" s="139"/>
    </row>
    <row r="82" spans="1:22">
      <c r="A82" s="139"/>
      <c r="B82" s="139"/>
      <c r="C82" s="139"/>
      <c r="D82" s="139"/>
      <c r="E82" s="139"/>
      <c r="F82" s="139"/>
      <c r="G82" s="139"/>
      <c r="H82" s="139"/>
      <c r="I82" s="139"/>
      <c r="J82" s="139"/>
      <c r="K82" s="139"/>
      <c r="L82" s="139"/>
      <c r="M82" s="139"/>
      <c r="N82" s="139"/>
      <c r="O82" s="139"/>
      <c r="P82" s="139"/>
      <c r="Q82" s="139"/>
      <c r="R82" s="139"/>
      <c r="S82" s="139"/>
      <c r="T82" s="139"/>
      <c r="U82" s="139"/>
      <c r="V82" s="139"/>
    </row>
    <row r="83" spans="1:22">
      <c r="A83" s="139"/>
      <c r="B83" s="139"/>
      <c r="C83" s="139"/>
      <c r="D83" s="139"/>
      <c r="E83" s="139"/>
      <c r="F83" s="139"/>
      <c r="G83" s="139"/>
      <c r="H83" s="139"/>
      <c r="I83" s="139"/>
      <c r="J83" s="139"/>
      <c r="K83" s="139"/>
      <c r="L83" s="139"/>
      <c r="M83" s="139"/>
      <c r="N83" s="139"/>
      <c r="O83" s="139"/>
      <c r="P83" s="139"/>
      <c r="Q83" s="139"/>
      <c r="R83" s="139"/>
      <c r="S83" s="139"/>
      <c r="T83" s="139"/>
      <c r="U83" s="139"/>
      <c r="V83" s="139"/>
    </row>
    <row r="84" spans="1:22">
      <c r="A84" s="139"/>
      <c r="B84" s="139"/>
      <c r="C84" s="139"/>
      <c r="D84" s="139"/>
      <c r="E84" s="139"/>
      <c r="F84" s="139"/>
      <c r="G84" s="139"/>
      <c r="H84" s="139"/>
      <c r="I84" s="139"/>
      <c r="J84" s="139"/>
      <c r="K84" s="139"/>
      <c r="L84" s="139"/>
      <c r="M84" s="139"/>
      <c r="N84" s="139"/>
      <c r="O84" s="139"/>
      <c r="P84" s="139"/>
      <c r="Q84" s="139"/>
      <c r="R84" s="139"/>
      <c r="S84" s="139"/>
      <c r="T84" s="139"/>
      <c r="U84" s="139"/>
      <c r="V84" s="139"/>
    </row>
    <row r="85" spans="1:22">
      <c r="A85" s="139"/>
      <c r="B85" s="139"/>
      <c r="C85" s="139"/>
      <c r="D85" s="139"/>
      <c r="E85" s="139"/>
      <c r="F85" s="139"/>
      <c r="G85" s="139"/>
      <c r="H85" s="139"/>
      <c r="I85" s="139"/>
      <c r="J85" s="139"/>
      <c r="K85" s="139"/>
      <c r="L85" s="139"/>
      <c r="M85" s="139"/>
      <c r="N85" s="139"/>
      <c r="O85" s="139"/>
      <c r="P85" s="139"/>
      <c r="Q85" s="139"/>
      <c r="R85" s="139"/>
      <c r="S85" s="139"/>
      <c r="T85" s="139"/>
      <c r="U85" s="139"/>
      <c r="V85" s="139"/>
    </row>
    <row r="86" spans="1:22">
      <c r="A86" s="139"/>
      <c r="B86" s="139"/>
      <c r="C86" s="139"/>
      <c r="D86" s="139"/>
      <c r="E86" s="139"/>
      <c r="F86" s="139"/>
      <c r="G86" s="139"/>
      <c r="H86" s="139"/>
      <c r="I86" s="139"/>
      <c r="J86" s="139"/>
      <c r="K86" s="139"/>
      <c r="L86" s="139"/>
      <c r="M86" s="139"/>
      <c r="N86" s="139"/>
      <c r="O86" s="139"/>
      <c r="P86" s="139"/>
      <c r="Q86" s="139"/>
      <c r="R86" s="139"/>
      <c r="S86" s="139"/>
      <c r="T86" s="139"/>
      <c r="U86" s="139"/>
      <c r="V86" s="139"/>
    </row>
    <row r="87" spans="1:22">
      <c r="A87" s="139"/>
      <c r="B87" s="139"/>
      <c r="C87" s="139"/>
      <c r="D87" s="139"/>
      <c r="E87" s="139"/>
      <c r="F87" s="139"/>
      <c r="G87" s="139"/>
      <c r="H87" s="139"/>
      <c r="I87" s="139"/>
      <c r="J87" s="139"/>
      <c r="K87" s="139"/>
      <c r="L87" s="139"/>
      <c r="M87" s="139"/>
      <c r="N87" s="139"/>
      <c r="O87" s="139"/>
      <c r="P87" s="139"/>
      <c r="Q87" s="139"/>
      <c r="R87" s="139"/>
      <c r="S87" s="139"/>
      <c r="T87" s="139"/>
      <c r="U87" s="139"/>
      <c r="V87" s="139"/>
    </row>
    <row r="88" spans="1:22">
      <c r="A88" s="139"/>
      <c r="B88" s="139"/>
      <c r="C88" s="139"/>
      <c r="D88" s="139"/>
      <c r="E88" s="139"/>
      <c r="F88" s="139"/>
      <c r="G88" s="139"/>
      <c r="H88" s="139"/>
      <c r="I88" s="139"/>
      <c r="J88" s="139"/>
      <c r="K88" s="139"/>
      <c r="L88" s="139"/>
      <c r="M88" s="139"/>
      <c r="N88" s="139"/>
      <c r="O88" s="139"/>
      <c r="P88" s="139"/>
      <c r="Q88" s="139"/>
      <c r="R88" s="139"/>
      <c r="S88" s="139"/>
      <c r="T88" s="139"/>
      <c r="U88" s="139"/>
      <c r="V88" s="139"/>
    </row>
    <row r="89" spans="1:22">
      <c r="A89" s="139"/>
      <c r="B89" s="139"/>
      <c r="C89" s="139"/>
      <c r="D89" s="139"/>
      <c r="E89" s="139"/>
      <c r="F89" s="139"/>
      <c r="G89" s="139"/>
      <c r="H89" s="139"/>
      <c r="I89" s="139"/>
      <c r="J89" s="139"/>
      <c r="K89" s="139"/>
      <c r="L89" s="139"/>
      <c r="M89" s="139"/>
      <c r="N89" s="139"/>
      <c r="O89" s="139"/>
      <c r="P89" s="139"/>
      <c r="Q89" s="139"/>
      <c r="R89" s="139"/>
      <c r="S89" s="139"/>
      <c r="T89" s="139"/>
      <c r="U89" s="139"/>
      <c r="V89" s="139"/>
    </row>
    <row r="90" spans="1:22">
      <c r="A90" s="139"/>
      <c r="B90" s="139"/>
      <c r="C90" s="139"/>
      <c r="D90" s="139"/>
      <c r="E90" s="139"/>
      <c r="F90" s="139"/>
      <c r="G90" s="139"/>
      <c r="H90" s="139"/>
      <c r="I90" s="139"/>
      <c r="J90" s="139"/>
      <c r="K90" s="139"/>
      <c r="L90" s="139"/>
      <c r="M90" s="139"/>
      <c r="N90" s="139"/>
      <c r="O90" s="139"/>
      <c r="P90" s="139"/>
      <c r="Q90" s="139"/>
      <c r="R90" s="139"/>
      <c r="S90" s="139"/>
      <c r="T90" s="139"/>
      <c r="U90" s="139"/>
      <c r="V90" s="139"/>
    </row>
    <row r="91" spans="1:22">
      <c r="A91" s="139"/>
      <c r="B91" s="139"/>
      <c r="C91" s="139"/>
      <c r="D91" s="139"/>
      <c r="E91" s="139"/>
      <c r="F91" s="139"/>
      <c r="G91" s="139"/>
      <c r="H91" s="139"/>
      <c r="I91" s="139"/>
      <c r="J91" s="139"/>
      <c r="K91" s="139"/>
      <c r="L91" s="139"/>
      <c r="M91" s="139"/>
      <c r="N91" s="139"/>
      <c r="O91" s="139"/>
      <c r="P91" s="139"/>
      <c r="Q91" s="139"/>
      <c r="R91" s="139"/>
      <c r="S91" s="139"/>
      <c r="T91" s="139"/>
      <c r="U91" s="139"/>
      <c r="V91" s="139"/>
    </row>
    <row r="92" spans="1:22">
      <c r="A92" s="139"/>
      <c r="B92" s="139"/>
      <c r="C92" s="139"/>
      <c r="D92" s="139"/>
      <c r="E92" s="139"/>
      <c r="F92" s="139"/>
      <c r="G92" s="139"/>
      <c r="H92" s="139"/>
      <c r="I92" s="139"/>
      <c r="J92" s="139"/>
      <c r="K92" s="139"/>
      <c r="L92" s="139"/>
      <c r="M92" s="139"/>
      <c r="N92" s="139"/>
      <c r="O92" s="139"/>
      <c r="P92" s="139"/>
      <c r="Q92" s="139"/>
      <c r="R92" s="139"/>
      <c r="S92" s="139"/>
      <c r="T92" s="139"/>
      <c r="U92" s="139"/>
      <c r="V92" s="139"/>
    </row>
    <row r="93" spans="1:22">
      <c r="A93" s="139"/>
      <c r="B93" s="139"/>
      <c r="C93" s="139"/>
      <c r="D93" s="139"/>
      <c r="E93" s="139"/>
      <c r="F93" s="139"/>
      <c r="G93" s="139"/>
      <c r="H93" s="139"/>
      <c r="I93" s="139"/>
      <c r="J93" s="139"/>
      <c r="K93" s="139"/>
      <c r="L93" s="139"/>
      <c r="M93" s="139"/>
      <c r="N93" s="139"/>
      <c r="O93" s="139"/>
      <c r="P93" s="139"/>
      <c r="Q93" s="139"/>
      <c r="R93" s="139"/>
      <c r="S93" s="139"/>
      <c r="T93" s="139"/>
      <c r="U93" s="139"/>
      <c r="V93" s="139"/>
    </row>
    <row r="94" spans="1:22">
      <c r="A94" s="139"/>
      <c r="B94" s="139"/>
      <c r="C94" s="139"/>
      <c r="D94" s="139"/>
      <c r="E94" s="139"/>
      <c r="F94" s="139"/>
      <c r="G94" s="139"/>
      <c r="H94" s="139"/>
      <c r="I94" s="139"/>
      <c r="J94" s="139"/>
      <c r="K94" s="139"/>
      <c r="L94" s="139"/>
      <c r="M94" s="139"/>
      <c r="N94" s="139"/>
      <c r="O94" s="139"/>
      <c r="P94" s="139"/>
      <c r="Q94" s="139"/>
      <c r="R94" s="139"/>
      <c r="S94" s="139"/>
      <c r="T94" s="139"/>
      <c r="U94" s="139"/>
      <c r="V94" s="139"/>
    </row>
    <row r="95" spans="1:22">
      <c r="A95" s="139"/>
      <c r="B95" s="139"/>
      <c r="C95" s="139"/>
      <c r="D95" s="139"/>
      <c r="E95" s="139"/>
      <c r="F95" s="139"/>
      <c r="G95" s="139"/>
      <c r="H95" s="139"/>
      <c r="I95" s="139"/>
      <c r="J95" s="139"/>
      <c r="K95" s="139"/>
      <c r="L95" s="139"/>
      <c r="M95" s="139"/>
      <c r="N95" s="139"/>
      <c r="O95" s="139"/>
      <c r="P95" s="139"/>
      <c r="Q95" s="139"/>
      <c r="R95" s="139"/>
      <c r="S95" s="139"/>
      <c r="T95" s="139"/>
      <c r="U95" s="139"/>
      <c r="V95" s="139"/>
    </row>
    <row r="96" spans="1:22">
      <c r="A96" s="139"/>
      <c r="B96" s="139"/>
      <c r="C96" s="139"/>
      <c r="D96" s="139"/>
      <c r="E96" s="139"/>
      <c r="F96" s="139"/>
      <c r="G96" s="139"/>
      <c r="H96" s="139"/>
      <c r="I96" s="139"/>
      <c r="J96" s="139"/>
      <c r="K96" s="139"/>
      <c r="L96" s="139"/>
      <c r="M96" s="139"/>
      <c r="N96" s="139"/>
      <c r="O96" s="139"/>
      <c r="P96" s="139"/>
      <c r="Q96" s="139"/>
      <c r="R96" s="139"/>
      <c r="S96" s="139"/>
      <c r="T96" s="139"/>
      <c r="U96" s="139"/>
      <c r="V96" s="139"/>
    </row>
    <row r="97" spans="1:22">
      <c r="A97" s="139"/>
      <c r="B97" s="139"/>
      <c r="C97" s="139"/>
      <c r="D97" s="139"/>
      <c r="E97" s="139"/>
      <c r="F97" s="139"/>
      <c r="G97" s="139"/>
      <c r="H97" s="139"/>
      <c r="I97" s="139"/>
      <c r="J97" s="139"/>
      <c r="K97" s="139"/>
      <c r="L97" s="139"/>
      <c r="M97" s="139"/>
      <c r="N97" s="139"/>
      <c r="O97" s="139"/>
      <c r="P97" s="139"/>
      <c r="Q97" s="139"/>
      <c r="R97" s="139"/>
      <c r="S97" s="139"/>
      <c r="T97" s="139"/>
      <c r="U97" s="139"/>
      <c r="V97" s="139"/>
    </row>
    <row r="98" spans="1:22">
      <c r="A98" s="139"/>
      <c r="B98" s="139"/>
      <c r="C98" s="139"/>
      <c r="D98" s="139"/>
      <c r="E98" s="139"/>
      <c r="F98" s="139"/>
      <c r="G98" s="139"/>
      <c r="H98" s="139"/>
      <c r="I98" s="139"/>
      <c r="J98" s="139"/>
      <c r="K98" s="139"/>
      <c r="L98" s="139"/>
      <c r="M98" s="139"/>
      <c r="N98" s="139"/>
      <c r="O98" s="139"/>
      <c r="P98" s="139"/>
      <c r="Q98" s="139"/>
      <c r="R98" s="139"/>
      <c r="S98" s="139"/>
      <c r="T98" s="139"/>
      <c r="U98" s="139"/>
      <c r="V98" s="139"/>
    </row>
    <row r="99" spans="1:22">
      <c r="A99" s="139"/>
      <c r="B99" s="139"/>
      <c r="C99" s="139"/>
      <c r="D99" s="139"/>
      <c r="E99" s="139"/>
      <c r="F99" s="139"/>
      <c r="G99" s="139"/>
      <c r="H99" s="139"/>
      <c r="I99" s="139"/>
      <c r="J99" s="139"/>
      <c r="K99" s="139"/>
      <c r="L99" s="139"/>
      <c r="M99" s="139"/>
      <c r="N99" s="139"/>
      <c r="O99" s="139"/>
      <c r="P99" s="139"/>
      <c r="Q99" s="139"/>
      <c r="R99" s="139"/>
      <c r="S99" s="139"/>
      <c r="T99" s="139"/>
      <c r="U99" s="139"/>
      <c r="V99" s="139"/>
    </row>
    <row r="100" spans="1:22">
      <c r="A100" s="139"/>
      <c r="B100" s="139"/>
      <c r="C100" s="139"/>
      <c r="D100" s="139"/>
      <c r="E100" s="139"/>
      <c r="F100" s="139"/>
      <c r="G100" s="139"/>
      <c r="H100" s="139"/>
      <c r="I100" s="139"/>
      <c r="J100" s="139"/>
      <c r="K100" s="139"/>
      <c r="L100" s="139"/>
      <c r="M100" s="139"/>
      <c r="N100" s="139"/>
      <c r="O100" s="139"/>
      <c r="P100" s="139"/>
      <c r="Q100" s="139"/>
      <c r="R100" s="139"/>
      <c r="S100" s="139"/>
      <c r="T100" s="139"/>
      <c r="U100" s="139"/>
      <c r="V100" s="139"/>
    </row>
    <row r="101" spans="1:22">
      <c r="A101" s="139"/>
      <c r="B101" s="139"/>
      <c r="C101" s="139"/>
      <c r="D101" s="139"/>
      <c r="E101" s="139"/>
      <c r="F101" s="139"/>
      <c r="G101" s="139"/>
      <c r="H101" s="139"/>
      <c r="I101" s="139"/>
      <c r="J101" s="139"/>
      <c r="K101" s="139"/>
      <c r="L101" s="139"/>
      <c r="M101" s="139"/>
      <c r="N101" s="139"/>
      <c r="O101" s="139"/>
      <c r="P101" s="139"/>
      <c r="Q101" s="139"/>
      <c r="R101" s="139"/>
      <c r="S101" s="139"/>
      <c r="T101" s="139"/>
      <c r="U101" s="139"/>
      <c r="V101" s="139"/>
    </row>
    <row r="102" spans="1:22">
      <c r="A102" s="139"/>
      <c r="B102" s="139"/>
      <c r="C102" s="139"/>
      <c r="D102" s="139"/>
      <c r="E102" s="139"/>
      <c r="F102" s="139"/>
      <c r="G102" s="139"/>
      <c r="H102" s="139"/>
      <c r="I102" s="139"/>
      <c r="J102" s="139"/>
      <c r="K102" s="139"/>
      <c r="L102" s="139"/>
      <c r="M102" s="139"/>
      <c r="N102" s="139"/>
      <c r="O102" s="139"/>
      <c r="P102" s="139"/>
      <c r="Q102" s="139"/>
      <c r="R102" s="139"/>
      <c r="S102" s="139"/>
      <c r="T102" s="139"/>
      <c r="U102" s="139"/>
      <c r="V102" s="139"/>
    </row>
    <row r="103" spans="1:22">
      <c r="A103" s="139"/>
      <c r="B103" s="139"/>
      <c r="C103" s="139"/>
      <c r="D103" s="139"/>
      <c r="E103" s="139"/>
      <c r="F103" s="139"/>
      <c r="G103" s="139"/>
      <c r="H103" s="139"/>
      <c r="I103" s="139"/>
      <c r="J103" s="139"/>
      <c r="K103" s="139"/>
      <c r="L103" s="139"/>
      <c r="M103" s="139"/>
      <c r="N103" s="139"/>
      <c r="O103" s="139"/>
      <c r="P103" s="139"/>
      <c r="Q103" s="139"/>
      <c r="R103" s="139"/>
      <c r="S103" s="139"/>
      <c r="T103" s="139"/>
      <c r="U103" s="139"/>
      <c r="V103" s="139"/>
    </row>
    <row r="104" spans="1:22">
      <c r="A104" s="139"/>
      <c r="B104" s="139"/>
      <c r="C104" s="139"/>
      <c r="D104" s="139"/>
      <c r="E104" s="139"/>
      <c r="F104" s="139"/>
      <c r="G104" s="139"/>
      <c r="H104" s="139"/>
      <c r="I104" s="139"/>
      <c r="J104" s="139"/>
      <c r="K104" s="139"/>
      <c r="L104" s="139"/>
      <c r="M104" s="139"/>
      <c r="N104" s="139"/>
      <c r="O104" s="139"/>
      <c r="P104" s="139"/>
      <c r="Q104" s="139"/>
      <c r="R104" s="139"/>
      <c r="S104" s="139"/>
      <c r="T104" s="139"/>
      <c r="U104" s="139"/>
      <c r="V104" s="139"/>
    </row>
    <row r="105" spans="1:22">
      <c r="A105" s="139"/>
      <c r="B105" s="139"/>
      <c r="C105" s="139"/>
      <c r="D105" s="139"/>
      <c r="E105" s="139"/>
      <c r="F105" s="139"/>
      <c r="G105" s="139"/>
      <c r="H105" s="139"/>
      <c r="I105" s="139"/>
      <c r="J105" s="139"/>
      <c r="K105" s="139"/>
      <c r="L105" s="139"/>
      <c r="M105" s="139"/>
      <c r="N105" s="139"/>
      <c r="O105" s="139"/>
      <c r="P105" s="139"/>
      <c r="Q105" s="139"/>
      <c r="R105" s="139"/>
      <c r="S105" s="139"/>
      <c r="T105" s="139"/>
      <c r="U105" s="139"/>
      <c r="V105" s="139"/>
    </row>
    <row r="106" spans="1:22">
      <c r="A106" s="139"/>
      <c r="B106" s="139"/>
      <c r="C106" s="139"/>
      <c r="D106" s="139"/>
      <c r="E106" s="139"/>
      <c r="F106" s="139"/>
      <c r="G106" s="139"/>
      <c r="H106" s="139"/>
      <c r="I106" s="139"/>
      <c r="J106" s="139"/>
      <c r="K106" s="139"/>
      <c r="L106" s="139"/>
      <c r="M106" s="139"/>
      <c r="N106" s="139"/>
      <c r="O106" s="139"/>
      <c r="P106" s="139"/>
      <c r="Q106" s="139"/>
      <c r="R106" s="139"/>
      <c r="S106" s="139"/>
      <c r="T106" s="139"/>
      <c r="U106" s="139"/>
      <c r="V106" s="139"/>
    </row>
    <row r="107" spans="1:22">
      <c r="A107" s="139"/>
      <c r="B107" s="139"/>
      <c r="C107" s="139"/>
      <c r="D107" s="139"/>
      <c r="E107" s="139"/>
      <c r="F107" s="139"/>
      <c r="G107" s="139"/>
      <c r="H107" s="139"/>
      <c r="I107" s="139"/>
      <c r="J107" s="139"/>
      <c r="K107" s="139"/>
      <c r="L107" s="139"/>
      <c r="M107" s="139"/>
      <c r="N107" s="139"/>
      <c r="O107" s="139"/>
      <c r="P107" s="139"/>
      <c r="Q107" s="139"/>
      <c r="R107" s="139"/>
      <c r="S107" s="139"/>
      <c r="T107" s="139"/>
      <c r="U107" s="139"/>
      <c r="V107" s="139"/>
    </row>
    <row r="108" spans="1:22">
      <c r="A108" s="139"/>
      <c r="B108" s="139"/>
      <c r="C108" s="139"/>
      <c r="D108" s="139"/>
      <c r="E108" s="139"/>
      <c r="F108" s="139"/>
      <c r="G108" s="139"/>
      <c r="H108" s="139"/>
      <c r="I108" s="139"/>
      <c r="J108" s="139"/>
      <c r="K108" s="139"/>
      <c r="L108" s="139"/>
      <c r="M108" s="139"/>
      <c r="N108" s="139"/>
      <c r="O108" s="139"/>
      <c r="P108" s="139"/>
      <c r="Q108" s="139"/>
      <c r="R108" s="139"/>
      <c r="S108" s="139"/>
      <c r="T108" s="139"/>
      <c r="U108" s="139"/>
      <c r="V108" s="139"/>
    </row>
    <row r="109" spans="1:22">
      <c r="A109" s="139"/>
      <c r="B109" s="139"/>
      <c r="C109" s="139"/>
      <c r="D109" s="139"/>
      <c r="E109" s="139"/>
      <c r="F109" s="139"/>
      <c r="G109" s="139"/>
      <c r="H109" s="139"/>
      <c r="I109" s="139"/>
      <c r="J109" s="139"/>
      <c r="K109" s="139"/>
      <c r="L109" s="139"/>
      <c r="M109" s="139"/>
      <c r="N109" s="139"/>
      <c r="O109" s="139"/>
      <c r="P109" s="139"/>
      <c r="Q109" s="139"/>
      <c r="R109" s="139"/>
      <c r="S109" s="139"/>
      <c r="T109" s="139"/>
      <c r="U109" s="139"/>
      <c r="V109" s="139"/>
    </row>
    <row r="110" spans="1:22">
      <c r="A110" s="139"/>
      <c r="B110" s="139"/>
      <c r="C110" s="139"/>
      <c r="D110" s="139"/>
      <c r="E110" s="139"/>
      <c r="F110" s="139"/>
      <c r="G110" s="139"/>
      <c r="H110" s="139"/>
      <c r="I110" s="139"/>
      <c r="J110" s="139"/>
      <c r="K110" s="139"/>
      <c r="L110" s="139"/>
      <c r="M110" s="139"/>
      <c r="N110" s="139"/>
      <c r="O110" s="139"/>
      <c r="P110" s="139"/>
      <c r="Q110" s="139"/>
      <c r="R110" s="139"/>
      <c r="S110" s="139"/>
      <c r="T110" s="139"/>
      <c r="U110" s="139"/>
      <c r="V110" s="139"/>
    </row>
    <row r="111" spans="1:22">
      <c r="A111" s="139"/>
      <c r="B111" s="139"/>
      <c r="C111" s="139"/>
      <c r="D111" s="139"/>
      <c r="E111" s="139"/>
      <c r="F111" s="139"/>
      <c r="G111" s="139"/>
      <c r="H111" s="139"/>
      <c r="I111" s="139"/>
      <c r="J111" s="139"/>
      <c r="K111" s="139"/>
      <c r="L111" s="139"/>
      <c r="M111" s="139"/>
      <c r="N111" s="139"/>
      <c r="O111" s="139"/>
      <c r="P111" s="139"/>
      <c r="Q111" s="139"/>
      <c r="R111" s="139"/>
      <c r="S111" s="139"/>
      <c r="T111" s="139"/>
      <c r="U111" s="139"/>
      <c r="V111" s="139"/>
    </row>
    <row r="112" spans="1:22">
      <c r="A112" s="139"/>
      <c r="B112" s="139"/>
      <c r="C112" s="139"/>
      <c r="D112" s="139"/>
      <c r="E112" s="139"/>
      <c r="F112" s="139"/>
      <c r="G112" s="139"/>
      <c r="H112" s="139"/>
      <c r="I112" s="139"/>
      <c r="J112" s="139"/>
      <c r="K112" s="139"/>
      <c r="L112" s="139"/>
      <c r="M112" s="139"/>
      <c r="N112" s="139"/>
      <c r="O112" s="139"/>
      <c r="P112" s="139"/>
      <c r="Q112" s="139"/>
      <c r="R112" s="139"/>
      <c r="S112" s="139"/>
      <c r="T112" s="139"/>
      <c r="U112" s="139"/>
      <c r="V112" s="139"/>
    </row>
    <row r="113" spans="1:22">
      <c r="A113" s="139"/>
      <c r="B113" s="139"/>
      <c r="C113" s="139"/>
      <c r="D113" s="139"/>
      <c r="E113" s="139"/>
      <c r="F113" s="139"/>
      <c r="G113" s="139"/>
      <c r="H113" s="139"/>
      <c r="I113" s="139"/>
      <c r="J113" s="139"/>
      <c r="K113" s="139"/>
      <c r="L113" s="139"/>
      <c r="M113" s="139"/>
      <c r="N113" s="139"/>
      <c r="O113" s="139"/>
      <c r="P113" s="139"/>
      <c r="Q113" s="139"/>
      <c r="R113" s="139"/>
      <c r="S113" s="139"/>
      <c r="T113" s="139"/>
      <c r="U113" s="139"/>
      <c r="V113" s="139"/>
    </row>
    <row r="114" spans="1:22">
      <c r="A114" s="139"/>
      <c r="B114" s="139"/>
      <c r="C114" s="139"/>
      <c r="D114" s="139"/>
      <c r="E114" s="139"/>
      <c r="F114" s="139"/>
      <c r="G114" s="139"/>
      <c r="H114" s="139"/>
      <c r="I114" s="139"/>
      <c r="J114" s="139"/>
      <c r="K114" s="139"/>
      <c r="L114" s="139"/>
      <c r="M114" s="139"/>
      <c r="N114" s="139"/>
      <c r="O114" s="139"/>
      <c r="P114" s="139"/>
      <c r="Q114" s="139"/>
      <c r="R114" s="139"/>
      <c r="S114" s="139"/>
      <c r="T114" s="139"/>
      <c r="U114" s="139"/>
      <c r="V114" s="139"/>
    </row>
    <row r="115" spans="1:22">
      <c r="A115" s="139"/>
      <c r="B115" s="139"/>
      <c r="C115" s="139"/>
      <c r="D115" s="139"/>
      <c r="E115" s="139"/>
      <c r="F115" s="139"/>
      <c r="G115" s="139"/>
      <c r="H115" s="139"/>
      <c r="I115" s="139"/>
      <c r="J115" s="139"/>
      <c r="K115" s="139"/>
      <c r="L115" s="139"/>
      <c r="M115" s="139"/>
      <c r="N115" s="139"/>
      <c r="O115" s="139"/>
      <c r="P115" s="139"/>
      <c r="Q115" s="139"/>
      <c r="R115" s="139"/>
      <c r="S115" s="139"/>
      <c r="T115" s="139"/>
      <c r="U115" s="139"/>
      <c r="V115" s="139"/>
    </row>
    <row r="116" spans="1:22">
      <c r="A116" s="139"/>
      <c r="B116" s="139"/>
      <c r="C116" s="139"/>
      <c r="D116" s="139"/>
      <c r="E116" s="139"/>
      <c r="F116" s="139"/>
      <c r="G116" s="139"/>
      <c r="H116" s="139"/>
      <c r="I116" s="139"/>
      <c r="J116" s="139"/>
      <c r="K116" s="139"/>
      <c r="L116" s="139"/>
      <c r="M116" s="139"/>
      <c r="N116" s="139"/>
      <c r="O116" s="139"/>
      <c r="P116" s="139"/>
      <c r="Q116" s="139"/>
      <c r="R116" s="139"/>
      <c r="S116" s="139"/>
      <c r="T116" s="139"/>
      <c r="U116" s="139"/>
      <c r="V116" s="139"/>
    </row>
    <row r="117" spans="1:22">
      <c r="A117" s="139"/>
      <c r="B117" s="139"/>
      <c r="C117" s="139"/>
      <c r="D117" s="139"/>
      <c r="E117" s="139"/>
      <c r="F117" s="139"/>
      <c r="G117" s="139"/>
      <c r="H117" s="139"/>
      <c r="I117" s="139"/>
      <c r="J117" s="139"/>
      <c r="K117" s="139"/>
      <c r="L117" s="139"/>
      <c r="M117" s="139"/>
      <c r="N117" s="139"/>
      <c r="O117" s="139"/>
      <c r="P117" s="139"/>
      <c r="Q117" s="139"/>
      <c r="R117" s="139"/>
      <c r="S117" s="139"/>
      <c r="T117" s="139"/>
      <c r="U117" s="139"/>
      <c r="V117" s="139"/>
    </row>
    <row r="118" spans="1:22">
      <c r="A118" s="139"/>
      <c r="B118" s="139"/>
      <c r="C118" s="139"/>
      <c r="D118" s="139"/>
      <c r="E118" s="139"/>
      <c r="F118" s="139"/>
      <c r="G118" s="139"/>
      <c r="H118" s="139"/>
      <c r="I118" s="139"/>
      <c r="J118" s="139"/>
      <c r="K118" s="139"/>
      <c r="L118" s="139"/>
      <c r="M118" s="139"/>
      <c r="N118" s="139"/>
      <c r="O118" s="139"/>
      <c r="P118" s="139"/>
      <c r="Q118" s="139"/>
      <c r="R118" s="139"/>
      <c r="S118" s="139"/>
      <c r="T118" s="139"/>
      <c r="U118" s="139"/>
      <c r="V118" s="139"/>
    </row>
    <row r="119" spans="1:22">
      <c r="A119" s="139"/>
      <c r="B119" s="139"/>
      <c r="C119" s="139"/>
      <c r="D119" s="139"/>
      <c r="E119" s="139"/>
      <c r="F119" s="139"/>
      <c r="G119" s="139"/>
      <c r="H119" s="139"/>
      <c r="I119" s="139"/>
      <c r="J119" s="139"/>
      <c r="K119" s="139"/>
      <c r="L119" s="139"/>
      <c r="M119" s="139"/>
      <c r="N119" s="139"/>
      <c r="O119" s="139"/>
      <c r="P119" s="139"/>
      <c r="Q119" s="139"/>
      <c r="R119" s="139"/>
      <c r="S119" s="139"/>
      <c r="T119" s="139"/>
      <c r="U119" s="139"/>
      <c r="V119" s="139"/>
    </row>
    <row r="120" spans="1:22">
      <c r="A120" s="139"/>
      <c r="B120" s="139"/>
      <c r="C120" s="139"/>
      <c r="D120" s="139"/>
      <c r="E120" s="139"/>
      <c r="F120" s="139"/>
      <c r="G120" s="139"/>
      <c r="H120" s="139"/>
      <c r="I120" s="139"/>
      <c r="J120" s="139"/>
      <c r="K120" s="139"/>
      <c r="L120" s="139"/>
      <c r="M120" s="139"/>
      <c r="N120" s="139"/>
      <c r="O120" s="139"/>
      <c r="P120" s="139"/>
      <c r="Q120" s="139"/>
      <c r="R120" s="139"/>
      <c r="S120" s="139"/>
      <c r="T120" s="139"/>
      <c r="U120" s="139"/>
      <c r="V120" s="139"/>
    </row>
    <row r="121" spans="1:22">
      <c r="A121" s="139"/>
      <c r="B121" s="139"/>
      <c r="C121" s="139"/>
      <c r="D121" s="139"/>
      <c r="E121" s="139"/>
      <c r="F121" s="139"/>
      <c r="G121" s="139"/>
      <c r="H121" s="139"/>
      <c r="I121" s="139"/>
      <c r="J121" s="139"/>
      <c r="K121" s="139"/>
      <c r="L121" s="139"/>
      <c r="M121" s="139"/>
      <c r="N121" s="139"/>
      <c r="O121" s="139"/>
      <c r="P121" s="139"/>
      <c r="Q121" s="139"/>
      <c r="R121" s="139"/>
      <c r="S121" s="139"/>
      <c r="T121" s="139"/>
      <c r="U121" s="139"/>
      <c r="V121" s="139"/>
    </row>
    <row r="122" spans="1:22">
      <c r="A122" s="139"/>
      <c r="B122" s="139"/>
      <c r="C122" s="139"/>
      <c r="D122" s="139"/>
      <c r="E122" s="139"/>
      <c r="F122" s="139"/>
      <c r="G122" s="139"/>
      <c r="H122" s="139"/>
      <c r="I122" s="139"/>
      <c r="J122" s="139"/>
      <c r="K122" s="139"/>
      <c r="L122" s="139"/>
      <c r="M122" s="139"/>
      <c r="N122" s="139"/>
      <c r="O122" s="139"/>
      <c r="P122" s="139"/>
      <c r="Q122" s="139"/>
      <c r="R122" s="139"/>
      <c r="S122" s="139"/>
      <c r="T122" s="139"/>
      <c r="U122" s="139"/>
      <c r="V122" s="139"/>
    </row>
    <row r="123" spans="1:22">
      <c r="A123" s="139"/>
      <c r="B123" s="139"/>
      <c r="C123" s="139"/>
      <c r="D123" s="139"/>
      <c r="E123" s="139"/>
      <c r="F123" s="139"/>
      <c r="G123" s="139"/>
      <c r="H123" s="139"/>
      <c r="I123" s="139"/>
      <c r="J123" s="139"/>
      <c r="K123" s="139"/>
      <c r="L123" s="139"/>
      <c r="M123" s="139"/>
      <c r="N123" s="139"/>
      <c r="O123" s="139"/>
      <c r="P123" s="139"/>
      <c r="Q123" s="139"/>
      <c r="R123" s="139"/>
      <c r="S123" s="139"/>
      <c r="T123" s="139"/>
      <c r="U123" s="139"/>
      <c r="V123" s="139"/>
    </row>
    <row r="124" spans="1:22">
      <c r="A124" s="139"/>
      <c r="B124" s="139"/>
      <c r="C124" s="139"/>
      <c r="D124" s="139"/>
      <c r="E124" s="139"/>
      <c r="F124" s="139"/>
      <c r="G124" s="139"/>
      <c r="H124" s="139"/>
      <c r="I124" s="139"/>
      <c r="J124" s="139"/>
      <c r="K124" s="139"/>
      <c r="L124" s="139"/>
      <c r="M124" s="139"/>
      <c r="N124" s="139"/>
      <c r="O124" s="139"/>
      <c r="P124" s="139"/>
      <c r="Q124" s="139"/>
      <c r="R124" s="139"/>
      <c r="S124" s="139"/>
      <c r="T124" s="139"/>
      <c r="U124" s="139"/>
      <c r="V124" s="139"/>
    </row>
    <row r="125" spans="1:22">
      <c r="A125" s="139"/>
      <c r="B125" s="139"/>
      <c r="C125" s="139"/>
      <c r="D125" s="139"/>
      <c r="E125" s="139"/>
      <c r="F125" s="139"/>
      <c r="G125" s="139"/>
      <c r="H125" s="139"/>
      <c r="I125" s="139"/>
      <c r="J125" s="139"/>
      <c r="K125" s="139"/>
      <c r="L125" s="139"/>
      <c r="M125" s="139"/>
      <c r="N125" s="139"/>
      <c r="O125" s="139"/>
      <c r="P125" s="139"/>
      <c r="Q125" s="139"/>
      <c r="R125" s="139"/>
      <c r="S125" s="139"/>
      <c r="T125" s="139"/>
      <c r="U125" s="139"/>
      <c r="V125" s="139"/>
    </row>
    <row r="126" spans="1:22">
      <c r="A126" s="139"/>
      <c r="B126" s="139"/>
      <c r="C126" s="139"/>
      <c r="D126" s="139"/>
      <c r="E126" s="139"/>
      <c r="F126" s="139"/>
      <c r="G126" s="139"/>
      <c r="H126" s="139"/>
      <c r="I126" s="139"/>
      <c r="J126" s="139"/>
      <c r="K126" s="139"/>
      <c r="L126" s="139"/>
      <c r="M126" s="139"/>
      <c r="N126" s="139"/>
      <c r="O126" s="139"/>
      <c r="P126" s="139"/>
      <c r="Q126" s="139"/>
      <c r="R126" s="139"/>
      <c r="S126" s="139"/>
      <c r="T126" s="139"/>
      <c r="U126" s="139"/>
      <c r="V126" s="139"/>
    </row>
    <row r="127" spans="1:22">
      <c r="A127" s="139"/>
      <c r="B127" s="139"/>
      <c r="C127" s="139"/>
      <c r="D127" s="139"/>
      <c r="E127" s="139"/>
      <c r="F127" s="139"/>
      <c r="G127" s="139"/>
      <c r="H127" s="139"/>
      <c r="I127" s="139"/>
      <c r="J127" s="139"/>
      <c r="K127" s="139"/>
      <c r="L127" s="139"/>
      <c r="M127" s="139"/>
      <c r="N127" s="139"/>
      <c r="O127" s="139"/>
      <c r="P127" s="139"/>
      <c r="Q127" s="139"/>
      <c r="R127" s="139"/>
      <c r="S127" s="139"/>
      <c r="T127" s="139"/>
      <c r="U127" s="139"/>
      <c r="V127" s="139"/>
    </row>
    <row r="128" spans="1:22">
      <c r="A128" s="139"/>
      <c r="B128" s="139"/>
      <c r="C128" s="139"/>
      <c r="D128" s="139"/>
      <c r="E128" s="139"/>
      <c r="F128" s="139"/>
      <c r="G128" s="139"/>
      <c r="H128" s="139"/>
      <c r="I128" s="139"/>
      <c r="J128" s="139"/>
      <c r="K128" s="139"/>
      <c r="L128" s="139"/>
      <c r="M128" s="139"/>
      <c r="N128" s="139"/>
      <c r="O128" s="139"/>
      <c r="P128" s="139"/>
      <c r="Q128" s="139"/>
      <c r="R128" s="139"/>
      <c r="S128" s="139"/>
      <c r="T128" s="139"/>
      <c r="U128" s="139"/>
      <c r="V128" s="139"/>
    </row>
    <row r="129" spans="1:22">
      <c r="A129" s="139"/>
      <c r="B129" s="139"/>
      <c r="C129" s="139"/>
      <c r="D129" s="139"/>
      <c r="E129" s="139"/>
      <c r="F129" s="139"/>
      <c r="G129" s="139"/>
      <c r="H129" s="139"/>
      <c r="I129" s="139"/>
      <c r="J129" s="139"/>
      <c r="K129" s="139"/>
      <c r="L129" s="139"/>
      <c r="M129" s="139"/>
      <c r="N129" s="139"/>
      <c r="O129" s="139"/>
      <c r="P129" s="139"/>
      <c r="Q129" s="139"/>
      <c r="R129" s="139"/>
      <c r="S129" s="139"/>
      <c r="T129" s="139"/>
      <c r="U129" s="139"/>
      <c r="V129" s="139"/>
    </row>
    <row r="130" spans="1:22">
      <c r="A130" s="139"/>
      <c r="B130" s="139"/>
      <c r="C130" s="139"/>
      <c r="D130" s="139"/>
      <c r="E130" s="139"/>
      <c r="F130" s="139"/>
      <c r="G130" s="139"/>
      <c r="H130" s="139"/>
      <c r="I130" s="139"/>
      <c r="J130" s="139"/>
      <c r="K130" s="139"/>
      <c r="L130" s="139"/>
      <c r="M130" s="139"/>
      <c r="N130" s="139"/>
      <c r="O130" s="139"/>
      <c r="P130" s="139"/>
      <c r="Q130" s="139"/>
      <c r="R130" s="139"/>
      <c r="S130" s="139"/>
      <c r="T130" s="139"/>
      <c r="U130" s="139"/>
      <c r="V130" s="139"/>
    </row>
    <row r="131" spans="1:22">
      <c r="A131" s="139"/>
      <c r="B131" s="139"/>
      <c r="C131" s="139"/>
      <c r="D131" s="139"/>
      <c r="E131" s="139"/>
      <c r="F131" s="139"/>
      <c r="G131" s="139"/>
      <c r="H131" s="139"/>
      <c r="I131" s="139"/>
      <c r="J131" s="139"/>
      <c r="K131" s="139"/>
      <c r="L131" s="139"/>
      <c r="M131" s="139"/>
      <c r="N131" s="139"/>
      <c r="O131" s="139"/>
      <c r="P131" s="139"/>
      <c r="Q131" s="139"/>
      <c r="R131" s="139"/>
      <c r="S131" s="139"/>
      <c r="T131" s="139"/>
      <c r="U131" s="139"/>
      <c r="V131" s="139"/>
    </row>
    <row r="132" spans="1:22">
      <c r="A132" s="139"/>
      <c r="B132" s="139"/>
      <c r="C132" s="139"/>
      <c r="D132" s="139"/>
      <c r="E132" s="139"/>
      <c r="F132" s="139"/>
      <c r="G132" s="139"/>
      <c r="H132" s="139"/>
      <c r="I132" s="139"/>
      <c r="J132" s="139"/>
      <c r="K132" s="139"/>
      <c r="L132" s="139"/>
      <c r="M132" s="139"/>
      <c r="N132" s="139"/>
      <c r="O132" s="139"/>
      <c r="P132" s="139"/>
      <c r="Q132" s="139"/>
      <c r="R132" s="139"/>
      <c r="S132" s="139"/>
      <c r="T132" s="139"/>
      <c r="U132" s="139"/>
      <c r="V132" s="139"/>
    </row>
    <row r="133" spans="1:22">
      <c r="A133" s="139"/>
      <c r="B133" s="139"/>
      <c r="C133" s="139"/>
      <c r="D133" s="139"/>
      <c r="E133" s="139"/>
      <c r="F133" s="139"/>
      <c r="G133" s="139"/>
      <c r="H133" s="139"/>
      <c r="I133" s="139"/>
      <c r="J133" s="139"/>
      <c r="K133" s="139"/>
      <c r="L133" s="139"/>
      <c r="M133" s="139"/>
      <c r="N133" s="139"/>
      <c r="O133" s="139"/>
      <c r="P133" s="139"/>
      <c r="Q133" s="139"/>
      <c r="R133" s="139"/>
      <c r="S133" s="139"/>
      <c r="T133" s="139"/>
      <c r="U133" s="139"/>
      <c r="V133" s="139"/>
    </row>
    <row r="134" spans="1:22">
      <c r="A134" s="139"/>
      <c r="B134" s="139"/>
      <c r="C134" s="139"/>
      <c r="D134" s="139"/>
      <c r="E134" s="139"/>
      <c r="F134" s="139"/>
      <c r="G134" s="139"/>
      <c r="H134" s="139"/>
      <c r="I134" s="139"/>
      <c r="J134" s="139"/>
      <c r="K134" s="139"/>
      <c r="L134" s="139"/>
      <c r="M134" s="139"/>
      <c r="N134" s="139"/>
      <c r="O134" s="139"/>
      <c r="P134" s="139"/>
      <c r="Q134" s="139"/>
      <c r="R134" s="139"/>
      <c r="S134" s="139"/>
      <c r="T134" s="139"/>
      <c r="U134" s="139"/>
      <c r="V134" s="139"/>
    </row>
    <row r="135" spans="1:22">
      <c r="A135" s="139"/>
      <c r="B135" s="139"/>
      <c r="C135" s="139"/>
      <c r="D135" s="139"/>
      <c r="E135" s="139"/>
      <c r="F135" s="139"/>
      <c r="G135" s="139"/>
      <c r="H135" s="139"/>
      <c r="I135" s="139"/>
      <c r="J135" s="139"/>
      <c r="K135" s="139"/>
      <c r="L135" s="139"/>
      <c r="M135" s="139"/>
      <c r="N135" s="139"/>
      <c r="O135" s="139"/>
      <c r="P135" s="139"/>
      <c r="Q135" s="139"/>
      <c r="R135" s="139"/>
      <c r="S135" s="139"/>
      <c r="T135" s="139"/>
      <c r="U135" s="139"/>
      <c r="V135" s="139"/>
    </row>
    <row r="136" spans="1:22">
      <c r="A136" s="139"/>
      <c r="B136" s="139"/>
      <c r="C136" s="139"/>
      <c r="D136" s="139"/>
      <c r="E136" s="139"/>
      <c r="F136" s="139"/>
      <c r="G136" s="139"/>
      <c r="H136" s="139"/>
      <c r="I136" s="139"/>
      <c r="J136" s="139"/>
      <c r="K136" s="139"/>
      <c r="L136" s="139"/>
      <c r="M136" s="139"/>
      <c r="N136" s="139"/>
      <c r="O136" s="139"/>
      <c r="P136" s="139"/>
      <c r="Q136" s="139"/>
      <c r="R136" s="139"/>
      <c r="S136" s="139"/>
      <c r="T136" s="139"/>
      <c r="U136" s="139"/>
      <c r="V136" s="139"/>
    </row>
    <row r="137" spans="1:22">
      <c r="A137" s="139"/>
      <c r="B137" s="139"/>
      <c r="C137" s="139"/>
      <c r="D137" s="139"/>
      <c r="E137" s="139"/>
      <c r="F137" s="139"/>
      <c r="G137" s="139"/>
      <c r="H137" s="139"/>
      <c r="I137" s="139"/>
      <c r="J137" s="139"/>
      <c r="K137" s="139"/>
      <c r="L137" s="139"/>
      <c r="M137" s="139"/>
      <c r="N137" s="139"/>
      <c r="O137" s="139"/>
      <c r="P137" s="139"/>
      <c r="Q137" s="139"/>
      <c r="R137" s="139"/>
      <c r="S137" s="139"/>
      <c r="T137" s="139"/>
      <c r="U137" s="139"/>
      <c r="V137" s="139"/>
    </row>
    <row r="138" spans="1:22">
      <c r="A138" s="139"/>
      <c r="B138" s="139"/>
      <c r="C138" s="139"/>
      <c r="D138" s="139"/>
      <c r="E138" s="139"/>
      <c r="F138" s="139"/>
      <c r="G138" s="139"/>
      <c r="H138" s="139"/>
      <c r="I138" s="139"/>
      <c r="J138" s="139"/>
      <c r="K138" s="139"/>
      <c r="L138" s="139"/>
      <c r="M138" s="139"/>
      <c r="N138" s="139"/>
      <c r="O138" s="139"/>
      <c r="P138" s="139"/>
      <c r="Q138" s="139"/>
      <c r="R138" s="139"/>
      <c r="S138" s="139"/>
      <c r="T138" s="139"/>
      <c r="U138" s="139"/>
      <c r="V138" s="139"/>
    </row>
    <row r="139" spans="1:22">
      <c r="A139" s="139"/>
      <c r="B139" s="139"/>
      <c r="C139" s="139"/>
      <c r="D139" s="139"/>
      <c r="E139" s="139"/>
      <c r="F139" s="139"/>
      <c r="G139" s="139"/>
      <c r="H139" s="139"/>
      <c r="I139" s="139"/>
      <c r="J139" s="139"/>
      <c r="K139" s="139"/>
      <c r="L139" s="139"/>
      <c r="M139" s="139"/>
      <c r="N139" s="139"/>
      <c r="O139" s="139"/>
      <c r="P139" s="139"/>
      <c r="Q139" s="139"/>
      <c r="R139" s="139"/>
      <c r="S139" s="139"/>
      <c r="T139" s="139"/>
      <c r="U139" s="139"/>
      <c r="V139" s="139"/>
    </row>
    <row r="140" spans="1:22">
      <c r="A140" s="139"/>
      <c r="B140" s="139"/>
      <c r="C140" s="139"/>
      <c r="D140" s="139"/>
      <c r="E140" s="139"/>
      <c r="F140" s="139"/>
      <c r="G140" s="139"/>
      <c r="H140" s="139"/>
      <c r="I140" s="139"/>
      <c r="J140" s="139"/>
      <c r="K140" s="139"/>
      <c r="L140" s="139"/>
      <c r="M140" s="139"/>
      <c r="N140" s="139"/>
      <c r="O140" s="139"/>
      <c r="P140" s="139"/>
      <c r="Q140" s="139"/>
      <c r="R140" s="139"/>
      <c r="S140" s="139"/>
      <c r="T140" s="139"/>
      <c r="U140" s="139"/>
      <c r="V140" s="139"/>
    </row>
    <row r="141" spans="1:22">
      <c r="A141" s="139"/>
      <c r="B141" s="139"/>
      <c r="C141" s="139"/>
      <c r="D141" s="139"/>
      <c r="E141" s="139"/>
      <c r="F141" s="139"/>
      <c r="G141" s="139"/>
      <c r="H141" s="139"/>
      <c r="I141" s="139"/>
      <c r="J141" s="139"/>
      <c r="K141" s="139"/>
      <c r="L141" s="139"/>
      <c r="M141" s="139"/>
      <c r="N141" s="139"/>
      <c r="O141" s="139"/>
      <c r="P141" s="139"/>
      <c r="Q141" s="139"/>
      <c r="R141" s="139"/>
      <c r="S141" s="139"/>
      <c r="T141" s="139"/>
      <c r="U141" s="139"/>
      <c r="V141" s="139"/>
    </row>
    <row r="142" spans="1:22">
      <c r="A142" s="139"/>
      <c r="B142" s="139"/>
      <c r="C142" s="139"/>
      <c r="D142" s="139"/>
      <c r="E142" s="139"/>
      <c r="F142" s="139"/>
      <c r="G142" s="139"/>
      <c r="H142" s="139"/>
      <c r="I142" s="139"/>
      <c r="J142" s="139"/>
      <c r="K142" s="139"/>
      <c r="L142" s="139"/>
      <c r="M142" s="139"/>
      <c r="N142" s="139"/>
      <c r="O142" s="139"/>
      <c r="P142" s="139"/>
      <c r="Q142" s="139"/>
      <c r="R142" s="139"/>
      <c r="S142" s="139"/>
      <c r="T142" s="139"/>
      <c r="U142" s="139"/>
      <c r="V142" s="139"/>
    </row>
    <row r="143" spans="1:22">
      <c r="A143" s="139"/>
      <c r="B143" s="139"/>
      <c r="C143" s="139"/>
      <c r="D143" s="139"/>
      <c r="E143" s="139"/>
      <c r="F143" s="139"/>
      <c r="G143" s="139"/>
      <c r="H143" s="139"/>
      <c r="I143" s="139"/>
      <c r="J143" s="139"/>
      <c r="K143" s="139"/>
      <c r="L143" s="139"/>
      <c r="M143" s="139"/>
      <c r="N143" s="139"/>
      <c r="O143" s="139"/>
      <c r="P143" s="139"/>
      <c r="Q143" s="139"/>
      <c r="R143" s="139"/>
      <c r="S143" s="139"/>
      <c r="T143" s="139"/>
      <c r="U143" s="139"/>
      <c r="V143" s="139"/>
    </row>
    <row r="144" spans="1:22">
      <c r="A144" s="139"/>
      <c r="B144" s="139"/>
      <c r="C144" s="139"/>
      <c r="D144" s="139"/>
      <c r="E144" s="139"/>
      <c r="F144" s="139"/>
      <c r="G144" s="139"/>
      <c r="H144" s="139"/>
      <c r="I144" s="139"/>
      <c r="J144" s="139"/>
      <c r="K144" s="139"/>
      <c r="L144" s="139"/>
      <c r="M144" s="139"/>
      <c r="N144" s="139"/>
      <c r="O144" s="139"/>
      <c r="P144" s="139"/>
      <c r="Q144" s="139"/>
      <c r="R144" s="139"/>
      <c r="S144" s="139"/>
      <c r="T144" s="139"/>
      <c r="U144" s="139"/>
      <c r="V144" s="139"/>
    </row>
    <row r="145" spans="1:22">
      <c r="A145" s="139"/>
      <c r="B145" s="139"/>
      <c r="C145" s="139"/>
      <c r="D145" s="139"/>
      <c r="E145" s="139"/>
      <c r="F145" s="139"/>
      <c r="G145" s="139"/>
      <c r="H145" s="139"/>
      <c r="I145" s="139"/>
      <c r="J145" s="139"/>
      <c r="K145" s="139"/>
      <c r="L145" s="139"/>
      <c r="M145" s="139"/>
      <c r="N145" s="139"/>
      <c r="O145" s="139"/>
      <c r="P145" s="139"/>
      <c r="Q145" s="139"/>
      <c r="R145" s="139"/>
      <c r="S145" s="139"/>
      <c r="T145" s="139"/>
      <c r="U145" s="139"/>
      <c r="V145" s="139"/>
    </row>
    <row r="146" spans="1:22">
      <c r="A146" s="139"/>
      <c r="B146" s="139"/>
      <c r="C146" s="139"/>
      <c r="D146" s="139"/>
      <c r="E146" s="139"/>
      <c r="F146" s="139"/>
      <c r="G146" s="139"/>
      <c r="H146" s="139"/>
      <c r="I146" s="139"/>
      <c r="J146" s="139"/>
      <c r="K146" s="139"/>
      <c r="L146" s="139"/>
      <c r="M146" s="139"/>
      <c r="N146" s="139"/>
      <c r="O146" s="139"/>
      <c r="P146" s="139"/>
      <c r="Q146" s="139"/>
      <c r="R146" s="139"/>
      <c r="S146" s="139"/>
      <c r="T146" s="139"/>
      <c r="U146" s="139"/>
      <c r="V146" s="139"/>
    </row>
    <row r="147" spans="1:22">
      <c r="A147" s="139"/>
      <c r="B147" s="139"/>
      <c r="C147" s="139"/>
      <c r="D147" s="139"/>
      <c r="E147" s="139"/>
      <c r="F147" s="139"/>
      <c r="G147" s="139"/>
      <c r="H147" s="139"/>
      <c r="I147" s="139"/>
      <c r="J147" s="139"/>
      <c r="K147" s="139"/>
      <c r="L147" s="139"/>
      <c r="M147" s="139"/>
      <c r="N147" s="139"/>
      <c r="O147" s="139"/>
      <c r="P147" s="139"/>
      <c r="Q147" s="139"/>
      <c r="R147" s="139"/>
      <c r="S147" s="139"/>
      <c r="T147" s="139"/>
      <c r="U147" s="139"/>
      <c r="V147" s="139"/>
    </row>
    <row r="148" spans="1:22">
      <c r="A148" s="139"/>
      <c r="B148" s="139"/>
      <c r="C148" s="139"/>
      <c r="D148" s="139"/>
      <c r="E148" s="139"/>
      <c r="F148" s="139"/>
      <c r="G148" s="139"/>
      <c r="H148" s="139"/>
      <c r="I148" s="139"/>
      <c r="J148" s="139"/>
      <c r="K148" s="139"/>
      <c r="L148" s="139"/>
      <c r="M148" s="139"/>
      <c r="N148" s="139"/>
      <c r="O148" s="139"/>
      <c r="P148" s="139"/>
      <c r="Q148" s="139"/>
      <c r="R148" s="139"/>
      <c r="S148" s="139"/>
      <c r="T148" s="139"/>
      <c r="U148" s="139"/>
      <c r="V148" s="139"/>
    </row>
    <row r="149" spans="1:22">
      <c r="A149" s="139"/>
      <c r="B149" s="139"/>
      <c r="C149" s="139"/>
      <c r="D149" s="139"/>
      <c r="E149" s="139"/>
      <c r="F149" s="139"/>
      <c r="G149" s="139"/>
      <c r="H149" s="139"/>
      <c r="I149" s="139"/>
      <c r="J149" s="139"/>
      <c r="K149" s="139"/>
      <c r="L149" s="139"/>
      <c r="M149" s="139"/>
      <c r="N149" s="139"/>
      <c r="O149" s="139"/>
      <c r="P149" s="139"/>
      <c r="Q149" s="139"/>
      <c r="R149" s="139"/>
      <c r="S149" s="139"/>
      <c r="T149" s="139"/>
      <c r="U149" s="139"/>
      <c r="V149" s="139"/>
    </row>
    <row r="150" spans="1:22">
      <c r="A150" s="139"/>
      <c r="B150" s="139"/>
      <c r="C150" s="139"/>
      <c r="D150" s="139"/>
      <c r="E150" s="139"/>
      <c r="F150" s="139"/>
      <c r="G150" s="139"/>
      <c r="H150" s="139"/>
      <c r="I150" s="139"/>
      <c r="J150" s="139"/>
      <c r="K150" s="139"/>
      <c r="L150" s="139"/>
      <c r="M150" s="139"/>
      <c r="N150" s="139"/>
      <c r="O150" s="139"/>
      <c r="P150" s="139"/>
      <c r="Q150" s="139"/>
      <c r="R150" s="139"/>
      <c r="S150" s="139"/>
      <c r="T150" s="139"/>
      <c r="U150" s="139"/>
      <c r="V150" s="139"/>
    </row>
    <row r="151" spans="1:22">
      <c r="A151" s="139"/>
      <c r="B151" s="139"/>
      <c r="C151" s="139"/>
      <c r="D151" s="139"/>
      <c r="E151" s="139"/>
      <c r="F151" s="139"/>
      <c r="G151" s="139"/>
      <c r="H151" s="139"/>
      <c r="I151" s="139"/>
      <c r="J151" s="139"/>
      <c r="K151" s="139"/>
      <c r="L151" s="139"/>
      <c r="M151" s="139"/>
      <c r="N151" s="139"/>
      <c r="O151" s="139"/>
      <c r="P151" s="139"/>
      <c r="Q151" s="139"/>
      <c r="R151" s="139"/>
      <c r="S151" s="139"/>
      <c r="T151" s="139"/>
      <c r="U151" s="139"/>
      <c r="V151" s="139"/>
    </row>
    <row r="152" spans="1:22">
      <c r="A152" s="139"/>
      <c r="B152" s="139"/>
      <c r="C152" s="139"/>
      <c r="D152" s="139"/>
      <c r="E152" s="139"/>
      <c r="F152" s="139"/>
      <c r="G152" s="139"/>
      <c r="H152" s="139"/>
      <c r="I152" s="139"/>
      <c r="J152" s="139"/>
      <c r="K152" s="139"/>
      <c r="L152" s="139"/>
      <c r="M152" s="139"/>
      <c r="N152" s="139"/>
      <c r="O152" s="139"/>
      <c r="P152" s="139"/>
      <c r="Q152" s="139"/>
      <c r="R152" s="139"/>
      <c r="S152" s="139"/>
      <c r="T152" s="139"/>
      <c r="U152" s="139"/>
      <c r="V152" s="139"/>
    </row>
    <row r="153" spans="1:22">
      <c r="A153" s="139"/>
      <c r="B153" s="139"/>
      <c r="C153" s="139"/>
      <c r="D153" s="139"/>
      <c r="E153" s="139"/>
      <c r="F153" s="139"/>
      <c r="G153" s="139"/>
      <c r="H153" s="139"/>
      <c r="I153" s="139"/>
      <c r="J153" s="139"/>
      <c r="K153" s="139"/>
      <c r="L153" s="139"/>
      <c r="M153" s="139"/>
      <c r="N153" s="139"/>
      <c r="O153" s="139"/>
      <c r="P153" s="139"/>
      <c r="Q153" s="139"/>
      <c r="R153" s="139"/>
      <c r="S153" s="139"/>
      <c r="T153" s="139"/>
      <c r="U153" s="139"/>
      <c r="V153" s="139"/>
    </row>
    <row r="154" spans="1:22">
      <c r="A154" s="139"/>
      <c r="B154" s="139"/>
      <c r="C154" s="139"/>
      <c r="D154" s="139"/>
      <c r="E154" s="139"/>
      <c r="F154" s="139"/>
      <c r="G154" s="139"/>
      <c r="H154" s="139"/>
      <c r="I154" s="139"/>
      <c r="J154" s="139"/>
      <c r="K154" s="139"/>
      <c r="L154" s="139"/>
      <c r="M154" s="139"/>
      <c r="N154" s="139"/>
      <c r="O154" s="139"/>
      <c r="P154" s="139"/>
      <c r="Q154" s="139"/>
      <c r="R154" s="139"/>
      <c r="S154" s="139"/>
      <c r="T154" s="139"/>
      <c r="U154" s="139"/>
      <c r="V154" s="139"/>
    </row>
    <row r="155" spans="1:22">
      <c r="A155" s="139"/>
      <c r="B155" s="139"/>
      <c r="C155" s="139"/>
      <c r="D155" s="139"/>
      <c r="E155" s="139"/>
      <c r="F155" s="139"/>
      <c r="G155" s="139"/>
      <c r="H155" s="139"/>
      <c r="I155" s="139"/>
      <c r="J155" s="139"/>
      <c r="K155" s="139"/>
      <c r="L155" s="139"/>
      <c r="M155" s="139"/>
      <c r="N155" s="139"/>
      <c r="O155" s="139"/>
      <c r="P155" s="139"/>
      <c r="Q155" s="139"/>
      <c r="R155" s="139"/>
      <c r="S155" s="139"/>
      <c r="T155" s="139"/>
      <c r="U155" s="139"/>
      <c r="V155" s="139"/>
    </row>
    <row r="156" spans="1:22">
      <c r="A156" s="139"/>
      <c r="B156" s="139"/>
      <c r="C156" s="139"/>
      <c r="D156" s="139"/>
      <c r="E156" s="139"/>
      <c r="F156" s="139"/>
      <c r="G156" s="139"/>
      <c r="H156" s="139"/>
      <c r="I156" s="139"/>
      <c r="J156" s="139"/>
      <c r="K156" s="139"/>
      <c r="L156" s="139"/>
      <c r="M156" s="139"/>
      <c r="N156" s="139"/>
      <c r="O156" s="139"/>
      <c r="P156" s="139"/>
      <c r="Q156" s="139"/>
      <c r="R156" s="139"/>
      <c r="S156" s="139"/>
      <c r="T156" s="139"/>
      <c r="U156" s="139"/>
      <c r="V156" s="139"/>
    </row>
    <row r="157" spans="1:22">
      <c r="A157" s="139"/>
      <c r="B157" s="139"/>
      <c r="C157" s="139"/>
      <c r="D157" s="139"/>
      <c r="E157" s="139"/>
      <c r="F157" s="139"/>
      <c r="G157" s="139"/>
      <c r="H157" s="139"/>
      <c r="I157" s="139"/>
      <c r="J157" s="139"/>
      <c r="K157" s="139"/>
      <c r="L157" s="139"/>
      <c r="M157" s="139"/>
      <c r="N157" s="139"/>
      <c r="O157" s="139"/>
      <c r="P157" s="139"/>
      <c r="Q157" s="139"/>
      <c r="R157" s="139"/>
      <c r="S157" s="139"/>
      <c r="T157" s="139"/>
      <c r="U157" s="139"/>
      <c r="V157" s="139"/>
    </row>
    <row r="158" spans="1:22">
      <c r="A158" s="139"/>
      <c r="B158" s="139"/>
      <c r="C158" s="139"/>
      <c r="D158" s="139"/>
      <c r="E158" s="139"/>
      <c r="F158" s="139"/>
      <c r="G158" s="139"/>
      <c r="H158" s="139"/>
      <c r="I158" s="139"/>
      <c r="J158" s="139"/>
      <c r="K158" s="139"/>
      <c r="L158" s="139"/>
      <c r="M158" s="139"/>
      <c r="N158" s="139"/>
      <c r="O158" s="139"/>
      <c r="P158" s="139"/>
      <c r="Q158" s="139"/>
      <c r="R158" s="139"/>
      <c r="S158" s="139"/>
      <c r="T158" s="139"/>
      <c r="U158" s="139"/>
      <c r="V158" s="139"/>
    </row>
    <row r="159" spans="1:22">
      <c r="A159" s="139"/>
      <c r="B159" s="139"/>
      <c r="C159" s="139"/>
      <c r="D159" s="139"/>
      <c r="E159" s="139"/>
      <c r="F159" s="139"/>
      <c r="G159" s="139"/>
      <c r="H159" s="139"/>
      <c r="I159" s="139"/>
      <c r="J159" s="139"/>
      <c r="K159" s="139"/>
      <c r="L159" s="139"/>
      <c r="M159" s="139"/>
      <c r="N159" s="139"/>
      <c r="O159" s="139"/>
      <c r="P159" s="139"/>
      <c r="Q159" s="139"/>
      <c r="R159" s="139"/>
      <c r="S159" s="139"/>
      <c r="T159" s="139"/>
      <c r="U159" s="139"/>
      <c r="V159" s="139"/>
    </row>
    <row r="160" spans="1:22">
      <c r="A160" s="139"/>
      <c r="B160" s="139"/>
      <c r="C160" s="139"/>
      <c r="D160" s="139"/>
      <c r="E160" s="139"/>
      <c r="F160" s="139"/>
      <c r="G160" s="139"/>
      <c r="H160" s="139"/>
      <c r="I160" s="139"/>
      <c r="J160" s="139"/>
      <c r="K160" s="139"/>
      <c r="L160" s="139"/>
      <c r="M160" s="139"/>
      <c r="N160" s="139"/>
      <c r="O160" s="139"/>
      <c r="P160" s="139"/>
      <c r="Q160" s="139"/>
      <c r="R160" s="139"/>
      <c r="S160" s="139"/>
      <c r="T160" s="139"/>
      <c r="U160" s="139"/>
      <c r="V160" s="139"/>
    </row>
    <row r="161" spans="1:22">
      <c r="A161" s="139"/>
      <c r="B161" s="139"/>
      <c r="C161" s="139"/>
      <c r="D161" s="139"/>
      <c r="E161" s="139"/>
      <c r="F161" s="139"/>
      <c r="G161" s="139"/>
      <c r="H161" s="139"/>
      <c r="I161" s="139"/>
      <c r="J161" s="139"/>
      <c r="K161" s="139"/>
      <c r="L161" s="139"/>
      <c r="M161" s="139"/>
      <c r="N161" s="139"/>
      <c r="O161" s="139"/>
      <c r="P161" s="139"/>
      <c r="Q161" s="139"/>
      <c r="R161" s="139"/>
      <c r="S161" s="139"/>
      <c r="T161" s="139"/>
      <c r="U161" s="139"/>
      <c r="V161" s="139"/>
    </row>
    <row r="162" spans="1:22">
      <c r="A162" s="139"/>
      <c r="B162" s="139"/>
      <c r="C162" s="139"/>
      <c r="D162" s="139"/>
      <c r="E162" s="139"/>
      <c r="F162" s="139"/>
      <c r="G162" s="139"/>
      <c r="H162" s="139"/>
      <c r="I162" s="139"/>
      <c r="J162" s="139"/>
      <c r="K162" s="139"/>
      <c r="L162" s="139"/>
      <c r="M162" s="139"/>
      <c r="N162" s="139"/>
      <c r="O162" s="139"/>
      <c r="P162" s="139"/>
      <c r="Q162" s="139"/>
      <c r="R162" s="139"/>
      <c r="S162" s="139"/>
      <c r="T162" s="139"/>
      <c r="U162" s="139"/>
      <c r="V162" s="139"/>
    </row>
    <row r="163" spans="1:22">
      <c r="A163" s="139"/>
      <c r="B163" s="139"/>
      <c r="C163" s="139"/>
      <c r="D163" s="139"/>
      <c r="E163" s="139"/>
      <c r="F163" s="139"/>
      <c r="G163" s="139"/>
      <c r="H163" s="139"/>
      <c r="I163" s="139"/>
      <c r="J163" s="139"/>
      <c r="K163" s="139"/>
      <c r="L163" s="139"/>
      <c r="M163" s="139"/>
      <c r="N163" s="139"/>
      <c r="O163" s="139"/>
      <c r="P163" s="139"/>
      <c r="Q163" s="139"/>
      <c r="R163" s="139"/>
      <c r="S163" s="139"/>
      <c r="T163" s="139"/>
      <c r="U163" s="139"/>
      <c r="V163" s="139"/>
    </row>
    <row r="164" spans="1:22">
      <c r="A164" s="139"/>
      <c r="B164" s="139"/>
      <c r="C164" s="139"/>
      <c r="D164" s="139"/>
      <c r="E164" s="139"/>
      <c r="F164" s="139"/>
      <c r="G164" s="139"/>
      <c r="H164" s="139"/>
      <c r="I164" s="139"/>
      <c r="J164" s="139"/>
      <c r="K164" s="139"/>
      <c r="L164" s="139"/>
      <c r="M164" s="139"/>
      <c r="N164" s="139"/>
      <c r="O164" s="139"/>
      <c r="P164" s="139"/>
      <c r="Q164" s="139"/>
      <c r="R164" s="139"/>
      <c r="S164" s="139"/>
      <c r="T164" s="139"/>
      <c r="U164" s="139"/>
      <c r="V164" s="139"/>
    </row>
    <row r="165" spans="1:22">
      <c r="A165" s="139"/>
      <c r="B165" s="139"/>
      <c r="C165" s="139"/>
      <c r="D165" s="139"/>
      <c r="E165" s="139"/>
      <c r="F165" s="139"/>
      <c r="G165" s="139"/>
      <c r="H165" s="139"/>
      <c r="I165" s="139"/>
      <c r="J165" s="139"/>
      <c r="K165" s="139"/>
      <c r="L165" s="139"/>
      <c r="M165" s="139"/>
      <c r="N165" s="139"/>
      <c r="O165" s="139"/>
      <c r="P165" s="139"/>
      <c r="Q165" s="139"/>
      <c r="R165" s="139"/>
      <c r="S165" s="139"/>
      <c r="T165" s="139"/>
      <c r="U165" s="139"/>
      <c r="V165" s="139"/>
    </row>
    <row r="166" spans="1:22">
      <c r="A166" s="139"/>
      <c r="B166" s="139"/>
      <c r="C166" s="139"/>
      <c r="D166" s="139"/>
      <c r="E166" s="139"/>
      <c r="F166" s="139"/>
      <c r="G166" s="139"/>
      <c r="H166" s="139"/>
      <c r="I166" s="139"/>
      <c r="J166" s="139"/>
      <c r="K166" s="139"/>
      <c r="L166" s="139"/>
      <c r="M166" s="139"/>
      <c r="N166" s="139"/>
      <c r="O166" s="139"/>
      <c r="P166" s="139"/>
      <c r="Q166" s="139"/>
      <c r="R166" s="139"/>
      <c r="S166" s="139"/>
      <c r="T166" s="139"/>
      <c r="U166" s="139"/>
      <c r="V166" s="139"/>
    </row>
    <row r="167" spans="1:22">
      <c r="A167" s="139"/>
      <c r="B167" s="139"/>
      <c r="C167" s="139"/>
      <c r="D167" s="139"/>
      <c r="E167" s="139"/>
      <c r="F167" s="139"/>
      <c r="G167" s="139"/>
      <c r="H167" s="139"/>
      <c r="I167" s="139"/>
      <c r="J167" s="139"/>
      <c r="K167" s="139"/>
      <c r="L167" s="139"/>
      <c r="M167" s="139"/>
      <c r="N167" s="139"/>
      <c r="O167" s="139"/>
      <c r="P167" s="139"/>
      <c r="Q167" s="139"/>
      <c r="R167" s="139"/>
      <c r="S167" s="139"/>
      <c r="T167" s="139"/>
      <c r="U167" s="139"/>
      <c r="V167" s="139"/>
    </row>
    <row r="168" spans="1:22">
      <c r="A168" s="139"/>
      <c r="B168" s="139"/>
      <c r="C168" s="139"/>
      <c r="D168" s="139"/>
      <c r="E168" s="139"/>
      <c r="F168" s="139"/>
      <c r="G168" s="139"/>
      <c r="H168" s="139"/>
      <c r="I168" s="139"/>
      <c r="J168" s="139"/>
      <c r="K168" s="139"/>
      <c r="L168" s="139"/>
      <c r="M168" s="139"/>
      <c r="N168" s="139"/>
      <c r="O168" s="139"/>
      <c r="P168" s="139"/>
      <c r="Q168" s="139"/>
      <c r="R168" s="139"/>
      <c r="S168" s="139"/>
      <c r="T168" s="139"/>
      <c r="U168" s="139"/>
      <c r="V168" s="139"/>
    </row>
    <row r="169" spans="1:22">
      <c r="A169" s="139"/>
      <c r="B169" s="139"/>
      <c r="C169" s="139"/>
      <c r="D169" s="139"/>
      <c r="E169" s="139"/>
      <c r="F169" s="139"/>
      <c r="G169" s="139"/>
      <c r="H169" s="139"/>
      <c r="I169" s="139"/>
      <c r="J169" s="139"/>
      <c r="K169" s="139"/>
      <c r="L169" s="139"/>
      <c r="M169" s="139"/>
      <c r="N169" s="139"/>
      <c r="O169" s="139"/>
      <c r="P169" s="139"/>
      <c r="Q169" s="139"/>
      <c r="R169" s="139"/>
      <c r="S169" s="139"/>
      <c r="T169" s="139"/>
      <c r="U169" s="139"/>
      <c r="V169" s="139"/>
    </row>
    <row r="170" spans="1:22">
      <c r="A170" s="139"/>
      <c r="B170" s="139"/>
      <c r="C170" s="139"/>
      <c r="D170" s="139"/>
      <c r="E170" s="139"/>
      <c r="F170" s="139"/>
      <c r="G170" s="139"/>
      <c r="H170" s="139"/>
      <c r="I170" s="139"/>
      <c r="J170" s="139"/>
      <c r="K170" s="139"/>
      <c r="L170" s="139"/>
      <c r="M170" s="139"/>
      <c r="N170" s="139"/>
      <c r="O170" s="139"/>
      <c r="P170" s="139"/>
      <c r="Q170" s="139"/>
      <c r="R170" s="139"/>
      <c r="S170" s="139"/>
      <c r="T170" s="139"/>
      <c r="U170" s="139"/>
      <c r="V170" s="139"/>
    </row>
    <row r="171" spans="1:22">
      <c r="A171" s="139"/>
      <c r="B171" s="139"/>
      <c r="C171" s="139"/>
      <c r="D171" s="139"/>
      <c r="E171" s="139"/>
      <c r="F171" s="139"/>
      <c r="G171" s="139"/>
      <c r="H171" s="139"/>
      <c r="I171" s="139"/>
      <c r="J171" s="139"/>
      <c r="K171" s="139"/>
      <c r="L171" s="139"/>
      <c r="M171" s="139"/>
      <c r="N171" s="139"/>
      <c r="O171" s="139"/>
      <c r="P171" s="139"/>
      <c r="Q171" s="139"/>
      <c r="R171" s="139"/>
      <c r="S171" s="139"/>
      <c r="T171" s="139"/>
      <c r="U171" s="139"/>
      <c r="V171" s="139"/>
    </row>
    <row r="172" spans="1:22">
      <c r="A172" s="139"/>
      <c r="B172" s="139"/>
      <c r="C172" s="139"/>
      <c r="D172" s="139"/>
      <c r="E172" s="139"/>
      <c r="F172" s="139"/>
      <c r="G172" s="139"/>
      <c r="H172" s="139"/>
      <c r="I172" s="139"/>
      <c r="J172" s="139"/>
      <c r="K172" s="139"/>
      <c r="L172" s="139"/>
      <c r="M172" s="139"/>
      <c r="N172" s="139"/>
      <c r="O172" s="139"/>
      <c r="P172" s="139"/>
      <c r="Q172" s="139"/>
      <c r="R172" s="139"/>
      <c r="S172" s="139"/>
      <c r="T172" s="139"/>
      <c r="U172" s="139"/>
      <c r="V172" s="139"/>
    </row>
    <row r="173" spans="1:22">
      <c r="A173" s="139"/>
      <c r="B173" s="139"/>
      <c r="C173" s="139"/>
      <c r="D173" s="139"/>
      <c r="E173" s="139"/>
      <c r="F173" s="139"/>
      <c r="G173" s="139"/>
      <c r="H173" s="139"/>
      <c r="I173" s="139"/>
      <c r="J173" s="139"/>
      <c r="K173" s="139"/>
      <c r="L173" s="139"/>
      <c r="M173" s="139"/>
      <c r="N173" s="139"/>
      <c r="O173" s="139"/>
      <c r="P173" s="139"/>
      <c r="Q173" s="139"/>
      <c r="R173" s="139"/>
      <c r="S173" s="139"/>
      <c r="T173" s="139"/>
      <c r="U173" s="139"/>
      <c r="V173" s="139"/>
    </row>
    <row r="174" spans="1:22">
      <c r="A174" s="139"/>
      <c r="B174" s="139"/>
      <c r="C174" s="139"/>
      <c r="D174" s="139"/>
      <c r="E174" s="139"/>
      <c r="F174" s="139"/>
      <c r="G174" s="139"/>
      <c r="H174" s="139"/>
      <c r="I174" s="139"/>
      <c r="J174" s="139"/>
      <c r="K174" s="139"/>
      <c r="L174" s="139"/>
      <c r="M174" s="139"/>
      <c r="N174" s="139"/>
      <c r="O174" s="139"/>
      <c r="P174" s="139"/>
      <c r="Q174" s="139"/>
      <c r="R174" s="139"/>
      <c r="S174" s="139"/>
      <c r="T174" s="139"/>
      <c r="U174" s="139"/>
      <c r="V174" s="139"/>
    </row>
    <row r="175" spans="1:22">
      <c r="A175" s="139"/>
      <c r="B175" s="139"/>
      <c r="C175" s="139"/>
      <c r="D175" s="139"/>
      <c r="E175" s="139"/>
      <c r="F175" s="139"/>
      <c r="G175" s="139"/>
      <c r="H175" s="139"/>
      <c r="I175" s="139"/>
      <c r="J175" s="139"/>
      <c r="K175" s="139"/>
      <c r="L175" s="139"/>
      <c r="M175" s="139"/>
      <c r="N175" s="139"/>
      <c r="O175" s="139"/>
      <c r="P175" s="139"/>
      <c r="Q175" s="139"/>
      <c r="R175" s="139"/>
      <c r="S175" s="139"/>
      <c r="T175" s="139"/>
      <c r="U175" s="139"/>
      <c r="V175" s="139"/>
    </row>
    <row r="176" spans="1:22">
      <c r="A176" s="139"/>
      <c r="B176" s="139"/>
      <c r="C176" s="139"/>
      <c r="D176" s="139"/>
      <c r="E176" s="139"/>
      <c r="F176" s="139"/>
      <c r="G176" s="139"/>
      <c r="H176" s="139"/>
      <c r="I176" s="139"/>
      <c r="J176" s="139"/>
      <c r="K176" s="139"/>
      <c r="L176" s="139"/>
      <c r="M176" s="139"/>
      <c r="N176" s="139"/>
      <c r="O176" s="139"/>
      <c r="P176" s="139"/>
      <c r="Q176" s="139"/>
      <c r="R176" s="139"/>
      <c r="S176" s="139"/>
      <c r="T176" s="139"/>
      <c r="U176" s="139"/>
      <c r="V176" s="139"/>
    </row>
    <row r="177" spans="1:22">
      <c r="A177" s="139"/>
      <c r="B177" s="139"/>
      <c r="C177" s="139"/>
      <c r="D177" s="139"/>
      <c r="E177" s="139"/>
      <c r="F177" s="139"/>
      <c r="G177" s="139"/>
      <c r="H177" s="139"/>
      <c r="I177" s="139"/>
      <c r="J177" s="139"/>
      <c r="K177" s="139"/>
      <c r="L177" s="139"/>
      <c r="M177" s="139"/>
      <c r="N177" s="139"/>
      <c r="O177" s="139"/>
      <c r="P177" s="139"/>
      <c r="Q177" s="139"/>
      <c r="R177" s="139"/>
      <c r="S177" s="139"/>
      <c r="T177" s="139"/>
      <c r="U177" s="139"/>
      <c r="V177" s="139"/>
    </row>
    <row r="178" spans="1:22">
      <c r="A178" s="139"/>
      <c r="B178" s="139"/>
      <c r="C178" s="139"/>
      <c r="D178" s="139"/>
      <c r="E178" s="139"/>
      <c r="F178" s="139"/>
      <c r="G178" s="139"/>
      <c r="H178" s="139"/>
      <c r="I178" s="139"/>
      <c r="J178" s="139"/>
      <c r="K178" s="139"/>
      <c r="L178" s="139"/>
      <c r="M178" s="139"/>
      <c r="N178" s="139"/>
      <c r="O178" s="139"/>
      <c r="P178" s="139"/>
      <c r="Q178" s="139"/>
      <c r="R178" s="139"/>
      <c r="S178" s="139"/>
      <c r="T178" s="139"/>
      <c r="U178" s="139"/>
      <c r="V178" s="139"/>
    </row>
    <row r="179" spans="1:22">
      <c r="A179" s="139"/>
      <c r="B179" s="139"/>
      <c r="C179" s="139"/>
      <c r="D179" s="139"/>
      <c r="E179" s="139"/>
      <c r="F179" s="139"/>
      <c r="G179" s="139"/>
      <c r="H179" s="139"/>
      <c r="I179" s="139"/>
      <c r="J179" s="139"/>
      <c r="K179" s="139"/>
      <c r="L179" s="139"/>
      <c r="M179" s="139"/>
      <c r="N179" s="139"/>
      <c r="O179" s="139"/>
      <c r="P179" s="139"/>
      <c r="Q179" s="139"/>
      <c r="R179" s="139"/>
      <c r="S179" s="139"/>
      <c r="T179" s="139"/>
      <c r="U179" s="139"/>
      <c r="V179" s="139"/>
    </row>
    <row r="180" spans="1:22">
      <c r="A180" s="139"/>
      <c r="B180" s="139"/>
      <c r="C180" s="139"/>
      <c r="D180" s="139"/>
      <c r="E180" s="139"/>
      <c r="F180" s="139"/>
      <c r="G180" s="139"/>
      <c r="H180" s="139"/>
      <c r="I180" s="139"/>
      <c r="J180" s="139"/>
      <c r="K180" s="139"/>
      <c r="L180" s="139"/>
      <c r="M180" s="139"/>
      <c r="N180" s="139"/>
      <c r="O180" s="139"/>
      <c r="P180" s="139"/>
      <c r="Q180" s="139"/>
      <c r="R180" s="139"/>
      <c r="S180" s="139"/>
      <c r="T180" s="139"/>
      <c r="U180" s="139"/>
      <c r="V180" s="139"/>
    </row>
    <row r="181" spans="1:22">
      <c r="A181" s="139"/>
      <c r="B181" s="139"/>
      <c r="C181" s="139"/>
      <c r="D181" s="139"/>
      <c r="E181" s="139"/>
      <c r="F181" s="139"/>
      <c r="G181" s="139"/>
      <c r="H181" s="139"/>
      <c r="I181" s="139"/>
      <c r="J181" s="139"/>
      <c r="K181" s="139"/>
      <c r="L181" s="139"/>
      <c r="M181" s="139"/>
      <c r="N181" s="139"/>
      <c r="O181" s="139"/>
      <c r="P181" s="139"/>
      <c r="Q181" s="139"/>
      <c r="R181" s="139"/>
      <c r="S181" s="139"/>
      <c r="T181" s="139"/>
      <c r="U181" s="139"/>
      <c r="V181" s="139"/>
    </row>
    <row r="182" spans="1:22">
      <c r="A182" s="139"/>
      <c r="B182" s="139"/>
      <c r="C182" s="139"/>
      <c r="D182" s="139"/>
      <c r="E182" s="139"/>
      <c r="F182" s="139"/>
      <c r="G182" s="139"/>
      <c r="H182" s="139"/>
      <c r="I182" s="139"/>
      <c r="J182" s="139"/>
      <c r="K182" s="139"/>
      <c r="L182" s="139"/>
      <c r="M182" s="139"/>
      <c r="N182" s="139"/>
      <c r="O182" s="139"/>
      <c r="P182" s="139"/>
      <c r="Q182" s="139"/>
      <c r="R182" s="139"/>
      <c r="S182" s="139"/>
      <c r="T182" s="139"/>
      <c r="U182" s="139"/>
      <c r="V182" s="139"/>
    </row>
    <row r="183" spans="1:22">
      <c r="A183" s="139"/>
      <c r="B183" s="139"/>
      <c r="C183" s="139"/>
      <c r="D183" s="139"/>
      <c r="E183" s="139"/>
      <c r="F183" s="139"/>
      <c r="G183" s="139"/>
      <c r="H183" s="139"/>
      <c r="I183" s="139"/>
      <c r="J183" s="139"/>
      <c r="K183" s="139"/>
      <c r="L183" s="139"/>
      <c r="M183" s="139"/>
      <c r="N183" s="139"/>
      <c r="O183" s="139"/>
      <c r="P183" s="139"/>
      <c r="Q183" s="139"/>
      <c r="R183" s="139"/>
      <c r="S183" s="139"/>
      <c r="T183" s="139"/>
      <c r="U183" s="139"/>
      <c r="V183" s="139"/>
    </row>
    <row r="184" spans="1:22">
      <c r="A184" s="139"/>
      <c r="B184" s="139"/>
      <c r="C184" s="139"/>
      <c r="D184" s="139"/>
      <c r="E184" s="139"/>
      <c r="F184" s="139"/>
      <c r="G184" s="139"/>
      <c r="H184" s="139"/>
      <c r="I184" s="139"/>
      <c r="J184" s="139"/>
      <c r="K184" s="139"/>
      <c r="L184" s="139"/>
      <c r="M184" s="139"/>
      <c r="N184" s="139"/>
      <c r="O184" s="139"/>
      <c r="P184" s="139"/>
      <c r="Q184" s="139"/>
      <c r="R184" s="139"/>
      <c r="S184" s="139"/>
      <c r="T184" s="139"/>
      <c r="U184" s="139"/>
      <c r="V184" s="139"/>
    </row>
    <row r="185" spans="1:22">
      <c r="A185" s="139"/>
      <c r="B185" s="139"/>
      <c r="C185" s="139"/>
      <c r="D185" s="139"/>
      <c r="E185" s="139"/>
      <c r="F185" s="139"/>
      <c r="G185" s="139"/>
      <c r="H185" s="139"/>
      <c r="I185" s="139"/>
      <c r="J185" s="139"/>
      <c r="K185" s="139"/>
      <c r="L185" s="139"/>
      <c r="M185" s="139"/>
      <c r="N185" s="139"/>
      <c r="O185" s="139"/>
      <c r="P185" s="139"/>
      <c r="Q185" s="139"/>
      <c r="R185" s="139"/>
      <c r="S185" s="139"/>
      <c r="T185" s="139"/>
      <c r="U185" s="139"/>
      <c r="V185" s="139"/>
    </row>
    <row r="186" spans="1:22">
      <c r="A186" s="139"/>
      <c r="B186" s="139"/>
      <c r="C186" s="139"/>
      <c r="D186" s="139"/>
      <c r="E186" s="139"/>
      <c r="F186" s="139"/>
      <c r="G186" s="139"/>
      <c r="H186" s="139"/>
      <c r="I186" s="139"/>
      <c r="J186" s="139"/>
      <c r="K186" s="139"/>
      <c r="L186" s="139"/>
      <c r="M186" s="139"/>
      <c r="N186" s="139"/>
      <c r="O186" s="139"/>
      <c r="P186" s="139"/>
      <c r="Q186" s="139"/>
      <c r="R186" s="139"/>
      <c r="S186" s="139"/>
      <c r="T186" s="139"/>
      <c r="U186" s="139"/>
      <c r="V186" s="139"/>
    </row>
    <row r="187" spans="1:22">
      <c r="A187" s="139"/>
      <c r="B187" s="139"/>
      <c r="C187" s="139"/>
      <c r="D187" s="139"/>
      <c r="E187" s="139"/>
      <c r="F187" s="139"/>
      <c r="G187" s="139"/>
      <c r="H187" s="139"/>
      <c r="I187" s="139"/>
      <c r="J187" s="139"/>
      <c r="K187" s="139"/>
      <c r="L187" s="139"/>
      <c r="M187" s="139"/>
      <c r="N187" s="139"/>
      <c r="O187" s="139"/>
      <c r="P187" s="139"/>
      <c r="Q187" s="139"/>
      <c r="R187" s="139"/>
      <c r="S187" s="139"/>
      <c r="T187" s="139"/>
      <c r="U187" s="139"/>
      <c r="V187" s="139"/>
    </row>
    <row r="188" spans="1:22">
      <c r="A188" s="139"/>
      <c r="B188" s="139"/>
      <c r="C188" s="139"/>
      <c r="D188" s="139"/>
      <c r="E188" s="139"/>
      <c r="F188" s="139"/>
      <c r="G188" s="139"/>
      <c r="H188" s="139"/>
      <c r="I188" s="139"/>
      <c r="J188" s="139"/>
      <c r="K188" s="139"/>
      <c r="L188" s="139"/>
      <c r="M188" s="139"/>
      <c r="N188" s="139"/>
      <c r="O188" s="139"/>
      <c r="P188" s="139"/>
      <c r="Q188" s="139"/>
      <c r="R188" s="139"/>
      <c r="S188" s="139"/>
      <c r="T188" s="139"/>
      <c r="U188" s="139"/>
      <c r="V188" s="139"/>
    </row>
    <row r="189" spans="1:22">
      <c r="A189" s="139"/>
      <c r="B189" s="139"/>
      <c r="C189" s="139"/>
      <c r="D189" s="139"/>
      <c r="E189" s="139"/>
      <c r="F189" s="139"/>
      <c r="G189" s="139"/>
      <c r="H189" s="139"/>
      <c r="I189" s="139"/>
      <c r="J189" s="139"/>
      <c r="K189" s="139"/>
      <c r="L189" s="139"/>
      <c r="M189" s="139"/>
      <c r="N189" s="139"/>
      <c r="O189" s="139"/>
      <c r="P189" s="139"/>
      <c r="Q189" s="139"/>
      <c r="R189" s="139"/>
      <c r="S189" s="139"/>
      <c r="T189" s="139"/>
      <c r="U189" s="139"/>
      <c r="V189" s="139"/>
    </row>
    <row r="190" spans="1:22">
      <c r="A190" s="139"/>
      <c r="B190" s="139"/>
      <c r="C190" s="139"/>
      <c r="D190" s="139"/>
      <c r="E190" s="139"/>
      <c r="F190" s="139"/>
      <c r="G190" s="139"/>
      <c r="H190" s="139"/>
      <c r="I190" s="139"/>
      <c r="J190" s="139"/>
      <c r="K190" s="139"/>
      <c r="L190" s="139"/>
      <c r="M190" s="139"/>
      <c r="N190" s="139"/>
      <c r="O190" s="139"/>
      <c r="P190" s="139"/>
      <c r="Q190" s="139"/>
      <c r="R190" s="139"/>
      <c r="S190" s="139"/>
      <c r="T190" s="139"/>
      <c r="U190" s="139"/>
      <c r="V190" s="139"/>
    </row>
    <row r="191" spans="1:22">
      <c r="A191" s="139"/>
      <c r="B191" s="139"/>
      <c r="C191" s="139"/>
      <c r="D191" s="139"/>
      <c r="E191" s="139"/>
      <c r="F191" s="139"/>
      <c r="G191" s="139"/>
      <c r="H191" s="139"/>
      <c r="I191" s="139"/>
      <c r="J191" s="139"/>
      <c r="K191" s="139"/>
      <c r="L191" s="139"/>
      <c r="M191" s="139"/>
      <c r="N191" s="139"/>
      <c r="O191" s="139"/>
      <c r="P191" s="139"/>
      <c r="Q191" s="139"/>
      <c r="R191" s="139"/>
      <c r="S191" s="139"/>
      <c r="T191" s="139"/>
      <c r="U191" s="139"/>
      <c r="V191" s="139"/>
    </row>
    <row r="192" spans="1:22">
      <c r="A192" s="139"/>
      <c r="B192" s="139"/>
      <c r="C192" s="139"/>
      <c r="D192" s="139"/>
      <c r="E192" s="139"/>
      <c r="F192" s="139"/>
      <c r="G192" s="139"/>
      <c r="H192" s="139"/>
      <c r="I192" s="139"/>
      <c r="J192" s="139"/>
      <c r="K192" s="139"/>
      <c r="L192" s="139"/>
      <c r="M192" s="139"/>
      <c r="N192" s="139"/>
      <c r="O192" s="139"/>
      <c r="P192" s="139"/>
      <c r="Q192" s="139"/>
      <c r="R192" s="139"/>
      <c r="S192" s="139"/>
      <c r="T192" s="139"/>
      <c r="U192" s="139"/>
      <c r="V192" s="139"/>
    </row>
    <row r="193" spans="1:22">
      <c r="A193" s="139"/>
      <c r="B193" s="139"/>
      <c r="C193" s="139"/>
      <c r="D193" s="139"/>
      <c r="E193" s="139"/>
      <c r="F193" s="139"/>
      <c r="G193" s="139"/>
      <c r="H193" s="139"/>
      <c r="I193" s="139"/>
      <c r="J193" s="139"/>
      <c r="K193" s="139"/>
      <c r="L193" s="139"/>
      <c r="M193" s="139"/>
      <c r="N193" s="139"/>
      <c r="O193" s="139"/>
      <c r="P193" s="139"/>
      <c r="Q193" s="139"/>
      <c r="R193" s="139"/>
      <c r="S193" s="139"/>
      <c r="T193" s="139"/>
      <c r="U193" s="139"/>
      <c r="V193" s="139"/>
    </row>
    <row r="194" spans="1:22">
      <c r="A194" s="139"/>
      <c r="B194" s="139"/>
      <c r="C194" s="139"/>
      <c r="D194" s="139"/>
      <c r="E194" s="139"/>
      <c r="F194" s="139"/>
      <c r="G194" s="139"/>
      <c r="H194" s="139"/>
      <c r="I194" s="139"/>
      <c r="J194" s="139"/>
      <c r="K194" s="139"/>
      <c r="L194" s="139"/>
      <c r="M194" s="139"/>
      <c r="N194" s="139"/>
      <c r="O194" s="139"/>
      <c r="P194" s="139"/>
      <c r="Q194" s="139"/>
      <c r="R194" s="139"/>
      <c r="S194" s="139"/>
      <c r="T194" s="139"/>
      <c r="U194" s="139"/>
      <c r="V194" s="139"/>
    </row>
    <row r="195" spans="1:22">
      <c r="A195" s="139"/>
      <c r="B195" s="139"/>
      <c r="C195" s="139"/>
      <c r="D195" s="139"/>
      <c r="E195" s="139"/>
      <c r="F195" s="139"/>
      <c r="G195" s="139"/>
      <c r="H195" s="139"/>
      <c r="I195" s="139"/>
      <c r="J195" s="139"/>
      <c r="K195" s="139"/>
      <c r="L195" s="139"/>
      <c r="M195" s="139"/>
      <c r="N195" s="139"/>
      <c r="O195" s="139"/>
      <c r="P195" s="139"/>
      <c r="Q195" s="139"/>
      <c r="R195" s="139"/>
      <c r="S195" s="139"/>
      <c r="T195" s="139"/>
      <c r="U195" s="139"/>
      <c r="V195" s="139"/>
    </row>
    <row r="196" spans="1:22">
      <c r="A196" s="139"/>
      <c r="B196" s="139"/>
      <c r="C196" s="139"/>
      <c r="D196" s="139"/>
      <c r="E196" s="139"/>
      <c r="F196" s="139"/>
      <c r="G196" s="139"/>
      <c r="H196" s="139"/>
      <c r="I196" s="139"/>
      <c r="J196" s="139"/>
      <c r="K196" s="139"/>
      <c r="L196" s="139"/>
      <c r="M196" s="139"/>
      <c r="N196" s="139"/>
      <c r="O196" s="139"/>
      <c r="P196" s="139"/>
      <c r="Q196" s="139"/>
      <c r="R196" s="139"/>
      <c r="S196" s="139"/>
      <c r="T196" s="139"/>
      <c r="U196" s="139"/>
      <c r="V196" s="139"/>
    </row>
    <row r="197" spans="1:22">
      <c r="A197" s="139"/>
      <c r="B197" s="139"/>
      <c r="C197" s="139"/>
      <c r="D197" s="139"/>
      <c r="E197" s="139"/>
      <c r="F197" s="139"/>
      <c r="G197" s="139"/>
      <c r="H197" s="139"/>
      <c r="I197" s="139"/>
      <c r="J197" s="139"/>
      <c r="K197" s="139"/>
      <c r="L197" s="139"/>
      <c r="M197" s="139"/>
      <c r="N197" s="139"/>
      <c r="O197" s="139"/>
      <c r="P197" s="139"/>
      <c r="Q197" s="139"/>
      <c r="R197" s="139"/>
      <c r="S197" s="139"/>
      <c r="T197" s="139"/>
      <c r="U197" s="139"/>
      <c r="V197" s="139"/>
    </row>
    <row r="198" spans="1:22">
      <c r="A198" s="139"/>
      <c r="B198" s="139"/>
      <c r="C198" s="139"/>
      <c r="D198" s="139"/>
      <c r="E198" s="139"/>
      <c r="F198" s="139"/>
      <c r="G198" s="139"/>
      <c r="H198" s="139"/>
      <c r="I198" s="139"/>
      <c r="J198" s="139"/>
      <c r="K198" s="139"/>
      <c r="L198" s="139"/>
      <c r="M198" s="139"/>
      <c r="N198" s="139"/>
      <c r="O198" s="139"/>
      <c r="P198" s="139"/>
      <c r="Q198" s="139"/>
      <c r="R198" s="139"/>
      <c r="S198" s="139"/>
      <c r="T198" s="139"/>
      <c r="U198" s="139"/>
      <c r="V198" s="139"/>
    </row>
    <row r="199" spans="1:22">
      <c r="A199" s="139"/>
      <c r="B199" s="139"/>
      <c r="C199" s="139"/>
      <c r="D199" s="139"/>
      <c r="E199" s="139"/>
      <c r="F199" s="139"/>
      <c r="G199" s="139"/>
      <c r="H199" s="139"/>
      <c r="I199" s="139"/>
      <c r="J199" s="139"/>
      <c r="K199" s="139"/>
      <c r="L199" s="139"/>
      <c r="M199" s="139"/>
      <c r="N199" s="139"/>
      <c r="O199" s="139"/>
      <c r="P199" s="139"/>
      <c r="Q199" s="139"/>
      <c r="R199" s="139"/>
      <c r="S199" s="139"/>
      <c r="T199" s="139"/>
      <c r="U199" s="139"/>
      <c r="V199" s="139"/>
    </row>
    <row r="200" spans="1:22">
      <c r="A200" s="139"/>
      <c r="B200" s="139"/>
      <c r="C200" s="139"/>
      <c r="D200" s="139"/>
      <c r="E200" s="139"/>
      <c r="F200" s="139"/>
      <c r="G200" s="139"/>
      <c r="H200" s="139"/>
      <c r="I200" s="139"/>
      <c r="J200" s="139"/>
      <c r="K200" s="139"/>
      <c r="L200" s="139"/>
      <c r="M200" s="139"/>
      <c r="N200" s="139"/>
      <c r="O200" s="139"/>
      <c r="P200" s="139"/>
      <c r="Q200" s="139"/>
      <c r="R200" s="139"/>
      <c r="S200" s="139"/>
      <c r="T200" s="139"/>
      <c r="U200" s="139"/>
      <c r="V200" s="139"/>
    </row>
    <row r="201" spans="1:22">
      <c r="A201" s="139"/>
      <c r="B201" s="139"/>
      <c r="C201" s="139"/>
      <c r="D201" s="139"/>
      <c r="E201" s="139"/>
      <c r="F201" s="139"/>
      <c r="G201" s="139"/>
      <c r="H201" s="139"/>
      <c r="I201" s="139"/>
      <c r="J201" s="139"/>
      <c r="K201" s="139"/>
      <c r="L201" s="139"/>
      <c r="M201" s="139"/>
      <c r="N201" s="139"/>
      <c r="O201" s="139"/>
      <c r="P201" s="139"/>
      <c r="Q201" s="139"/>
      <c r="R201" s="139"/>
      <c r="S201" s="139"/>
      <c r="T201" s="139"/>
      <c r="U201" s="139"/>
      <c r="V201" s="139"/>
    </row>
    <row r="202" spans="1:22">
      <c r="A202" s="139"/>
      <c r="B202" s="139"/>
      <c r="C202" s="139"/>
      <c r="D202" s="139"/>
      <c r="E202" s="139"/>
      <c r="F202" s="139"/>
      <c r="G202" s="139"/>
      <c r="H202" s="139"/>
      <c r="I202" s="139"/>
      <c r="J202" s="139"/>
      <c r="K202" s="139"/>
      <c r="L202" s="139"/>
      <c r="M202" s="139"/>
      <c r="N202" s="139"/>
      <c r="O202" s="139"/>
      <c r="P202" s="139"/>
      <c r="Q202" s="139"/>
      <c r="R202" s="139"/>
      <c r="S202" s="139"/>
      <c r="T202" s="139"/>
      <c r="U202" s="139"/>
      <c r="V202" s="139"/>
    </row>
    <row r="203" spans="1:22">
      <c r="A203" s="139"/>
      <c r="B203" s="139"/>
      <c r="C203" s="139"/>
      <c r="D203" s="139"/>
      <c r="E203" s="139"/>
      <c r="F203" s="139"/>
      <c r="G203" s="139"/>
      <c r="H203" s="139"/>
      <c r="I203" s="139"/>
      <c r="J203" s="139"/>
      <c r="K203" s="139"/>
      <c r="L203" s="139"/>
      <c r="M203" s="139"/>
      <c r="N203" s="139"/>
      <c r="O203" s="139"/>
      <c r="P203" s="139"/>
      <c r="Q203" s="139"/>
      <c r="R203" s="139"/>
      <c r="S203" s="139"/>
      <c r="T203" s="139"/>
      <c r="U203" s="139"/>
      <c r="V203" s="139"/>
    </row>
    <row r="204" spans="1:22">
      <c r="A204" s="139"/>
      <c r="B204" s="139"/>
      <c r="C204" s="139"/>
      <c r="D204" s="139"/>
      <c r="E204" s="139"/>
      <c r="F204" s="139"/>
      <c r="G204" s="139"/>
      <c r="H204" s="139"/>
      <c r="I204" s="139"/>
      <c r="J204" s="139"/>
      <c r="K204" s="139"/>
      <c r="L204" s="139"/>
      <c r="M204" s="139"/>
      <c r="N204" s="139"/>
      <c r="O204" s="139"/>
      <c r="P204" s="139"/>
      <c r="Q204" s="139"/>
      <c r="R204" s="139"/>
      <c r="S204" s="139"/>
      <c r="T204" s="139"/>
      <c r="U204" s="139"/>
      <c r="V204" s="139"/>
    </row>
    <row r="205" spans="1:22">
      <c r="A205" s="139"/>
      <c r="B205" s="139"/>
      <c r="C205" s="139"/>
      <c r="D205" s="139"/>
      <c r="E205" s="139"/>
      <c r="F205" s="139"/>
      <c r="G205" s="139"/>
      <c r="H205" s="139"/>
      <c r="I205" s="139"/>
      <c r="J205" s="139"/>
      <c r="K205" s="139"/>
      <c r="L205" s="139"/>
      <c r="M205" s="139"/>
      <c r="N205" s="139"/>
      <c r="O205" s="139"/>
      <c r="P205" s="139"/>
      <c r="Q205" s="139"/>
      <c r="R205" s="139"/>
      <c r="S205" s="139"/>
      <c r="T205" s="139"/>
      <c r="U205" s="139"/>
      <c r="V205" s="139"/>
    </row>
    <row r="206" spans="1:22">
      <c r="A206" s="139"/>
      <c r="B206" s="139"/>
      <c r="C206" s="139"/>
      <c r="D206" s="139"/>
      <c r="E206" s="139"/>
      <c r="F206" s="139"/>
      <c r="G206" s="139"/>
      <c r="H206" s="139"/>
      <c r="I206" s="139"/>
      <c r="J206" s="139"/>
      <c r="K206" s="139"/>
      <c r="L206" s="139"/>
      <c r="M206" s="139"/>
      <c r="N206" s="139"/>
      <c r="O206" s="139"/>
      <c r="P206" s="139"/>
      <c r="Q206" s="139"/>
      <c r="R206" s="139"/>
      <c r="S206" s="139"/>
      <c r="T206" s="139"/>
      <c r="U206" s="139"/>
      <c r="V206" s="139"/>
    </row>
    <row r="207" spans="1:22">
      <c r="A207" s="139"/>
      <c r="B207" s="139"/>
      <c r="C207" s="139"/>
      <c r="D207" s="139"/>
      <c r="E207" s="139"/>
      <c r="F207" s="139"/>
      <c r="G207" s="139"/>
      <c r="H207" s="139"/>
      <c r="I207" s="139"/>
      <c r="J207" s="139"/>
      <c r="K207" s="139"/>
      <c r="L207" s="139"/>
      <c r="M207" s="139"/>
      <c r="N207" s="139"/>
      <c r="O207" s="139"/>
      <c r="P207" s="139"/>
      <c r="Q207" s="139"/>
      <c r="R207" s="139"/>
      <c r="S207" s="139"/>
      <c r="T207" s="139"/>
      <c r="U207" s="139"/>
      <c r="V207" s="139"/>
    </row>
    <row r="208" spans="1:22">
      <c r="A208" s="139"/>
      <c r="B208" s="139"/>
      <c r="C208" s="139"/>
      <c r="D208" s="139"/>
      <c r="E208" s="139"/>
      <c r="F208" s="139"/>
      <c r="G208" s="139"/>
      <c r="H208" s="139"/>
      <c r="I208" s="139"/>
      <c r="J208" s="139"/>
      <c r="K208" s="139"/>
      <c r="L208" s="139"/>
      <c r="M208" s="139"/>
      <c r="N208" s="139"/>
      <c r="O208" s="139"/>
      <c r="P208" s="139"/>
      <c r="Q208" s="139"/>
      <c r="R208" s="139"/>
      <c r="S208" s="139"/>
      <c r="T208" s="139"/>
      <c r="U208" s="139"/>
      <c r="V208" s="139"/>
    </row>
    <row r="209" spans="1:22">
      <c r="A209" s="139"/>
      <c r="B209" s="139"/>
      <c r="C209" s="139"/>
      <c r="D209" s="139"/>
      <c r="E209" s="139"/>
      <c r="F209" s="139"/>
      <c r="G209" s="139"/>
      <c r="H209" s="139"/>
      <c r="I209" s="139"/>
      <c r="J209" s="139"/>
      <c r="K209" s="139"/>
      <c r="L209" s="139"/>
      <c r="M209" s="139"/>
      <c r="N209" s="139"/>
      <c r="O209" s="139"/>
      <c r="P209" s="139"/>
      <c r="Q209" s="139"/>
      <c r="R209" s="139"/>
      <c r="S209" s="139"/>
      <c r="T209" s="139"/>
      <c r="U209" s="139"/>
      <c r="V209" s="139"/>
    </row>
    <row r="210" spans="1:22">
      <c r="A210" s="139"/>
      <c r="B210" s="139"/>
      <c r="C210" s="139"/>
      <c r="D210" s="139"/>
      <c r="E210" s="139"/>
      <c r="F210" s="139"/>
      <c r="G210" s="139"/>
      <c r="H210" s="139"/>
      <c r="I210" s="139"/>
      <c r="J210" s="139"/>
      <c r="K210" s="139"/>
      <c r="L210" s="139"/>
      <c r="M210" s="139"/>
      <c r="N210" s="139"/>
      <c r="O210" s="139"/>
      <c r="P210" s="139"/>
      <c r="Q210" s="139"/>
      <c r="R210" s="139"/>
      <c r="S210" s="139"/>
      <c r="T210" s="139"/>
      <c r="U210" s="139"/>
      <c r="V210" s="139"/>
    </row>
    <row r="211" spans="1:22">
      <c r="A211" s="139"/>
      <c r="B211" s="139"/>
      <c r="C211" s="139"/>
      <c r="D211" s="139"/>
      <c r="E211" s="139"/>
      <c r="F211" s="139"/>
      <c r="G211" s="139"/>
      <c r="H211" s="139"/>
      <c r="I211" s="139"/>
      <c r="J211" s="139"/>
      <c r="K211" s="139"/>
      <c r="L211" s="139"/>
      <c r="M211" s="139"/>
      <c r="N211" s="139"/>
      <c r="O211" s="139"/>
      <c r="P211" s="139"/>
      <c r="Q211" s="139"/>
      <c r="R211" s="139"/>
      <c r="S211" s="139"/>
      <c r="T211" s="139"/>
      <c r="U211" s="139"/>
      <c r="V211" s="139"/>
    </row>
    <row r="212" spans="1:22">
      <c r="A212" s="139"/>
      <c r="B212" s="139"/>
      <c r="C212" s="139"/>
      <c r="D212" s="139"/>
      <c r="E212" s="139"/>
      <c r="F212" s="139"/>
      <c r="G212" s="139"/>
      <c r="H212" s="139"/>
      <c r="I212" s="139"/>
      <c r="J212" s="139"/>
      <c r="K212" s="139"/>
      <c r="L212" s="139"/>
      <c r="M212" s="139"/>
      <c r="N212" s="139"/>
      <c r="O212" s="139"/>
      <c r="P212" s="139"/>
      <c r="Q212" s="139"/>
      <c r="R212" s="139"/>
      <c r="S212" s="139"/>
      <c r="T212" s="139"/>
      <c r="U212" s="139"/>
      <c r="V212" s="139"/>
    </row>
    <row r="213" spans="1:22">
      <c r="A213" s="139"/>
      <c r="B213" s="139"/>
      <c r="C213" s="139"/>
      <c r="D213" s="139"/>
      <c r="E213" s="139"/>
      <c r="F213" s="139"/>
      <c r="G213" s="139"/>
      <c r="H213" s="139"/>
      <c r="I213" s="139"/>
      <c r="J213" s="139"/>
      <c r="K213" s="139"/>
      <c r="L213" s="139"/>
      <c r="M213" s="139"/>
      <c r="N213" s="139"/>
      <c r="O213" s="139"/>
      <c r="P213" s="139"/>
      <c r="Q213" s="139"/>
      <c r="R213" s="139"/>
      <c r="S213" s="139"/>
      <c r="T213" s="139"/>
      <c r="U213" s="139"/>
      <c r="V213" s="139"/>
    </row>
    <row r="214" spans="1:22">
      <c r="A214" s="139"/>
      <c r="B214" s="139"/>
      <c r="C214" s="139"/>
      <c r="D214" s="139"/>
      <c r="E214" s="139"/>
      <c r="F214" s="139"/>
      <c r="G214" s="139"/>
      <c r="H214" s="139"/>
      <c r="I214" s="139"/>
      <c r="J214" s="139"/>
      <c r="K214" s="139"/>
      <c r="L214" s="139"/>
      <c r="M214" s="139"/>
      <c r="N214" s="139"/>
      <c r="O214" s="139"/>
      <c r="P214" s="139"/>
      <c r="Q214" s="139"/>
      <c r="R214" s="139"/>
      <c r="S214" s="139"/>
      <c r="T214" s="139"/>
      <c r="U214" s="139"/>
      <c r="V214" s="139"/>
    </row>
    <row r="215" spans="1:22">
      <c r="A215" s="139"/>
      <c r="B215" s="139"/>
      <c r="C215" s="139"/>
      <c r="D215" s="139"/>
      <c r="E215" s="139"/>
      <c r="F215" s="139"/>
      <c r="G215" s="139"/>
      <c r="H215" s="139"/>
      <c r="I215" s="139"/>
      <c r="J215" s="139"/>
      <c r="K215" s="139"/>
      <c r="L215" s="139"/>
      <c r="M215" s="139"/>
      <c r="N215" s="139"/>
      <c r="O215" s="139"/>
      <c r="P215" s="139"/>
      <c r="Q215" s="139"/>
      <c r="R215" s="139"/>
      <c r="S215" s="139"/>
      <c r="T215" s="139"/>
      <c r="U215" s="139"/>
      <c r="V215" s="139"/>
    </row>
    <row r="216" spans="1:22">
      <c r="A216" s="139"/>
      <c r="B216" s="139"/>
      <c r="C216" s="139"/>
      <c r="D216" s="139"/>
      <c r="E216" s="139"/>
      <c r="F216" s="139"/>
      <c r="G216" s="139"/>
      <c r="H216" s="139"/>
      <c r="I216" s="139"/>
      <c r="J216" s="139"/>
      <c r="K216" s="139"/>
      <c r="L216" s="139"/>
      <c r="M216" s="139"/>
      <c r="N216" s="139"/>
      <c r="O216" s="139"/>
      <c r="P216" s="139"/>
      <c r="Q216" s="139"/>
      <c r="R216" s="139"/>
      <c r="S216" s="139"/>
      <c r="T216" s="139"/>
      <c r="U216" s="139"/>
      <c r="V216" s="139"/>
    </row>
    <row r="217" spans="1:22">
      <c r="A217" s="139"/>
      <c r="B217" s="139"/>
      <c r="C217" s="139"/>
      <c r="D217" s="139"/>
      <c r="E217" s="139"/>
      <c r="F217" s="139"/>
      <c r="G217" s="139"/>
      <c r="H217" s="139"/>
      <c r="I217" s="139"/>
      <c r="J217" s="139"/>
      <c r="K217" s="139"/>
      <c r="L217" s="139"/>
      <c r="M217" s="139"/>
      <c r="N217" s="139"/>
      <c r="O217" s="139"/>
      <c r="P217" s="139"/>
      <c r="Q217" s="139"/>
      <c r="R217" s="139"/>
      <c r="S217" s="139"/>
      <c r="T217" s="139"/>
      <c r="U217" s="139"/>
      <c r="V217" s="139"/>
    </row>
    <row r="218" spans="1:22">
      <c r="A218" s="139"/>
      <c r="B218" s="139"/>
      <c r="C218" s="139"/>
      <c r="D218" s="139"/>
      <c r="E218" s="139"/>
      <c r="F218" s="139"/>
      <c r="G218" s="139"/>
      <c r="H218" s="139"/>
      <c r="I218" s="139"/>
      <c r="J218" s="139"/>
      <c r="K218" s="139"/>
      <c r="L218" s="139"/>
      <c r="M218" s="139"/>
      <c r="N218" s="139"/>
      <c r="O218" s="139"/>
      <c r="P218" s="139"/>
      <c r="Q218" s="139"/>
      <c r="R218" s="139"/>
      <c r="S218" s="139"/>
      <c r="T218" s="139"/>
      <c r="U218" s="139"/>
      <c r="V218" s="139"/>
    </row>
    <row r="219" spans="1:22">
      <c r="A219" s="139"/>
      <c r="B219" s="139"/>
      <c r="C219" s="139"/>
      <c r="D219" s="139"/>
      <c r="E219" s="139"/>
      <c r="F219" s="139"/>
      <c r="G219" s="139"/>
      <c r="H219" s="139"/>
      <c r="I219" s="139"/>
      <c r="J219" s="139"/>
      <c r="K219" s="139"/>
      <c r="L219" s="139"/>
      <c r="M219" s="139"/>
      <c r="N219" s="139"/>
      <c r="O219" s="139"/>
      <c r="P219" s="139"/>
      <c r="Q219" s="139"/>
      <c r="R219" s="139"/>
      <c r="S219" s="139"/>
      <c r="T219" s="139"/>
      <c r="U219" s="139"/>
      <c r="V219" s="139"/>
    </row>
    <row r="220" spans="1:22">
      <c r="A220" s="139"/>
      <c r="B220" s="139"/>
      <c r="C220" s="139"/>
      <c r="D220" s="139"/>
      <c r="E220" s="139"/>
      <c r="F220" s="139"/>
      <c r="G220" s="139"/>
      <c r="H220" s="139"/>
      <c r="I220" s="139"/>
      <c r="J220" s="139"/>
      <c r="K220" s="139"/>
      <c r="L220" s="139"/>
      <c r="M220" s="139"/>
      <c r="N220" s="139"/>
      <c r="O220" s="139"/>
      <c r="P220" s="139"/>
      <c r="Q220" s="139"/>
      <c r="R220" s="139"/>
      <c r="S220" s="139"/>
      <c r="T220" s="139"/>
      <c r="U220" s="139"/>
      <c r="V220" s="139"/>
    </row>
    <row r="221" spans="1:22">
      <c r="A221" s="139"/>
      <c r="B221" s="139"/>
      <c r="C221" s="139"/>
      <c r="D221" s="139"/>
      <c r="E221" s="139"/>
      <c r="F221" s="139"/>
      <c r="G221" s="139"/>
      <c r="H221" s="139"/>
      <c r="I221" s="139"/>
      <c r="J221" s="139"/>
      <c r="K221" s="139"/>
      <c r="L221" s="139"/>
      <c r="M221" s="139"/>
      <c r="N221" s="139"/>
      <c r="O221" s="139"/>
      <c r="P221" s="139"/>
      <c r="Q221" s="139"/>
      <c r="R221" s="139"/>
      <c r="S221" s="139"/>
      <c r="T221" s="139"/>
      <c r="U221" s="139"/>
      <c r="V221" s="139"/>
    </row>
    <row r="222" spans="1:22">
      <c r="A222" s="139"/>
      <c r="B222" s="139"/>
      <c r="C222" s="139"/>
      <c r="D222" s="139"/>
      <c r="E222" s="139"/>
      <c r="F222" s="139"/>
      <c r="G222" s="139"/>
      <c r="H222" s="139"/>
      <c r="I222" s="139"/>
      <c r="J222" s="139"/>
      <c r="K222" s="139"/>
      <c r="L222" s="139"/>
      <c r="M222" s="139"/>
      <c r="N222" s="139"/>
      <c r="O222" s="139"/>
      <c r="P222" s="139"/>
      <c r="Q222" s="139"/>
      <c r="R222" s="139"/>
      <c r="S222" s="139"/>
      <c r="T222" s="139"/>
      <c r="U222" s="139"/>
      <c r="V222" s="139"/>
    </row>
    <row r="223" spans="1:22">
      <c r="A223" s="139"/>
      <c r="B223" s="139"/>
      <c r="C223" s="139"/>
      <c r="D223" s="139"/>
      <c r="E223" s="139"/>
      <c r="F223" s="139"/>
      <c r="G223" s="139"/>
      <c r="H223" s="139"/>
      <c r="I223" s="139"/>
      <c r="J223" s="139"/>
      <c r="K223" s="139"/>
      <c r="L223" s="139"/>
      <c r="M223" s="139"/>
      <c r="N223" s="139"/>
      <c r="O223" s="139"/>
      <c r="P223" s="139"/>
      <c r="Q223" s="139"/>
      <c r="R223" s="139"/>
      <c r="S223" s="139"/>
      <c r="T223" s="139"/>
      <c r="U223" s="139"/>
      <c r="V223" s="139"/>
    </row>
    <row r="224" spans="1:22">
      <c r="A224" s="139"/>
      <c r="B224" s="139"/>
      <c r="C224" s="139"/>
      <c r="D224" s="139"/>
      <c r="E224" s="139"/>
      <c r="F224" s="139"/>
      <c r="G224" s="139"/>
      <c r="H224" s="139"/>
      <c r="I224" s="139"/>
      <c r="J224" s="139"/>
      <c r="K224" s="139"/>
      <c r="L224" s="139"/>
      <c r="M224" s="139"/>
      <c r="N224" s="139"/>
      <c r="O224" s="139"/>
      <c r="P224" s="139"/>
      <c r="Q224" s="139"/>
      <c r="R224" s="139"/>
      <c r="S224" s="139"/>
      <c r="T224" s="139"/>
      <c r="U224" s="139"/>
      <c r="V224" s="139"/>
    </row>
    <row r="225" spans="1:22">
      <c r="A225" s="139"/>
      <c r="B225" s="139"/>
      <c r="C225" s="139"/>
      <c r="D225" s="139"/>
      <c r="E225" s="139"/>
      <c r="F225" s="139"/>
      <c r="G225" s="139"/>
      <c r="H225" s="139"/>
      <c r="I225" s="139"/>
      <c r="J225" s="139"/>
      <c r="K225" s="139"/>
      <c r="L225" s="139"/>
      <c r="M225" s="139"/>
      <c r="N225" s="139"/>
      <c r="O225" s="139"/>
      <c r="P225" s="139"/>
      <c r="Q225" s="139"/>
      <c r="R225" s="139"/>
      <c r="S225" s="139"/>
      <c r="T225" s="139"/>
      <c r="U225" s="139"/>
      <c r="V225" s="139"/>
    </row>
    <row r="226" spans="1:22">
      <c r="A226" s="139"/>
      <c r="B226" s="139"/>
      <c r="C226" s="139"/>
      <c r="D226" s="139"/>
      <c r="E226" s="139"/>
      <c r="F226" s="139"/>
      <c r="G226" s="139"/>
      <c r="H226" s="139"/>
      <c r="I226" s="139"/>
      <c r="J226" s="139"/>
      <c r="K226" s="139"/>
      <c r="L226" s="139"/>
      <c r="M226" s="139"/>
      <c r="N226" s="139"/>
      <c r="O226" s="139"/>
      <c r="P226" s="139"/>
      <c r="Q226" s="139"/>
      <c r="R226" s="139"/>
      <c r="S226" s="139"/>
      <c r="T226" s="139"/>
      <c r="U226" s="139"/>
      <c r="V226" s="139"/>
    </row>
    <row r="227" spans="1:22">
      <c r="A227" s="139"/>
      <c r="B227" s="139"/>
      <c r="C227" s="139"/>
      <c r="D227" s="139"/>
      <c r="E227" s="139"/>
      <c r="F227" s="139"/>
      <c r="G227" s="139"/>
      <c r="H227" s="139"/>
      <c r="I227" s="139"/>
      <c r="J227" s="139"/>
      <c r="K227" s="139"/>
      <c r="L227" s="139"/>
      <c r="M227" s="139"/>
      <c r="N227" s="139"/>
      <c r="O227" s="139"/>
      <c r="P227" s="139"/>
      <c r="Q227" s="139"/>
      <c r="R227" s="139"/>
      <c r="S227" s="139"/>
      <c r="T227" s="139"/>
      <c r="U227" s="139"/>
      <c r="V227" s="139"/>
    </row>
    <row r="228" spans="1:22">
      <c r="A228" s="139"/>
      <c r="B228" s="139"/>
      <c r="C228" s="139"/>
      <c r="D228" s="139"/>
      <c r="E228" s="139"/>
      <c r="F228" s="139"/>
      <c r="G228" s="139"/>
      <c r="H228" s="139"/>
      <c r="I228" s="139"/>
      <c r="J228" s="139"/>
      <c r="K228" s="139"/>
      <c r="L228" s="139"/>
      <c r="M228" s="139"/>
      <c r="N228" s="139"/>
      <c r="O228" s="139"/>
      <c r="P228" s="139"/>
      <c r="Q228" s="139"/>
      <c r="R228" s="139"/>
      <c r="S228" s="139"/>
      <c r="T228" s="139"/>
      <c r="U228" s="139"/>
      <c r="V228" s="139"/>
    </row>
    <row r="229" spans="1:22">
      <c r="A229" s="139"/>
      <c r="B229" s="139"/>
      <c r="C229" s="139"/>
      <c r="D229" s="139"/>
      <c r="E229" s="139"/>
      <c r="F229" s="139"/>
      <c r="G229" s="139"/>
      <c r="H229" s="139"/>
      <c r="I229" s="139"/>
      <c r="J229" s="139"/>
      <c r="K229" s="139"/>
      <c r="L229" s="139"/>
      <c r="M229" s="139"/>
      <c r="N229" s="139"/>
      <c r="O229" s="139"/>
      <c r="P229" s="139"/>
      <c r="Q229" s="139"/>
      <c r="R229" s="139"/>
      <c r="S229" s="139"/>
      <c r="T229" s="139"/>
      <c r="U229" s="139"/>
      <c r="V229" s="139"/>
    </row>
    <row r="230" spans="1:22">
      <c r="A230" s="139"/>
      <c r="B230" s="139"/>
      <c r="C230" s="139"/>
      <c r="D230" s="139"/>
      <c r="E230" s="139"/>
      <c r="F230" s="139"/>
      <c r="G230" s="139"/>
      <c r="H230" s="139"/>
      <c r="I230" s="139"/>
      <c r="J230" s="139"/>
      <c r="K230" s="139"/>
      <c r="L230" s="139"/>
      <c r="M230" s="139"/>
      <c r="N230" s="139"/>
      <c r="O230" s="139"/>
      <c r="P230" s="139"/>
      <c r="Q230" s="139"/>
      <c r="R230" s="139"/>
      <c r="S230" s="139"/>
      <c r="T230" s="139"/>
      <c r="U230" s="139"/>
      <c r="V230" s="139"/>
    </row>
    <row r="231" spans="1:22">
      <c r="A231" s="139"/>
      <c r="B231" s="139"/>
      <c r="C231" s="139"/>
      <c r="D231" s="139"/>
      <c r="E231" s="139"/>
      <c r="F231" s="139"/>
      <c r="G231" s="139"/>
      <c r="H231" s="139"/>
      <c r="I231" s="139"/>
      <c r="J231" s="139"/>
      <c r="K231" s="139"/>
      <c r="L231" s="139"/>
      <c r="M231" s="139"/>
      <c r="N231" s="139"/>
      <c r="O231" s="139"/>
      <c r="P231" s="139"/>
      <c r="Q231" s="139"/>
      <c r="R231" s="139"/>
      <c r="S231" s="139"/>
      <c r="T231" s="139"/>
      <c r="U231" s="139"/>
      <c r="V231" s="139"/>
    </row>
    <row r="232" spans="1:22">
      <c r="A232" s="139"/>
      <c r="B232" s="139"/>
      <c r="C232" s="139"/>
      <c r="D232" s="139"/>
      <c r="E232" s="139"/>
      <c r="F232" s="139"/>
      <c r="G232" s="139"/>
      <c r="H232" s="139"/>
      <c r="I232" s="139"/>
      <c r="J232" s="139"/>
      <c r="K232" s="139"/>
      <c r="L232" s="139"/>
      <c r="M232" s="139"/>
      <c r="N232" s="139"/>
      <c r="O232" s="139"/>
      <c r="P232" s="139"/>
      <c r="Q232" s="139"/>
      <c r="R232" s="139"/>
      <c r="S232" s="139"/>
      <c r="T232" s="139"/>
      <c r="U232" s="139"/>
      <c r="V232" s="139"/>
    </row>
    <row r="233" spans="1:22">
      <c r="A233" s="139"/>
      <c r="B233" s="139"/>
      <c r="C233" s="139"/>
      <c r="D233" s="139"/>
      <c r="E233" s="139"/>
      <c r="F233" s="139"/>
      <c r="G233" s="139"/>
      <c r="H233" s="139"/>
      <c r="I233" s="139"/>
      <c r="J233" s="139"/>
      <c r="K233" s="139"/>
      <c r="L233" s="139"/>
      <c r="M233" s="139"/>
      <c r="N233" s="139"/>
      <c r="O233" s="139"/>
      <c r="P233" s="139"/>
      <c r="Q233" s="139"/>
      <c r="R233" s="139"/>
      <c r="S233" s="139"/>
      <c r="T233" s="139"/>
      <c r="U233" s="139"/>
      <c r="V233" s="139"/>
    </row>
    <row r="234" spans="1:22">
      <c r="A234" s="139"/>
      <c r="B234" s="139"/>
      <c r="C234" s="139"/>
      <c r="D234" s="139"/>
      <c r="E234" s="139"/>
      <c r="F234" s="139"/>
      <c r="G234" s="139"/>
      <c r="H234" s="139"/>
      <c r="I234" s="139"/>
      <c r="J234" s="139"/>
      <c r="K234" s="139"/>
      <c r="L234" s="139"/>
      <c r="M234" s="139"/>
      <c r="N234" s="139"/>
      <c r="O234" s="139"/>
      <c r="P234" s="139"/>
      <c r="Q234" s="139"/>
      <c r="R234" s="139"/>
      <c r="S234" s="139"/>
      <c r="T234" s="139"/>
      <c r="U234" s="139"/>
      <c r="V234" s="139"/>
    </row>
    <row r="235" spans="1:22">
      <c r="A235" s="139"/>
      <c r="B235" s="139"/>
      <c r="C235" s="139"/>
      <c r="D235" s="139"/>
      <c r="E235" s="139"/>
      <c r="F235" s="139"/>
      <c r="G235" s="139"/>
      <c r="H235" s="139"/>
      <c r="I235" s="139"/>
      <c r="J235" s="139"/>
      <c r="K235" s="139"/>
      <c r="L235" s="139"/>
      <c r="M235" s="139"/>
      <c r="N235" s="139"/>
      <c r="O235" s="139"/>
      <c r="P235" s="139"/>
      <c r="Q235" s="139"/>
      <c r="R235" s="139"/>
      <c r="S235" s="139"/>
      <c r="T235" s="139"/>
      <c r="U235" s="139"/>
      <c r="V235" s="139"/>
    </row>
    <row r="236" spans="1:22">
      <c r="A236" s="139"/>
      <c r="B236" s="139"/>
      <c r="C236" s="139"/>
      <c r="D236" s="139"/>
      <c r="E236" s="139"/>
      <c r="F236" s="139"/>
      <c r="G236" s="139"/>
      <c r="H236" s="139"/>
      <c r="I236" s="139"/>
      <c r="J236" s="139"/>
      <c r="K236" s="139"/>
      <c r="L236" s="139"/>
      <c r="M236" s="139"/>
      <c r="N236" s="139"/>
      <c r="O236" s="139"/>
      <c r="P236" s="139"/>
      <c r="Q236" s="139"/>
      <c r="R236" s="139"/>
      <c r="S236" s="139"/>
      <c r="T236" s="139"/>
      <c r="U236" s="139"/>
      <c r="V236" s="139"/>
    </row>
    <row r="237" spans="1:22">
      <c r="A237" s="139"/>
      <c r="B237" s="139"/>
      <c r="C237" s="139"/>
      <c r="D237" s="139"/>
      <c r="E237" s="139"/>
      <c r="F237" s="139"/>
      <c r="G237" s="139"/>
      <c r="H237" s="139"/>
      <c r="I237" s="139"/>
      <c r="J237" s="139"/>
      <c r="K237" s="139"/>
      <c r="L237" s="139"/>
      <c r="M237" s="139"/>
      <c r="N237" s="139"/>
      <c r="O237" s="139"/>
      <c r="P237" s="139"/>
      <c r="Q237" s="139"/>
      <c r="R237" s="139"/>
      <c r="S237" s="139"/>
      <c r="T237" s="139"/>
      <c r="U237" s="139"/>
      <c r="V237" s="139"/>
    </row>
    <row r="238" spans="1:22">
      <c r="A238" s="139"/>
      <c r="B238" s="139"/>
      <c r="C238" s="139"/>
      <c r="D238" s="139"/>
      <c r="E238" s="139"/>
      <c r="F238" s="139"/>
      <c r="G238" s="139"/>
      <c r="H238" s="139"/>
      <c r="I238" s="139"/>
      <c r="J238" s="139"/>
      <c r="K238" s="139"/>
      <c r="L238" s="139"/>
      <c r="M238" s="139"/>
      <c r="N238" s="139"/>
      <c r="O238" s="139"/>
      <c r="P238" s="139"/>
      <c r="Q238" s="139"/>
      <c r="R238" s="139"/>
      <c r="S238" s="139"/>
      <c r="T238" s="139"/>
      <c r="U238" s="139"/>
      <c r="V238" s="139"/>
    </row>
    <row r="239" spans="1:22">
      <c r="A239" s="139"/>
      <c r="B239" s="139"/>
      <c r="C239" s="139"/>
      <c r="D239" s="139"/>
      <c r="E239" s="139"/>
      <c r="F239" s="139"/>
      <c r="G239" s="139"/>
      <c r="H239" s="139"/>
      <c r="I239" s="139"/>
      <c r="J239" s="139"/>
      <c r="K239" s="139"/>
      <c r="L239" s="139"/>
      <c r="M239" s="139"/>
      <c r="N239" s="139"/>
      <c r="O239" s="139"/>
      <c r="P239" s="139"/>
      <c r="Q239" s="139"/>
      <c r="R239" s="139"/>
      <c r="S239" s="139"/>
      <c r="T239" s="139"/>
      <c r="U239" s="139"/>
      <c r="V239" s="139"/>
    </row>
    <row r="240" spans="1:22">
      <c r="A240" s="139"/>
      <c r="B240" s="139"/>
      <c r="C240" s="139"/>
      <c r="D240" s="139"/>
      <c r="E240" s="139"/>
      <c r="F240" s="139"/>
      <c r="G240" s="139"/>
      <c r="H240" s="139"/>
      <c r="I240" s="139"/>
      <c r="J240" s="139"/>
      <c r="K240" s="139"/>
      <c r="L240" s="139"/>
      <c r="M240" s="139"/>
      <c r="N240" s="139"/>
      <c r="O240" s="139"/>
      <c r="P240" s="139"/>
      <c r="Q240" s="139"/>
      <c r="R240" s="139"/>
      <c r="S240" s="139"/>
      <c r="T240" s="139"/>
      <c r="U240" s="139"/>
      <c r="V240" s="139"/>
    </row>
    <row r="241" spans="1:22">
      <c r="A241" s="139"/>
      <c r="B241" s="139"/>
      <c r="C241" s="139"/>
      <c r="D241" s="139"/>
      <c r="E241" s="139"/>
      <c r="F241" s="139"/>
      <c r="G241" s="139"/>
      <c r="H241" s="139"/>
      <c r="I241" s="139"/>
      <c r="J241" s="139"/>
      <c r="K241" s="139"/>
      <c r="L241" s="139"/>
      <c r="M241" s="139"/>
      <c r="N241" s="139"/>
      <c r="O241" s="139"/>
      <c r="P241" s="139"/>
      <c r="Q241" s="139"/>
      <c r="R241" s="139"/>
      <c r="S241" s="139"/>
      <c r="T241" s="139"/>
      <c r="U241" s="139"/>
      <c r="V241" s="139"/>
    </row>
    <row r="242" spans="1:22">
      <c r="A242" s="139"/>
      <c r="B242" s="139"/>
      <c r="C242" s="139"/>
      <c r="D242" s="139"/>
      <c r="E242" s="139"/>
      <c r="F242" s="139"/>
      <c r="G242" s="139"/>
      <c r="H242" s="139"/>
      <c r="I242" s="139"/>
      <c r="J242" s="139"/>
      <c r="K242" s="139"/>
      <c r="L242" s="139"/>
      <c r="M242" s="139"/>
      <c r="N242" s="139"/>
      <c r="O242" s="139"/>
      <c r="P242" s="139"/>
      <c r="Q242" s="139"/>
      <c r="R242" s="139"/>
      <c r="S242" s="139"/>
      <c r="T242" s="139"/>
      <c r="U242" s="139"/>
      <c r="V242" s="139"/>
    </row>
    <row r="243" spans="1:22">
      <c r="A243" s="139"/>
      <c r="B243" s="139"/>
      <c r="C243" s="139"/>
      <c r="D243" s="139"/>
      <c r="E243" s="139"/>
      <c r="F243" s="139"/>
      <c r="G243" s="139"/>
      <c r="H243" s="139"/>
      <c r="I243" s="139"/>
      <c r="J243" s="139"/>
      <c r="K243" s="139"/>
      <c r="L243" s="139"/>
      <c r="M243" s="139"/>
      <c r="N243" s="139"/>
      <c r="O243" s="139"/>
      <c r="P243" s="139"/>
      <c r="Q243" s="139"/>
      <c r="R243" s="139"/>
      <c r="S243" s="139"/>
      <c r="T243" s="139"/>
      <c r="U243" s="139"/>
      <c r="V243" s="139"/>
    </row>
    <row r="244" spans="1:22">
      <c r="A244" s="139"/>
      <c r="B244" s="139"/>
      <c r="C244" s="139"/>
      <c r="D244" s="139"/>
      <c r="E244" s="139"/>
      <c r="F244" s="139"/>
      <c r="G244" s="139"/>
      <c r="H244" s="139"/>
      <c r="I244" s="139"/>
      <c r="J244" s="139"/>
      <c r="K244" s="139"/>
      <c r="L244" s="139"/>
      <c r="M244" s="139"/>
      <c r="N244" s="139"/>
      <c r="O244" s="139"/>
      <c r="P244" s="139"/>
      <c r="Q244" s="139"/>
      <c r="R244" s="139"/>
      <c r="S244" s="139"/>
      <c r="T244" s="139"/>
      <c r="U244" s="139"/>
      <c r="V244" s="139"/>
    </row>
    <row r="245" spans="1:22">
      <c r="A245" s="139"/>
      <c r="B245" s="139"/>
      <c r="C245" s="139"/>
      <c r="D245" s="139"/>
      <c r="E245" s="139"/>
      <c r="F245" s="139"/>
      <c r="G245" s="139"/>
      <c r="H245" s="139"/>
      <c r="I245" s="139"/>
      <c r="J245" s="139"/>
      <c r="K245" s="139"/>
      <c r="L245" s="139"/>
      <c r="M245" s="139"/>
      <c r="N245" s="139"/>
      <c r="O245" s="139"/>
      <c r="P245" s="139"/>
      <c r="Q245" s="139"/>
      <c r="R245" s="139"/>
      <c r="S245" s="139"/>
      <c r="T245" s="139"/>
      <c r="U245" s="139"/>
      <c r="V245" s="139"/>
    </row>
    <row r="246" spans="1:22">
      <c r="A246" s="139"/>
      <c r="B246" s="139"/>
      <c r="C246" s="139"/>
      <c r="D246" s="139"/>
      <c r="E246" s="139"/>
      <c r="F246" s="139"/>
      <c r="G246" s="139"/>
      <c r="H246" s="139"/>
      <c r="I246" s="139"/>
      <c r="J246" s="139"/>
      <c r="K246" s="139"/>
      <c r="L246" s="139"/>
      <c r="M246" s="139"/>
      <c r="N246" s="139"/>
      <c r="O246" s="139"/>
      <c r="P246" s="139"/>
      <c r="Q246" s="139"/>
      <c r="R246" s="139"/>
      <c r="S246" s="139"/>
      <c r="T246" s="139"/>
      <c r="U246" s="139"/>
      <c r="V246" s="139"/>
    </row>
    <row r="247" spans="1:22">
      <c r="A247" s="139"/>
      <c r="B247" s="139"/>
      <c r="C247" s="139"/>
      <c r="D247" s="139"/>
      <c r="E247" s="139"/>
      <c r="F247" s="139"/>
      <c r="G247" s="139"/>
      <c r="H247" s="139"/>
      <c r="I247" s="139"/>
      <c r="J247" s="139"/>
      <c r="K247" s="139"/>
      <c r="L247" s="139"/>
      <c r="M247" s="139"/>
      <c r="N247" s="139"/>
      <c r="O247" s="139"/>
      <c r="P247" s="139"/>
      <c r="Q247" s="139"/>
      <c r="R247" s="139"/>
      <c r="S247" s="139"/>
      <c r="T247" s="139"/>
      <c r="U247" s="139"/>
      <c r="V247" s="139"/>
    </row>
    <row r="248" spans="1:22">
      <c r="A248" s="139"/>
      <c r="B248" s="139"/>
      <c r="C248" s="139"/>
      <c r="D248" s="139"/>
      <c r="E248" s="139"/>
      <c r="F248" s="139"/>
      <c r="G248" s="139"/>
      <c r="H248" s="139"/>
      <c r="I248" s="139"/>
      <c r="J248" s="139"/>
      <c r="K248" s="139"/>
      <c r="L248" s="139"/>
      <c r="M248" s="139"/>
      <c r="N248" s="139"/>
      <c r="O248" s="139"/>
      <c r="P248" s="139"/>
      <c r="Q248" s="139"/>
      <c r="R248" s="139"/>
      <c r="S248" s="139"/>
      <c r="T248" s="139"/>
      <c r="U248" s="139"/>
      <c r="V248" s="139"/>
    </row>
    <row r="249" spans="1:22">
      <c r="A249" s="139"/>
      <c r="B249" s="139"/>
      <c r="C249" s="139"/>
      <c r="D249" s="139"/>
      <c r="E249" s="139"/>
      <c r="F249" s="139"/>
      <c r="G249" s="139"/>
      <c r="H249" s="139"/>
      <c r="I249" s="139"/>
      <c r="J249" s="139"/>
      <c r="K249" s="139"/>
      <c r="L249" s="139"/>
      <c r="M249" s="139"/>
      <c r="N249" s="139"/>
      <c r="O249" s="139"/>
      <c r="P249" s="139"/>
      <c r="Q249" s="139"/>
      <c r="R249" s="139"/>
      <c r="S249" s="139"/>
      <c r="T249" s="139"/>
      <c r="U249" s="139"/>
      <c r="V249" s="139"/>
    </row>
    <row r="250" spans="1:22">
      <c r="A250" s="139"/>
      <c r="B250" s="139"/>
      <c r="C250" s="139"/>
      <c r="D250" s="139"/>
      <c r="E250" s="139"/>
      <c r="F250" s="139"/>
      <c r="G250" s="139"/>
      <c r="H250" s="139"/>
      <c r="I250" s="139"/>
      <c r="J250" s="139"/>
      <c r="K250" s="139"/>
      <c r="L250" s="139"/>
      <c r="M250" s="139"/>
      <c r="N250" s="139"/>
      <c r="O250" s="139"/>
      <c r="P250" s="139"/>
      <c r="Q250" s="139"/>
      <c r="R250" s="139"/>
      <c r="S250" s="139"/>
      <c r="T250" s="139"/>
      <c r="U250" s="139"/>
      <c r="V250" s="139"/>
    </row>
    <row r="251" spans="1:22">
      <c r="A251" s="139"/>
      <c r="B251" s="139"/>
      <c r="C251" s="139"/>
      <c r="D251" s="139"/>
      <c r="E251" s="139"/>
      <c r="F251" s="139"/>
      <c r="G251" s="139"/>
      <c r="H251" s="139"/>
      <c r="I251" s="139"/>
      <c r="J251" s="139"/>
      <c r="K251" s="139"/>
      <c r="L251" s="139"/>
      <c r="M251" s="139"/>
      <c r="N251" s="139"/>
      <c r="O251" s="139"/>
      <c r="P251" s="139"/>
      <c r="Q251" s="139"/>
      <c r="R251" s="139"/>
      <c r="S251" s="139"/>
      <c r="T251" s="139"/>
      <c r="U251" s="139"/>
      <c r="V251" s="139"/>
    </row>
    <row r="252" spans="1:22">
      <c r="A252" s="139"/>
      <c r="B252" s="139"/>
      <c r="C252" s="139"/>
      <c r="D252" s="139"/>
      <c r="E252" s="139"/>
      <c r="F252" s="139"/>
      <c r="G252" s="139"/>
      <c r="H252" s="139"/>
      <c r="I252" s="139"/>
      <c r="J252" s="139"/>
      <c r="K252" s="139"/>
      <c r="L252" s="139"/>
      <c r="M252" s="139"/>
      <c r="N252" s="139"/>
      <c r="O252" s="139"/>
      <c r="P252" s="139"/>
      <c r="Q252" s="139"/>
      <c r="R252" s="139"/>
      <c r="S252" s="139"/>
      <c r="T252" s="139"/>
      <c r="U252" s="139"/>
      <c r="V252" s="139"/>
    </row>
    <row r="253" spans="1:22">
      <c r="A253" s="139"/>
      <c r="B253" s="139"/>
      <c r="C253" s="139"/>
      <c r="D253" s="139"/>
      <c r="E253" s="139"/>
      <c r="F253" s="139"/>
      <c r="G253" s="139"/>
      <c r="H253" s="139"/>
      <c r="I253" s="139"/>
      <c r="J253" s="139"/>
      <c r="K253" s="139"/>
      <c r="L253" s="139"/>
      <c r="M253" s="139"/>
      <c r="N253" s="139"/>
      <c r="O253" s="139"/>
      <c r="P253" s="139"/>
      <c r="Q253" s="139"/>
      <c r="R253" s="139"/>
      <c r="S253" s="139"/>
      <c r="T253" s="139"/>
      <c r="U253" s="139"/>
      <c r="V253" s="139"/>
    </row>
    <row r="254" spans="1:22">
      <c r="A254" s="139"/>
      <c r="B254" s="139"/>
      <c r="C254" s="139"/>
      <c r="D254" s="139"/>
      <c r="E254" s="139"/>
      <c r="F254" s="139"/>
      <c r="G254" s="139"/>
      <c r="H254" s="139"/>
      <c r="I254" s="139"/>
      <c r="J254" s="139"/>
      <c r="K254" s="139"/>
      <c r="L254" s="139"/>
      <c r="M254" s="139"/>
      <c r="N254" s="139"/>
      <c r="O254" s="139"/>
      <c r="P254" s="139"/>
      <c r="Q254" s="139"/>
      <c r="R254" s="139"/>
      <c r="S254" s="139"/>
      <c r="T254" s="139"/>
      <c r="U254" s="139"/>
      <c r="V254" s="139"/>
    </row>
    <row r="255" spans="1:22">
      <c r="A255" s="139"/>
      <c r="B255" s="139"/>
      <c r="C255" s="139"/>
      <c r="D255" s="139"/>
      <c r="E255" s="139"/>
      <c r="F255" s="139"/>
      <c r="G255" s="139"/>
      <c r="H255" s="139"/>
      <c r="I255" s="139"/>
      <c r="J255" s="139"/>
      <c r="K255" s="139"/>
      <c r="L255" s="139"/>
      <c r="M255" s="139"/>
      <c r="N255" s="139"/>
      <c r="O255" s="139"/>
      <c r="P255" s="139"/>
      <c r="Q255" s="139"/>
      <c r="R255" s="139"/>
      <c r="S255" s="139"/>
      <c r="T255" s="139"/>
      <c r="U255" s="139"/>
      <c r="V255" s="139"/>
    </row>
    <row r="256" spans="1:22">
      <c r="A256" s="139"/>
      <c r="B256" s="139"/>
      <c r="C256" s="139"/>
      <c r="D256" s="139"/>
      <c r="E256" s="139"/>
      <c r="F256" s="139"/>
      <c r="G256" s="139"/>
      <c r="H256" s="139"/>
      <c r="I256" s="139"/>
      <c r="J256" s="139"/>
      <c r="K256" s="139"/>
      <c r="L256" s="139"/>
      <c r="M256" s="139"/>
      <c r="N256" s="139"/>
      <c r="O256" s="139"/>
      <c r="P256" s="139"/>
      <c r="Q256" s="139"/>
      <c r="R256" s="139"/>
      <c r="S256" s="139"/>
      <c r="T256" s="139"/>
      <c r="U256" s="139"/>
      <c r="V256" s="139"/>
    </row>
    <row r="257" spans="1:22">
      <c r="A257" s="139"/>
      <c r="B257" s="139"/>
      <c r="C257" s="139"/>
      <c r="D257" s="139"/>
      <c r="E257" s="139"/>
      <c r="F257" s="139"/>
      <c r="G257" s="139"/>
      <c r="H257" s="139"/>
      <c r="I257" s="139"/>
      <c r="J257" s="139"/>
      <c r="K257" s="139"/>
      <c r="L257" s="139"/>
      <c r="M257" s="139"/>
      <c r="N257" s="139"/>
      <c r="O257" s="139"/>
      <c r="P257" s="139"/>
      <c r="Q257" s="139"/>
      <c r="R257" s="139"/>
      <c r="S257" s="139"/>
      <c r="T257" s="139"/>
      <c r="U257" s="139"/>
      <c r="V257" s="139"/>
    </row>
    <row r="258" spans="1:22">
      <c r="A258" s="139"/>
      <c r="B258" s="139"/>
      <c r="C258" s="139"/>
      <c r="D258" s="139"/>
      <c r="E258" s="139"/>
      <c r="F258" s="139"/>
      <c r="G258" s="139"/>
      <c r="H258" s="139"/>
      <c r="I258" s="139"/>
      <c r="J258" s="139"/>
      <c r="K258" s="139"/>
      <c r="L258" s="139"/>
      <c r="M258" s="139"/>
      <c r="N258" s="139"/>
      <c r="O258" s="139"/>
      <c r="P258" s="139"/>
      <c r="Q258" s="139"/>
      <c r="R258" s="139"/>
      <c r="S258" s="139"/>
      <c r="T258" s="139"/>
      <c r="U258" s="139"/>
      <c r="V258" s="139"/>
    </row>
    <row r="259" spans="1:22">
      <c r="A259" s="139"/>
      <c r="B259" s="139"/>
      <c r="C259" s="139"/>
      <c r="D259" s="139"/>
      <c r="E259" s="139"/>
      <c r="F259" s="139"/>
      <c r="G259" s="139"/>
      <c r="H259" s="139"/>
      <c r="I259" s="139"/>
      <c r="J259" s="139"/>
      <c r="K259" s="139"/>
      <c r="L259" s="139"/>
      <c r="M259" s="139"/>
      <c r="N259" s="139"/>
      <c r="O259" s="139"/>
      <c r="P259" s="139"/>
      <c r="Q259" s="139"/>
      <c r="R259" s="139"/>
      <c r="S259" s="139"/>
      <c r="T259" s="139"/>
      <c r="U259" s="139"/>
      <c r="V259" s="139"/>
    </row>
    <row r="260" spans="1:22">
      <c r="A260" s="139"/>
      <c r="B260" s="139"/>
      <c r="C260" s="139"/>
      <c r="D260" s="139"/>
      <c r="E260" s="139"/>
      <c r="F260" s="139"/>
      <c r="G260" s="139"/>
      <c r="H260" s="139"/>
      <c r="I260" s="139"/>
      <c r="J260" s="139"/>
      <c r="K260" s="139"/>
      <c r="L260" s="139"/>
      <c r="M260" s="139"/>
      <c r="N260" s="139"/>
      <c r="O260" s="139"/>
      <c r="P260" s="139"/>
      <c r="Q260" s="139"/>
      <c r="R260" s="139"/>
      <c r="S260" s="139"/>
      <c r="T260" s="139"/>
      <c r="U260" s="139"/>
      <c r="V260" s="139"/>
    </row>
    <row r="261" spans="1:22">
      <c r="A261" s="139"/>
      <c r="B261" s="139"/>
      <c r="C261" s="139"/>
      <c r="D261" s="139"/>
      <c r="E261" s="139"/>
      <c r="F261" s="139"/>
      <c r="G261" s="139"/>
      <c r="H261" s="139"/>
      <c r="I261" s="139"/>
      <c r="J261" s="139"/>
      <c r="K261" s="139"/>
      <c r="L261" s="139"/>
      <c r="M261" s="139"/>
      <c r="N261" s="139"/>
      <c r="O261" s="139"/>
      <c r="P261" s="139"/>
      <c r="Q261" s="139"/>
      <c r="R261" s="139"/>
      <c r="S261" s="139"/>
      <c r="T261" s="139"/>
      <c r="U261" s="139"/>
      <c r="V261" s="139"/>
    </row>
    <row r="262" spans="1:22">
      <c r="A262" s="139"/>
      <c r="B262" s="139"/>
      <c r="C262" s="139"/>
      <c r="D262" s="139"/>
      <c r="E262" s="139"/>
      <c r="F262" s="139"/>
      <c r="G262" s="139"/>
      <c r="H262" s="139"/>
      <c r="I262" s="139"/>
      <c r="J262" s="139"/>
      <c r="K262" s="139"/>
      <c r="L262" s="139"/>
      <c r="M262" s="139"/>
      <c r="N262" s="139"/>
      <c r="O262" s="139"/>
      <c r="P262" s="139"/>
      <c r="Q262" s="139"/>
      <c r="R262" s="139"/>
      <c r="S262" s="139"/>
      <c r="T262" s="139"/>
      <c r="U262" s="139"/>
      <c r="V262" s="139"/>
    </row>
    <row r="263" spans="1:22">
      <c r="A263" s="139"/>
      <c r="B263" s="139"/>
      <c r="C263" s="139"/>
      <c r="D263" s="139"/>
      <c r="E263" s="139"/>
      <c r="F263" s="139"/>
      <c r="G263" s="139"/>
      <c r="H263" s="139"/>
      <c r="I263" s="139"/>
      <c r="J263" s="139"/>
      <c r="K263" s="139"/>
      <c r="L263" s="139"/>
      <c r="M263" s="139"/>
      <c r="N263" s="139"/>
      <c r="O263" s="139"/>
      <c r="P263" s="139"/>
      <c r="Q263" s="139"/>
      <c r="R263" s="139"/>
      <c r="S263" s="139"/>
      <c r="T263" s="139"/>
      <c r="U263" s="139"/>
      <c r="V263" s="139"/>
    </row>
    <row r="264" spans="1:22">
      <c r="A264" s="139"/>
      <c r="B264" s="139"/>
      <c r="C264" s="139"/>
      <c r="D264" s="139"/>
      <c r="E264" s="139"/>
      <c r="F264" s="139"/>
      <c r="G264" s="139"/>
      <c r="H264" s="139"/>
      <c r="I264" s="139"/>
      <c r="J264" s="139"/>
      <c r="K264" s="139"/>
      <c r="L264" s="139"/>
      <c r="M264" s="139"/>
      <c r="N264" s="139"/>
      <c r="O264" s="139"/>
      <c r="P264" s="139"/>
      <c r="Q264" s="139"/>
      <c r="R264" s="139"/>
      <c r="S264" s="139"/>
      <c r="T264" s="139"/>
      <c r="U264" s="139"/>
      <c r="V264" s="139"/>
    </row>
    <row r="265" spans="1:22">
      <c r="A265" s="139"/>
      <c r="B265" s="139"/>
      <c r="C265" s="139"/>
      <c r="D265" s="139"/>
      <c r="E265" s="139"/>
      <c r="F265" s="139"/>
      <c r="G265" s="139"/>
      <c r="H265" s="139"/>
      <c r="I265" s="139"/>
      <c r="J265" s="139"/>
      <c r="K265" s="139"/>
      <c r="L265" s="139"/>
      <c r="M265" s="139"/>
      <c r="N265" s="139"/>
      <c r="O265" s="139"/>
      <c r="P265" s="139"/>
      <c r="Q265" s="139"/>
      <c r="R265" s="139"/>
      <c r="S265" s="139"/>
      <c r="T265" s="139"/>
      <c r="U265" s="139"/>
      <c r="V265" s="139"/>
    </row>
    <row r="266" spans="1:22">
      <c r="A266" s="139"/>
      <c r="B266" s="139"/>
      <c r="C266" s="139"/>
      <c r="D266" s="139"/>
      <c r="E266" s="139"/>
      <c r="F266" s="139"/>
      <c r="G266" s="139"/>
      <c r="H266" s="139"/>
      <c r="I266" s="139"/>
      <c r="J266" s="139"/>
      <c r="K266" s="139"/>
      <c r="L266" s="139"/>
      <c r="M266" s="139"/>
      <c r="N266" s="139"/>
      <c r="O266" s="139"/>
      <c r="P266" s="139"/>
      <c r="Q266" s="139"/>
      <c r="R266" s="139"/>
      <c r="S266" s="139"/>
      <c r="T266" s="139"/>
      <c r="U266" s="139"/>
      <c r="V266" s="139"/>
    </row>
    <row r="267" spans="1:22">
      <c r="A267" s="139"/>
      <c r="B267" s="139"/>
      <c r="C267" s="139"/>
      <c r="D267" s="139"/>
      <c r="E267" s="139"/>
      <c r="F267" s="139"/>
      <c r="G267" s="139"/>
      <c r="H267" s="139"/>
      <c r="I267" s="139"/>
      <c r="J267" s="139"/>
      <c r="K267" s="139"/>
      <c r="L267" s="139"/>
      <c r="M267" s="139"/>
      <c r="N267" s="139"/>
      <c r="O267" s="139"/>
      <c r="P267" s="139"/>
      <c r="Q267" s="139"/>
      <c r="R267" s="139"/>
      <c r="S267" s="139"/>
      <c r="T267" s="139"/>
      <c r="U267" s="139"/>
      <c r="V267" s="139"/>
    </row>
    <row r="268" spans="1:22">
      <c r="A268" s="139"/>
      <c r="B268" s="139"/>
      <c r="C268" s="139"/>
      <c r="D268" s="139"/>
      <c r="E268" s="139"/>
      <c r="F268" s="139"/>
      <c r="G268" s="139"/>
      <c r="H268" s="139"/>
      <c r="I268" s="139"/>
      <c r="J268" s="139"/>
      <c r="K268" s="139"/>
      <c r="L268" s="139"/>
      <c r="M268" s="139"/>
      <c r="N268" s="139"/>
      <c r="O268" s="139"/>
      <c r="P268" s="139"/>
      <c r="Q268" s="139"/>
      <c r="R268" s="139"/>
      <c r="S268" s="139"/>
      <c r="T268" s="139"/>
      <c r="U268" s="139"/>
      <c r="V268" s="139"/>
    </row>
    <row r="269" spans="1:22">
      <c r="A269" s="139"/>
      <c r="B269" s="139"/>
      <c r="C269" s="139"/>
      <c r="D269" s="139"/>
      <c r="E269" s="139"/>
      <c r="F269" s="139"/>
      <c r="G269" s="139"/>
      <c r="H269" s="139"/>
      <c r="I269" s="139"/>
      <c r="J269" s="139"/>
      <c r="K269" s="139"/>
      <c r="L269" s="139"/>
      <c r="M269" s="139"/>
      <c r="N269" s="139"/>
      <c r="O269" s="139"/>
      <c r="P269" s="139"/>
      <c r="Q269" s="139"/>
      <c r="R269" s="139"/>
      <c r="S269" s="139"/>
      <c r="T269" s="139"/>
      <c r="U269" s="139"/>
      <c r="V269" s="139"/>
    </row>
    <row r="270" spans="1:22">
      <c r="A270" s="139"/>
      <c r="B270" s="139"/>
      <c r="C270" s="139"/>
      <c r="D270" s="139"/>
      <c r="E270" s="139"/>
      <c r="F270" s="139"/>
      <c r="G270" s="139"/>
      <c r="H270" s="139"/>
      <c r="I270" s="139"/>
      <c r="J270" s="139"/>
      <c r="K270" s="139"/>
      <c r="L270" s="139"/>
      <c r="M270" s="139"/>
      <c r="N270" s="139"/>
      <c r="O270" s="139"/>
      <c r="P270" s="139"/>
      <c r="Q270" s="139"/>
      <c r="R270" s="139"/>
      <c r="S270" s="139"/>
      <c r="T270" s="139"/>
      <c r="U270" s="139"/>
      <c r="V270" s="139"/>
    </row>
    <row r="271" spans="1:22">
      <c r="A271" s="139"/>
      <c r="B271" s="139"/>
      <c r="C271" s="139"/>
      <c r="D271" s="139"/>
      <c r="E271" s="139"/>
      <c r="F271" s="139"/>
      <c r="G271" s="139"/>
      <c r="H271" s="139"/>
      <c r="I271" s="139"/>
      <c r="J271" s="139"/>
      <c r="K271" s="139"/>
      <c r="L271" s="139"/>
      <c r="M271" s="139"/>
      <c r="N271" s="139"/>
      <c r="O271" s="139"/>
      <c r="P271" s="139"/>
      <c r="Q271" s="139"/>
      <c r="R271" s="139"/>
      <c r="S271" s="139"/>
      <c r="T271" s="139"/>
      <c r="U271" s="139"/>
      <c r="V271" s="139"/>
    </row>
    <row r="272" spans="1:22">
      <c r="A272" s="139"/>
      <c r="B272" s="139"/>
      <c r="C272" s="139"/>
      <c r="D272" s="139"/>
      <c r="E272" s="139"/>
      <c r="F272" s="139"/>
      <c r="G272" s="139"/>
      <c r="H272" s="139"/>
      <c r="I272" s="139"/>
      <c r="J272" s="139"/>
      <c r="K272" s="139"/>
      <c r="L272" s="139"/>
      <c r="M272" s="139"/>
      <c r="N272" s="139"/>
      <c r="O272" s="139"/>
      <c r="P272" s="139"/>
      <c r="Q272" s="139"/>
      <c r="R272" s="139"/>
      <c r="S272" s="139"/>
      <c r="T272" s="139"/>
      <c r="U272" s="139"/>
      <c r="V272" s="139"/>
    </row>
    <row r="273" spans="1:22">
      <c r="A273" s="139"/>
      <c r="B273" s="139"/>
      <c r="C273" s="139"/>
      <c r="D273" s="139"/>
      <c r="E273" s="139"/>
      <c r="F273" s="139"/>
      <c r="G273" s="139"/>
      <c r="H273" s="139"/>
      <c r="I273" s="139"/>
      <c r="J273" s="139"/>
      <c r="K273" s="139"/>
      <c r="L273" s="139"/>
      <c r="M273" s="139"/>
      <c r="N273" s="139"/>
      <c r="O273" s="139"/>
      <c r="P273" s="139"/>
      <c r="Q273" s="139"/>
      <c r="R273" s="139"/>
      <c r="S273" s="139"/>
      <c r="T273" s="139"/>
      <c r="U273" s="139"/>
      <c r="V273" s="139"/>
    </row>
    <row r="274" spans="1:22">
      <c r="A274" s="139"/>
      <c r="B274" s="139"/>
      <c r="C274" s="139"/>
      <c r="D274" s="139"/>
      <c r="E274" s="139"/>
      <c r="F274" s="139"/>
      <c r="G274" s="139"/>
      <c r="H274" s="139"/>
      <c r="I274" s="139"/>
      <c r="J274" s="139"/>
      <c r="K274" s="139"/>
      <c r="L274" s="139"/>
      <c r="M274" s="139"/>
      <c r="N274" s="139"/>
      <c r="O274" s="139"/>
      <c r="P274" s="139"/>
      <c r="Q274" s="139"/>
      <c r="R274" s="139"/>
      <c r="S274" s="139"/>
      <c r="T274" s="139"/>
      <c r="U274" s="139"/>
      <c r="V274" s="139"/>
    </row>
    <row r="275" spans="1:22">
      <c r="A275" s="139"/>
      <c r="B275" s="139"/>
      <c r="C275" s="139"/>
      <c r="D275" s="139"/>
      <c r="E275" s="139"/>
      <c r="F275" s="139"/>
      <c r="G275" s="139"/>
      <c r="H275" s="139"/>
      <c r="I275" s="139"/>
      <c r="J275" s="139"/>
      <c r="K275" s="139"/>
      <c r="L275" s="139"/>
      <c r="M275" s="139"/>
      <c r="N275" s="139"/>
      <c r="O275" s="139"/>
      <c r="P275" s="139"/>
      <c r="Q275" s="139"/>
      <c r="R275" s="139"/>
      <c r="S275" s="139"/>
      <c r="T275" s="139"/>
      <c r="U275" s="139"/>
      <c r="V275" s="139"/>
    </row>
    <row r="276" spans="1:22">
      <c r="A276" s="139"/>
      <c r="B276" s="139"/>
      <c r="C276" s="139"/>
      <c r="D276" s="139"/>
      <c r="E276" s="139"/>
      <c r="F276" s="139"/>
      <c r="G276" s="139"/>
      <c r="H276" s="139"/>
      <c r="I276" s="139"/>
      <c r="J276" s="139"/>
      <c r="K276" s="139"/>
      <c r="L276" s="139"/>
      <c r="M276" s="139"/>
      <c r="N276" s="139"/>
      <c r="O276" s="139"/>
      <c r="P276" s="139"/>
      <c r="Q276" s="139"/>
      <c r="R276" s="139"/>
      <c r="S276" s="139"/>
      <c r="T276" s="139"/>
      <c r="U276" s="139"/>
      <c r="V276" s="139"/>
    </row>
    <row r="277" spans="1:22">
      <c r="A277" s="139"/>
      <c r="B277" s="139"/>
      <c r="C277" s="139"/>
      <c r="D277" s="139"/>
      <c r="E277" s="139"/>
      <c r="F277" s="139"/>
      <c r="G277" s="139"/>
      <c r="H277" s="139"/>
      <c r="I277" s="139"/>
      <c r="J277" s="139"/>
      <c r="K277" s="139"/>
      <c r="L277" s="139"/>
      <c r="M277" s="139"/>
      <c r="N277" s="139"/>
      <c r="O277" s="139"/>
      <c r="P277" s="139"/>
      <c r="Q277" s="139"/>
      <c r="R277" s="139"/>
      <c r="S277" s="139"/>
      <c r="T277" s="139"/>
      <c r="U277" s="139"/>
      <c r="V277" s="139"/>
    </row>
    <row r="278" spans="1:22">
      <c r="A278" s="139"/>
      <c r="B278" s="139"/>
      <c r="C278" s="139"/>
      <c r="D278" s="139"/>
      <c r="E278" s="139"/>
      <c r="F278" s="139"/>
      <c r="G278" s="139"/>
      <c r="H278" s="139"/>
      <c r="I278" s="139"/>
      <c r="J278" s="139"/>
      <c r="K278" s="139"/>
      <c r="L278" s="139"/>
      <c r="M278" s="139"/>
      <c r="N278" s="139"/>
      <c r="O278" s="139"/>
      <c r="P278" s="139"/>
      <c r="Q278" s="139"/>
      <c r="R278" s="139"/>
      <c r="S278" s="139"/>
      <c r="T278" s="139"/>
      <c r="U278" s="139"/>
      <c r="V278" s="139"/>
    </row>
    <row r="279" spans="1:22">
      <c r="A279" s="139"/>
      <c r="B279" s="139"/>
      <c r="C279" s="139"/>
      <c r="D279" s="139"/>
      <c r="E279" s="139"/>
      <c r="F279" s="139"/>
      <c r="G279" s="139"/>
      <c r="H279" s="139"/>
      <c r="I279" s="139"/>
      <c r="J279" s="139"/>
      <c r="K279" s="139"/>
      <c r="L279" s="139"/>
      <c r="M279" s="139"/>
      <c r="N279" s="139"/>
      <c r="O279" s="139"/>
      <c r="P279" s="139"/>
      <c r="Q279" s="139"/>
      <c r="R279" s="139"/>
      <c r="S279" s="139"/>
      <c r="T279" s="139"/>
      <c r="U279" s="139"/>
      <c r="V279" s="139"/>
    </row>
    <row r="280" spans="1:22">
      <c r="A280" s="139"/>
      <c r="B280" s="139"/>
      <c r="C280" s="139"/>
      <c r="D280" s="139"/>
      <c r="E280" s="139"/>
      <c r="F280" s="139"/>
      <c r="G280" s="139"/>
      <c r="H280" s="139"/>
      <c r="I280" s="139"/>
      <c r="J280" s="139"/>
      <c r="K280" s="139"/>
      <c r="L280" s="139"/>
      <c r="M280" s="139"/>
      <c r="N280" s="139"/>
      <c r="O280" s="139"/>
      <c r="P280" s="139"/>
      <c r="Q280" s="139"/>
      <c r="R280" s="139"/>
      <c r="S280" s="139"/>
      <c r="T280" s="139"/>
      <c r="U280" s="139"/>
      <c r="V280" s="139"/>
    </row>
    <row r="281" spans="1:22">
      <c r="A281" s="139"/>
      <c r="B281" s="139"/>
      <c r="C281" s="139"/>
      <c r="D281" s="139"/>
      <c r="E281" s="139"/>
      <c r="F281" s="139"/>
      <c r="G281" s="139"/>
      <c r="H281" s="139"/>
      <c r="I281" s="139"/>
      <c r="J281" s="139"/>
      <c r="K281" s="139"/>
      <c r="L281" s="139"/>
      <c r="M281" s="139"/>
      <c r="N281" s="139"/>
      <c r="O281" s="139"/>
      <c r="P281" s="139"/>
      <c r="Q281" s="139"/>
      <c r="R281" s="139"/>
      <c r="S281" s="139"/>
      <c r="T281" s="139"/>
      <c r="U281" s="139"/>
      <c r="V281" s="139"/>
    </row>
    <row r="282" spans="1:22">
      <c r="A282" s="139"/>
      <c r="B282" s="139"/>
      <c r="C282" s="139"/>
      <c r="D282" s="139"/>
      <c r="E282" s="139"/>
      <c r="F282" s="139"/>
      <c r="G282" s="139"/>
      <c r="H282" s="139"/>
      <c r="I282" s="139"/>
      <c r="J282" s="139"/>
      <c r="K282" s="139"/>
      <c r="L282" s="139"/>
      <c r="M282" s="139"/>
      <c r="N282" s="139"/>
      <c r="O282" s="139"/>
      <c r="P282" s="139"/>
      <c r="Q282" s="139"/>
      <c r="R282" s="139"/>
      <c r="S282" s="139"/>
      <c r="T282" s="139"/>
      <c r="U282" s="139"/>
      <c r="V282" s="139"/>
    </row>
    <row r="283" spans="1:22">
      <c r="A283" s="139"/>
      <c r="B283" s="139"/>
      <c r="C283" s="139"/>
      <c r="D283" s="139"/>
      <c r="E283" s="139"/>
      <c r="F283" s="139"/>
      <c r="G283" s="139"/>
      <c r="H283" s="139"/>
      <c r="I283" s="139"/>
      <c r="J283" s="139"/>
      <c r="K283" s="139"/>
      <c r="L283" s="139"/>
      <c r="M283" s="139"/>
      <c r="N283" s="139"/>
      <c r="O283" s="139"/>
      <c r="P283" s="139"/>
      <c r="Q283" s="139"/>
      <c r="R283" s="139"/>
      <c r="S283" s="139"/>
      <c r="T283" s="139"/>
      <c r="U283" s="139"/>
      <c r="V283" s="139"/>
    </row>
    <row r="284" spans="1:22">
      <c r="A284" s="139"/>
      <c r="B284" s="139"/>
      <c r="C284" s="139"/>
      <c r="D284" s="139"/>
      <c r="E284" s="139"/>
      <c r="F284" s="139"/>
      <c r="G284" s="139"/>
      <c r="H284" s="139"/>
      <c r="I284" s="139"/>
      <c r="J284" s="139"/>
      <c r="K284" s="139"/>
      <c r="L284" s="139"/>
      <c r="M284" s="139"/>
      <c r="N284" s="139"/>
      <c r="O284" s="139"/>
      <c r="P284" s="139"/>
      <c r="Q284" s="139"/>
      <c r="R284" s="139"/>
      <c r="S284" s="139"/>
      <c r="T284" s="139"/>
      <c r="U284" s="139"/>
      <c r="V284" s="139"/>
    </row>
    <row r="285" spans="1:22">
      <c r="A285" s="139"/>
      <c r="B285" s="139"/>
      <c r="C285" s="139"/>
      <c r="D285" s="139"/>
      <c r="E285" s="139"/>
      <c r="F285" s="139"/>
      <c r="G285" s="139"/>
      <c r="H285" s="139"/>
      <c r="I285" s="139"/>
      <c r="J285" s="139"/>
      <c r="K285" s="139"/>
      <c r="L285" s="139"/>
      <c r="M285" s="139"/>
      <c r="N285" s="139"/>
      <c r="O285" s="139"/>
      <c r="P285" s="139"/>
      <c r="Q285" s="139"/>
      <c r="R285" s="139"/>
      <c r="S285" s="139"/>
      <c r="T285" s="139"/>
      <c r="U285" s="139"/>
      <c r="V285" s="139"/>
    </row>
    <row r="286" spans="1:22">
      <c r="A286" s="139"/>
      <c r="B286" s="139"/>
      <c r="C286" s="139"/>
      <c r="D286" s="139"/>
      <c r="E286" s="139"/>
      <c r="F286" s="139"/>
      <c r="G286" s="139"/>
      <c r="H286" s="139"/>
      <c r="I286" s="139"/>
      <c r="J286" s="139"/>
      <c r="K286" s="139"/>
      <c r="L286" s="139"/>
      <c r="M286" s="139"/>
      <c r="N286" s="139"/>
      <c r="O286" s="139"/>
      <c r="P286" s="139"/>
      <c r="Q286" s="139"/>
      <c r="R286" s="139"/>
      <c r="S286" s="139"/>
      <c r="T286" s="139"/>
      <c r="U286" s="139"/>
      <c r="V286" s="139"/>
    </row>
    <row r="287" spans="1:22">
      <c r="A287" s="139"/>
      <c r="B287" s="139"/>
      <c r="C287" s="139"/>
      <c r="D287" s="139"/>
      <c r="E287" s="139"/>
      <c r="F287" s="139"/>
      <c r="G287" s="139"/>
      <c r="H287" s="139"/>
      <c r="I287" s="139"/>
      <c r="J287" s="139"/>
      <c r="K287" s="139"/>
      <c r="L287" s="139"/>
      <c r="M287" s="139"/>
      <c r="N287" s="139"/>
      <c r="O287" s="139"/>
      <c r="P287" s="139"/>
      <c r="Q287" s="139"/>
      <c r="R287" s="139"/>
      <c r="S287" s="139"/>
      <c r="T287" s="139"/>
      <c r="U287" s="139"/>
      <c r="V287" s="139"/>
    </row>
    <row r="288" spans="1:22">
      <c r="A288" s="139"/>
      <c r="B288" s="139"/>
      <c r="C288" s="139"/>
      <c r="D288" s="139"/>
      <c r="E288" s="139"/>
      <c r="F288" s="139"/>
      <c r="G288" s="139"/>
      <c r="H288" s="139"/>
      <c r="I288" s="139"/>
      <c r="J288" s="139"/>
      <c r="K288" s="139"/>
      <c r="L288" s="139"/>
      <c r="M288" s="139"/>
      <c r="N288" s="139"/>
      <c r="O288" s="139"/>
      <c r="P288" s="139"/>
      <c r="Q288" s="139"/>
      <c r="R288" s="139"/>
      <c r="S288" s="139"/>
      <c r="T288" s="139"/>
      <c r="U288" s="139"/>
      <c r="V288" s="139"/>
    </row>
    <row r="289" spans="1:22">
      <c r="A289" s="139"/>
      <c r="B289" s="139"/>
      <c r="C289" s="139"/>
      <c r="D289" s="139"/>
      <c r="E289" s="139"/>
      <c r="F289" s="139"/>
      <c r="G289" s="139"/>
      <c r="H289" s="139"/>
      <c r="I289" s="139"/>
      <c r="J289" s="139"/>
      <c r="K289" s="139"/>
      <c r="L289" s="139"/>
      <c r="M289" s="139"/>
      <c r="N289" s="139"/>
      <c r="O289" s="139"/>
      <c r="P289" s="139"/>
      <c r="Q289" s="139"/>
      <c r="R289" s="139"/>
      <c r="S289" s="139"/>
      <c r="T289" s="139"/>
      <c r="U289" s="139"/>
      <c r="V289" s="139"/>
    </row>
    <row r="290" spans="1:22">
      <c r="A290" s="139"/>
      <c r="B290" s="139"/>
      <c r="C290" s="139"/>
      <c r="D290" s="139"/>
      <c r="E290" s="139"/>
      <c r="F290" s="139"/>
      <c r="G290" s="139"/>
      <c r="H290" s="139"/>
      <c r="I290" s="139"/>
      <c r="J290" s="139"/>
      <c r="K290" s="139"/>
      <c r="L290" s="139"/>
      <c r="M290" s="139"/>
      <c r="N290" s="139"/>
      <c r="O290" s="139"/>
      <c r="P290" s="139"/>
      <c r="Q290" s="139"/>
      <c r="R290" s="139"/>
      <c r="S290" s="139"/>
      <c r="T290" s="139"/>
      <c r="U290" s="139"/>
      <c r="V290" s="139"/>
    </row>
    <row r="291" spans="1:22">
      <c r="A291" s="139"/>
      <c r="B291" s="139"/>
      <c r="C291" s="139"/>
      <c r="D291" s="139"/>
      <c r="E291" s="139"/>
      <c r="F291" s="139"/>
      <c r="G291" s="139"/>
      <c r="H291" s="139"/>
      <c r="I291" s="139"/>
      <c r="J291" s="139"/>
      <c r="K291" s="139"/>
      <c r="L291" s="139"/>
      <c r="M291" s="139"/>
      <c r="N291" s="139"/>
      <c r="O291" s="139"/>
      <c r="P291" s="139"/>
      <c r="Q291" s="139"/>
      <c r="R291" s="139"/>
      <c r="S291" s="139"/>
      <c r="T291" s="139"/>
      <c r="U291" s="139"/>
      <c r="V291" s="139"/>
    </row>
    <row r="292" spans="1:22">
      <c r="A292" s="139"/>
      <c r="B292" s="139"/>
      <c r="C292" s="139"/>
      <c r="D292" s="139"/>
      <c r="E292" s="139"/>
      <c r="F292" s="139"/>
      <c r="G292" s="139"/>
      <c r="H292" s="139"/>
      <c r="I292" s="139"/>
      <c r="J292" s="139"/>
      <c r="K292" s="139"/>
      <c r="L292" s="139"/>
      <c r="M292" s="139"/>
      <c r="N292" s="139"/>
      <c r="O292" s="139"/>
      <c r="P292" s="139"/>
      <c r="Q292" s="139"/>
      <c r="R292" s="139"/>
      <c r="S292" s="139"/>
      <c r="T292" s="139"/>
      <c r="U292" s="139"/>
      <c r="V292" s="139"/>
    </row>
    <row r="293" spans="1:22">
      <c r="A293" s="139"/>
      <c r="B293" s="139"/>
      <c r="C293" s="139"/>
      <c r="D293" s="139"/>
      <c r="E293" s="139"/>
      <c r="F293" s="139"/>
      <c r="G293" s="139"/>
      <c r="H293" s="139"/>
      <c r="I293" s="139"/>
      <c r="J293" s="139"/>
      <c r="K293" s="139"/>
      <c r="L293" s="139"/>
      <c r="M293" s="139"/>
      <c r="N293" s="139"/>
      <c r="O293" s="139"/>
      <c r="P293" s="139"/>
      <c r="Q293" s="139"/>
      <c r="R293" s="139"/>
      <c r="S293" s="139"/>
      <c r="T293" s="139"/>
      <c r="U293" s="139"/>
      <c r="V293" s="139"/>
    </row>
    <row r="294" spans="1:22">
      <c r="A294" s="139"/>
      <c r="B294" s="139"/>
      <c r="C294" s="139"/>
      <c r="D294" s="139"/>
      <c r="E294" s="139"/>
      <c r="F294" s="139"/>
      <c r="G294" s="139"/>
      <c r="H294" s="139"/>
      <c r="I294" s="139"/>
      <c r="J294" s="139"/>
      <c r="K294" s="139"/>
      <c r="L294" s="139"/>
      <c r="M294" s="139"/>
      <c r="N294" s="139"/>
      <c r="O294" s="139"/>
      <c r="P294" s="139"/>
      <c r="Q294" s="139"/>
      <c r="R294" s="139"/>
      <c r="S294" s="139"/>
      <c r="T294" s="139"/>
      <c r="U294" s="139"/>
      <c r="V294" s="139"/>
    </row>
    <row r="295" spans="1:22">
      <c r="A295" s="139"/>
      <c r="B295" s="139"/>
      <c r="C295" s="139"/>
      <c r="D295" s="139"/>
      <c r="E295" s="139"/>
      <c r="F295" s="139"/>
      <c r="G295" s="139"/>
      <c r="H295" s="139"/>
      <c r="I295" s="139"/>
      <c r="J295" s="139"/>
      <c r="K295" s="139"/>
      <c r="L295" s="139"/>
      <c r="M295" s="139"/>
      <c r="N295" s="139"/>
      <c r="O295" s="139"/>
      <c r="P295" s="139"/>
      <c r="Q295" s="139"/>
      <c r="R295" s="139"/>
      <c r="S295" s="139"/>
      <c r="T295" s="139"/>
      <c r="U295" s="139"/>
      <c r="V295" s="139"/>
    </row>
    <row r="296" spans="1:22">
      <c r="A296" s="139"/>
      <c r="B296" s="139"/>
      <c r="C296" s="139"/>
      <c r="D296" s="139"/>
      <c r="E296" s="139"/>
      <c r="F296" s="139"/>
      <c r="G296" s="139"/>
      <c r="H296" s="139"/>
      <c r="I296" s="139"/>
      <c r="J296" s="139"/>
      <c r="K296" s="139"/>
      <c r="L296" s="139"/>
      <c r="M296" s="139"/>
      <c r="N296" s="139"/>
      <c r="O296" s="139"/>
      <c r="P296" s="139"/>
      <c r="Q296" s="139"/>
      <c r="R296" s="139"/>
      <c r="S296" s="139"/>
      <c r="T296" s="139"/>
      <c r="U296" s="139"/>
      <c r="V296" s="139"/>
    </row>
    <row r="297" spans="1:22">
      <c r="A297" s="139"/>
      <c r="B297" s="139"/>
      <c r="C297" s="139"/>
      <c r="D297" s="139"/>
      <c r="E297" s="139"/>
      <c r="F297" s="139"/>
      <c r="G297" s="139"/>
      <c r="H297" s="139"/>
      <c r="I297" s="139"/>
      <c r="J297" s="139"/>
      <c r="K297" s="139"/>
      <c r="L297" s="139"/>
      <c r="M297" s="139"/>
      <c r="N297" s="139"/>
      <c r="O297" s="139"/>
      <c r="P297" s="139"/>
      <c r="Q297" s="139"/>
      <c r="R297" s="139"/>
      <c r="S297" s="139"/>
      <c r="T297" s="139"/>
      <c r="U297" s="139"/>
      <c r="V297" s="139"/>
    </row>
    <row r="298" spans="1:22">
      <c r="A298" s="139"/>
      <c r="B298" s="139"/>
      <c r="C298" s="139"/>
      <c r="D298" s="139"/>
      <c r="E298" s="139"/>
      <c r="F298" s="139"/>
      <c r="G298" s="139"/>
      <c r="H298" s="139"/>
      <c r="I298" s="139"/>
      <c r="J298" s="139"/>
      <c r="K298" s="139"/>
      <c r="L298" s="139"/>
      <c r="M298" s="139"/>
      <c r="N298" s="139"/>
      <c r="O298" s="139"/>
      <c r="P298" s="139"/>
      <c r="Q298" s="139"/>
      <c r="R298" s="139"/>
      <c r="S298" s="139"/>
      <c r="T298" s="139"/>
      <c r="U298" s="139"/>
      <c r="V298" s="139"/>
    </row>
    <row r="299" spans="1:22">
      <c r="A299" s="139"/>
      <c r="B299" s="139"/>
      <c r="C299" s="139"/>
      <c r="D299" s="139"/>
      <c r="E299" s="139"/>
      <c r="F299" s="139"/>
      <c r="G299" s="139"/>
      <c r="H299" s="139"/>
      <c r="I299" s="139"/>
      <c r="J299" s="139"/>
      <c r="K299" s="139"/>
      <c r="L299" s="139"/>
      <c r="M299" s="139"/>
      <c r="N299" s="139"/>
      <c r="O299" s="139"/>
      <c r="P299" s="139"/>
      <c r="Q299" s="139"/>
      <c r="R299" s="139"/>
      <c r="S299" s="139"/>
      <c r="T299" s="139"/>
      <c r="U299" s="139"/>
      <c r="V299" s="139"/>
    </row>
    <row r="300" spans="1:22">
      <c r="A300" s="139"/>
      <c r="B300" s="139"/>
      <c r="C300" s="139"/>
      <c r="D300" s="139"/>
      <c r="E300" s="139"/>
      <c r="F300" s="139"/>
      <c r="G300" s="139"/>
      <c r="H300" s="139"/>
      <c r="I300" s="139"/>
      <c r="J300" s="139"/>
      <c r="K300" s="139"/>
      <c r="L300" s="139"/>
      <c r="M300" s="139"/>
      <c r="N300" s="139"/>
      <c r="O300" s="139"/>
      <c r="P300" s="139"/>
      <c r="Q300" s="139"/>
      <c r="R300" s="139"/>
      <c r="S300" s="139"/>
      <c r="T300" s="139"/>
      <c r="U300" s="139"/>
      <c r="V300" s="139"/>
    </row>
    <row r="301" spans="1:22">
      <c r="A301" s="139"/>
      <c r="B301" s="139"/>
      <c r="C301" s="139"/>
      <c r="D301" s="139"/>
      <c r="E301" s="139"/>
      <c r="F301" s="139"/>
      <c r="G301" s="139"/>
      <c r="H301" s="139"/>
      <c r="I301" s="139"/>
      <c r="J301" s="139"/>
      <c r="K301" s="139"/>
      <c r="L301" s="139"/>
      <c r="M301" s="139"/>
      <c r="N301" s="139"/>
      <c r="O301" s="139"/>
      <c r="P301" s="139"/>
      <c r="Q301" s="139"/>
      <c r="R301" s="139"/>
      <c r="S301" s="139"/>
      <c r="T301" s="139"/>
      <c r="U301" s="139"/>
      <c r="V301" s="139"/>
    </row>
    <row r="302" spans="1:22">
      <c r="A302" s="139"/>
      <c r="B302" s="139"/>
      <c r="C302" s="139"/>
      <c r="D302" s="139"/>
      <c r="E302" s="139"/>
      <c r="F302" s="139"/>
      <c r="G302" s="139"/>
      <c r="H302" s="139"/>
      <c r="I302" s="139"/>
      <c r="J302" s="139"/>
      <c r="K302" s="139"/>
      <c r="L302" s="139"/>
      <c r="M302" s="139"/>
      <c r="N302" s="139"/>
      <c r="O302" s="139"/>
      <c r="P302" s="139"/>
      <c r="Q302" s="139"/>
      <c r="R302" s="139"/>
      <c r="S302" s="139"/>
      <c r="T302" s="139"/>
      <c r="U302" s="139"/>
      <c r="V302" s="139"/>
    </row>
    <row r="303" spans="1:22">
      <c r="A303" s="139"/>
      <c r="B303" s="139"/>
      <c r="C303" s="139"/>
      <c r="D303" s="139"/>
      <c r="E303" s="139"/>
      <c r="F303" s="139"/>
      <c r="G303" s="139"/>
      <c r="H303" s="139"/>
      <c r="I303" s="139"/>
      <c r="J303" s="139"/>
      <c r="K303" s="139"/>
      <c r="L303" s="139"/>
      <c r="M303" s="139"/>
      <c r="N303" s="139"/>
      <c r="O303" s="139"/>
      <c r="P303" s="139"/>
      <c r="Q303" s="139"/>
      <c r="R303" s="139"/>
      <c r="S303" s="139"/>
      <c r="T303" s="139"/>
      <c r="U303" s="139"/>
      <c r="V303" s="139"/>
    </row>
    <row r="304" spans="1:22">
      <c r="A304" s="139"/>
      <c r="B304" s="139"/>
      <c r="C304" s="139"/>
      <c r="D304" s="139"/>
      <c r="E304" s="139"/>
      <c r="F304" s="139"/>
      <c r="G304" s="139"/>
      <c r="H304" s="139"/>
      <c r="I304" s="139"/>
      <c r="J304" s="139"/>
      <c r="K304" s="139"/>
      <c r="L304" s="139"/>
      <c r="M304" s="139"/>
      <c r="N304" s="139"/>
      <c r="O304" s="139"/>
      <c r="P304" s="139"/>
      <c r="Q304" s="139"/>
      <c r="R304" s="139"/>
      <c r="S304" s="139"/>
      <c r="T304" s="139"/>
      <c r="U304" s="139"/>
      <c r="V304" s="139"/>
    </row>
    <row r="305" spans="1:22">
      <c r="A305" s="139"/>
      <c r="B305" s="139"/>
      <c r="C305" s="139"/>
      <c r="D305" s="139"/>
      <c r="E305" s="139"/>
      <c r="F305" s="139"/>
      <c r="G305" s="139"/>
      <c r="H305" s="139"/>
      <c r="I305" s="139"/>
      <c r="J305" s="139"/>
      <c r="K305" s="139"/>
      <c r="L305" s="139"/>
      <c r="M305" s="139"/>
      <c r="N305" s="139"/>
      <c r="O305" s="139"/>
      <c r="P305" s="139"/>
      <c r="Q305" s="139"/>
      <c r="R305" s="139"/>
      <c r="S305" s="139"/>
      <c r="T305" s="139"/>
      <c r="U305" s="139"/>
      <c r="V305" s="139"/>
    </row>
    <row r="306" spans="1:22">
      <c r="A306" s="139"/>
      <c r="B306" s="139"/>
      <c r="C306" s="139"/>
      <c r="D306" s="139"/>
      <c r="E306" s="139"/>
      <c r="F306" s="139"/>
      <c r="G306" s="139"/>
      <c r="H306" s="139"/>
      <c r="I306" s="139"/>
      <c r="J306" s="139"/>
      <c r="K306" s="139"/>
      <c r="L306" s="139"/>
      <c r="M306" s="139"/>
      <c r="N306" s="139"/>
      <c r="O306" s="139"/>
      <c r="P306" s="139"/>
      <c r="Q306" s="139"/>
      <c r="R306" s="139"/>
      <c r="S306" s="139"/>
      <c r="T306" s="139"/>
      <c r="U306" s="139"/>
      <c r="V306" s="139"/>
    </row>
    <row r="307" spans="1:22">
      <c r="A307" s="139"/>
      <c r="B307" s="139"/>
      <c r="C307" s="139"/>
      <c r="D307" s="139"/>
      <c r="E307" s="139"/>
      <c r="F307" s="139"/>
      <c r="G307" s="139"/>
      <c r="H307" s="139"/>
      <c r="I307" s="139"/>
      <c r="J307" s="139"/>
      <c r="K307" s="139"/>
      <c r="L307" s="139"/>
      <c r="M307" s="139"/>
      <c r="N307" s="139"/>
      <c r="O307" s="139"/>
      <c r="P307" s="139"/>
      <c r="Q307" s="139"/>
      <c r="R307" s="139"/>
      <c r="S307" s="139"/>
      <c r="T307" s="139"/>
      <c r="U307" s="139"/>
      <c r="V307" s="139"/>
    </row>
    <row r="308" spans="1:22">
      <c r="A308" s="139"/>
      <c r="B308" s="139"/>
      <c r="C308" s="139"/>
      <c r="D308" s="139"/>
      <c r="E308" s="139"/>
      <c r="F308" s="139"/>
      <c r="G308" s="139"/>
      <c r="H308" s="139"/>
      <c r="I308" s="139"/>
      <c r="J308" s="139"/>
      <c r="K308" s="139"/>
      <c r="L308" s="139"/>
      <c r="M308" s="139"/>
      <c r="N308" s="139"/>
      <c r="O308" s="139"/>
      <c r="P308" s="139"/>
      <c r="Q308" s="139"/>
      <c r="R308" s="139"/>
      <c r="S308" s="139"/>
      <c r="T308" s="139"/>
      <c r="U308" s="139"/>
      <c r="V308" s="139"/>
    </row>
    <row r="309" spans="1:22">
      <c r="A309" s="139"/>
      <c r="B309" s="139"/>
      <c r="C309" s="139"/>
      <c r="D309" s="139"/>
      <c r="E309" s="139"/>
      <c r="F309" s="139"/>
      <c r="G309" s="139"/>
      <c r="H309" s="139"/>
      <c r="I309" s="139"/>
      <c r="J309" s="139"/>
      <c r="K309" s="139"/>
      <c r="L309" s="139"/>
      <c r="M309" s="139"/>
      <c r="N309" s="139"/>
      <c r="O309" s="139"/>
      <c r="P309" s="139"/>
      <c r="Q309" s="139"/>
      <c r="R309" s="139"/>
      <c r="S309" s="139"/>
      <c r="T309" s="139"/>
      <c r="U309" s="139"/>
      <c r="V309" s="139"/>
    </row>
    <row r="310" spans="1:22">
      <c r="A310" s="139"/>
      <c r="B310" s="139"/>
      <c r="C310" s="139"/>
      <c r="D310" s="139"/>
      <c r="E310" s="139"/>
      <c r="F310" s="139"/>
      <c r="G310" s="139"/>
      <c r="H310" s="139"/>
      <c r="I310" s="139"/>
      <c r="J310" s="139"/>
      <c r="K310" s="139"/>
      <c r="L310" s="139"/>
      <c r="M310" s="139"/>
      <c r="N310" s="139"/>
      <c r="O310" s="139"/>
      <c r="P310" s="139"/>
      <c r="Q310" s="139"/>
      <c r="R310" s="139"/>
      <c r="S310" s="139"/>
      <c r="T310" s="139"/>
      <c r="U310" s="139"/>
      <c r="V310" s="139"/>
    </row>
    <row r="311" spans="1:22">
      <c r="A311" s="139"/>
      <c r="B311" s="139"/>
      <c r="C311" s="139"/>
      <c r="D311" s="139"/>
      <c r="E311" s="139"/>
      <c r="F311" s="139"/>
      <c r="G311" s="139"/>
      <c r="H311" s="139"/>
      <c r="I311" s="139"/>
      <c r="J311" s="139"/>
      <c r="K311" s="139"/>
      <c r="L311" s="139"/>
      <c r="M311" s="139"/>
      <c r="N311" s="139"/>
      <c r="O311" s="139"/>
      <c r="P311" s="139"/>
      <c r="Q311" s="139"/>
      <c r="R311" s="139"/>
      <c r="S311" s="139"/>
      <c r="T311" s="139"/>
      <c r="U311" s="139"/>
      <c r="V311" s="139"/>
    </row>
    <row r="312" spans="1:22">
      <c r="A312" s="139"/>
      <c r="B312" s="139"/>
      <c r="C312" s="139"/>
      <c r="D312" s="139"/>
      <c r="E312" s="139"/>
      <c r="F312" s="139"/>
      <c r="G312" s="139"/>
      <c r="H312" s="139"/>
      <c r="I312" s="139"/>
      <c r="J312" s="139"/>
      <c r="K312" s="139"/>
      <c r="L312" s="139"/>
      <c r="M312" s="139"/>
      <c r="N312" s="139"/>
      <c r="O312" s="139"/>
      <c r="P312" s="139"/>
      <c r="Q312" s="139"/>
      <c r="R312" s="139"/>
      <c r="S312" s="139"/>
      <c r="T312" s="139"/>
      <c r="U312" s="139"/>
      <c r="V312" s="139"/>
    </row>
    <row r="313" spans="1:22">
      <c r="A313" s="139"/>
      <c r="B313" s="139"/>
      <c r="C313" s="139"/>
      <c r="D313" s="139"/>
      <c r="E313" s="139"/>
      <c r="F313" s="139"/>
      <c r="G313" s="139"/>
      <c r="H313" s="139"/>
      <c r="I313" s="139"/>
      <c r="J313" s="139"/>
      <c r="K313" s="139"/>
      <c r="L313" s="139"/>
      <c r="M313" s="139"/>
      <c r="N313" s="139"/>
      <c r="O313" s="139"/>
      <c r="P313" s="139"/>
      <c r="Q313" s="139"/>
      <c r="R313" s="139"/>
      <c r="S313" s="139"/>
      <c r="T313" s="139"/>
      <c r="U313" s="139"/>
      <c r="V313" s="139"/>
    </row>
    <row r="314" spans="1:22">
      <c r="A314" s="139"/>
      <c r="B314" s="139"/>
      <c r="C314" s="139"/>
      <c r="D314" s="139"/>
      <c r="E314" s="139"/>
      <c r="F314" s="139"/>
      <c r="G314" s="139"/>
      <c r="H314" s="139"/>
      <c r="I314" s="139"/>
      <c r="J314" s="139"/>
      <c r="K314" s="139"/>
      <c r="L314" s="139"/>
      <c r="M314" s="139"/>
      <c r="N314" s="139"/>
      <c r="O314" s="139"/>
      <c r="P314" s="139"/>
      <c r="Q314" s="139"/>
      <c r="R314" s="139"/>
      <c r="S314" s="139"/>
      <c r="T314" s="139"/>
      <c r="U314" s="139"/>
      <c r="V314" s="139"/>
    </row>
    <row r="315" spans="1:22">
      <c r="A315" s="139"/>
      <c r="B315" s="139"/>
      <c r="C315" s="139"/>
      <c r="D315" s="139"/>
      <c r="E315" s="139"/>
      <c r="F315" s="139"/>
      <c r="G315" s="139"/>
      <c r="H315" s="139"/>
      <c r="I315" s="139"/>
      <c r="J315" s="139"/>
      <c r="K315" s="139"/>
      <c r="L315" s="139"/>
      <c r="M315" s="139"/>
      <c r="N315" s="139"/>
      <c r="O315" s="139"/>
      <c r="P315" s="139"/>
      <c r="Q315" s="139"/>
      <c r="R315" s="139"/>
      <c r="S315" s="139"/>
      <c r="T315" s="139"/>
      <c r="U315" s="139"/>
      <c r="V315" s="139"/>
    </row>
    <row r="316" spans="1:22">
      <c r="A316" s="139"/>
      <c r="B316" s="139"/>
      <c r="C316" s="139"/>
      <c r="D316" s="139"/>
      <c r="E316" s="139"/>
      <c r="F316" s="139"/>
      <c r="G316" s="139"/>
      <c r="H316" s="139"/>
      <c r="I316" s="139"/>
      <c r="J316" s="139"/>
      <c r="K316" s="139"/>
      <c r="L316" s="139"/>
      <c r="M316" s="139"/>
      <c r="N316" s="139"/>
      <c r="O316" s="139"/>
      <c r="P316" s="139"/>
      <c r="Q316" s="139"/>
      <c r="R316" s="139"/>
      <c r="S316" s="139"/>
      <c r="T316" s="139"/>
      <c r="U316" s="139"/>
      <c r="V316" s="139"/>
    </row>
    <row r="317" spans="1:22">
      <c r="A317" s="139"/>
      <c r="B317" s="139"/>
      <c r="C317" s="139"/>
      <c r="D317" s="139"/>
      <c r="E317" s="139"/>
      <c r="F317" s="139"/>
      <c r="G317" s="139"/>
      <c r="H317" s="139"/>
      <c r="I317" s="139"/>
      <c r="J317" s="139"/>
      <c r="K317" s="139"/>
      <c r="L317" s="139"/>
      <c r="M317" s="139"/>
      <c r="N317" s="139"/>
      <c r="O317" s="139"/>
      <c r="P317" s="139"/>
      <c r="Q317" s="139"/>
      <c r="R317" s="139"/>
      <c r="S317" s="139"/>
      <c r="T317" s="139"/>
      <c r="U317" s="139"/>
      <c r="V317" s="139"/>
    </row>
    <row r="318" spans="1:22">
      <c r="A318" s="139"/>
      <c r="B318" s="139"/>
      <c r="C318" s="139"/>
      <c r="D318" s="139"/>
      <c r="E318" s="139"/>
      <c r="F318" s="139"/>
      <c r="G318" s="139"/>
      <c r="H318" s="139"/>
      <c r="I318" s="139"/>
      <c r="J318" s="139"/>
      <c r="K318" s="139"/>
      <c r="L318" s="139"/>
      <c r="M318" s="139"/>
      <c r="N318" s="139"/>
      <c r="O318" s="139"/>
      <c r="P318" s="139"/>
      <c r="Q318" s="139"/>
      <c r="R318" s="139"/>
      <c r="S318" s="139"/>
      <c r="T318" s="139"/>
      <c r="U318" s="139"/>
      <c r="V318" s="139"/>
    </row>
    <row r="319" spans="1:22">
      <c r="A319" s="139"/>
      <c r="B319" s="139"/>
      <c r="C319" s="139"/>
      <c r="D319" s="139"/>
      <c r="E319" s="139"/>
      <c r="F319" s="139"/>
      <c r="G319" s="139"/>
      <c r="H319" s="139"/>
      <c r="I319" s="139"/>
      <c r="J319" s="139"/>
      <c r="K319" s="139"/>
      <c r="L319" s="139"/>
      <c r="M319" s="139"/>
      <c r="N319" s="139"/>
      <c r="O319" s="139"/>
      <c r="P319" s="139"/>
      <c r="Q319" s="139"/>
      <c r="R319" s="139"/>
      <c r="S319" s="139"/>
      <c r="T319" s="139"/>
      <c r="U319" s="139"/>
      <c r="V319" s="139"/>
    </row>
    <row r="320" spans="1:22">
      <c r="A320" s="139"/>
      <c r="B320" s="139"/>
      <c r="C320" s="139"/>
      <c r="D320" s="139"/>
      <c r="E320" s="139"/>
      <c r="F320" s="139"/>
      <c r="G320" s="139"/>
      <c r="H320" s="139"/>
      <c r="I320" s="139"/>
      <c r="J320" s="139"/>
      <c r="K320" s="139"/>
      <c r="L320" s="139"/>
      <c r="M320" s="139"/>
      <c r="N320" s="139"/>
      <c r="O320" s="139"/>
      <c r="P320" s="139"/>
      <c r="Q320" s="139"/>
      <c r="R320" s="139"/>
      <c r="S320" s="139"/>
      <c r="T320" s="139"/>
      <c r="U320" s="139"/>
      <c r="V320" s="139"/>
    </row>
    <row r="321" spans="1:22">
      <c r="A321" s="139"/>
      <c r="B321" s="139"/>
      <c r="C321" s="139"/>
      <c r="D321" s="139"/>
      <c r="E321" s="139"/>
      <c r="F321" s="139"/>
      <c r="G321" s="139"/>
      <c r="H321" s="139"/>
      <c r="I321" s="139"/>
      <c r="J321" s="139"/>
      <c r="K321" s="139"/>
      <c r="L321" s="139"/>
      <c r="M321" s="139"/>
      <c r="N321" s="139"/>
      <c r="O321" s="139"/>
      <c r="P321" s="139"/>
      <c r="Q321" s="139"/>
      <c r="R321" s="139"/>
      <c r="S321" s="139"/>
      <c r="T321" s="139"/>
      <c r="U321" s="139"/>
      <c r="V321" s="139"/>
    </row>
    <row r="322" spans="1:22">
      <c r="A322" s="139"/>
      <c r="B322" s="139"/>
      <c r="C322" s="139"/>
      <c r="D322" s="139"/>
      <c r="E322" s="139"/>
      <c r="F322" s="139"/>
      <c r="G322" s="139"/>
      <c r="H322" s="139"/>
      <c r="I322" s="139"/>
      <c r="J322" s="139"/>
      <c r="K322" s="139"/>
      <c r="L322" s="139"/>
      <c r="M322" s="139"/>
      <c r="N322" s="139"/>
      <c r="O322" s="139"/>
      <c r="P322" s="139"/>
      <c r="Q322" s="139"/>
      <c r="R322" s="139"/>
      <c r="S322" s="139"/>
      <c r="T322" s="139"/>
      <c r="U322" s="139"/>
      <c r="V322" s="139"/>
    </row>
    <row r="323" spans="1:22">
      <c r="A323" s="139"/>
      <c r="B323" s="139"/>
      <c r="C323" s="139"/>
      <c r="D323" s="139"/>
      <c r="E323" s="139"/>
      <c r="F323" s="139"/>
      <c r="G323" s="139"/>
      <c r="H323" s="139"/>
      <c r="I323" s="139"/>
      <c r="J323" s="139"/>
      <c r="K323" s="139"/>
      <c r="L323" s="139"/>
      <c r="M323" s="139"/>
      <c r="N323" s="139"/>
      <c r="O323" s="139"/>
      <c r="P323" s="139"/>
      <c r="Q323" s="139"/>
      <c r="R323" s="139"/>
      <c r="S323" s="139"/>
      <c r="T323" s="139"/>
      <c r="U323" s="139"/>
      <c r="V323" s="139"/>
    </row>
    <row r="324" spans="1:22">
      <c r="A324" s="139"/>
      <c r="B324" s="139"/>
      <c r="C324" s="139"/>
      <c r="D324" s="139"/>
      <c r="E324" s="139"/>
      <c r="F324" s="139"/>
      <c r="G324" s="139"/>
      <c r="H324" s="139"/>
      <c r="I324" s="139"/>
      <c r="J324" s="139"/>
      <c r="K324" s="139"/>
      <c r="L324" s="139"/>
      <c r="M324" s="139"/>
      <c r="N324" s="139"/>
      <c r="O324" s="139"/>
      <c r="P324" s="139"/>
      <c r="Q324" s="139"/>
      <c r="R324" s="139"/>
      <c r="S324" s="139"/>
      <c r="T324" s="139"/>
      <c r="U324" s="139"/>
      <c r="V324" s="139"/>
    </row>
    <row r="325" spans="1:22">
      <c r="A325" s="139"/>
      <c r="B325" s="139"/>
      <c r="C325" s="139"/>
      <c r="D325" s="139"/>
      <c r="E325" s="139"/>
      <c r="F325" s="139"/>
      <c r="G325" s="139"/>
      <c r="H325" s="139"/>
      <c r="I325" s="139"/>
      <c r="J325" s="139"/>
      <c r="K325" s="139"/>
      <c r="L325" s="139"/>
      <c r="M325" s="139"/>
      <c r="N325" s="139"/>
      <c r="O325" s="139"/>
      <c r="P325" s="139"/>
      <c r="Q325" s="139"/>
      <c r="R325" s="139"/>
      <c r="S325" s="139"/>
      <c r="T325" s="139"/>
      <c r="U325" s="139"/>
      <c r="V325" s="139"/>
    </row>
    <row r="326" spans="1:22">
      <c r="A326" s="139"/>
      <c r="B326" s="139"/>
      <c r="C326" s="139"/>
      <c r="D326" s="139"/>
      <c r="E326" s="139"/>
      <c r="F326" s="139"/>
      <c r="G326" s="139"/>
      <c r="H326" s="139"/>
      <c r="I326" s="139"/>
      <c r="J326" s="139"/>
      <c r="K326" s="139"/>
      <c r="L326" s="139"/>
      <c r="M326" s="139"/>
      <c r="N326" s="139"/>
      <c r="O326" s="139"/>
      <c r="P326" s="139"/>
      <c r="Q326" s="139"/>
      <c r="R326" s="139"/>
      <c r="S326" s="139"/>
      <c r="T326" s="139"/>
      <c r="U326" s="139"/>
      <c r="V326" s="139"/>
    </row>
    <row r="327" spans="1:22">
      <c r="A327" s="139"/>
      <c r="B327" s="139"/>
      <c r="C327" s="139"/>
      <c r="D327" s="139"/>
      <c r="E327" s="139"/>
      <c r="F327" s="139"/>
      <c r="G327" s="139"/>
      <c r="H327" s="139"/>
      <c r="I327" s="139"/>
      <c r="J327" s="139"/>
      <c r="K327" s="139"/>
      <c r="L327" s="139"/>
      <c r="M327" s="139"/>
      <c r="N327" s="139"/>
      <c r="O327" s="139"/>
      <c r="P327" s="139"/>
      <c r="Q327" s="139"/>
      <c r="R327" s="139"/>
      <c r="S327" s="139"/>
      <c r="T327" s="139"/>
      <c r="U327" s="139"/>
      <c r="V327" s="139"/>
    </row>
    <row r="328" spans="1:22">
      <c r="A328" s="139"/>
      <c r="B328" s="139"/>
      <c r="C328" s="139"/>
      <c r="D328" s="139"/>
      <c r="E328" s="139"/>
      <c r="F328" s="139"/>
      <c r="G328" s="139"/>
      <c r="H328" s="139"/>
      <c r="I328" s="139"/>
      <c r="J328" s="139"/>
      <c r="K328" s="139"/>
      <c r="L328" s="139"/>
      <c r="M328" s="139"/>
      <c r="N328" s="139"/>
      <c r="O328" s="139"/>
      <c r="P328" s="139"/>
      <c r="Q328" s="139"/>
      <c r="R328" s="139"/>
      <c r="S328" s="139"/>
      <c r="T328" s="139"/>
      <c r="U328" s="139"/>
      <c r="V328" s="139"/>
    </row>
    <row r="329" spans="1:22">
      <c r="A329" s="139"/>
      <c r="B329" s="139"/>
      <c r="C329" s="139"/>
      <c r="D329" s="139"/>
      <c r="E329" s="139"/>
      <c r="F329" s="139"/>
      <c r="G329" s="139"/>
      <c r="H329" s="139"/>
      <c r="I329" s="139"/>
      <c r="J329" s="139"/>
      <c r="K329" s="139"/>
      <c r="L329" s="139"/>
      <c r="M329" s="139"/>
      <c r="N329" s="139"/>
      <c r="O329" s="139"/>
      <c r="P329" s="139"/>
      <c r="Q329" s="139"/>
      <c r="R329" s="139"/>
      <c r="S329" s="139"/>
      <c r="T329" s="139"/>
      <c r="U329" s="139"/>
      <c r="V329" s="139"/>
    </row>
    <row r="330" spans="1:22">
      <c r="A330" s="139"/>
      <c r="B330" s="139"/>
      <c r="C330" s="139"/>
      <c r="D330" s="139"/>
      <c r="E330" s="139"/>
      <c r="F330" s="139"/>
      <c r="G330" s="139"/>
      <c r="H330" s="139"/>
      <c r="I330" s="139"/>
      <c r="J330" s="139"/>
      <c r="K330" s="139"/>
      <c r="L330" s="139"/>
      <c r="M330" s="139"/>
      <c r="N330" s="139"/>
      <c r="O330" s="139"/>
      <c r="P330" s="139"/>
      <c r="Q330" s="139"/>
      <c r="R330" s="139"/>
      <c r="S330" s="139"/>
      <c r="T330" s="139"/>
      <c r="U330" s="139"/>
      <c r="V330" s="139"/>
    </row>
    <row r="331" spans="1:22">
      <c r="A331" s="139"/>
      <c r="B331" s="139"/>
      <c r="C331" s="139"/>
      <c r="D331" s="139"/>
      <c r="E331" s="139"/>
      <c r="F331" s="139"/>
      <c r="G331" s="139"/>
      <c r="H331" s="139"/>
      <c r="I331" s="139"/>
      <c r="J331" s="139"/>
      <c r="K331" s="139"/>
      <c r="L331" s="139"/>
      <c r="M331" s="139"/>
      <c r="N331" s="139"/>
      <c r="O331" s="139"/>
      <c r="P331" s="139"/>
      <c r="Q331" s="139"/>
      <c r="R331" s="139"/>
      <c r="S331" s="139"/>
      <c r="T331" s="139"/>
      <c r="U331" s="139"/>
      <c r="V331" s="139"/>
    </row>
    <row r="332" spans="1:22">
      <c r="A332" s="139"/>
      <c r="B332" s="139"/>
      <c r="C332" s="139"/>
      <c r="D332" s="139"/>
      <c r="E332" s="139"/>
      <c r="F332" s="139"/>
      <c r="G332" s="139"/>
      <c r="H332" s="139"/>
      <c r="I332" s="139"/>
      <c r="J332" s="139"/>
      <c r="K332" s="139"/>
      <c r="L332" s="139"/>
      <c r="M332" s="139"/>
      <c r="N332" s="139"/>
      <c r="O332" s="139"/>
      <c r="P332" s="139"/>
      <c r="Q332" s="139"/>
      <c r="R332" s="139"/>
      <c r="S332" s="139"/>
      <c r="T332" s="139"/>
      <c r="U332" s="139"/>
      <c r="V332" s="139"/>
    </row>
    <row r="333" spans="1:22">
      <c r="A333" s="139"/>
      <c r="B333" s="139"/>
      <c r="C333" s="139"/>
      <c r="D333" s="139"/>
      <c r="E333" s="139"/>
      <c r="F333" s="139"/>
      <c r="G333" s="139"/>
      <c r="H333" s="139"/>
      <c r="I333" s="139"/>
      <c r="J333" s="139"/>
      <c r="K333" s="139"/>
      <c r="L333" s="139"/>
      <c r="M333" s="139"/>
      <c r="N333" s="139"/>
      <c r="O333" s="139"/>
      <c r="P333" s="139"/>
      <c r="Q333" s="139"/>
      <c r="R333" s="139"/>
      <c r="S333" s="139"/>
      <c r="T333" s="139"/>
      <c r="U333" s="139"/>
      <c r="V333" s="139"/>
    </row>
    <row r="334" spans="1:22">
      <c r="A334" s="139"/>
      <c r="B334" s="139"/>
      <c r="C334" s="139"/>
      <c r="D334" s="139"/>
      <c r="E334" s="139"/>
      <c r="F334" s="139"/>
      <c r="G334" s="139"/>
      <c r="H334" s="139"/>
      <c r="I334" s="139"/>
      <c r="J334" s="139"/>
      <c r="K334" s="139"/>
      <c r="L334" s="139"/>
      <c r="M334" s="139"/>
      <c r="N334" s="139"/>
      <c r="O334" s="139"/>
      <c r="P334" s="139"/>
      <c r="Q334" s="139"/>
      <c r="R334" s="139"/>
      <c r="S334" s="139"/>
      <c r="T334" s="139"/>
      <c r="U334" s="139"/>
      <c r="V334" s="139"/>
    </row>
    <row r="335" spans="1:22">
      <c r="A335" s="139"/>
      <c r="B335" s="139"/>
      <c r="C335" s="139"/>
      <c r="D335" s="139"/>
      <c r="E335" s="139"/>
      <c r="F335" s="139"/>
      <c r="G335" s="139"/>
      <c r="H335" s="139"/>
      <c r="I335" s="139"/>
      <c r="J335" s="139"/>
      <c r="K335" s="139"/>
      <c r="L335" s="139"/>
      <c r="M335" s="139"/>
      <c r="N335" s="139"/>
      <c r="O335" s="139"/>
      <c r="P335" s="139"/>
      <c r="Q335" s="139"/>
      <c r="R335" s="139"/>
      <c r="S335" s="139"/>
      <c r="T335" s="139"/>
      <c r="U335" s="139"/>
      <c r="V335" s="139"/>
    </row>
    <row r="336" spans="1:22">
      <c r="A336" s="139"/>
      <c r="B336" s="139"/>
      <c r="C336" s="139"/>
      <c r="D336" s="139"/>
      <c r="E336" s="139"/>
      <c r="F336" s="139"/>
      <c r="G336" s="139"/>
      <c r="H336" s="139"/>
      <c r="I336" s="139"/>
      <c r="J336" s="139"/>
      <c r="K336" s="139"/>
      <c r="L336" s="139"/>
      <c r="M336" s="139"/>
      <c r="N336" s="139"/>
      <c r="O336" s="139"/>
      <c r="P336" s="139"/>
      <c r="Q336" s="139"/>
      <c r="R336" s="139"/>
      <c r="S336" s="139"/>
      <c r="T336" s="139"/>
      <c r="U336" s="139"/>
      <c r="V336" s="139"/>
    </row>
    <row r="337" spans="1:22">
      <c r="A337" s="139"/>
      <c r="B337" s="139"/>
      <c r="C337" s="139"/>
      <c r="D337" s="139"/>
      <c r="E337" s="139"/>
      <c r="F337" s="139"/>
      <c r="G337" s="139"/>
      <c r="H337" s="139"/>
      <c r="I337" s="139"/>
      <c r="J337" s="139"/>
      <c r="K337" s="139"/>
      <c r="L337" s="139"/>
      <c r="M337" s="139"/>
      <c r="N337" s="139"/>
      <c r="O337" s="139"/>
      <c r="P337" s="139"/>
      <c r="Q337" s="139"/>
      <c r="R337" s="139"/>
      <c r="S337" s="139"/>
      <c r="T337" s="139"/>
      <c r="U337" s="139"/>
      <c r="V337" s="139"/>
    </row>
    <row r="338" spans="1:22">
      <c r="A338" s="139"/>
      <c r="B338" s="139"/>
      <c r="C338" s="139"/>
      <c r="D338" s="139"/>
      <c r="E338" s="139"/>
      <c r="F338" s="139"/>
      <c r="G338" s="139"/>
      <c r="H338" s="139"/>
      <c r="I338" s="139"/>
      <c r="J338" s="139"/>
      <c r="K338" s="139"/>
      <c r="L338" s="139"/>
      <c r="M338" s="139"/>
      <c r="N338" s="139"/>
      <c r="O338" s="139"/>
      <c r="P338" s="139"/>
      <c r="Q338" s="139"/>
      <c r="R338" s="139"/>
      <c r="S338" s="139"/>
      <c r="T338" s="139"/>
      <c r="U338" s="139"/>
      <c r="V338" s="139"/>
    </row>
    <row r="339" spans="1:22">
      <c r="A339" s="139"/>
      <c r="B339" s="139"/>
      <c r="C339" s="139"/>
      <c r="D339" s="139"/>
      <c r="E339" s="139"/>
      <c r="F339" s="139"/>
      <c r="G339" s="139"/>
      <c r="H339" s="139"/>
      <c r="I339" s="139"/>
      <c r="J339" s="139"/>
      <c r="K339" s="139"/>
      <c r="L339" s="139"/>
      <c r="M339" s="139"/>
      <c r="N339" s="139"/>
      <c r="O339" s="139"/>
      <c r="P339" s="139"/>
      <c r="Q339" s="139"/>
      <c r="R339" s="139"/>
      <c r="S339" s="139"/>
      <c r="T339" s="139"/>
      <c r="U339" s="139"/>
      <c r="V339" s="139"/>
    </row>
    <row r="340" spans="1:22">
      <c r="A340" s="139"/>
      <c r="B340" s="139"/>
      <c r="C340" s="139"/>
      <c r="D340" s="139"/>
      <c r="E340" s="139"/>
      <c r="F340" s="139"/>
      <c r="G340" s="139"/>
      <c r="H340" s="139"/>
      <c r="I340" s="139"/>
      <c r="J340" s="139"/>
      <c r="K340" s="139"/>
      <c r="L340" s="139"/>
      <c r="M340" s="139"/>
      <c r="N340" s="139"/>
      <c r="O340" s="139"/>
      <c r="P340" s="139"/>
      <c r="Q340" s="139"/>
      <c r="R340" s="139"/>
      <c r="S340" s="139"/>
      <c r="T340" s="139"/>
      <c r="U340" s="139"/>
      <c r="V340" s="139"/>
    </row>
    <row r="341" spans="1:22">
      <c r="A341" s="139"/>
      <c r="B341" s="139"/>
      <c r="C341" s="139"/>
      <c r="D341" s="139"/>
      <c r="E341" s="139"/>
      <c r="F341" s="139"/>
      <c r="G341" s="139"/>
      <c r="H341" s="139"/>
      <c r="I341" s="139"/>
      <c r="J341" s="139"/>
      <c r="K341" s="139"/>
      <c r="L341" s="139"/>
      <c r="M341" s="139"/>
      <c r="N341" s="139"/>
      <c r="O341" s="139"/>
      <c r="P341" s="139"/>
      <c r="Q341" s="139"/>
      <c r="R341" s="139"/>
      <c r="S341" s="139"/>
      <c r="T341" s="139"/>
      <c r="U341" s="139"/>
      <c r="V341" s="139"/>
    </row>
    <row r="342" spans="1:22">
      <c r="A342" s="139"/>
      <c r="B342" s="139"/>
      <c r="C342" s="139"/>
      <c r="D342" s="139"/>
      <c r="E342" s="139"/>
      <c r="F342" s="139"/>
      <c r="G342" s="139"/>
      <c r="H342" s="139"/>
      <c r="I342" s="139"/>
      <c r="J342" s="139"/>
      <c r="K342" s="139"/>
      <c r="L342" s="139"/>
      <c r="M342" s="139"/>
      <c r="N342" s="139"/>
      <c r="O342" s="139"/>
      <c r="P342" s="139"/>
      <c r="Q342" s="139"/>
      <c r="R342" s="139"/>
      <c r="S342" s="139"/>
      <c r="T342" s="139"/>
      <c r="U342" s="139"/>
      <c r="V342" s="139"/>
    </row>
    <row r="343" spans="1:22">
      <c r="A343" s="139"/>
      <c r="B343" s="139"/>
      <c r="C343" s="139"/>
      <c r="D343" s="139"/>
      <c r="E343" s="139"/>
      <c r="F343" s="139"/>
      <c r="G343" s="139"/>
      <c r="H343" s="139"/>
      <c r="I343" s="139"/>
      <c r="J343" s="139"/>
      <c r="K343" s="139"/>
      <c r="L343" s="139"/>
      <c r="M343" s="139"/>
      <c r="N343" s="139"/>
      <c r="O343" s="139"/>
      <c r="P343" s="139"/>
      <c r="Q343" s="139"/>
      <c r="R343" s="139"/>
      <c r="S343" s="139"/>
      <c r="T343" s="139"/>
      <c r="U343" s="139"/>
      <c r="V343" s="139"/>
    </row>
    <row r="344" spans="1:22">
      <c r="A344" s="139"/>
      <c r="B344" s="139"/>
      <c r="C344" s="139"/>
      <c r="D344" s="139"/>
      <c r="E344" s="139"/>
      <c r="F344" s="139"/>
      <c r="G344" s="139"/>
      <c r="H344" s="139"/>
      <c r="I344" s="139"/>
      <c r="J344" s="139"/>
      <c r="K344" s="139"/>
      <c r="L344" s="139"/>
      <c r="M344" s="139"/>
      <c r="N344" s="139"/>
      <c r="O344" s="139"/>
      <c r="P344" s="139"/>
      <c r="Q344" s="139"/>
      <c r="R344" s="139"/>
      <c r="S344" s="139"/>
      <c r="T344" s="139"/>
      <c r="U344" s="139"/>
      <c r="V344" s="139"/>
    </row>
    <row r="345" spans="1:22">
      <c r="A345" s="139"/>
      <c r="B345" s="139"/>
      <c r="C345" s="139"/>
      <c r="D345" s="139"/>
      <c r="E345" s="139"/>
      <c r="F345" s="139"/>
      <c r="G345" s="139"/>
      <c r="H345" s="139"/>
      <c r="I345" s="139"/>
      <c r="J345" s="139"/>
      <c r="K345" s="139"/>
      <c r="L345" s="139"/>
      <c r="M345" s="139"/>
      <c r="N345" s="139"/>
      <c r="O345" s="139"/>
      <c r="P345" s="139"/>
      <c r="Q345" s="139"/>
      <c r="R345" s="139"/>
      <c r="S345" s="139"/>
      <c r="T345" s="139"/>
      <c r="U345" s="139"/>
      <c r="V345" s="139"/>
    </row>
    <row r="346" spans="1:22">
      <c r="A346" s="139"/>
      <c r="B346" s="139"/>
      <c r="C346" s="139"/>
      <c r="D346" s="139"/>
      <c r="E346" s="139"/>
      <c r="F346" s="139"/>
      <c r="G346" s="139"/>
      <c r="H346" s="139"/>
      <c r="I346" s="139"/>
      <c r="J346" s="139"/>
      <c r="K346" s="139"/>
      <c r="L346" s="139"/>
      <c r="M346" s="139"/>
      <c r="N346" s="139"/>
      <c r="O346" s="139"/>
      <c r="P346" s="139"/>
      <c r="Q346" s="139"/>
      <c r="R346" s="139"/>
      <c r="S346" s="139"/>
      <c r="T346" s="139"/>
      <c r="U346" s="139"/>
      <c r="V346" s="139"/>
    </row>
    <row r="347" spans="1:22">
      <c r="A347" s="139"/>
      <c r="B347" s="139"/>
      <c r="C347" s="139"/>
      <c r="D347" s="139"/>
      <c r="E347" s="139"/>
      <c r="F347" s="139"/>
      <c r="G347" s="139"/>
      <c r="H347" s="139"/>
      <c r="I347" s="139"/>
      <c r="J347" s="139"/>
      <c r="K347" s="139"/>
      <c r="L347" s="139"/>
      <c r="M347" s="139"/>
      <c r="N347" s="139"/>
      <c r="O347" s="139"/>
      <c r="P347" s="139"/>
      <c r="Q347" s="139"/>
      <c r="R347" s="139"/>
      <c r="S347" s="139"/>
      <c r="T347" s="139"/>
      <c r="U347" s="139"/>
      <c r="V347" s="139"/>
    </row>
    <row r="348" spans="1:22">
      <c r="A348" s="139"/>
      <c r="B348" s="139"/>
      <c r="C348" s="139"/>
      <c r="D348" s="139"/>
      <c r="E348" s="139"/>
      <c r="F348" s="139"/>
      <c r="G348" s="139"/>
      <c r="H348" s="139"/>
      <c r="I348" s="139"/>
      <c r="J348" s="139"/>
      <c r="K348" s="139"/>
      <c r="L348" s="139"/>
      <c r="M348" s="139"/>
      <c r="N348" s="139"/>
      <c r="O348" s="139"/>
      <c r="P348" s="139"/>
      <c r="Q348" s="139"/>
      <c r="R348" s="139"/>
      <c r="S348" s="139"/>
      <c r="T348" s="139"/>
      <c r="U348" s="139"/>
      <c r="V348" s="139"/>
    </row>
    <row r="349" spans="1:22">
      <c r="A349" s="139"/>
      <c r="B349" s="139"/>
      <c r="C349" s="139"/>
      <c r="D349" s="139"/>
      <c r="E349" s="139"/>
      <c r="F349" s="139"/>
      <c r="G349" s="139"/>
      <c r="H349" s="139"/>
      <c r="I349" s="139"/>
      <c r="J349" s="139"/>
      <c r="K349" s="139"/>
      <c r="L349" s="139"/>
      <c r="M349" s="139"/>
      <c r="N349" s="139"/>
      <c r="O349" s="139"/>
      <c r="P349" s="139"/>
      <c r="Q349" s="139"/>
      <c r="R349" s="139"/>
      <c r="S349" s="139"/>
      <c r="T349" s="139"/>
      <c r="U349" s="139"/>
      <c r="V349" s="139"/>
    </row>
    <row r="350" spans="1:22">
      <c r="A350" s="139"/>
      <c r="B350" s="139"/>
      <c r="C350" s="139"/>
      <c r="D350" s="139"/>
      <c r="E350" s="139"/>
      <c r="F350" s="139"/>
      <c r="G350" s="139"/>
      <c r="H350" s="139"/>
      <c r="I350" s="139"/>
      <c r="J350" s="139"/>
      <c r="K350" s="139"/>
      <c r="L350" s="139"/>
      <c r="M350" s="139"/>
      <c r="N350" s="139"/>
      <c r="O350" s="139"/>
      <c r="P350" s="139"/>
      <c r="Q350" s="139"/>
      <c r="R350" s="139"/>
      <c r="S350" s="139"/>
      <c r="T350" s="139"/>
      <c r="U350" s="139"/>
      <c r="V350" s="139"/>
    </row>
    <row r="351" spans="1:22">
      <c r="A351" s="139"/>
      <c r="B351" s="139"/>
      <c r="C351" s="139"/>
      <c r="D351" s="139"/>
      <c r="E351" s="139"/>
      <c r="F351" s="139"/>
      <c r="G351" s="139"/>
      <c r="H351" s="139"/>
      <c r="I351" s="139"/>
      <c r="J351" s="139"/>
      <c r="K351" s="139"/>
      <c r="L351" s="139"/>
      <c r="M351" s="139"/>
      <c r="N351" s="139"/>
      <c r="O351" s="139"/>
      <c r="P351" s="139"/>
      <c r="Q351" s="139"/>
      <c r="R351" s="139"/>
      <c r="S351" s="139"/>
      <c r="T351" s="139"/>
      <c r="U351" s="139"/>
      <c r="V351" s="139"/>
    </row>
    <row r="352" spans="1:22">
      <c r="A352" s="139"/>
      <c r="B352" s="139"/>
      <c r="C352" s="139"/>
      <c r="D352" s="139"/>
      <c r="E352" s="139"/>
      <c r="F352" s="139"/>
      <c r="G352" s="139"/>
      <c r="H352" s="139"/>
      <c r="I352" s="139"/>
      <c r="J352" s="139"/>
      <c r="K352" s="139"/>
      <c r="L352" s="139"/>
      <c r="M352" s="139"/>
      <c r="N352" s="139"/>
      <c r="O352" s="139"/>
      <c r="P352" s="139"/>
      <c r="Q352" s="139"/>
      <c r="R352" s="139"/>
      <c r="S352" s="139"/>
      <c r="T352" s="139"/>
      <c r="U352" s="139"/>
      <c r="V352" s="139"/>
    </row>
    <row r="353" spans="1:22">
      <c r="A353" s="139"/>
      <c r="B353" s="139"/>
      <c r="C353" s="139"/>
      <c r="D353" s="139"/>
      <c r="E353" s="139"/>
      <c r="F353" s="139"/>
      <c r="G353" s="139"/>
      <c r="H353" s="139"/>
      <c r="I353" s="139"/>
      <c r="J353" s="139"/>
      <c r="K353" s="139"/>
      <c r="L353" s="139"/>
      <c r="M353" s="139"/>
      <c r="N353" s="139"/>
      <c r="O353" s="139"/>
      <c r="P353" s="139"/>
      <c r="Q353" s="139"/>
      <c r="R353" s="139"/>
      <c r="S353" s="139"/>
      <c r="T353" s="139"/>
      <c r="U353" s="139"/>
      <c r="V353" s="139"/>
    </row>
    <row r="354" spans="1:22">
      <c r="A354" s="139"/>
      <c r="B354" s="139"/>
      <c r="C354" s="139"/>
      <c r="D354" s="139"/>
      <c r="E354" s="139"/>
      <c r="F354" s="139"/>
      <c r="G354" s="139"/>
      <c r="H354" s="139"/>
      <c r="I354" s="139"/>
      <c r="J354" s="139"/>
      <c r="K354" s="139"/>
      <c r="L354" s="139"/>
      <c r="M354" s="139"/>
      <c r="N354" s="139"/>
      <c r="O354" s="139"/>
      <c r="P354" s="139"/>
      <c r="Q354" s="139"/>
      <c r="R354" s="139"/>
      <c r="S354" s="139"/>
      <c r="T354" s="139"/>
      <c r="U354" s="139"/>
      <c r="V354" s="139"/>
    </row>
    <row r="355" spans="1:22">
      <c r="A355" s="139"/>
      <c r="B355" s="139"/>
      <c r="C355" s="139"/>
      <c r="D355" s="139"/>
      <c r="E355" s="139"/>
      <c r="F355" s="139"/>
      <c r="G355" s="139"/>
      <c r="H355" s="139"/>
      <c r="I355" s="139"/>
      <c r="J355" s="139"/>
      <c r="K355" s="139"/>
      <c r="L355" s="139"/>
      <c r="M355" s="139"/>
      <c r="N355" s="139"/>
      <c r="O355" s="139"/>
      <c r="P355" s="139"/>
      <c r="Q355" s="139"/>
      <c r="R355" s="139"/>
      <c r="S355" s="139"/>
      <c r="T355" s="139"/>
      <c r="U355" s="139"/>
      <c r="V355" s="139"/>
    </row>
    <row r="356" spans="1:22">
      <c r="A356" s="139"/>
      <c r="B356" s="139"/>
      <c r="C356" s="139"/>
      <c r="D356" s="139"/>
      <c r="E356" s="139"/>
      <c r="F356" s="139"/>
      <c r="G356" s="139"/>
      <c r="H356" s="139"/>
      <c r="I356" s="139"/>
      <c r="J356" s="139"/>
      <c r="K356" s="139"/>
      <c r="L356" s="139"/>
      <c r="M356" s="139"/>
      <c r="N356" s="139"/>
      <c r="O356" s="139"/>
      <c r="P356" s="139"/>
      <c r="Q356" s="139"/>
      <c r="R356" s="139"/>
      <c r="S356" s="139"/>
      <c r="T356" s="139"/>
      <c r="U356" s="139"/>
      <c r="V356" s="139"/>
    </row>
    <row r="357" spans="1:22">
      <c r="A357" s="139"/>
      <c r="B357" s="139"/>
      <c r="C357" s="139"/>
      <c r="D357" s="139"/>
      <c r="E357" s="139"/>
      <c r="F357" s="139"/>
      <c r="G357" s="139"/>
      <c r="H357" s="139"/>
      <c r="I357" s="139"/>
      <c r="J357" s="139"/>
      <c r="K357" s="139"/>
      <c r="L357" s="139"/>
      <c r="M357" s="139"/>
      <c r="N357" s="139"/>
      <c r="O357" s="139"/>
      <c r="P357" s="139"/>
      <c r="Q357" s="139"/>
      <c r="R357" s="139"/>
      <c r="S357" s="139"/>
      <c r="T357" s="139"/>
      <c r="U357" s="139"/>
      <c r="V357" s="139"/>
    </row>
    <row r="358" spans="1:22">
      <c r="A358" s="139"/>
      <c r="B358" s="139"/>
      <c r="C358" s="139"/>
      <c r="D358" s="139"/>
      <c r="E358" s="139"/>
      <c r="F358" s="139"/>
      <c r="G358" s="139"/>
      <c r="H358" s="139"/>
      <c r="I358" s="139"/>
      <c r="J358" s="139"/>
      <c r="K358" s="139"/>
      <c r="L358" s="139"/>
      <c r="M358" s="139"/>
      <c r="N358" s="139"/>
      <c r="O358" s="139"/>
      <c r="P358" s="139"/>
      <c r="Q358" s="139"/>
      <c r="R358" s="139"/>
      <c r="S358" s="139"/>
      <c r="T358" s="139"/>
      <c r="U358" s="139"/>
      <c r="V358" s="139"/>
    </row>
    <row r="359" spans="1:22">
      <c r="A359" s="139"/>
      <c r="B359" s="139"/>
      <c r="C359" s="139"/>
      <c r="D359" s="139"/>
      <c r="E359" s="139"/>
      <c r="F359" s="139"/>
      <c r="G359" s="139"/>
      <c r="H359" s="139"/>
      <c r="I359" s="139"/>
      <c r="J359" s="139"/>
      <c r="K359" s="139"/>
      <c r="L359" s="139"/>
      <c r="M359" s="139"/>
      <c r="N359" s="139"/>
      <c r="O359" s="139"/>
      <c r="P359" s="139"/>
      <c r="Q359" s="139"/>
      <c r="R359" s="139"/>
      <c r="S359" s="139"/>
      <c r="T359" s="139"/>
      <c r="U359" s="139"/>
      <c r="V359" s="139"/>
    </row>
    <row r="360" spans="1:22">
      <c r="A360" s="139"/>
      <c r="B360" s="139"/>
      <c r="C360" s="139"/>
      <c r="D360" s="139"/>
      <c r="E360" s="139"/>
      <c r="F360" s="139"/>
      <c r="G360" s="139"/>
      <c r="H360" s="139"/>
      <c r="I360" s="139"/>
      <c r="J360" s="139"/>
      <c r="K360" s="139"/>
      <c r="L360" s="139"/>
      <c r="M360" s="139"/>
      <c r="N360" s="139"/>
      <c r="O360" s="139"/>
      <c r="P360" s="139"/>
      <c r="Q360" s="139"/>
      <c r="R360" s="139"/>
      <c r="S360" s="139"/>
      <c r="T360" s="139"/>
      <c r="U360" s="139"/>
      <c r="V360" s="139"/>
    </row>
    <row r="361" spans="1:22">
      <c r="A361" s="139"/>
      <c r="B361" s="139"/>
      <c r="C361" s="139"/>
      <c r="D361" s="139"/>
      <c r="E361" s="139"/>
      <c r="F361" s="139"/>
      <c r="G361" s="139"/>
      <c r="H361" s="139"/>
      <c r="I361" s="139"/>
      <c r="J361" s="139"/>
      <c r="K361" s="139"/>
      <c r="L361" s="139"/>
      <c r="M361" s="139"/>
      <c r="N361" s="139"/>
      <c r="O361" s="139"/>
      <c r="P361" s="139"/>
      <c r="Q361" s="139"/>
      <c r="R361" s="139"/>
      <c r="S361" s="139"/>
      <c r="T361" s="139"/>
      <c r="U361" s="139"/>
      <c r="V361" s="139"/>
    </row>
    <row r="362" spans="1:22">
      <c r="A362" s="139"/>
      <c r="B362" s="139"/>
      <c r="C362" s="139"/>
      <c r="D362" s="139"/>
      <c r="E362" s="139"/>
      <c r="F362" s="139"/>
      <c r="G362" s="139"/>
      <c r="H362" s="139"/>
      <c r="I362" s="139"/>
      <c r="J362" s="139"/>
      <c r="K362" s="139"/>
      <c r="L362" s="139"/>
      <c r="M362" s="139"/>
      <c r="N362" s="139"/>
      <c r="O362" s="139"/>
      <c r="P362" s="139"/>
      <c r="Q362" s="139"/>
      <c r="R362" s="139"/>
      <c r="S362" s="139"/>
      <c r="T362" s="139"/>
      <c r="U362" s="139"/>
      <c r="V362" s="139"/>
    </row>
    <row r="363" spans="1:22">
      <c r="A363" s="139"/>
      <c r="B363" s="139"/>
      <c r="C363" s="139"/>
      <c r="D363" s="139"/>
      <c r="E363" s="139"/>
      <c r="F363" s="139"/>
      <c r="G363" s="139"/>
      <c r="H363" s="139"/>
      <c r="I363" s="139"/>
      <c r="J363" s="139"/>
      <c r="K363" s="139"/>
      <c r="L363" s="139"/>
      <c r="M363" s="139"/>
      <c r="N363" s="139"/>
      <c r="O363" s="139"/>
      <c r="P363" s="139"/>
      <c r="Q363" s="139"/>
      <c r="R363" s="139"/>
      <c r="S363" s="139"/>
      <c r="T363" s="139"/>
      <c r="U363" s="139"/>
      <c r="V363" s="139"/>
    </row>
    <row r="364" spans="1:22">
      <c r="A364" s="139"/>
      <c r="B364" s="139"/>
      <c r="C364" s="139"/>
      <c r="D364" s="139"/>
      <c r="E364" s="139"/>
      <c r="F364" s="139"/>
      <c r="G364" s="139"/>
      <c r="H364" s="139"/>
      <c r="I364" s="139"/>
      <c r="J364" s="139"/>
      <c r="K364" s="139"/>
      <c r="L364" s="139"/>
      <c r="M364" s="139"/>
      <c r="N364" s="139"/>
      <c r="O364" s="139"/>
      <c r="P364" s="139"/>
      <c r="Q364" s="139"/>
      <c r="R364" s="139"/>
      <c r="S364" s="139"/>
      <c r="T364" s="139"/>
      <c r="U364" s="139"/>
      <c r="V364" s="139"/>
    </row>
    <row r="365" spans="1:22">
      <c r="A365" s="139"/>
      <c r="B365" s="139"/>
      <c r="C365" s="139"/>
      <c r="D365" s="139"/>
      <c r="E365" s="139"/>
      <c r="F365" s="139"/>
      <c r="G365" s="139"/>
      <c r="H365" s="139"/>
      <c r="I365" s="139"/>
      <c r="J365" s="139"/>
      <c r="K365" s="139"/>
      <c r="L365" s="139"/>
      <c r="M365" s="139"/>
      <c r="N365" s="139"/>
      <c r="O365" s="139"/>
      <c r="P365" s="139"/>
      <c r="Q365" s="139"/>
      <c r="R365" s="139"/>
      <c r="S365" s="139"/>
      <c r="T365" s="139"/>
      <c r="U365" s="139"/>
      <c r="V365" s="139"/>
    </row>
    <row r="366" spans="1:22">
      <c r="A366" s="139"/>
      <c r="B366" s="139"/>
      <c r="C366" s="139"/>
      <c r="D366" s="139"/>
      <c r="E366" s="139"/>
      <c r="F366" s="139"/>
      <c r="G366" s="139"/>
      <c r="H366" s="139"/>
      <c r="I366" s="139"/>
      <c r="J366" s="139"/>
      <c r="K366" s="139"/>
      <c r="L366" s="139"/>
      <c r="M366" s="139"/>
      <c r="N366" s="139"/>
      <c r="O366" s="139"/>
      <c r="P366" s="139"/>
      <c r="Q366" s="139"/>
      <c r="R366" s="139"/>
      <c r="S366" s="139"/>
      <c r="T366" s="139"/>
      <c r="U366" s="139"/>
      <c r="V366" s="139"/>
    </row>
    <row r="367" spans="1:22">
      <c r="A367" s="139"/>
      <c r="B367" s="139"/>
      <c r="C367" s="139"/>
      <c r="D367" s="139"/>
      <c r="E367" s="139"/>
      <c r="F367" s="139"/>
      <c r="G367" s="139"/>
      <c r="H367" s="139"/>
      <c r="I367" s="139"/>
      <c r="J367" s="139"/>
      <c r="K367" s="139"/>
      <c r="L367" s="139"/>
      <c r="M367" s="139"/>
      <c r="N367" s="139"/>
      <c r="O367" s="139"/>
      <c r="P367" s="139"/>
      <c r="Q367" s="139"/>
      <c r="R367" s="139"/>
      <c r="S367" s="139"/>
      <c r="T367" s="139"/>
      <c r="U367" s="139"/>
      <c r="V367" s="139"/>
    </row>
    <row r="368" spans="1:22">
      <c r="A368" s="139"/>
      <c r="B368" s="139"/>
      <c r="C368" s="139"/>
      <c r="D368" s="139"/>
      <c r="E368" s="139"/>
      <c r="F368" s="139"/>
      <c r="G368" s="139"/>
      <c r="H368" s="139"/>
      <c r="I368" s="139"/>
      <c r="J368" s="139"/>
      <c r="K368" s="139"/>
      <c r="L368" s="139"/>
      <c r="M368" s="139"/>
      <c r="N368" s="139"/>
      <c r="O368" s="139"/>
      <c r="P368" s="139"/>
      <c r="Q368" s="139"/>
      <c r="R368" s="139"/>
      <c r="S368" s="139"/>
      <c r="T368" s="139"/>
      <c r="U368" s="139"/>
      <c r="V368" s="139"/>
    </row>
    <row r="369" spans="1:22">
      <c r="A369" s="139"/>
      <c r="B369" s="139"/>
      <c r="C369" s="139"/>
      <c r="D369" s="139"/>
      <c r="E369" s="139"/>
      <c r="F369" s="139"/>
      <c r="G369" s="139"/>
      <c r="H369" s="139"/>
      <c r="I369" s="139"/>
      <c r="J369" s="139"/>
      <c r="K369" s="139"/>
      <c r="L369" s="139"/>
      <c r="M369" s="139"/>
      <c r="N369" s="139"/>
      <c r="O369" s="139"/>
      <c r="P369" s="139"/>
      <c r="Q369" s="139"/>
      <c r="R369" s="139"/>
      <c r="S369" s="139"/>
      <c r="T369" s="139"/>
      <c r="U369" s="139"/>
      <c r="V369" s="139"/>
    </row>
    <row r="370" spans="1:22">
      <c r="A370" s="139"/>
      <c r="B370" s="139"/>
      <c r="C370" s="139"/>
      <c r="D370" s="139"/>
      <c r="E370" s="139"/>
      <c r="F370" s="139"/>
      <c r="G370" s="139"/>
      <c r="H370" s="139"/>
      <c r="I370" s="139"/>
      <c r="J370" s="139"/>
      <c r="K370" s="139"/>
      <c r="L370" s="139"/>
      <c r="M370" s="139"/>
      <c r="N370" s="139"/>
      <c r="O370" s="139"/>
      <c r="P370" s="139"/>
      <c r="Q370" s="139"/>
      <c r="R370" s="139"/>
      <c r="S370" s="139"/>
      <c r="T370" s="139"/>
      <c r="U370" s="139"/>
      <c r="V370" s="139"/>
    </row>
    <row r="371" spans="1:22">
      <c r="A371" s="139"/>
      <c r="B371" s="139"/>
      <c r="C371" s="139"/>
      <c r="D371" s="139"/>
      <c r="E371" s="139"/>
      <c r="F371" s="139"/>
      <c r="G371" s="139"/>
      <c r="H371" s="139"/>
      <c r="I371" s="139"/>
      <c r="J371" s="139"/>
      <c r="K371" s="139"/>
      <c r="L371" s="139"/>
      <c r="M371" s="139"/>
      <c r="N371" s="139"/>
      <c r="O371" s="139"/>
      <c r="P371" s="139"/>
      <c r="Q371" s="139"/>
      <c r="R371" s="139"/>
      <c r="S371" s="139"/>
      <c r="T371" s="139"/>
      <c r="U371" s="139"/>
      <c r="V371" s="139"/>
    </row>
    <row r="372" spans="1:22">
      <c r="A372" s="139"/>
      <c r="B372" s="139"/>
      <c r="C372" s="139"/>
      <c r="D372" s="139"/>
      <c r="E372" s="139"/>
      <c r="F372" s="139"/>
      <c r="G372" s="139"/>
      <c r="H372" s="139"/>
      <c r="I372" s="139"/>
      <c r="J372" s="139"/>
      <c r="K372" s="139"/>
      <c r="L372" s="139"/>
      <c r="M372" s="139"/>
      <c r="N372" s="139"/>
      <c r="O372" s="139"/>
      <c r="P372" s="139"/>
      <c r="Q372" s="139"/>
      <c r="R372" s="139"/>
      <c r="S372" s="139"/>
      <c r="T372" s="139"/>
      <c r="U372" s="139"/>
      <c r="V372" s="139"/>
    </row>
    <row r="373" spans="1:22">
      <c r="A373" s="139"/>
      <c r="B373" s="139"/>
      <c r="C373" s="139"/>
      <c r="D373" s="139"/>
      <c r="E373" s="139"/>
      <c r="F373" s="139"/>
      <c r="G373" s="139"/>
      <c r="H373" s="139"/>
      <c r="I373" s="139"/>
      <c r="J373" s="139"/>
      <c r="K373" s="139"/>
      <c r="L373" s="139"/>
      <c r="M373" s="139"/>
      <c r="N373" s="139"/>
      <c r="O373" s="139"/>
      <c r="P373" s="139"/>
      <c r="Q373" s="139"/>
      <c r="R373" s="139"/>
      <c r="S373" s="139"/>
      <c r="T373" s="139"/>
      <c r="U373" s="139"/>
      <c r="V373" s="139"/>
    </row>
    <row r="374" spans="1:22">
      <c r="A374" s="139"/>
      <c r="B374" s="139"/>
      <c r="C374" s="139"/>
      <c r="D374" s="139"/>
      <c r="E374" s="139"/>
      <c r="F374" s="139"/>
      <c r="G374" s="139"/>
      <c r="H374" s="139"/>
      <c r="I374" s="139"/>
      <c r="J374" s="139"/>
      <c r="K374" s="139"/>
      <c r="L374" s="139"/>
      <c r="M374" s="139"/>
      <c r="N374" s="139"/>
      <c r="O374" s="139"/>
      <c r="P374" s="139"/>
      <c r="Q374" s="139"/>
      <c r="R374" s="139"/>
      <c r="S374" s="139"/>
      <c r="T374" s="139"/>
      <c r="U374" s="139"/>
      <c r="V374" s="139"/>
    </row>
    <row r="375" spans="1:22">
      <c r="A375" s="139"/>
      <c r="B375" s="139"/>
      <c r="C375" s="139"/>
      <c r="D375" s="139"/>
      <c r="E375" s="139"/>
      <c r="F375" s="139"/>
      <c r="G375" s="139"/>
      <c r="H375" s="139"/>
      <c r="I375" s="139"/>
      <c r="J375" s="139"/>
      <c r="K375" s="139"/>
      <c r="L375" s="139"/>
      <c r="M375" s="139"/>
      <c r="N375" s="139"/>
      <c r="O375" s="139"/>
      <c r="P375" s="139"/>
      <c r="Q375" s="139"/>
      <c r="R375" s="139"/>
      <c r="S375" s="139"/>
      <c r="T375" s="139"/>
      <c r="U375" s="139"/>
      <c r="V375" s="139"/>
    </row>
    <row r="376" spans="1:22">
      <c r="A376" s="139"/>
      <c r="B376" s="139"/>
      <c r="C376" s="139"/>
      <c r="D376" s="139"/>
      <c r="E376" s="139"/>
      <c r="F376" s="139"/>
      <c r="G376" s="139"/>
      <c r="H376" s="139"/>
      <c r="I376" s="139"/>
      <c r="J376" s="139"/>
      <c r="K376" s="139"/>
      <c r="L376" s="139"/>
      <c r="M376" s="139"/>
      <c r="N376" s="139"/>
      <c r="O376" s="139"/>
      <c r="P376" s="139"/>
      <c r="Q376" s="139"/>
      <c r="R376" s="139"/>
      <c r="S376" s="139"/>
      <c r="T376" s="139"/>
      <c r="U376" s="139"/>
      <c r="V376" s="139"/>
    </row>
    <row r="377" spans="1:22">
      <c r="A377" s="139"/>
      <c r="B377" s="139"/>
      <c r="C377" s="139"/>
      <c r="D377" s="139"/>
      <c r="E377" s="139"/>
      <c r="F377" s="139"/>
      <c r="G377" s="139"/>
      <c r="H377" s="139"/>
      <c r="I377" s="139"/>
      <c r="J377" s="139"/>
      <c r="K377" s="139"/>
      <c r="L377" s="139"/>
      <c r="M377" s="139"/>
      <c r="N377" s="139"/>
      <c r="O377" s="139"/>
      <c r="P377" s="139"/>
      <c r="Q377" s="139"/>
      <c r="R377" s="139"/>
      <c r="S377" s="139"/>
      <c r="T377" s="139"/>
      <c r="U377" s="139"/>
      <c r="V377" s="139"/>
    </row>
    <row r="378" spans="1:22">
      <c r="A378" s="139"/>
      <c r="B378" s="139"/>
      <c r="C378" s="139"/>
      <c r="D378" s="139"/>
      <c r="E378" s="139"/>
      <c r="F378" s="139"/>
      <c r="G378" s="139"/>
      <c r="H378" s="139"/>
      <c r="I378" s="139"/>
      <c r="J378" s="139"/>
      <c r="K378" s="139"/>
      <c r="L378" s="139"/>
      <c r="M378" s="139"/>
      <c r="N378" s="139"/>
      <c r="O378" s="139"/>
      <c r="P378" s="139"/>
      <c r="Q378" s="139"/>
      <c r="R378" s="139"/>
      <c r="S378" s="139"/>
      <c r="T378" s="139"/>
      <c r="U378" s="139"/>
      <c r="V378" s="139"/>
    </row>
    <row r="379" spans="1:22">
      <c r="A379" s="139"/>
      <c r="B379" s="139"/>
      <c r="C379" s="139"/>
      <c r="D379" s="139"/>
      <c r="E379" s="139"/>
      <c r="F379" s="139"/>
      <c r="G379" s="139"/>
      <c r="H379" s="139"/>
      <c r="I379" s="139"/>
      <c r="J379" s="139"/>
      <c r="K379" s="139"/>
      <c r="L379" s="139"/>
      <c r="M379" s="139"/>
      <c r="N379" s="139"/>
      <c r="O379" s="139"/>
      <c r="P379" s="139"/>
      <c r="Q379" s="139"/>
      <c r="R379" s="139"/>
      <c r="S379" s="139"/>
      <c r="T379" s="139"/>
      <c r="U379" s="139"/>
      <c r="V379" s="139"/>
    </row>
    <row r="380" spans="1:22">
      <c r="A380" s="139"/>
      <c r="B380" s="139"/>
      <c r="C380" s="139"/>
      <c r="D380" s="139"/>
      <c r="E380" s="139"/>
      <c r="F380" s="139"/>
      <c r="G380" s="139"/>
      <c r="H380" s="139"/>
      <c r="I380" s="139"/>
      <c r="J380" s="139"/>
      <c r="K380" s="139"/>
      <c r="L380" s="139"/>
      <c r="M380" s="139"/>
      <c r="N380" s="139"/>
      <c r="O380" s="139"/>
      <c r="P380" s="139"/>
      <c r="Q380" s="139"/>
      <c r="R380" s="139"/>
      <c r="S380" s="139"/>
      <c r="T380" s="139"/>
      <c r="U380" s="139"/>
      <c r="V380" s="139"/>
    </row>
    <row r="381" spans="1:22">
      <c r="A381" s="139"/>
      <c r="B381" s="139"/>
      <c r="C381" s="139"/>
      <c r="D381" s="139"/>
      <c r="E381" s="139"/>
      <c r="F381" s="139"/>
      <c r="G381" s="139"/>
      <c r="H381" s="139"/>
      <c r="I381" s="139"/>
      <c r="J381" s="139"/>
      <c r="K381" s="139"/>
      <c r="L381" s="139"/>
      <c r="M381" s="139"/>
      <c r="N381" s="139"/>
      <c r="O381" s="139"/>
      <c r="P381" s="139"/>
      <c r="Q381" s="139"/>
      <c r="R381" s="139"/>
      <c r="S381" s="139"/>
      <c r="T381" s="139"/>
      <c r="U381" s="139"/>
      <c r="V381" s="139"/>
    </row>
    <row r="382" spans="1:22">
      <c r="A382" s="139"/>
      <c r="B382" s="139"/>
      <c r="C382" s="139"/>
      <c r="D382" s="139"/>
      <c r="E382" s="139"/>
      <c r="F382" s="139"/>
      <c r="G382" s="139"/>
      <c r="H382" s="139"/>
      <c r="I382" s="139"/>
      <c r="J382" s="139"/>
      <c r="K382" s="139"/>
      <c r="L382" s="139"/>
      <c r="M382" s="139"/>
      <c r="N382" s="139"/>
      <c r="O382" s="139"/>
      <c r="P382" s="139"/>
      <c r="Q382" s="139"/>
      <c r="R382" s="139"/>
      <c r="S382" s="139"/>
      <c r="T382" s="139"/>
      <c r="U382" s="139"/>
      <c r="V382" s="139"/>
    </row>
    <row r="383" spans="1:22">
      <c r="A383" s="139"/>
      <c r="B383" s="139"/>
      <c r="C383" s="139"/>
      <c r="D383" s="139"/>
      <c r="E383" s="139"/>
      <c r="F383" s="139"/>
      <c r="G383" s="139"/>
      <c r="H383" s="139"/>
      <c r="I383" s="139"/>
      <c r="J383" s="139"/>
      <c r="K383" s="139"/>
      <c r="L383" s="139"/>
      <c r="M383" s="139"/>
      <c r="N383" s="139"/>
      <c r="O383" s="139"/>
      <c r="P383" s="139"/>
      <c r="Q383" s="139"/>
      <c r="R383" s="139"/>
      <c r="S383" s="139"/>
      <c r="T383" s="139"/>
      <c r="U383" s="139"/>
      <c r="V383" s="139"/>
    </row>
    <row r="384" spans="1:22">
      <c r="A384" s="139"/>
      <c r="B384" s="139"/>
      <c r="C384" s="139"/>
      <c r="D384" s="139"/>
      <c r="E384" s="139"/>
      <c r="F384" s="139"/>
      <c r="G384" s="139"/>
      <c r="H384" s="139"/>
      <c r="I384" s="139"/>
      <c r="J384" s="139"/>
      <c r="K384" s="139"/>
      <c r="L384" s="139"/>
      <c r="M384" s="139"/>
      <c r="N384" s="139"/>
      <c r="O384" s="139"/>
      <c r="P384" s="139"/>
      <c r="Q384" s="139"/>
      <c r="R384" s="139"/>
      <c r="S384" s="139"/>
      <c r="T384" s="139"/>
      <c r="U384" s="139"/>
      <c r="V384" s="139"/>
    </row>
    <row r="385" spans="1:22">
      <c r="A385" s="139"/>
      <c r="B385" s="139"/>
      <c r="C385" s="139"/>
      <c r="D385" s="139"/>
      <c r="E385" s="139"/>
      <c r="F385" s="139"/>
      <c r="G385" s="139"/>
      <c r="H385" s="139"/>
      <c r="I385" s="139"/>
      <c r="J385" s="139"/>
      <c r="K385" s="139"/>
      <c r="L385" s="139"/>
      <c r="M385" s="139"/>
      <c r="N385" s="139"/>
      <c r="O385" s="139"/>
      <c r="P385" s="139"/>
      <c r="Q385" s="139"/>
      <c r="R385" s="139"/>
      <c r="S385" s="139"/>
      <c r="T385" s="139"/>
      <c r="U385" s="139"/>
      <c r="V385" s="139"/>
    </row>
    <row r="386" spans="1:22">
      <c r="A386" s="139"/>
      <c r="B386" s="139"/>
      <c r="C386" s="139"/>
      <c r="D386" s="139"/>
      <c r="E386" s="139"/>
      <c r="F386" s="139"/>
      <c r="G386" s="139"/>
      <c r="H386" s="139"/>
      <c r="I386" s="139"/>
      <c r="J386" s="139"/>
      <c r="K386" s="139"/>
      <c r="L386" s="139"/>
      <c r="M386" s="139"/>
      <c r="N386" s="139"/>
      <c r="O386" s="139"/>
      <c r="P386" s="139"/>
      <c r="Q386" s="139"/>
      <c r="R386" s="139"/>
      <c r="S386" s="139"/>
      <c r="T386" s="139"/>
      <c r="U386" s="139"/>
      <c r="V386" s="139"/>
    </row>
    <row r="387" spans="1:22">
      <c r="A387" s="139"/>
      <c r="B387" s="139"/>
      <c r="C387" s="139"/>
      <c r="D387" s="139"/>
      <c r="E387" s="139"/>
      <c r="F387" s="139"/>
      <c r="G387" s="139"/>
      <c r="H387" s="139"/>
      <c r="I387" s="139"/>
      <c r="J387" s="139"/>
      <c r="K387" s="139"/>
      <c r="L387" s="139"/>
      <c r="M387" s="139"/>
      <c r="N387" s="139"/>
      <c r="O387" s="139"/>
      <c r="P387" s="139"/>
      <c r="Q387" s="139"/>
      <c r="R387" s="139"/>
      <c r="S387" s="139"/>
      <c r="T387" s="139"/>
      <c r="U387" s="139"/>
      <c r="V387" s="139"/>
    </row>
    <row r="388" spans="1:22">
      <c r="A388" s="139"/>
      <c r="B388" s="139"/>
      <c r="C388" s="139"/>
      <c r="D388" s="139"/>
      <c r="E388" s="139"/>
      <c r="F388" s="139"/>
      <c r="G388" s="139"/>
      <c r="H388" s="139"/>
      <c r="I388" s="139"/>
      <c r="J388" s="139"/>
      <c r="K388" s="139"/>
      <c r="L388" s="139"/>
      <c r="M388" s="139"/>
      <c r="N388" s="139"/>
      <c r="O388" s="139"/>
      <c r="P388" s="139"/>
      <c r="Q388" s="139"/>
      <c r="R388" s="139"/>
      <c r="S388" s="139"/>
      <c r="T388" s="139"/>
      <c r="U388" s="139"/>
      <c r="V388" s="139"/>
    </row>
    <row r="389" spans="1:22">
      <c r="A389" s="139"/>
      <c r="B389" s="139"/>
      <c r="C389" s="139"/>
      <c r="D389" s="139"/>
      <c r="E389" s="139"/>
      <c r="F389" s="139"/>
      <c r="G389" s="139"/>
      <c r="H389" s="139"/>
      <c r="I389" s="139"/>
      <c r="J389" s="139"/>
      <c r="K389" s="139"/>
      <c r="L389" s="139"/>
      <c r="M389" s="139"/>
      <c r="N389" s="139"/>
      <c r="O389" s="139"/>
      <c r="P389" s="139"/>
      <c r="Q389" s="139"/>
      <c r="R389" s="139"/>
      <c r="S389" s="139"/>
      <c r="T389" s="139"/>
      <c r="U389" s="139"/>
      <c r="V389" s="139"/>
    </row>
    <row r="390" spans="1:22">
      <c r="A390" s="139"/>
      <c r="B390" s="139"/>
      <c r="C390" s="139"/>
      <c r="D390" s="139"/>
      <c r="E390" s="139"/>
      <c r="F390" s="139"/>
      <c r="G390" s="139"/>
      <c r="H390" s="139"/>
      <c r="I390" s="139"/>
      <c r="J390" s="139"/>
      <c r="K390" s="139"/>
      <c r="L390" s="139"/>
      <c r="M390" s="139"/>
      <c r="N390" s="139"/>
      <c r="O390" s="139"/>
      <c r="P390" s="139"/>
      <c r="Q390" s="139"/>
      <c r="R390" s="139"/>
      <c r="S390" s="139"/>
      <c r="T390" s="139"/>
      <c r="U390" s="139"/>
      <c r="V390" s="139"/>
    </row>
    <row r="391" spans="1:22">
      <c r="A391" s="139"/>
      <c r="B391" s="139"/>
      <c r="C391" s="139"/>
      <c r="D391" s="139"/>
      <c r="E391" s="139"/>
      <c r="F391" s="139"/>
      <c r="G391" s="139"/>
      <c r="H391" s="139"/>
      <c r="I391" s="139"/>
      <c r="J391" s="139"/>
      <c r="K391" s="139"/>
      <c r="L391" s="139"/>
      <c r="M391" s="139"/>
      <c r="N391" s="139"/>
      <c r="O391" s="139"/>
      <c r="P391" s="139"/>
      <c r="Q391" s="139"/>
      <c r="R391" s="139"/>
      <c r="S391" s="139"/>
      <c r="T391" s="139"/>
      <c r="U391" s="139"/>
      <c r="V391" s="139"/>
    </row>
    <row r="392" spans="1:22">
      <c r="A392" s="139"/>
      <c r="B392" s="139"/>
      <c r="C392" s="139"/>
      <c r="D392" s="139"/>
      <c r="E392" s="139"/>
      <c r="F392" s="139"/>
      <c r="G392" s="139"/>
      <c r="H392" s="139"/>
      <c r="I392" s="139"/>
      <c r="J392" s="139"/>
      <c r="K392" s="139"/>
      <c r="L392" s="139"/>
      <c r="M392" s="139"/>
      <c r="N392" s="139"/>
      <c r="O392" s="139"/>
      <c r="P392" s="139"/>
      <c r="Q392" s="139"/>
      <c r="R392" s="139"/>
      <c r="S392" s="139"/>
      <c r="T392" s="139"/>
      <c r="U392" s="139"/>
      <c r="V392" s="139"/>
    </row>
    <row r="393" spans="1:22">
      <c r="A393" s="139"/>
      <c r="B393" s="139"/>
      <c r="C393" s="139"/>
      <c r="D393" s="139"/>
      <c r="E393" s="139"/>
      <c r="F393" s="139"/>
      <c r="G393" s="139"/>
      <c r="H393" s="139"/>
      <c r="I393" s="139"/>
      <c r="J393" s="139"/>
      <c r="K393" s="139"/>
      <c r="L393" s="139"/>
      <c r="M393" s="139"/>
      <c r="N393" s="139"/>
      <c r="O393" s="139"/>
      <c r="P393" s="139"/>
      <c r="Q393" s="139"/>
      <c r="R393" s="139"/>
      <c r="S393" s="139"/>
      <c r="T393" s="139"/>
      <c r="U393" s="139"/>
      <c r="V393" s="139"/>
    </row>
    <row r="394" spans="1:22">
      <c r="A394" s="139"/>
      <c r="B394" s="139"/>
      <c r="C394" s="139"/>
      <c r="D394" s="139"/>
      <c r="E394" s="139"/>
      <c r="F394" s="139"/>
      <c r="G394" s="139"/>
      <c r="H394" s="139"/>
      <c r="I394" s="139"/>
      <c r="J394" s="139"/>
      <c r="K394" s="139"/>
      <c r="L394" s="139"/>
      <c r="M394" s="139"/>
      <c r="N394" s="139"/>
      <c r="O394" s="139"/>
      <c r="P394" s="139"/>
      <c r="Q394" s="139"/>
      <c r="R394" s="139"/>
      <c r="S394" s="139"/>
      <c r="T394" s="139"/>
      <c r="U394" s="139"/>
      <c r="V394" s="139"/>
    </row>
    <row r="395" spans="1:22">
      <c r="A395" s="139"/>
      <c r="B395" s="139"/>
      <c r="C395" s="139"/>
      <c r="D395" s="139"/>
      <c r="E395" s="139"/>
      <c r="F395" s="139"/>
      <c r="G395" s="139"/>
      <c r="H395" s="139"/>
      <c r="I395" s="139"/>
      <c r="J395" s="139"/>
      <c r="K395" s="139"/>
      <c r="L395" s="139"/>
      <c r="M395" s="139"/>
      <c r="N395" s="139"/>
      <c r="O395" s="139"/>
      <c r="P395" s="139"/>
      <c r="Q395" s="139"/>
      <c r="R395" s="139"/>
      <c r="S395" s="139"/>
      <c r="T395" s="139"/>
      <c r="U395" s="139"/>
      <c r="V395" s="139"/>
    </row>
    <row r="396" spans="1:22">
      <c r="A396" s="139"/>
      <c r="B396" s="139"/>
      <c r="C396" s="139"/>
      <c r="D396" s="139"/>
      <c r="E396" s="139"/>
      <c r="F396" s="139"/>
      <c r="G396" s="139"/>
      <c r="H396" s="139"/>
      <c r="I396" s="139"/>
      <c r="J396" s="139"/>
      <c r="K396" s="139"/>
      <c r="L396" s="139"/>
      <c r="M396" s="139"/>
      <c r="N396" s="139"/>
      <c r="O396" s="139"/>
      <c r="P396" s="139"/>
      <c r="Q396" s="139"/>
      <c r="R396" s="139"/>
      <c r="S396" s="139"/>
      <c r="T396" s="139"/>
      <c r="U396" s="139"/>
      <c r="V396" s="139"/>
    </row>
    <row r="397" spans="1:22">
      <c r="A397" s="139"/>
      <c r="B397" s="139"/>
      <c r="C397" s="139"/>
      <c r="D397" s="139"/>
      <c r="E397" s="139"/>
      <c r="F397" s="139"/>
      <c r="G397" s="139"/>
      <c r="H397" s="139"/>
      <c r="I397" s="139"/>
      <c r="J397" s="139"/>
      <c r="K397" s="139"/>
      <c r="L397" s="139"/>
      <c r="M397" s="139"/>
      <c r="N397" s="139"/>
      <c r="O397" s="139"/>
      <c r="P397" s="139"/>
      <c r="Q397" s="139"/>
      <c r="R397" s="139"/>
      <c r="S397" s="139"/>
      <c r="T397" s="139"/>
      <c r="U397" s="139"/>
      <c r="V397" s="139"/>
    </row>
    <row r="398" spans="1:22">
      <c r="A398" s="139"/>
      <c r="B398" s="139"/>
      <c r="C398" s="139"/>
      <c r="D398" s="139"/>
      <c r="E398" s="139"/>
      <c r="F398" s="139"/>
      <c r="G398" s="139"/>
      <c r="H398" s="139"/>
      <c r="I398" s="139"/>
      <c r="J398" s="139"/>
      <c r="K398" s="139"/>
      <c r="L398" s="139"/>
      <c r="M398" s="139"/>
      <c r="N398" s="139"/>
      <c r="O398" s="139"/>
      <c r="P398" s="139"/>
      <c r="Q398" s="139"/>
      <c r="R398" s="139"/>
      <c r="S398" s="139"/>
      <c r="T398" s="139"/>
      <c r="U398" s="139"/>
      <c r="V398" s="139"/>
    </row>
    <row r="399" spans="1:22">
      <c r="A399" s="139"/>
      <c r="B399" s="139"/>
      <c r="C399" s="139"/>
      <c r="D399" s="139"/>
      <c r="E399" s="139"/>
      <c r="F399" s="139"/>
      <c r="G399" s="139"/>
      <c r="H399" s="139"/>
      <c r="I399" s="139"/>
      <c r="J399" s="139"/>
      <c r="K399" s="139"/>
      <c r="L399" s="139"/>
      <c r="M399" s="139"/>
      <c r="N399" s="139"/>
      <c r="O399" s="139"/>
      <c r="P399" s="139"/>
      <c r="Q399" s="139"/>
      <c r="R399" s="139"/>
      <c r="S399" s="139"/>
      <c r="T399" s="139"/>
      <c r="U399" s="139"/>
      <c r="V399" s="139"/>
    </row>
    <row r="400" spans="1:22">
      <c r="A400" s="139"/>
      <c r="B400" s="139"/>
      <c r="C400" s="139"/>
      <c r="D400" s="139"/>
      <c r="E400" s="139"/>
      <c r="F400" s="139"/>
      <c r="G400" s="139"/>
      <c r="H400" s="139"/>
      <c r="I400" s="139"/>
      <c r="J400" s="139"/>
      <c r="K400" s="139"/>
      <c r="L400" s="139"/>
      <c r="M400" s="139"/>
      <c r="N400" s="139"/>
      <c r="O400" s="139"/>
      <c r="P400" s="139"/>
      <c r="Q400" s="139"/>
      <c r="R400" s="139"/>
      <c r="S400" s="139"/>
      <c r="T400" s="139"/>
      <c r="U400" s="139"/>
      <c r="V400" s="139"/>
    </row>
    <row r="401" spans="1:22">
      <c r="A401" s="139"/>
      <c r="B401" s="139"/>
      <c r="C401" s="139"/>
      <c r="D401" s="139"/>
      <c r="E401" s="139"/>
      <c r="F401" s="139"/>
      <c r="G401" s="139"/>
      <c r="H401" s="139"/>
      <c r="I401" s="139"/>
      <c r="J401" s="139"/>
      <c r="K401" s="139"/>
      <c r="L401" s="139"/>
      <c r="M401" s="139"/>
      <c r="N401" s="139"/>
      <c r="O401" s="139"/>
      <c r="P401" s="139"/>
      <c r="Q401" s="139"/>
      <c r="R401" s="139"/>
      <c r="S401" s="139"/>
      <c r="T401" s="139"/>
      <c r="U401" s="139"/>
      <c r="V401" s="139"/>
    </row>
    <row r="402" spans="1:22">
      <c r="A402" s="139"/>
      <c r="B402" s="139"/>
      <c r="C402" s="139"/>
      <c r="D402" s="139"/>
      <c r="E402" s="139"/>
      <c r="F402" s="139"/>
      <c r="G402" s="139"/>
      <c r="H402" s="139"/>
      <c r="I402" s="139"/>
      <c r="J402" s="139"/>
      <c r="K402" s="139"/>
      <c r="L402" s="139"/>
      <c r="M402" s="139"/>
      <c r="N402" s="139"/>
      <c r="O402" s="139"/>
      <c r="P402" s="139"/>
      <c r="Q402" s="139"/>
      <c r="R402" s="139"/>
      <c r="S402" s="139"/>
      <c r="T402" s="139"/>
      <c r="U402" s="139"/>
      <c r="V402" s="139"/>
    </row>
    <row r="403" spans="1:22">
      <c r="A403" s="139"/>
      <c r="B403" s="139"/>
      <c r="C403" s="139"/>
      <c r="D403" s="139"/>
      <c r="E403" s="139"/>
      <c r="F403" s="139"/>
      <c r="G403" s="139"/>
      <c r="H403" s="139"/>
      <c r="I403" s="139"/>
      <c r="J403" s="139"/>
      <c r="K403" s="139"/>
      <c r="L403" s="139"/>
      <c r="M403" s="139"/>
      <c r="N403" s="139"/>
      <c r="O403" s="139"/>
      <c r="P403" s="139"/>
      <c r="Q403" s="139"/>
      <c r="R403" s="139"/>
      <c r="S403" s="139"/>
      <c r="T403" s="139"/>
      <c r="U403" s="139"/>
      <c r="V403" s="139"/>
    </row>
    <row r="404" spans="1:22">
      <c r="A404" s="139"/>
      <c r="B404" s="139"/>
      <c r="C404" s="139"/>
      <c r="D404" s="139"/>
      <c r="E404" s="139"/>
      <c r="F404" s="139"/>
      <c r="G404" s="139"/>
      <c r="H404" s="139"/>
      <c r="I404" s="139"/>
      <c r="J404" s="139"/>
      <c r="K404" s="139"/>
      <c r="L404" s="139"/>
      <c r="M404" s="139"/>
      <c r="N404" s="139"/>
      <c r="O404" s="139"/>
      <c r="P404" s="139"/>
      <c r="Q404" s="139"/>
      <c r="R404" s="139"/>
      <c r="S404" s="139"/>
      <c r="T404" s="139"/>
      <c r="U404" s="139"/>
      <c r="V404" s="139"/>
    </row>
    <row r="405" spans="1:22">
      <c r="A405" s="139"/>
      <c r="B405" s="139"/>
      <c r="C405" s="139"/>
      <c r="D405" s="139"/>
      <c r="E405" s="139"/>
      <c r="F405" s="139"/>
      <c r="G405" s="139"/>
      <c r="H405" s="139"/>
      <c r="I405" s="139"/>
      <c r="J405" s="139"/>
      <c r="K405" s="139"/>
      <c r="L405" s="139"/>
      <c r="M405" s="139"/>
      <c r="N405" s="139"/>
      <c r="O405" s="139"/>
      <c r="P405" s="139"/>
      <c r="Q405" s="139"/>
      <c r="R405" s="139"/>
      <c r="S405" s="139"/>
      <c r="T405" s="139"/>
      <c r="U405" s="139"/>
      <c r="V405" s="139"/>
    </row>
    <row r="406" spans="1:22">
      <c r="A406" s="139"/>
      <c r="B406" s="139"/>
      <c r="C406" s="139"/>
      <c r="D406" s="139"/>
      <c r="E406" s="139"/>
      <c r="F406" s="139"/>
      <c r="G406" s="139"/>
      <c r="H406" s="139"/>
      <c r="I406" s="139"/>
      <c r="J406" s="139"/>
      <c r="K406" s="139"/>
      <c r="L406" s="139"/>
      <c r="M406" s="139"/>
      <c r="N406" s="139"/>
      <c r="O406" s="139"/>
      <c r="P406" s="139"/>
      <c r="Q406" s="139"/>
      <c r="R406" s="139"/>
      <c r="S406" s="139"/>
      <c r="T406" s="139"/>
      <c r="U406" s="139"/>
      <c r="V406" s="139"/>
    </row>
    <row r="407" spans="1:22">
      <c r="A407" s="139"/>
      <c r="B407" s="139"/>
      <c r="C407" s="139"/>
      <c r="D407" s="139"/>
      <c r="E407" s="139"/>
      <c r="F407" s="139"/>
      <c r="G407" s="139"/>
      <c r="H407" s="139"/>
      <c r="I407" s="139"/>
      <c r="J407" s="139"/>
      <c r="K407" s="139"/>
      <c r="L407" s="139"/>
      <c r="M407" s="139"/>
      <c r="N407" s="139"/>
      <c r="O407" s="139"/>
      <c r="P407" s="139"/>
      <c r="Q407" s="139"/>
      <c r="R407" s="139"/>
      <c r="S407" s="139"/>
      <c r="T407" s="139"/>
      <c r="U407" s="139"/>
      <c r="V407" s="139"/>
    </row>
    <row r="408" spans="1:22">
      <c r="A408" s="139"/>
      <c r="B408" s="139"/>
      <c r="C408" s="139"/>
      <c r="D408" s="139"/>
      <c r="E408" s="139"/>
      <c r="F408" s="139"/>
      <c r="G408" s="139"/>
      <c r="H408" s="139"/>
      <c r="I408" s="139"/>
      <c r="J408" s="139"/>
      <c r="K408" s="139"/>
      <c r="L408" s="139"/>
      <c r="M408" s="139"/>
      <c r="N408" s="139"/>
      <c r="O408" s="139"/>
      <c r="P408" s="139"/>
      <c r="Q408" s="139"/>
      <c r="R408" s="139"/>
      <c r="S408" s="139"/>
      <c r="T408" s="139"/>
      <c r="U408" s="139"/>
      <c r="V408" s="139"/>
    </row>
    <row r="409" spans="1:22">
      <c r="A409" s="139"/>
      <c r="B409" s="139"/>
      <c r="C409" s="139"/>
      <c r="D409" s="139"/>
      <c r="E409" s="139"/>
      <c r="F409" s="139"/>
      <c r="G409" s="139"/>
      <c r="H409" s="139"/>
      <c r="I409" s="139"/>
      <c r="J409" s="139"/>
      <c r="K409" s="139"/>
      <c r="L409" s="139"/>
      <c r="M409" s="139"/>
      <c r="N409" s="139"/>
      <c r="O409" s="139"/>
      <c r="P409" s="139"/>
      <c r="Q409" s="139"/>
      <c r="R409" s="139"/>
      <c r="S409" s="139"/>
      <c r="T409" s="139"/>
      <c r="U409" s="139"/>
      <c r="V409" s="139"/>
    </row>
    <row r="410" spans="1:22">
      <c r="A410" s="139"/>
      <c r="B410" s="139"/>
      <c r="C410" s="139"/>
      <c r="D410" s="139"/>
      <c r="E410" s="139"/>
      <c r="F410" s="139"/>
      <c r="G410" s="139"/>
      <c r="H410" s="139"/>
      <c r="I410" s="139"/>
      <c r="J410" s="139"/>
      <c r="K410" s="139"/>
      <c r="L410" s="139"/>
      <c r="M410" s="139"/>
      <c r="N410" s="139"/>
      <c r="O410" s="139"/>
      <c r="P410" s="139"/>
      <c r="Q410" s="139"/>
      <c r="R410" s="139"/>
      <c r="S410" s="139"/>
      <c r="T410" s="139"/>
      <c r="U410" s="139"/>
      <c r="V410" s="139"/>
    </row>
    <row r="411" spans="1:22">
      <c r="A411" s="139"/>
      <c r="B411" s="139"/>
      <c r="C411" s="139"/>
      <c r="D411" s="139"/>
      <c r="E411" s="139"/>
      <c r="F411" s="139"/>
      <c r="G411" s="139"/>
      <c r="H411" s="139"/>
      <c r="I411" s="139"/>
      <c r="J411" s="139"/>
      <c r="K411" s="139"/>
      <c r="L411" s="139"/>
      <c r="M411" s="139"/>
      <c r="N411" s="139"/>
      <c r="O411" s="139"/>
      <c r="P411" s="139"/>
      <c r="Q411" s="139"/>
      <c r="R411" s="139"/>
      <c r="S411" s="139"/>
      <c r="T411" s="139"/>
      <c r="U411" s="139"/>
      <c r="V411" s="139"/>
    </row>
    <row r="412" spans="1:22">
      <c r="A412" s="139"/>
      <c r="B412" s="139"/>
      <c r="C412" s="139"/>
      <c r="D412" s="139"/>
      <c r="E412" s="139"/>
      <c r="F412" s="139"/>
      <c r="G412" s="139"/>
      <c r="H412" s="139"/>
      <c r="I412" s="139"/>
      <c r="J412" s="139"/>
      <c r="K412" s="139"/>
      <c r="L412" s="139"/>
      <c r="M412" s="139"/>
      <c r="N412" s="139"/>
      <c r="O412" s="139"/>
      <c r="P412" s="139"/>
      <c r="Q412" s="139"/>
      <c r="R412" s="139"/>
      <c r="S412" s="139"/>
      <c r="T412" s="139"/>
      <c r="U412" s="139"/>
      <c r="V412" s="139"/>
    </row>
    <row r="413" spans="1:22">
      <c r="A413" s="139"/>
      <c r="B413" s="139"/>
      <c r="C413" s="139"/>
      <c r="D413" s="139"/>
      <c r="E413" s="139"/>
      <c r="F413" s="139"/>
      <c r="G413" s="139"/>
      <c r="H413" s="139"/>
      <c r="I413" s="139"/>
      <c r="J413" s="139"/>
      <c r="K413" s="139"/>
      <c r="L413" s="139"/>
      <c r="M413" s="139"/>
      <c r="N413" s="139"/>
      <c r="O413" s="139"/>
      <c r="P413" s="139"/>
      <c r="Q413" s="139"/>
      <c r="R413" s="139"/>
      <c r="S413" s="139"/>
      <c r="T413" s="139"/>
      <c r="U413" s="139"/>
      <c r="V413" s="139"/>
    </row>
    <row r="414" spans="1:22">
      <c r="A414" s="139"/>
      <c r="B414" s="139"/>
      <c r="C414" s="139"/>
      <c r="D414" s="139"/>
      <c r="E414" s="139"/>
      <c r="F414" s="139"/>
      <c r="G414" s="139"/>
      <c r="H414" s="139"/>
      <c r="I414" s="139"/>
      <c r="J414" s="139"/>
      <c r="K414" s="139"/>
      <c r="L414" s="139"/>
      <c r="M414" s="139"/>
      <c r="N414" s="139"/>
      <c r="O414" s="139"/>
      <c r="P414" s="139"/>
      <c r="Q414" s="139"/>
      <c r="R414" s="139"/>
      <c r="S414" s="139"/>
      <c r="T414" s="139"/>
      <c r="U414" s="139"/>
      <c r="V414" s="139"/>
    </row>
    <row r="415" spans="1:22">
      <c r="A415" s="139"/>
      <c r="B415" s="139"/>
      <c r="C415" s="139"/>
      <c r="D415" s="139"/>
      <c r="E415" s="139"/>
      <c r="F415" s="139"/>
      <c r="G415" s="139"/>
      <c r="H415" s="139"/>
      <c r="I415" s="139"/>
      <c r="J415" s="139"/>
      <c r="K415" s="139"/>
      <c r="L415" s="139"/>
      <c r="M415" s="139"/>
      <c r="N415" s="139"/>
      <c r="O415" s="139"/>
      <c r="P415" s="139"/>
      <c r="Q415" s="139"/>
      <c r="R415" s="139"/>
      <c r="S415" s="139"/>
      <c r="T415" s="139"/>
      <c r="U415" s="139"/>
      <c r="V415" s="139"/>
    </row>
    <row r="416" spans="1:22">
      <c r="A416" s="139"/>
      <c r="B416" s="139"/>
      <c r="C416" s="139"/>
      <c r="D416" s="139"/>
      <c r="E416" s="139"/>
      <c r="F416" s="139"/>
      <c r="G416" s="139"/>
      <c r="H416" s="139"/>
      <c r="I416" s="139"/>
      <c r="J416" s="139"/>
      <c r="K416" s="139"/>
      <c r="L416" s="139"/>
      <c r="M416" s="139"/>
      <c r="N416" s="139"/>
      <c r="O416" s="139"/>
      <c r="P416" s="139"/>
      <c r="Q416" s="139"/>
      <c r="R416" s="139"/>
      <c r="S416" s="139"/>
      <c r="T416" s="139"/>
      <c r="U416" s="139"/>
      <c r="V416" s="139"/>
    </row>
    <row r="417" spans="1:22">
      <c r="A417" s="139"/>
      <c r="B417" s="139"/>
      <c r="C417" s="139"/>
      <c r="D417" s="139"/>
      <c r="E417" s="139"/>
      <c r="F417" s="139"/>
      <c r="G417" s="139"/>
      <c r="H417" s="139"/>
      <c r="I417" s="139"/>
      <c r="J417" s="139"/>
      <c r="K417" s="139"/>
      <c r="L417" s="139"/>
      <c r="M417" s="139"/>
      <c r="N417" s="139"/>
      <c r="O417" s="139"/>
      <c r="P417" s="139"/>
      <c r="Q417" s="139"/>
      <c r="R417" s="139"/>
      <c r="S417" s="139"/>
      <c r="T417" s="139"/>
      <c r="U417" s="139"/>
      <c r="V417" s="139"/>
    </row>
    <row r="418" spans="1:22">
      <c r="A418" s="139"/>
      <c r="B418" s="139"/>
      <c r="C418" s="139"/>
      <c r="D418" s="139"/>
      <c r="E418" s="139"/>
      <c r="F418" s="139"/>
      <c r="G418" s="139"/>
      <c r="H418" s="139"/>
      <c r="I418" s="139"/>
      <c r="J418" s="139"/>
      <c r="K418" s="139"/>
      <c r="L418" s="139"/>
      <c r="M418" s="139"/>
      <c r="N418" s="139"/>
      <c r="O418" s="139"/>
      <c r="P418" s="139"/>
      <c r="Q418" s="139"/>
      <c r="R418" s="139"/>
      <c r="S418" s="139"/>
      <c r="T418" s="139"/>
      <c r="U418" s="139"/>
      <c r="V418" s="139"/>
    </row>
    <row r="419" spans="1:22">
      <c r="A419" s="139"/>
      <c r="B419" s="139"/>
      <c r="C419" s="139"/>
      <c r="D419" s="139"/>
      <c r="E419" s="139"/>
      <c r="F419" s="139"/>
      <c r="G419" s="139"/>
      <c r="H419" s="139"/>
      <c r="I419" s="139"/>
      <c r="J419" s="139"/>
      <c r="K419" s="139"/>
      <c r="L419" s="139"/>
      <c r="M419" s="139"/>
      <c r="N419" s="139"/>
      <c r="O419" s="139"/>
      <c r="P419" s="139"/>
      <c r="Q419" s="139"/>
      <c r="R419" s="139"/>
      <c r="S419" s="139"/>
      <c r="T419" s="139"/>
      <c r="U419" s="139"/>
      <c r="V419" s="139"/>
    </row>
    <row r="420" spans="1:22">
      <c r="A420" s="139"/>
      <c r="B420" s="139"/>
      <c r="C420" s="139"/>
      <c r="D420" s="139"/>
      <c r="E420" s="139"/>
      <c r="F420" s="139"/>
      <c r="G420" s="139"/>
      <c r="H420" s="139"/>
      <c r="I420" s="139"/>
      <c r="J420" s="139"/>
      <c r="K420" s="139"/>
      <c r="L420" s="139"/>
      <c r="M420" s="139"/>
      <c r="N420" s="139"/>
      <c r="O420" s="139"/>
      <c r="P420" s="139"/>
      <c r="Q420" s="139"/>
      <c r="R420" s="139"/>
      <c r="S420" s="139"/>
      <c r="T420" s="139"/>
      <c r="U420" s="139"/>
      <c r="V420" s="139"/>
    </row>
    <row r="421" spans="1:22">
      <c r="A421" s="139"/>
      <c r="B421" s="139"/>
      <c r="C421" s="139"/>
      <c r="D421" s="139"/>
      <c r="E421" s="139"/>
      <c r="F421" s="139"/>
      <c r="G421" s="139"/>
      <c r="H421" s="139"/>
      <c r="I421" s="139"/>
      <c r="J421" s="139"/>
      <c r="K421" s="139"/>
      <c r="L421" s="139"/>
      <c r="M421" s="139"/>
      <c r="N421" s="139"/>
      <c r="O421" s="139"/>
      <c r="P421" s="139"/>
      <c r="Q421" s="139"/>
      <c r="R421" s="139"/>
      <c r="S421" s="139"/>
      <c r="T421" s="139"/>
      <c r="U421" s="139"/>
      <c r="V421" s="139"/>
    </row>
    <row r="422" spans="1:22">
      <c r="A422" s="139"/>
      <c r="B422" s="139"/>
      <c r="C422" s="139"/>
      <c r="D422" s="139"/>
      <c r="E422" s="139"/>
      <c r="F422" s="139"/>
      <c r="G422" s="139"/>
      <c r="H422" s="139"/>
      <c r="I422" s="139"/>
      <c r="J422" s="139"/>
      <c r="K422" s="139"/>
      <c r="L422" s="139"/>
      <c r="M422" s="139"/>
      <c r="N422" s="139"/>
      <c r="O422" s="139"/>
      <c r="P422" s="139"/>
      <c r="Q422" s="139"/>
      <c r="R422" s="139"/>
      <c r="S422" s="139"/>
      <c r="T422" s="139"/>
      <c r="U422" s="139"/>
      <c r="V422" s="139"/>
    </row>
    <row r="423" spans="1:22">
      <c r="A423" s="139"/>
      <c r="B423" s="139"/>
      <c r="C423" s="139"/>
      <c r="D423" s="139"/>
      <c r="E423" s="139"/>
      <c r="F423" s="139"/>
      <c r="G423" s="139"/>
      <c r="H423" s="139"/>
      <c r="I423" s="139"/>
      <c r="J423" s="139"/>
      <c r="K423" s="139"/>
      <c r="L423" s="139"/>
      <c r="M423" s="139"/>
      <c r="N423" s="139"/>
      <c r="O423" s="139"/>
      <c r="P423" s="139"/>
      <c r="Q423" s="139"/>
      <c r="R423" s="139"/>
      <c r="S423" s="139"/>
      <c r="T423" s="139"/>
      <c r="U423" s="139"/>
      <c r="V423" s="139"/>
    </row>
    <row r="424" spans="1:22">
      <c r="A424" s="139"/>
      <c r="B424" s="139"/>
      <c r="C424" s="139"/>
      <c r="D424" s="139"/>
      <c r="E424" s="139"/>
      <c r="F424" s="139"/>
      <c r="G424" s="139"/>
      <c r="H424" s="139"/>
      <c r="I424" s="139"/>
      <c r="J424" s="139"/>
      <c r="K424" s="139"/>
      <c r="L424" s="139"/>
      <c r="M424" s="139"/>
      <c r="N424" s="139"/>
      <c r="O424" s="139"/>
      <c r="P424" s="139"/>
      <c r="Q424" s="139"/>
      <c r="R424" s="139"/>
      <c r="S424" s="139"/>
      <c r="T424" s="139"/>
      <c r="U424" s="139"/>
      <c r="V424" s="139"/>
    </row>
    <row r="425" spans="1:22">
      <c r="A425" s="139"/>
      <c r="B425" s="139"/>
      <c r="C425" s="139"/>
      <c r="D425" s="139"/>
      <c r="E425" s="139"/>
      <c r="F425" s="139"/>
      <c r="G425" s="139"/>
      <c r="H425" s="139"/>
      <c r="I425" s="139"/>
      <c r="J425" s="139"/>
      <c r="K425" s="139"/>
      <c r="L425" s="139"/>
      <c r="M425" s="139"/>
      <c r="N425" s="139"/>
      <c r="O425" s="139"/>
      <c r="P425" s="139"/>
      <c r="Q425" s="139"/>
      <c r="R425" s="139"/>
      <c r="S425" s="139"/>
      <c r="T425" s="139"/>
      <c r="U425" s="139"/>
      <c r="V425" s="139"/>
    </row>
    <row r="426" spans="1:22">
      <c r="A426" s="139"/>
      <c r="B426" s="139"/>
      <c r="C426" s="139"/>
      <c r="D426" s="139"/>
      <c r="E426" s="139"/>
      <c r="F426" s="139"/>
      <c r="G426" s="139"/>
      <c r="H426" s="139"/>
      <c r="I426" s="139"/>
      <c r="J426" s="139"/>
      <c r="K426" s="139"/>
      <c r="L426" s="139"/>
      <c r="M426" s="139"/>
      <c r="N426" s="139"/>
      <c r="O426" s="139"/>
      <c r="P426" s="139"/>
      <c r="Q426" s="139"/>
      <c r="R426" s="139"/>
      <c r="S426" s="139"/>
      <c r="T426" s="139"/>
      <c r="U426" s="139"/>
      <c r="V426" s="139"/>
    </row>
    <row r="427" spans="1:22">
      <c r="A427" s="139"/>
      <c r="B427" s="139"/>
      <c r="C427" s="139"/>
      <c r="D427" s="139"/>
      <c r="E427" s="139"/>
      <c r="F427" s="139"/>
      <c r="G427" s="139"/>
      <c r="H427" s="139"/>
      <c r="I427" s="139"/>
      <c r="J427" s="139"/>
      <c r="K427" s="139"/>
      <c r="L427" s="139"/>
      <c r="M427" s="139"/>
      <c r="N427" s="139"/>
      <c r="O427" s="139"/>
      <c r="P427" s="139"/>
      <c r="Q427" s="139"/>
      <c r="R427" s="139"/>
      <c r="S427" s="139"/>
      <c r="T427" s="139"/>
      <c r="U427" s="139"/>
      <c r="V427" s="139"/>
    </row>
    <row r="428" spans="1:22">
      <c r="A428" s="139"/>
      <c r="B428" s="139"/>
      <c r="C428" s="139"/>
      <c r="D428" s="139"/>
      <c r="E428" s="139"/>
      <c r="F428" s="139"/>
      <c r="G428" s="139"/>
      <c r="H428" s="139"/>
      <c r="I428" s="139"/>
      <c r="J428" s="139"/>
      <c r="K428" s="139"/>
      <c r="L428" s="139"/>
      <c r="M428" s="139"/>
      <c r="N428" s="139"/>
      <c r="O428" s="139"/>
      <c r="P428" s="139"/>
      <c r="Q428" s="139"/>
      <c r="R428" s="139"/>
      <c r="S428" s="139"/>
      <c r="T428" s="139"/>
      <c r="U428" s="139"/>
      <c r="V428" s="139"/>
    </row>
    <row r="429" spans="1:22">
      <c r="A429" s="139"/>
      <c r="B429" s="139"/>
      <c r="C429" s="139"/>
      <c r="D429" s="139"/>
      <c r="E429" s="139"/>
      <c r="F429" s="139"/>
      <c r="G429" s="139"/>
      <c r="H429" s="139"/>
      <c r="I429" s="139"/>
      <c r="J429" s="139"/>
      <c r="K429" s="139"/>
      <c r="L429" s="139"/>
      <c r="M429" s="139"/>
      <c r="N429" s="139"/>
      <c r="O429" s="139"/>
      <c r="P429" s="139"/>
      <c r="Q429" s="139"/>
      <c r="R429" s="139"/>
      <c r="S429" s="139"/>
      <c r="T429" s="139"/>
      <c r="U429" s="139"/>
      <c r="V429" s="139"/>
    </row>
    <row r="430" spans="1:22">
      <c r="A430" s="139"/>
      <c r="B430" s="139"/>
      <c r="C430" s="139"/>
      <c r="D430" s="139"/>
      <c r="E430" s="139"/>
      <c r="F430" s="139"/>
      <c r="G430" s="139"/>
      <c r="H430" s="139"/>
      <c r="I430" s="139"/>
      <c r="J430" s="139"/>
      <c r="K430" s="139"/>
      <c r="L430" s="139"/>
      <c r="M430" s="139"/>
      <c r="N430" s="139"/>
      <c r="O430" s="139"/>
      <c r="P430" s="139"/>
      <c r="Q430" s="139"/>
      <c r="R430" s="139"/>
      <c r="S430" s="139"/>
      <c r="T430" s="139"/>
      <c r="U430" s="139"/>
      <c r="V430" s="139"/>
    </row>
    <row r="431" spans="1:22">
      <c r="A431" s="139"/>
      <c r="B431" s="139"/>
      <c r="C431" s="139"/>
      <c r="D431" s="139"/>
      <c r="E431" s="139"/>
      <c r="F431" s="139"/>
      <c r="G431" s="139"/>
      <c r="H431" s="139"/>
      <c r="I431" s="139"/>
      <c r="J431" s="139"/>
      <c r="K431" s="139"/>
      <c r="L431" s="139"/>
      <c r="M431" s="139"/>
      <c r="N431" s="139"/>
      <c r="O431" s="139"/>
      <c r="P431" s="139"/>
      <c r="Q431" s="139"/>
      <c r="R431" s="139"/>
      <c r="S431" s="139"/>
      <c r="T431" s="139"/>
      <c r="U431" s="139"/>
      <c r="V431" s="139"/>
    </row>
    <row r="432" spans="1:22">
      <c r="A432" s="139"/>
      <c r="B432" s="139"/>
      <c r="C432" s="139"/>
      <c r="D432" s="139"/>
      <c r="E432" s="139"/>
      <c r="F432" s="139"/>
      <c r="G432" s="139"/>
      <c r="H432" s="139"/>
      <c r="I432" s="139"/>
      <c r="J432" s="139"/>
      <c r="K432" s="139"/>
      <c r="L432" s="139"/>
      <c r="M432" s="139"/>
      <c r="N432" s="139"/>
      <c r="O432" s="139"/>
      <c r="P432" s="139"/>
      <c r="Q432" s="139"/>
      <c r="R432" s="139"/>
      <c r="S432" s="139"/>
      <c r="T432" s="139"/>
      <c r="U432" s="139"/>
      <c r="V432" s="139"/>
    </row>
    <row r="433" spans="1:22">
      <c r="A433" s="139"/>
      <c r="B433" s="139"/>
      <c r="C433" s="139"/>
      <c r="D433" s="139"/>
      <c r="E433" s="139"/>
      <c r="F433" s="139"/>
      <c r="G433" s="139"/>
      <c r="H433" s="139"/>
      <c r="I433" s="139"/>
      <c r="J433" s="139"/>
      <c r="K433" s="139"/>
      <c r="L433" s="139"/>
      <c r="M433" s="139"/>
      <c r="N433" s="139"/>
      <c r="O433" s="139"/>
      <c r="P433" s="139"/>
      <c r="Q433" s="139"/>
      <c r="R433" s="139"/>
      <c r="S433" s="139"/>
      <c r="T433" s="139"/>
      <c r="U433" s="139"/>
      <c r="V433" s="139"/>
    </row>
    <row r="434" spans="1:22">
      <c r="A434" s="139"/>
      <c r="B434" s="139"/>
      <c r="C434" s="139"/>
      <c r="D434" s="139"/>
      <c r="E434" s="139"/>
      <c r="F434" s="139"/>
      <c r="G434" s="139"/>
      <c r="H434" s="139"/>
      <c r="I434" s="139"/>
      <c r="J434" s="139"/>
      <c r="K434" s="139"/>
      <c r="L434" s="139"/>
      <c r="M434" s="139"/>
      <c r="N434" s="139"/>
      <c r="O434" s="139"/>
      <c r="P434" s="139"/>
      <c r="Q434" s="139"/>
      <c r="R434" s="139"/>
      <c r="S434" s="139"/>
      <c r="T434" s="139"/>
      <c r="U434" s="139"/>
      <c r="V434" s="139"/>
    </row>
    <row r="435" spans="1:22">
      <c r="A435" s="139"/>
      <c r="B435" s="139"/>
      <c r="C435" s="139"/>
      <c r="D435" s="139"/>
      <c r="E435" s="139"/>
      <c r="F435" s="139"/>
      <c r="G435" s="139"/>
      <c r="H435" s="139"/>
      <c r="I435" s="139"/>
      <c r="J435" s="139"/>
      <c r="K435" s="139"/>
      <c r="L435" s="139"/>
      <c r="M435" s="139"/>
      <c r="N435" s="139"/>
      <c r="O435" s="139"/>
      <c r="P435" s="139"/>
      <c r="Q435" s="139"/>
      <c r="R435" s="139"/>
      <c r="S435" s="139"/>
      <c r="T435" s="139"/>
      <c r="U435" s="139"/>
      <c r="V435" s="139"/>
    </row>
    <row r="436" spans="1:22">
      <c r="A436" s="139"/>
      <c r="B436" s="139"/>
      <c r="C436" s="139"/>
      <c r="D436" s="139"/>
      <c r="E436" s="139"/>
      <c r="F436" s="139"/>
      <c r="G436" s="139"/>
      <c r="H436" s="139"/>
      <c r="I436" s="139"/>
      <c r="J436" s="139"/>
      <c r="K436" s="139"/>
      <c r="L436" s="139"/>
      <c r="M436" s="139"/>
      <c r="N436" s="139"/>
      <c r="O436" s="139"/>
      <c r="P436" s="139"/>
      <c r="Q436" s="139"/>
      <c r="R436" s="139"/>
      <c r="S436" s="139"/>
      <c r="T436" s="139"/>
      <c r="U436" s="139"/>
      <c r="V436" s="139"/>
    </row>
    <row r="437" spans="1:22">
      <c r="A437" s="139"/>
      <c r="B437" s="139"/>
      <c r="C437" s="139"/>
      <c r="D437" s="139"/>
      <c r="E437" s="139"/>
      <c r="F437" s="139"/>
      <c r="G437" s="139"/>
      <c r="H437" s="139"/>
      <c r="I437" s="139"/>
      <c r="J437" s="139"/>
      <c r="K437" s="139"/>
      <c r="L437" s="139"/>
      <c r="M437" s="139"/>
      <c r="N437" s="139"/>
      <c r="O437" s="139"/>
      <c r="P437" s="139"/>
      <c r="Q437" s="139"/>
      <c r="R437" s="139"/>
      <c r="S437" s="139"/>
      <c r="T437" s="139"/>
      <c r="U437" s="139"/>
      <c r="V437" s="139"/>
    </row>
    <row r="438" spans="1:22">
      <c r="A438" s="139"/>
      <c r="B438" s="139"/>
      <c r="C438" s="139"/>
      <c r="D438" s="139"/>
      <c r="E438" s="139"/>
      <c r="F438" s="139"/>
      <c r="G438" s="139"/>
      <c r="H438" s="139"/>
      <c r="I438" s="139"/>
      <c r="J438" s="139"/>
      <c r="K438" s="139"/>
      <c r="L438" s="139"/>
      <c r="M438" s="139"/>
      <c r="N438" s="139"/>
      <c r="O438" s="139"/>
      <c r="P438" s="139"/>
      <c r="Q438" s="139"/>
      <c r="R438" s="139"/>
      <c r="S438" s="139"/>
      <c r="T438" s="139"/>
      <c r="U438" s="139"/>
      <c r="V438" s="139"/>
    </row>
    <row r="439" spans="1:22">
      <c r="A439" s="139"/>
      <c r="B439" s="139"/>
      <c r="C439" s="139"/>
      <c r="D439" s="139"/>
      <c r="E439" s="139"/>
      <c r="F439" s="139"/>
      <c r="G439" s="139"/>
      <c r="H439" s="139"/>
      <c r="I439" s="139"/>
      <c r="J439" s="139"/>
      <c r="K439" s="139"/>
      <c r="L439" s="139"/>
      <c r="M439" s="139"/>
      <c r="N439" s="139"/>
      <c r="O439" s="139"/>
      <c r="P439" s="139"/>
      <c r="Q439" s="139"/>
      <c r="R439" s="139"/>
      <c r="S439" s="139"/>
      <c r="T439" s="139"/>
      <c r="U439" s="139"/>
      <c r="V439" s="139"/>
    </row>
    <row r="440" spans="1:22">
      <c r="A440" s="139"/>
      <c r="B440" s="139"/>
      <c r="C440" s="139"/>
      <c r="D440" s="139"/>
      <c r="E440" s="139"/>
      <c r="F440" s="139"/>
      <c r="G440" s="139"/>
      <c r="H440" s="139"/>
      <c r="I440" s="139"/>
      <c r="J440" s="139"/>
      <c r="K440" s="139"/>
      <c r="L440" s="139"/>
      <c r="M440" s="139"/>
      <c r="N440" s="139"/>
      <c r="O440" s="139"/>
      <c r="P440" s="139"/>
      <c r="Q440" s="139"/>
      <c r="R440" s="139"/>
      <c r="S440" s="139"/>
      <c r="T440" s="139"/>
      <c r="U440" s="139"/>
      <c r="V440" s="139"/>
    </row>
    <row r="441" spans="1:22">
      <c r="A441" s="139"/>
      <c r="B441" s="139"/>
      <c r="C441" s="139"/>
      <c r="D441" s="139"/>
      <c r="E441" s="139"/>
      <c r="F441" s="139"/>
      <c r="G441" s="139"/>
      <c r="H441" s="139"/>
      <c r="I441" s="139"/>
      <c r="J441" s="139"/>
      <c r="K441" s="139"/>
      <c r="L441" s="139"/>
      <c r="M441" s="139"/>
      <c r="N441" s="139"/>
      <c r="O441" s="139"/>
      <c r="P441" s="139"/>
      <c r="Q441" s="139"/>
      <c r="R441" s="139"/>
      <c r="S441" s="139"/>
      <c r="T441" s="139"/>
      <c r="U441" s="139"/>
      <c r="V441" s="139"/>
    </row>
    <row r="442" spans="1:22">
      <c r="A442" s="139"/>
      <c r="B442" s="139"/>
      <c r="C442" s="139"/>
      <c r="D442" s="139"/>
      <c r="E442" s="139"/>
      <c r="F442" s="139"/>
      <c r="G442" s="139"/>
      <c r="H442" s="139"/>
      <c r="I442" s="139"/>
      <c r="J442" s="139"/>
      <c r="K442" s="139"/>
      <c r="L442" s="139"/>
      <c r="M442" s="139"/>
      <c r="N442" s="139"/>
      <c r="O442" s="139"/>
      <c r="P442" s="139"/>
      <c r="Q442" s="139"/>
      <c r="R442" s="139"/>
      <c r="S442" s="139"/>
      <c r="T442" s="139"/>
      <c r="U442" s="139"/>
      <c r="V442" s="139"/>
    </row>
    <row r="443" spans="1:22">
      <c r="A443" s="139"/>
      <c r="B443" s="139"/>
      <c r="C443" s="139"/>
      <c r="D443" s="139"/>
      <c r="E443" s="139"/>
      <c r="F443" s="139"/>
      <c r="G443" s="139"/>
      <c r="H443" s="139"/>
      <c r="I443" s="139"/>
      <c r="J443" s="139"/>
      <c r="K443" s="139"/>
      <c r="L443" s="139"/>
      <c r="M443" s="139"/>
      <c r="N443" s="139"/>
      <c r="O443" s="139"/>
      <c r="P443" s="139"/>
      <c r="Q443" s="139"/>
      <c r="R443" s="139"/>
      <c r="S443" s="139"/>
      <c r="T443" s="139"/>
      <c r="U443" s="139"/>
      <c r="V443" s="139"/>
    </row>
    <row r="444" spans="1:22">
      <c r="A444" s="139"/>
      <c r="B444" s="139"/>
      <c r="C444" s="139"/>
      <c r="D444" s="139"/>
      <c r="E444" s="139"/>
      <c r="F444" s="139"/>
      <c r="G444" s="139"/>
      <c r="H444" s="139"/>
      <c r="I444" s="139"/>
      <c r="J444" s="139"/>
      <c r="K444" s="139"/>
      <c r="L444" s="139"/>
      <c r="M444" s="139"/>
      <c r="N444" s="139"/>
      <c r="O444" s="139"/>
      <c r="P444" s="139"/>
      <c r="Q444" s="139"/>
      <c r="R444" s="139"/>
      <c r="S444" s="139"/>
      <c r="T444" s="139"/>
      <c r="U444" s="139"/>
      <c r="V444" s="139"/>
    </row>
    <row r="445" spans="1:22">
      <c r="A445" s="139"/>
      <c r="B445" s="139"/>
      <c r="C445" s="139"/>
      <c r="D445" s="139"/>
      <c r="E445" s="139"/>
      <c r="F445" s="139"/>
      <c r="G445" s="139"/>
      <c r="H445" s="139"/>
      <c r="I445" s="139"/>
      <c r="J445" s="139"/>
      <c r="K445" s="139"/>
      <c r="L445" s="139"/>
      <c r="M445" s="139"/>
      <c r="N445" s="139"/>
      <c r="O445" s="139"/>
      <c r="P445" s="139"/>
      <c r="Q445" s="139"/>
      <c r="R445" s="139"/>
      <c r="S445" s="139"/>
      <c r="T445" s="139"/>
      <c r="U445" s="139"/>
      <c r="V445" s="139"/>
    </row>
    <row r="446" spans="1:22">
      <c r="A446" s="139"/>
      <c r="B446" s="139"/>
      <c r="C446" s="139"/>
      <c r="D446" s="139"/>
      <c r="E446" s="139"/>
      <c r="F446" s="139"/>
      <c r="G446" s="139"/>
      <c r="H446" s="139"/>
      <c r="I446" s="139"/>
      <c r="J446" s="139"/>
      <c r="K446" s="139"/>
      <c r="L446" s="139"/>
      <c r="M446" s="139"/>
      <c r="N446" s="139"/>
      <c r="O446" s="139"/>
      <c r="P446" s="139"/>
      <c r="Q446" s="139"/>
      <c r="R446" s="139"/>
      <c r="S446" s="139"/>
      <c r="T446" s="139"/>
      <c r="U446" s="139"/>
      <c r="V446" s="139"/>
    </row>
    <row r="447" spans="1:22">
      <c r="A447" s="139"/>
      <c r="B447" s="139"/>
      <c r="C447" s="139"/>
      <c r="D447" s="139"/>
      <c r="E447" s="139"/>
      <c r="F447" s="139"/>
      <c r="G447" s="139"/>
      <c r="H447" s="139"/>
      <c r="I447" s="139"/>
      <c r="J447" s="139"/>
      <c r="K447" s="139"/>
      <c r="L447" s="139"/>
      <c r="M447" s="139"/>
      <c r="N447" s="139"/>
      <c r="O447" s="139"/>
      <c r="P447" s="139"/>
      <c r="Q447" s="139"/>
      <c r="R447" s="139"/>
      <c r="S447" s="139"/>
      <c r="T447" s="139"/>
      <c r="U447" s="139"/>
      <c r="V447" s="139"/>
    </row>
    <row r="448" spans="1:22">
      <c r="A448" s="139"/>
      <c r="B448" s="139"/>
      <c r="C448" s="139"/>
      <c r="D448" s="139"/>
      <c r="E448" s="139"/>
      <c r="F448" s="139"/>
      <c r="G448" s="139"/>
      <c r="H448" s="139"/>
      <c r="I448" s="139"/>
      <c r="J448" s="139"/>
      <c r="K448" s="139"/>
      <c r="L448" s="139"/>
      <c r="M448" s="139"/>
      <c r="N448" s="139"/>
      <c r="O448" s="139"/>
      <c r="P448" s="139"/>
      <c r="Q448" s="139"/>
      <c r="R448" s="139"/>
      <c r="S448" s="139"/>
      <c r="T448" s="139"/>
      <c r="U448" s="139"/>
      <c r="V448" s="139"/>
    </row>
    <row r="449" spans="1:22">
      <c r="A449" s="139"/>
      <c r="B449" s="139"/>
      <c r="C449" s="139"/>
      <c r="D449" s="139"/>
      <c r="E449" s="139"/>
      <c r="F449" s="139"/>
      <c r="G449" s="139"/>
      <c r="H449" s="139"/>
      <c r="I449" s="139"/>
      <c r="J449" s="139"/>
      <c r="K449" s="139"/>
      <c r="L449" s="139"/>
      <c r="M449" s="139"/>
      <c r="N449" s="139"/>
      <c r="O449" s="139"/>
      <c r="P449" s="139"/>
      <c r="Q449" s="139"/>
      <c r="R449" s="139"/>
      <c r="S449" s="139"/>
      <c r="T449" s="139"/>
      <c r="U449" s="139"/>
      <c r="V449" s="139"/>
    </row>
    <row r="450" spans="1:22">
      <c r="A450" s="139"/>
      <c r="B450" s="139"/>
      <c r="C450" s="139"/>
      <c r="D450" s="139"/>
      <c r="E450" s="139"/>
      <c r="F450" s="139"/>
      <c r="G450" s="139"/>
      <c r="H450" s="139"/>
      <c r="I450" s="139"/>
      <c r="J450" s="139"/>
      <c r="K450" s="139"/>
      <c r="L450" s="139"/>
      <c r="M450" s="139"/>
      <c r="N450" s="139"/>
      <c r="O450" s="139"/>
      <c r="P450" s="139"/>
      <c r="Q450" s="139"/>
      <c r="R450" s="139"/>
      <c r="S450" s="139"/>
      <c r="T450" s="139"/>
      <c r="U450" s="139"/>
      <c r="V450" s="139"/>
    </row>
    <row r="451" spans="1:22">
      <c r="A451" s="139"/>
      <c r="B451" s="139"/>
      <c r="C451" s="139"/>
      <c r="D451" s="139"/>
      <c r="E451" s="139"/>
      <c r="F451" s="139"/>
      <c r="G451" s="139"/>
      <c r="H451" s="139"/>
      <c r="I451" s="139"/>
      <c r="J451" s="139"/>
      <c r="K451" s="139"/>
      <c r="L451" s="139"/>
      <c r="M451" s="139"/>
      <c r="N451" s="139"/>
      <c r="O451" s="139"/>
      <c r="P451" s="139"/>
      <c r="Q451" s="139"/>
      <c r="R451" s="139"/>
      <c r="S451" s="139"/>
      <c r="T451" s="139"/>
      <c r="U451" s="139"/>
      <c r="V451" s="139"/>
    </row>
    <row r="452" spans="1:22">
      <c r="A452" s="139"/>
      <c r="B452" s="139"/>
      <c r="C452" s="139"/>
      <c r="D452" s="139"/>
      <c r="E452" s="139"/>
      <c r="F452" s="139"/>
      <c r="G452" s="139"/>
      <c r="H452" s="139"/>
      <c r="I452" s="139"/>
      <c r="J452" s="139"/>
      <c r="K452" s="139"/>
      <c r="L452" s="139"/>
      <c r="M452" s="139"/>
      <c r="N452" s="139"/>
      <c r="O452" s="139"/>
      <c r="P452" s="139"/>
      <c r="Q452" s="139"/>
      <c r="R452" s="139"/>
      <c r="S452" s="139"/>
      <c r="T452" s="139"/>
      <c r="U452" s="139"/>
      <c r="V452" s="139"/>
    </row>
    <row r="453" spans="1:22">
      <c r="A453" s="139"/>
      <c r="B453" s="139"/>
      <c r="C453" s="139"/>
      <c r="D453" s="139"/>
      <c r="E453" s="139"/>
      <c r="F453" s="139"/>
      <c r="G453" s="139"/>
      <c r="H453" s="139"/>
      <c r="I453" s="139"/>
      <c r="J453" s="139"/>
      <c r="K453" s="139"/>
      <c r="L453" s="139"/>
      <c r="M453" s="139"/>
      <c r="N453" s="139"/>
      <c r="O453" s="139"/>
      <c r="P453" s="139"/>
      <c r="Q453" s="139"/>
      <c r="R453" s="139"/>
      <c r="S453" s="139"/>
      <c r="T453" s="139"/>
      <c r="U453" s="139"/>
      <c r="V453" s="139"/>
    </row>
    <row r="454" spans="1:22">
      <c r="A454" s="139"/>
      <c r="B454" s="139"/>
      <c r="C454" s="139"/>
      <c r="D454" s="139"/>
      <c r="E454" s="139"/>
      <c r="F454" s="139"/>
      <c r="G454" s="139"/>
      <c r="H454" s="139"/>
      <c r="I454" s="139"/>
      <c r="J454" s="139"/>
      <c r="K454" s="139"/>
      <c r="L454" s="139"/>
      <c r="M454" s="139"/>
      <c r="N454" s="139"/>
      <c r="O454" s="139"/>
      <c r="P454" s="139"/>
      <c r="Q454" s="139"/>
      <c r="R454" s="139"/>
      <c r="S454" s="139"/>
      <c r="T454" s="139"/>
      <c r="U454" s="139"/>
      <c r="V454" s="139"/>
    </row>
    <row r="455" spans="1:22">
      <c r="A455" s="139"/>
      <c r="B455" s="139"/>
      <c r="C455" s="139"/>
      <c r="D455" s="139"/>
      <c r="E455" s="139"/>
      <c r="F455" s="139"/>
      <c r="G455" s="139"/>
      <c r="H455" s="139"/>
      <c r="I455" s="139"/>
      <c r="J455" s="139"/>
      <c r="K455" s="139"/>
      <c r="L455" s="139"/>
      <c r="M455" s="139"/>
      <c r="N455" s="139"/>
      <c r="O455" s="139"/>
      <c r="P455" s="139"/>
      <c r="Q455" s="139"/>
      <c r="R455" s="139"/>
      <c r="S455" s="139"/>
      <c r="T455" s="139"/>
      <c r="U455" s="139"/>
      <c r="V455" s="139"/>
    </row>
    <row r="456" spans="1:22">
      <c r="A456" s="139"/>
      <c r="B456" s="139"/>
      <c r="C456" s="139"/>
      <c r="D456" s="139"/>
      <c r="E456" s="139"/>
      <c r="F456" s="139"/>
      <c r="G456" s="139"/>
      <c r="H456" s="139"/>
      <c r="I456" s="139"/>
      <c r="J456" s="139"/>
      <c r="K456" s="139"/>
      <c r="L456" s="139"/>
      <c r="M456" s="139"/>
      <c r="N456" s="139"/>
      <c r="O456" s="139"/>
      <c r="P456" s="139"/>
      <c r="Q456" s="139"/>
      <c r="R456" s="139"/>
      <c r="S456" s="139"/>
      <c r="T456" s="139"/>
      <c r="U456" s="139"/>
      <c r="V456" s="139"/>
    </row>
    <row r="457" spans="1:22">
      <c r="A457" s="139"/>
      <c r="B457" s="139"/>
      <c r="C457" s="139"/>
      <c r="D457" s="139"/>
      <c r="E457" s="139"/>
      <c r="F457" s="139"/>
      <c r="G457" s="139"/>
      <c r="H457" s="139"/>
      <c r="I457" s="139"/>
      <c r="J457" s="139"/>
      <c r="K457" s="139"/>
      <c r="L457" s="139"/>
      <c r="M457" s="139"/>
      <c r="N457" s="139"/>
      <c r="O457" s="139"/>
      <c r="P457" s="139"/>
      <c r="Q457" s="139"/>
      <c r="R457" s="139"/>
      <c r="S457" s="139"/>
      <c r="T457" s="139"/>
      <c r="U457" s="139"/>
      <c r="V457" s="139"/>
    </row>
    <row r="458" spans="1:22">
      <c r="A458" s="139"/>
      <c r="B458" s="139"/>
      <c r="C458" s="139"/>
      <c r="D458" s="139"/>
      <c r="E458" s="139"/>
      <c r="F458" s="139"/>
      <c r="G458" s="139"/>
      <c r="H458" s="139"/>
      <c r="I458" s="139"/>
      <c r="J458" s="139"/>
      <c r="K458" s="139"/>
      <c r="L458" s="139"/>
      <c r="M458" s="139"/>
      <c r="N458" s="139"/>
      <c r="O458" s="139"/>
      <c r="P458" s="139"/>
      <c r="Q458" s="139"/>
      <c r="R458" s="139"/>
      <c r="S458" s="139"/>
      <c r="T458" s="139"/>
      <c r="U458" s="139"/>
      <c r="V458" s="139"/>
    </row>
    <row r="459" spans="1:22">
      <c r="A459" s="139"/>
      <c r="B459" s="139"/>
      <c r="C459" s="139"/>
      <c r="D459" s="139"/>
      <c r="E459" s="139"/>
      <c r="F459" s="139"/>
      <c r="G459" s="139"/>
      <c r="H459" s="139"/>
      <c r="I459" s="139"/>
      <c r="J459" s="139"/>
      <c r="K459" s="139"/>
      <c r="L459" s="139"/>
      <c r="M459" s="139"/>
      <c r="N459" s="139"/>
      <c r="O459" s="139"/>
      <c r="P459" s="139"/>
      <c r="Q459" s="139"/>
      <c r="R459" s="139"/>
      <c r="S459" s="139"/>
      <c r="T459" s="139"/>
      <c r="U459" s="139"/>
      <c r="V459" s="139"/>
    </row>
    <row r="460" spans="1:22">
      <c r="A460" s="139"/>
      <c r="B460" s="139"/>
      <c r="C460" s="139"/>
      <c r="D460" s="139"/>
      <c r="E460" s="139"/>
      <c r="F460" s="139"/>
      <c r="G460" s="139"/>
      <c r="H460" s="139"/>
      <c r="I460" s="139"/>
      <c r="J460" s="139"/>
      <c r="K460" s="139"/>
      <c r="L460" s="139"/>
      <c r="M460" s="139"/>
      <c r="N460" s="139"/>
      <c r="O460" s="139"/>
      <c r="P460" s="139"/>
      <c r="Q460" s="139"/>
      <c r="R460" s="139"/>
      <c r="S460" s="139"/>
      <c r="T460" s="139"/>
      <c r="U460" s="139"/>
      <c r="V460" s="139"/>
    </row>
    <row r="461" spans="1:22">
      <c r="A461" s="139"/>
      <c r="B461" s="139"/>
      <c r="C461" s="139"/>
      <c r="D461" s="139"/>
      <c r="E461" s="139"/>
      <c r="F461" s="139"/>
      <c r="G461" s="139"/>
      <c r="H461" s="139"/>
      <c r="I461" s="139"/>
      <c r="J461" s="139"/>
      <c r="K461" s="139"/>
      <c r="L461" s="139"/>
      <c r="M461" s="139"/>
      <c r="N461" s="139"/>
      <c r="O461" s="139"/>
      <c r="P461" s="139"/>
      <c r="Q461" s="139"/>
      <c r="R461" s="139"/>
      <c r="S461" s="139"/>
      <c r="T461" s="139"/>
      <c r="U461" s="139"/>
      <c r="V461" s="139"/>
    </row>
    <row r="462" spans="1:22">
      <c r="A462" s="139"/>
      <c r="B462" s="139"/>
      <c r="C462" s="139"/>
      <c r="D462" s="139"/>
      <c r="E462" s="139"/>
      <c r="F462" s="139"/>
      <c r="G462" s="139"/>
      <c r="H462" s="139"/>
      <c r="I462" s="139"/>
      <c r="J462" s="139"/>
      <c r="K462" s="139"/>
      <c r="L462" s="139"/>
      <c r="M462" s="139"/>
      <c r="N462" s="139"/>
      <c r="O462" s="139"/>
      <c r="P462" s="139"/>
      <c r="Q462" s="139"/>
      <c r="R462" s="139"/>
      <c r="S462" s="139"/>
      <c r="T462" s="139"/>
      <c r="U462" s="139"/>
      <c r="V462" s="139"/>
    </row>
    <row r="463" spans="1:22">
      <c r="A463" s="139"/>
      <c r="B463" s="139"/>
      <c r="C463" s="139"/>
      <c r="D463" s="139"/>
      <c r="E463" s="139"/>
      <c r="F463" s="139"/>
      <c r="G463" s="139"/>
      <c r="H463" s="139"/>
      <c r="I463" s="139"/>
      <c r="J463" s="139"/>
      <c r="K463" s="139"/>
      <c r="L463" s="139"/>
      <c r="M463" s="139"/>
      <c r="N463" s="139"/>
      <c r="O463" s="139"/>
      <c r="P463" s="139"/>
      <c r="Q463" s="139"/>
      <c r="R463" s="139"/>
      <c r="S463" s="139"/>
      <c r="T463" s="139"/>
      <c r="U463" s="139"/>
      <c r="V463" s="139"/>
    </row>
    <row r="464" spans="1:22">
      <c r="A464" s="139"/>
      <c r="B464" s="139"/>
      <c r="C464" s="139"/>
      <c r="D464" s="139"/>
      <c r="E464" s="139"/>
      <c r="F464" s="139"/>
      <c r="G464" s="139"/>
      <c r="H464" s="139"/>
      <c r="I464" s="139"/>
      <c r="J464" s="139"/>
      <c r="K464" s="139"/>
      <c r="L464" s="139"/>
      <c r="M464" s="139"/>
      <c r="N464" s="139"/>
      <c r="O464" s="139"/>
      <c r="P464" s="139"/>
      <c r="Q464" s="139"/>
      <c r="R464" s="139"/>
      <c r="S464" s="139"/>
      <c r="T464" s="139"/>
      <c r="U464" s="139"/>
      <c r="V464" s="139"/>
    </row>
    <row r="465" spans="1:22">
      <c r="A465" s="139"/>
      <c r="B465" s="139"/>
      <c r="C465" s="139"/>
      <c r="D465" s="139"/>
      <c r="E465" s="139"/>
      <c r="F465" s="139"/>
      <c r="G465" s="139"/>
      <c r="H465" s="139"/>
      <c r="I465" s="139"/>
      <c r="J465" s="139"/>
      <c r="K465" s="139"/>
      <c r="L465" s="139"/>
      <c r="M465" s="139"/>
      <c r="N465" s="139"/>
      <c r="O465" s="139"/>
      <c r="P465" s="139"/>
      <c r="Q465" s="139"/>
      <c r="R465" s="139"/>
      <c r="S465" s="139"/>
      <c r="T465" s="139"/>
      <c r="U465" s="139"/>
      <c r="V465" s="139"/>
    </row>
    <row r="466" spans="1:22">
      <c r="A466" s="139"/>
      <c r="B466" s="139"/>
      <c r="C466" s="139"/>
      <c r="D466" s="139"/>
      <c r="E466" s="139"/>
      <c r="F466" s="139"/>
      <c r="G466" s="139"/>
      <c r="H466" s="139"/>
      <c r="I466" s="139"/>
      <c r="J466" s="139"/>
      <c r="K466" s="139"/>
      <c r="L466" s="139"/>
      <c r="M466" s="139"/>
      <c r="N466" s="139"/>
      <c r="O466" s="139"/>
      <c r="P466" s="139"/>
      <c r="Q466" s="139"/>
      <c r="R466" s="139"/>
      <c r="S466" s="139"/>
      <c r="T466" s="139"/>
      <c r="U466" s="139"/>
      <c r="V466" s="139"/>
    </row>
    <row r="467" spans="1:22">
      <c r="A467" s="139"/>
      <c r="B467" s="139"/>
      <c r="C467" s="139"/>
      <c r="D467" s="139"/>
      <c r="E467" s="139"/>
      <c r="F467" s="139"/>
      <c r="G467" s="139"/>
      <c r="H467" s="139"/>
      <c r="I467" s="139"/>
      <c r="J467" s="139"/>
      <c r="K467" s="139"/>
      <c r="L467" s="139"/>
      <c r="M467" s="139"/>
      <c r="N467" s="139"/>
      <c r="O467" s="139"/>
      <c r="P467" s="139"/>
      <c r="Q467" s="139"/>
      <c r="R467" s="139"/>
      <c r="S467" s="139"/>
      <c r="T467" s="139"/>
      <c r="U467" s="139"/>
      <c r="V467" s="139"/>
    </row>
    <row r="468" spans="1:22">
      <c r="A468" s="139"/>
      <c r="B468" s="139"/>
      <c r="C468" s="139"/>
      <c r="D468" s="139"/>
      <c r="E468" s="139"/>
      <c r="F468" s="139"/>
      <c r="G468" s="139"/>
      <c r="H468" s="139"/>
      <c r="I468" s="139"/>
      <c r="J468" s="139"/>
      <c r="K468" s="139"/>
      <c r="L468" s="139"/>
      <c r="M468" s="139"/>
      <c r="N468" s="139"/>
      <c r="O468" s="139"/>
      <c r="P468" s="139"/>
      <c r="Q468" s="139"/>
      <c r="R468" s="139"/>
      <c r="S468" s="139"/>
      <c r="T468" s="139"/>
      <c r="U468" s="139"/>
      <c r="V468" s="139"/>
    </row>
    <row r="469" spans="1:22">
      <c r="A469" s="139"/>
      <c r="B469" s="139"/>
      <c r="C469" s="139"/>
      <c r="D469" s="139"/>
      <c r="E469" s="139"/>
      <c r="F469" s="139"/>
      <c r="G469" s="139"/>
      <c r="H469" s="139"/>
      <c r="I469" s="139"/>
      <c r="J469" s="139"/>
      <c r="K469" s="139"/>
      <c r="L469" s="139"/>
      <c r="M469" s="139"/>
      <c r="N469" s="139"/>
      <c r="O469" s="139"/>
      <c r="P469" s="139"/>
      <c r="Q469" s="139"/>
      <c r="R469" s="139"/>
      <c r="S469" s="139"/>
      <c r="T469" s="139"/>
      <c r="U469" s="139"/>
      <c r="V469" s="139"/>
    </row>
    <row r="470" spans="1:22">
      <c r="A470" s="139"/>
      <c r="B470" s="139"/>
      <c r="C470" s="139"/>
      <c r="D470" s="139"/>
      <c r="E470" s="139"/>
      <c r="F470" s="139"/>
      <c r="G470" s="139"/>
      <c r="H470" s="139"/>
      <c r="I470" s="139"/>
      <c r="J470" s="139"/>
      <c r="K470" s="139"/>
      <c r="L470" s="139"/>
      <c r="M470" s="139"/>
      <c r="N470" s="139"/>
      <c r="O470" s="139"/>
      <c r="P470" s="139"/>
      <c r="Q470" s="139"/>
      <c r="R470" s="139"/>
      <c r="S470" s="139"/>
      <c r="T470" s="139"/>
      <c r="U470" s="139"/>
      <c r="V470" s="139"/>
    </row>
    <row r="471" spans="1:22">
      <c r="A471" s="139"/>
      <c r="B471" s="139"/>
      <c r="C471" s="139"/>
      <c r="D471" s="139"/>
      <c r="E471" s="139"/>
      <c r="F471" s="139"/>
      <c r="G471" s="139"/>
      <c r="H471" s="139"/>
      <c r="I471" s="139"/>
      <c r="J471" s="139"/>
      <c r="K471" s="139"/>
      <c r="L471" s="139"/>
      <c r="M471" s="139"/>
      <c r="N471" s="139"/>
      <c r="O471" s="139"/>
      <c r="P471" s="139"/>
      <c r="Q471" s="139"/>
      <c r="R471" s="139"/>
      <c r="S471" s="139"/>
      <c r="T471" s="139"/>
      <c r="U471" s="139"/>
      <c r="V471" s="139"/>
    </row>
    <row r="472" spans="1:22">
      <c r="A472" s="139"/>
      <c r="B472" s="139"/>
      <c r="C472" s="139"/>
      <c r="D472" s="139"/>
      <c r="E472" s="139"/>
      <c r="F472" s="139"/>
      <c r="G472" s="139"/>
      <c r="H472" s="139"/>
      <c r="I472" s="139"/>
      <c r="J472" s="139"/>
      <c r="K472" s="139"/>
      <c r="L472" s="139"/>
      <c r="M472" s="139"/>
      <c r="N472" s="139"/>
      <c r="O472" s="139"/>
      <c r="P472" s="139"/>
      <c r="Q472" s="139"/>
      <c r="R472" s="139"/>
      <c r="S472" s="139"/>
      <c r="T472" s="139"/>
      <c r="U472" s="139"/>
      <c r="V472" s="139"/>
    </row>
    <row r="473" spans="1:22">
      <c r="A473" s="139"/>
      <c r="B473" s="139"/>
      <c r="C473" s="139"/>
      <c r="D473" s="139"/>
      <c r="E473" s="139"/>
      <c r="F473" s="139"/>
      <c r="G473" s="139"/>
      <c r="H473" s="139"/>
      <c r="I473" s="139"/>
      <c r="J473" s="139"/>
      <c r="K473" s="139"/>
      <c r="L473" s="139"/>
      <c r="M473" s="139"/>
      <c r="N473" s="139"/>
      <c r="O473" s="139"/>
      <c r="P473" s="139"/>
      <c r="Q473" s="139"/>
      <c r="R473" s="139"/>
      <c r="S473" s="139"/>
      <c r="T473" s="139"/>
      <c r="U473" s="139"/>
      <c r="V473" s="139"/>
    </row>
    <row r="474" spans="1:22">
      <c r="A474" s="139"/>
      <c r="B474" s="139"/>
      <c r="C474" s="139"/>
      <c r="D474" s="139"/>
      <c r="E474" s="139"/>
      <c r="F474" s="139"/>
      <c r="G474" s="139"/>
      <c r="H474" s="139"/>
      <c r="I474" s="139"/>
      <c r="J474" s="139"/>
      <c r="K474" s="139"/>
      <c r="L474" s="139"/>
      <c r="M474" s="139"/>
      <c r="N474" s="139"/>
      <c r="O474" s="139"/>
      <c r="P474" s="139"/>
      <c r="Q474" s="139"/>
      <c r="R474" s="139"/>
      <c r="S474" s="139"/>
      <c r="T474" s="139"/>
      <c r="U474" s="139"/>
      <c r="V474" s="139"/>
    </row>
    <row r="475" spans="1:22">
      <c r="A475" s="139"/>
      <c r="B475" s="139"/>
      <c r="C475" s="139"/>
      <c r="D475" s="139"/>
      <c r="E475" s="139"/>
      <c r="F475" s="139"/>
      <c r="G475" s="139"/>
      <c r="H475" s="139"/>
      <c r="I475" s="139"/>
      <c r="J475" s="139"/>
      <c r="K475" s="139"/>
      <c r="L475" s="139"/>
      <c r="M475" s="139"/>
      <c r="N475" s="139"/>
      <c r="O475" s="139"/>
      <c r="P475" s="139"/>
      <c r="Q475" s="139"/>
      <c r="R475" s="139"/>
      <c r="S475" s="139"/>
      <c r="T475" s="139"/>
      <c r="U475" s="139"/>
      <c r="V475" s="139"/>
    </row>
    <row r="476" spans="1:22">
      <c r="A476" s="139"/>
      <c r="B476" s="139"/>
      <c r="C476" s="139"/>
      <c r="D476" s="139"/>
      <c r="E476" s="139"/>
      <c r="F476" s="139"/>
      <c r="G476" s="139"/>
      <c r="H476" s="139"/>
      <c r="I476" s="139"/>
      <c r="J476" s="139"/>
      <c r="K476" s="139"/>
      <c r="L476" s="139"/>
      <c r="M476" s="139"/>
      <c r="N476" s="139"/>
      <c r="O476" s="139"/>
      <c r="P476" s="139"/>
      <c r="Q476" s="139"/>
      <c r="R476" s="139"/>
      <c r="S476" s="139"/>
      <c r="T476" s="139"/>
      <c r="U476" s="139"/>
      <c r="V476" s="139"/>
    </row>
    <row r="477" spans="1:22">
      <c r="A477" s="139"/>
      <c r="B477" s="139"/>
      <c r="C477" s="139"/>
      <c r="D477" s="139"/>
      <c r="E477" s="139"/>
      <c r="F477" s="139"/>
      <c r="G477" s="139"/>
      <c r="H477" s="139"/>
      <c r="I477" s="139"/>
      <c r="J477" s="139"/>
      <c r="K477" s="139"/>
      <c r="L477" s="139"/>
      <c r="M477" s="139"/>
      <c r="N477" s="139"/>
      <c r="O477" s="139"/>
      <c r="P477" s="139"/>
      <c r="Q477" s="139"/>
      <c r="R477" s="139"/>
      <c r="S477" s="139"/>
      <c r="T477" s="139"/>
      <c r="U477" s="139"/>
      <c r="V477" s="139"/>
    </row>
    <row r="478" spans="1:22">
      <c r="A478" s="139"/>
      <c r="B478" s="139"/>
      <c r="C478" s="139"/>
      <c r="D478" s="139"/>
      <c r="E478" s="139"/>
      <c r="F478" s="139"/>
      <c r="G478" s="139"/>
      <c r="H478" s="139"/>
      <c r="I478" s="139"/>
      <c r="J478" s="139"/>
      <c r="K478" s="139"/>
      <c r="L478" s="139"/>
      <c r="M478" s="139"/>
      <c r="N478" s="139"/>
      <c r="O478" s="139"/>
      <c r="P478" s="139"/>
      <c r="Q478" s="139"/>
      <c r="R478" s="139"/>
      <c r="S478" s="139"/>
      <c r="T478" s="139"/>
      <c r="U478" s="139"/>
      <c r="V478" s="139"/>
    </row>
    <row r="479" spans="1:22">
      <c r="A479" s="139"/>
      <c r="B479" s="139"/>
      <c r="C479" s="139"/>
      <c r="D479" s="139"/>
      <c r="E479" s="139"/>
      <c r="F479" s="139"/>
      <c r="G479" s="139"/>
      <c r="H479" s="139"/>
      <c r="I479" s="139"/>
      <c r="J479" s="139"/>
      <c r="K479" s="139"/>
      <c r="L479" s="139"/>
      <c r="M479" s="139"/>
      <c r="N479" s="139"/>
      <c r="O479" s="139"/>
      <c r="P479" s="139"/>
      <c r="Q479" s="139"/>
      <c r="R479" s="139"/>
      <c r="S479" s="139"/>
      <c r="T479" s="139"/>
      <c r="U479" s="139"/>
      <c r="V479" s="139"/>
    </row>
    <row r="480" spans="1:22">
      <c r="A480" s="139"/>
      <c r="B480" s="139"/>
      <c r="C480" s="139"/>
      <c r="D480" s="139"/>
      <c r="E480" s="139"/>
      <c r="F480" s="139"/>
      <c r="G480" s="139"/>
      <c r="H480" s="139"/>
      <c r="I480" s="139"/>
      <c r="J480" s="139"/>
      <c r="K480" s="139"/>
      <c r="L480" s="139"/>
      <c r="M480" s="139"/>
      <c r="N480" s="139"/>
      <c r="O480" s="139"/>
      <c r="P480" s="139"/>
      <c r="Q480" s="139"/>
      <c r="R480" s="139"/>
      <c r="S480" s="139"/>
      <c r="T480" s="139"/>
      <c r="U480" s="139"/>
      <c r="V480" s="139"/>
    </row>
    <row r="481" spans="1:22">
      <c r="A481" s="139"/>
      <c r="B481" s="139"/>
      <c r="C481" s="139"/>
      <c r="D481" s="139"/>
      <c r="E481" s="139"/>
      <c r="F481" s="139"/>
      <c r="G481" s="139"/>
      <c r="H481" s="139"/>
      <c r="I481" s="139"/>
      <c r="J481" s="139"/>
      <c r="K481" s="139"/>
      <c r="L481" s="139"/>
      <c r="M481" s="139"/>
      <c r="N481" s="139"/>
      <c r="O481" s="139"/>
      <c r="P481" s="139"/>
      <c r="Q481" s="139"/>
      <c r="R481" s="139"/>
      <c r="S481" s="139"/>
      <c r="T481" s="139"/>
      <c r="U481" s="139"/>
      <c r="V481" s="139"/>
    </row>
    <row r="482" spans="1:22">
      <c r="A482" s="139"/>
      <c r="B482" s="139"/>
      <c r="C482" s="139"/>
      <c r="D482" s="139"/>
      <c r="E482" s="139"/>
      <c r="F482" s="139"/>
      <c r="G482" s="139"/>
      <c r="H482" s="139"/>
      <c r="I482" s="139"/>
      <c r="J482" s="139"/>
      <c r="K482" s="139"/>
      <c r="L482" s="139"/>
      <c r="M482" s="139"/>
      <c r="N482" s="139"/>
      <c r="O482" s="139"/>
      <c r="P482" s="139"/>
      <c r="Q482" s="139"/>
      <c r="R482" s="139"/>
      <c r="S482" s="139"/>
      <c r="T482" s="139"/>
      <c r="U482" s="139"/>
      <c r="V482" s="139"/>
    </row>
    <row r="483" spans="1:22">
      <c r="A483" s="139"/>
      <c r="B483" s="139"/>
      <c r="C483" s="139"/>
      <c r="D483" s="139"/>
      <c r="E483" s="139"/>
      <c r="F483" s="139"/>
      <c r="G483" s="139"/>
      <c r="H483" s="139"/>
      <c r="I483" s="139"/>
      <c r="J483" s="139"/>
      <c r="K483" s="139"/>
      <c r="L483" s="139"/>
      <c r="M483" s="139"/>
      <c r="N483" s="139"/>
      <c r="O483" s="139"/>
      <c r="P483" s="139"/>
      <c r="Q483" s="139"/>
      <c r="R483" s="139"/>
      <c r="S483" s="139"/>
      <c r="T483" s="139"/>
      <c r="U483" s="139"/>
      <c r="V483" s="139"/>
    </row>
    <row r="484" spans="1:22">
      <c r="A484" s="139"/>
      <c r="B484" s="139"/>
      <c r="C484" s="139"/>
      <c r="D484" s="139"/>
      <c r="E484" s="139"/>
      <c r="F484" s="139"/>
      <c r="G484" s="139"/>
      <c r="H484" s="139"/>
      <c r="I484" s="139"/>
      <c r="J484" s="139"/>
      <c r="K484" s="139"/>
      <c r="L484" s="139"/>
      <c r="M484" s="139"/>
      <c r="N484" s="139"/>
      <c r="O484" s="139"/>
      <c r="P484" s="139"/>
      <c r="Q484" s="139"/>
      <c r="R484" s="139"/>
      <c r="S484" s="139"/>
      <c r="T484" s="139"/>
      <c r="U484" s="139"/>
      <c r="V484" s="139"/>
    </row>
    <row r="485" spans="1:22">
      <c r="A485" s="139"/>
      <c r="B485" s="139"/>
      <c r="C485" s="139"/>
      <c r="D485" s="139"/>
      <c r="E485" s="139"/>
      <c r="F485" s="139"/>
      <c r="G485" s="139"/>
      <c r="H485" s="139"/>
      <c r="I485" s="139"/>
      <c r="J485" s="139"/>
      <c r="K485" s="139"/>
      <c r="L485" s="139"/>
      <c r="M485" s="139"/>
      <c r="N485" s="139"/>
      <c r="O485" s="139"/>
      <c r="P485" s="139"/>
      <c r="Q485" s="139"/>
      <c r="R485" s="139"/>
      <c r="S485" s="139"/>
      <c r="T485" s="139"/>
      <c r="U485" s="139"/>
      <c r="V485" s="139"/>
    </row>
    <row r="486" spans="1:22">
      <c r="A486" s="139"/>
      <c r="B486" s="139"/>
      <c r="C486" s="139"/>
      <c r="D486" s="139"/>
      <c r="E486" s="139"/>
      <c r="F486" s="139"/>
      <c r="G486" s="139"/>
      <c r="H486" s="139"/>
      <c r="I486" s="139"/>
      <c r="J486" s="139"/>
      <c r="K486" s="139"/>
      <c r="L486" s="139"/>
      <c r="M486" s="139"/>
      <c r="N486" s="139"/>
      <c r="O486" s="139"/>
      <c r="P486" s="139"/>
      <c r="Q486" s="139"/>
      <c r="R486" s="139"/>
      <c r="S486" s="139"/>
      <c r="T486" s="139"/>
      <c r="U486" s="139"/>
      <c r="V486" s="139"/>
    </row>
    <row r="487" spans="1:22">
      <c r="A487" s="139"/>
      <c r="B487" s="139"/>
      <c r="C487" s="139"/>
      <c r="D487" s="139"/>
      <c r="E487" s="139"/>
      <c r="F487" s="139"/>
      <c r="G487" s="139"/>
      <c r="H487" s="139"/>
      <c r="I487" s="139"/>
      <c r="J487" s="139"/>
      <c r="K487" s="139"/>
      <c r="L487" s="139"/>
      <c r="M487" s="139"/>
      <c r="N487" s="139"/>
      <c r="O487" s="139"/>
      <c r="P487" s="139"/>
      <c r="Q487" s="139"/>
      <c r="R487" s="139"/>
      <c r="S487" s="139"/>
      <c r="T487" s="139"/>
      <c r="U487" s="139"/>
      <c r="V487" s="139"/>
    </row>
    <row r="488" spans="1:22">
      <c r="A488" s="139"/>
      <c r="B488" s="139"/>
      <c r="C488" s="139"/>
      <c r="D488" s="139"/>
      <c r="E488" s="139"/>
      <c r="F488" s="139"/>
      <c r="G488" s="139"/>
      <c r="H488" s="139"/>
      <c r="I488" s="139"/>
      <c r="J488" s="139"/>
      <c r="K488" s="139"/>
      <c r="L488" s="139"/>
      <c r="M488" s="139"/>
      <c r="N488" s="139"/>
      <c r="O488" s="139"/>
      <c r="P488" s="139"/>
      <c r="Q488" s="139"/>
      <c r="R488" s="139"/>
      <c r="S488" s="139"/>
      <c r="T488" s="139"/>
      <c r="U488" s="139"/>
      <c r="V488" s="139"/>
    </row>
    <row r="489" spans="1:22">
      <c r="A489" s="139"/>
      <c r="B489" s="139"/>
      <c r="C489" s="139"/>
      <c r="D489" s="139"/>
      <c r="E489" s="139"/>
      <c r="F489" s="139"/>
      <c r="G489" s="139"/>
      <c r="H489" s="139"/>
      <c r="I489" s="139"/>
      <c r="J489" s="139"/>
      <c r="K489" s="139"/>
      <c r="L489" s="139"/>
      <c r="M489" s="139"/>
      <c r="N489" s="139"/>
      <c r="O489" s="139"/>
      <c r="P489" s="139"/>
      <c r="Q489" s="139"/>
      <c r="R489" s="139"/>
      <c r="S489" s="139"/>
      <c r="T489" s="139"/>
      <c r="U489" s="139"/>
      <c r="V489" s="139"/>
    </row>
    <row r="490" spans="1:22">
      <c r="A490" s="139"/>
      <c r="B490" s="139"/>
      <c r="C490" s="139"/>
      <c r="D490" s="139"/>
      <c r="E490" s="139"/>
      <c r="F490" s="139"/>
      <c r="G490" s="139"/>
      <c r="H490" s="139"/>
      <c r="I490" s="139"/>
      <c r="J490" s="139"/>
      <c r="K490" s="139"/>
      <c r="L490" s="139"/>
      <c r="M490" s="139"/>
      <c r="N490" s="139"/>
      <c r="O490" s="139"/>
      <c r="P490" s="139"/>
      <c r="Q490" s="139"/>
      <c r="R490" s="139"/>
      <c r="S490" s="139"/>
      <c r="T490" s="139"/>
      <c r="U490" s="139"/>
      <c r="V490" s="139"/>
    </row>
    <row r="491" spans="1:22">
      <c r="A491" s="139"/>
      <c r="B491" s="139"/>
      <c r="C491" s="139"/>
      <c r="D491" s="139"/>
      <c r="E491" s="139"/>
      <c r="F491" s="139"/>
      <c r="G491" s="139"/>
      <c r="H491" s="139"/>
      <c r="I491" s="139"/>
      <c r="J491" s="139"/>
      <c r="K491" s="139"/>
      <c r="L491" s="139"/>
      <c r="M491" s="139"/>
      <c r="N491" s="139"/>
      <c r="O491" s="139"/>
      <c r="P491" s="139"/>
      <c r="Q491" s="139"/>
      <c r="R491" s="139"/>
      <c r="S491" s="139"/>
      <c r="T491" s="139"/>
      <c r="U491" s="139"/>
      <c r="V491" s="139"/>
    </row>
    <row r="492" spans="1:22">
      <c r="A492" s="139"/>
      <c r="B492" s="139"/>
      <c r="C492" s="139"/>
      <c r="D492" s="139"/>
      <c r="E492" s="139"/>
      <c r="F492" s="139"/>
      <c r="G492" s="139"/>
      <c r="H492" s="139"/>
      <c r="I492" s="139"/>
      <c r="J492" s="139"/>
      <c r="K492" s="139"/>
      <c r="L492" s="139"/>
      <c r="M492" s="139"/>
      <c r="N492" s="139"/>
      <c r="O492" s="139"/>
      <c r="P492" s="139"/>
      <c r="Q492" s="139"/>
      <c r="R492" s="139"/>
      <c r="S492" s="139"/>
      <c r="T492" s="139"/>
      <c r="U492" s="139"/>
      <c r="V492" s="139"/>
    </row>
    <row r="493" spans="1:22">
      <c r="A493" s="139"/>
      <c r="B493" s="139"/>
      <c r="C493" s="139"/>
      <c r="D493" s="139"/>
      <c r="E493" s="139"/>
      <c r="F493" s="139"/>
      <c r="G493" s="139"/>
      <c r="H493" s="139"/>
      <c r="I493" s="139"/>
      <c r="J493" s="139"/>
      <c r="K493" s="139"/>
      <c r="L493" s="139"/>
      <c r="M493" s="139"/>
      <c r="N493" s="139"/>
      <c r="O493" s="139"/>
      <c r="P493" s="139"/>
      <c r="Q493" s="139"/>
      <c r="R493" s="139"/>
      <c r="S493" s="139"/>
      <c r="T493" s="139"/>
      <c r="U493" s="139"/>
      <c r="V493" s="139"/>
    </row>
    <row r="494" spans="1:22">
      <c r="A494" s="139"/>
      <c r="B494" s="139"/>
      <c r="C494" s="139"/>
      <c r="D494" s="139"/>
      <c r="E494" s="139"/>
      <c r="F494" s="139"/>
      <c r="G494" s="139"/>
      <c r="H494" s="139"/>
      <c r="I494" s="139"/>
      <c r="J494" s="139"/>
      <c r="K494" s="139"/>
      <c r="L494" s="139"/>
      <c r="M494" s="139"/>
      <c r="N494" s="139"/>
      <c r="O494" s="139"/>
      <c r="P494" s="139"/>
      <c r="Q494" s="139"/>
      <c r="R494" s="139"/>
      <c r="S494" s="139"/>
      <c r="T494" s="139"/>
      <c r="U494" s="139"/>
      <c r="V494" s="139"/>
    </row>
    <row r="495" spans="1:22">
      <c r="A495" s="139"/>
      <c r="B495" s="139"/>
      <c r="C495" s="139"/>
      <c r="D495" s="139"/>
      <c r="E495" s="139"/>
      <c r="F495" s="139"/>
      <c r="G495" s="139"/>
      <c r="H495" s="139"/>
      <c r="I495" s="139"/>
      <c r="J495" s="139"/>
      <c r="K495" s="139"/>
      <c r="L495" s="139"/>
      <c r="M495" s="139"/>
      <c r="N495" s="139"/>
      <c r="O495" s="139"/>
      <c r="P495" s="139"/>
      <c r="Q495" s="139"/>
      <c r="R495" s="139"/>
      <c r="S495" s="139"/>
      <c r="T495" s="139"/>
      <c r="U495" s="139"/>
      <c r="V495" s="139"/>
    </row>
    <row r="496" spans="1:22">
      <c r="A496" s="139"/>
      <c r="B496" s="139"/>
      <c r="C496" s="139"/>
      <c r="D496" s="139"/>
      <c r="E496" s="139"/>
      <c r="F496" s="139"/>
      <c r="G496" s="139"/>
      <c r="H496" s="139"/>
      <c r="I496" s="139"/>
      <c r="J496" s="139"/>
      <c r="K496" s="139"/>
      <c r="L496" s="139"/>
      <c r="M496" s="139"/>
      <c r="N496" s="139"/>
      <c r="O496" s="139"/>
      <c r="P496" s="139"/>
      <c r="Q496" s="139"/>
      <c r="R496" s="139"/>
      <c r="S496" s="139"/>
      <c r="T496" s="139"/>
      <c r="U496" s="139"/>
      <c r="V496" s="139"/>
    </row>
    <row r="497" spans="1:22">
      <c r="A497" s="139"/>
      <c r="B497" s="139"/>
      <c r="C497" s="139"/>
      <c r="D497" s="139"/>
      <c r="E497" s="139"/>
      <c r="F497" s="139"/>
      <c r="G497" s="139"/>
      <c r="H497" s="139"/>
      <c r="I497" s="139"/>
      <c r="J497" s="139"/>
      <c r="K497" s="139"/>
      <c r="L497" s="139"/>
      <c r="M497" s="139"/>
      <c r="N497" s="139"/>
      <c r="O497" s="139"/>
      <c r="P497" s="139"/>
      <c r="Q497" s="139"/>
      <c r="R497" s="139"/>
      <c r="S497" s="139"/>
      <c r="T497" s="139"/>
      <c r="U497" s="139"/>
      <c r="V497" s="139"/>
    </row>
    <row r="498" spans="1:22">
      <c r="A498" s="139"/>
      <c r="B498" s="139"/>
      <c r="C498" s="139"/>
      <c r="D498" s="139"/>
      <c r="E498" s="139"/>
      <c r="F498" s="139"/>
      <c r="G498" s="139"/>
      <c r="H498" s="139"/>
      <c r="I498" s="139"/>
      <c r="J498" s="139"/>
      <c r="K498" s="139"/>
      <c r="L498" s="139"/>
      <c r="M498" s="139"/>
      <c r="N498" s="139"/>
      <c r="O498" s="139"/>
      <c r="P498" s="139"/>
      <c r="Q498" s="139"/>
      <c r="R498" s="139"/>
      <c r="S498" s="139"/>
      <c r="T498" s="139"/>
      <c r="U498" s="139"/>
      <c r="V498" s="139"/>
    </row>
    <row r="499" spans="1:22">
      <c r="A499" s="139"/>
      <c r="B499" s="139"/>
      <c r="C499" s="139"/>
      <c r="D499" s="139"/>
      <c r="E499" s="139"/>
      <c r="F499" s="139"/>
      <c r="G499" s="139"/>
      <c r="H499" s="139"/>
      <c r="I499" s="139"/>
      <c r="J499" s="139"/>
      <c r="K499" s="139"/>
      <c r="L499" s="139"/>
      <c r="M499" s="139"/>
      <c r="N499" s="139"/>
      <c r="O499" s="139"/>
      <c r="P499" s="139"/>
      <c r="Q499" s="139"/>
      <c r="R499" s="139"/>
      <c r="S499" s="139"/>
      <c r="T499" s="139"/>
      <c r="U499" s="139"/>
      <c r="V499" s="139"/>
    </row>
    <row r="500" spans="1:22">
      <c r="A500" s="139"/>
      <c r="B500" s="139"/>
      <c r="C500" s="139"/>
      <c r="D500" s="139"/>
      <c r="E500" s="139"/>
      <c r="F500" s="139"/>
      <c r="G500" s="139"/>
      <c r="H500" s="139"/>
      <c r="I500" s="139"/>
      <c r="J500" s="139"/>
      <c r="K500" s="139"/>
      <c r="L500" s="139"/>
      <c r="M500" s="139"/>
      <c r="N500" s="139"/>
      <c r="O500" s="139"/>
      <c r="P500" s="139"/>
      <c r="Q500" s="139"/>
      <c r="R500" s="139"/>
      <c r="S500" s="139"/>
      <c r="T500" s="139"/>
      <c r="U500" s="139"/>
      <c r="V500" s="139"/>
    </row>
    <row r="501" spans="1:22">
      <c r="A501" s="139"/>
      <c r="B501" s="139"/>
      <c r="C501" s="139"/>
      <c r="D501" s="139"/>
      <c r="E501" s="139"/>
      <c r="F501" s="139"/>
      <c r="G501" s="139"/>
      <c r="H501" s="139"/>
      <c r="I501" s="139"/>
      <c r="J501" s="139"/>
      <c r="K501" s="139"/>
      <c r="L501" s="139"/>
      <c r="M501" s="139"/>
      <c r="N501" s="139"/>
      <c r="O501" s="139"/>
      <c r="P501" s="139"/>
      <c r="Q501" s="139"/>
      <c r="R501" s="139"/>
      <c r="S501" s="139"/>
      <c r="T501" s="139"/>
      <c r="U501" s="139"/>
      <c r="V501" s="139"/>
    </row>
    <row r="502" spans="1:22">
      <c r="A502" s="139"/>
      <c r="B502" s="139"/>
      <c r="C502" s="139"/>
      <c r="D502" s="139"/>
      <c r="E502" s="139"/>
      <c r="F502" s="139"/>
      <c r="G502" s="139"/>
      <c r="H502" s="139"/>
      <c r="I502" s="139"/>
      <c r="J502" s="139"/>
      <c r="K502" s="139"/>
      <c r="L502" s="139"/>
      <c r="M502" s="139"/>
      <c r="N502" s="139"/>
      <c r="O502" s="139"/>
      <c r="P502" s="139"/>
      <c r="Q502" s="139"/>
      <c r="R502" s="139"/>
      <c r="S502" s="139"/>
      <c r="T502" s="139"/>
      <c r="U502" s="139"/>
      <c r="V502" s="139"/>
    </row>
    <row r="503" spans="1:22">
      <c r="A503" s="139"/>
      <c r="B503" s="139"/>
      <c r="C503" s="139"/>
      <c r="D503" s="139"/>
      <c r="E503" s="139"/>
      <c r="F503" s="139"/>
      <c r="G503" s="139"/>
      <c r="H503" s="139"/>
      <c r="I503" s="139"/>
      <c r="J503" s="139"/>
      <c r="K503" s="139"/>
      <c r="L503" s="139"/>
      <c r="M503" s="139"/>
      <c r="N503" s="139"/>
      <c r="O503" s="139"/>
      <c r="P503" s="139"/>
      <c r="Q503" s="139"/>
      <c r="R503" s="139"/>
      <c r="S503" s="139"/>
      <c r="T503" s="139"/>
      <c r="U503" s="139"/>
      <c r="V503" s="139"/>
    </row>
    <row r="504" spans="1:22">
      <c r="A504" s="139"/>
      <c r="B504" s="139"/>
      <c r="C504" s="139"/>
      <c r="D504" s="139"/>
      <c r="E504" s="139"/>
      <c r="F504" s="139"/>
      <c r="G504" s="139"/>
      <c r="H504" s="139"/>
      <c r="I504" s="139"/>
      <c r="J504" s="139"/>
      <c r="K504" s="139"/>
      <c r="L504" s="139"/>
      <c r="M504" s="139"/>
      <c r="N504" s="139"/>
      <c r="O504" s="139"/>
      <c r="P504" s="139"/>
      <c r="Q504" s="139"/>
      <c r="R504" s="139"/>
      <c r="S504" s="139"/>
      <c r="T504" s="139"/>
      <c r="U504" s="139"/>
      <c r="V504" s="139"/>
    </row>
    <row r="505" spans="1:22">
      <c r="A505" s="139"/>
      <c r="B505" s="139"/>
      <c r="C505" s="139"/>
      <c r="D505" s="139"/>
      <c r="E505" s="139"/>
      <c r="F505" s="139"/>
      <c r="G505" s="139"/>
      <c r="H505" s="139"/>
      <c r="I505" s="139"/>
      <c r="J505" s="139"/>
      <c r="K505" s="139"/>
      <c r="L505" s="139"/>
      <c r="M505" s="139"/>
      <c r="N505" s="139"/>
      <c r="O505" s="139"/>
      <c r="P505" s="139"/>
      <c r="Q505" s="139"/>
      <c r="R505" s="139"/>
      <c r="S505" s="139"/>
      <c r="T505" s="139"/>
      <c r="U505" s="139"/>
      <c r="V505" s="139"/>
    </row>
    <row r="506" spans="1:22">
      <c r="A506" s="139"/>
      <c r="B506" s="139"/>
      <c r="C506" s="139"/>
      <c r="D506" s="139"/>
      <c r="E506" s="139"/>
      <c r="F506" s="139"/>
      <c r="G506" s="139"/>
      <c r="H506" s="139"/>
      <c r="I506" s="139"/>
      <c r="J506" s="139"/>
      <c r="K506" s="139"/>
      <c r="L506" s="139"/>
      <c r="M506" s="139"/>
      <c r="N506" s="139"/>
      <c r="O506" s="139"/>
      <c r="P506" s="139"/>
      <c r="Q506" s="139"/>
      <c r="R506" s="139"/>
      <c r="S506" s="139"/>
      <c r="T506" s="139"/>
      <c r="U506" s="139"/>
      <c r="V506" s="139"/>
    </row>
    <row r="507" spans="1:22">
      <c r="A507" s="139"/>
      <c r="B507" s="139"/>
      <c r="C507" s="139"/>
      <c r="D507" s="139"/>
      <c r="E507" s="139"/>
      <c r="F507" s="139"/>
      <c r="G507" s="139"/>
      <c r="H507" s="139"/>
      <c r="I507" s="139"/>
      <c r="J507" s="139"/>
      <c r="K507" s="139"/>
      <c r="L507" s="139"/>
      <c r="M507" s="139"/>
      <c r="N507" s="139"/>
      <c r="O507" s="139"/>
      <c r="P507" s="139"/>
      <c r="Q507" s="139"/>
      <c r="R507" s="139"/>
      <c r="S507" s="139"/>
      <c r="T507" s="139"/>
      <c r="U507" s="139"/>
      <c r="V507" s="139"/>
    </row>
    <row r="508" spans="1:22">
      <c r="A508" s="139"/>
      <c r="B508" s="139"/>
      <c r="C508" s="139"/>
      <c r="D508" s="139"/>
      <c r="E508" s="139"/>
      <c r="F508" s="139"/>
      <c r="G508" s="139"/>
      <c r="H508" s="139"/>
      <c r="I508" s="139"/>
      <c r="J508" s="139"/>
      <c r="K508" s="139"/>
      <c r="L508" s="139"/>
      <c r="M508" s="139"/>
      <c r="N508" s="139"/>
      <c r="O508" s="139"/>
      <c r="P508" s="139"/>
      <c r="Q508" s="139"/>
      <c r="R508" s="139"/>
      <c r="S508" s="139"/>
      <c r="T508" s="139"/>
      <c r="U508" s="139"/>
      <c r="V508" s="139"/>
    </row>
    <row r="509" spans="1:22">
      <c r="A509" s="139"/>
      <c r="B509" s="139"/>
      <c r="C509" s="139"/>
      <c r="D509" s="139"/>
      <c r="E509" s="139"/>
      <c r="F509" s="139"/>
      <c r="G509" s="139"/>
      <c r="H509" s="139"/>
      <c r="I509" s="139"/>
      <c r="J509" s="139"/>
      <c r="K509" s="139"/>
      <c r="L509" s="139"/>
      <c r="M509" s="139"/>
      <c r="N509" s="139"/>
      <c r="O509" s="139"/>
      <c r="P509" s="139"/>
      <c r="Q509" s="139"/>
      <c r="R509" s="139"/>
      <c r="S509" s="139"/>
      <c r="T509" s="139"/>
      <c r="U509" s="139"/>
      <c r="V509" s="139"/>
    </row>
    <row r="510" spans="1:22">
      <c r="A510" s="139"/>
      <c r="B510" s="139"/>
      <c r="C510" s="139"/>
      <c r="D510" s="139"/>
      <c r="E510" s="139"/>
      <c r="F510" s="139"/>
      <c r="G510" s="139"/>
      <c r="H510" s="139"/>
      <c r="I510" s="139"/>
      <c r="J510" s="139"/>
      <c r="K510" s="139"/>
      <c r="L510" s="139"/>
      <c r="M510" s="139"/>
      <c r="N510" s="139"/>
      <c r="O510" s="139"/>
      <c r="P510" s="139"/>
      <c r="Q510" s="139"/>
      <c r="R510" s="139"/>
      <c r="S510" s="139"/>
      <c r="T510" s="139"/>
      <c r="U510" s="139"/>
      <c r="V510" s="139"/>
    </row>
    <row r="511" spans="1:22">
      <c r="A511" s="139"/>
      <c r="B511" s="139"/>
      <c r="C511" s="139"/>
      <c r="D511" s="139"/>
      <c r="E511" s="139"/>
      <c r="F511" s="139"/>
      <c r="G511" s="139"/>
      <c r="H511" s="139"/>
      <c r="I511" s="139"/>
      <c r="J511" s="139"/>
      <c r="K511" s="139"/>
      <c r="L511" s="139"/>
      <c r="M511" s="139"/>
      <c r="N511" s="139"/>
      <c r="O511" s="139"/>
      <c r="P511" s="139"/>
      <c r="Q511" s="139"/>
      <c r="R511" s="139"/>
      <c r="S511" s="139"/>
      <c r="T511" s="139"/>
      <c r="U511" s="139"/>
      <c r="V511" s="139"/>
    </row>
    <row r="512" spans="1:22">
      <c r="A512" s="139"/>
      <c r="B512" s="139"/>
      <c r="C512" s="139"/>
      <c r="D512" s="139"/>
      <c r="E512" s="139"/>
      <c r="F512" s="139"/>
      <c r="G512" s="139"/>
      <c r="H512" s="139"/>
      <c r="I512" s="139"/>
      <c r="J512" s="139"/>
      <c r="K512" s="139"/>
      <c r="L512" s="139"/>
      <c r="M512" s="139"/>
      <c r="N512" s="139"/>
      <c r="O512" s="139"/>
      <c r="P512" s="139"/>
      <c r="Q512" s="139"/>
      <c r="R512" s="139"/>
      <c r="S512" s="139"/>
      <c r="T512" s="139"/>
      <c r="U512" s="139"/>
      <c r="V512" s="139"/>
    </row>
    <row r="513" spans="1:22">
      <c r="A513" s="139"/>
      <c r="B513" s="139"/>
      <c r="C513" s="139"/>
      <c r="D513" s="139"/>
      <c r="E513" s="139"/>
      <c r="F513" s="139"/>
      <c r="G513" s="139"/>
      <c r="H513" s="139"/>
      <c r="I513" s="139"/>
      <c r="J513" s="139"/>
      <c r="K513" s="139"/>
      <c r="L513" s="139"/>
      <c r="M513" s="139"/>
      <c r="N513" s="139"/>
      <c r="O513" s="139"/>
      <c r="P513" s="139"/>
      <c r="Q513" s="139"/>
      <c r="R513" s="139"/>
      <c r="S513" s="139"/>
      <c r="T513" s="139"/>
      <c r="U513" s="139"/>
      <c r="V513" s="139"/>
    </row>
    <row r="514" spans="1:22">
      <c r="A514" s="139"/>
      <c r="B514" s="139"/>
      <c r="C514" s="139"/>
      <c r="D514" s="139"/>
      <c r="E514" s="139"/>
      <c r="F514" s="139"/>
      <c r="G514" s="139"/>
      <c r="H514" s="139"/>
      <c r="I514" s="139"/>
      <c r="J514" s="139"/>
      <c r="K514" s="139"/>
      <c r="L514" s="139"/>
      <c r="M514" s="139"/>
      <c r="N514" s="139"/>
      <c r="O514" s="139"/>
      <c r="P514" s="139"/>
      <c r="Q514" s="139"/>
      <c r="R514" s="139"/>
      <c r="S514" s="139"/>
      <c r="T514" s="139"/>
      <c r="U514" s="139"/>
      <c r="V514" s="139"/>
    </row>
    <row r="515" spans="1:22">
      <c r="A515" s="139"/>
      <c r="B515" s="139"/>
      <c r="C515" s="139"/>
      <c r="D515" s="139"/>
      <c r="E515" s="139"/>
      <c r="F515" s="139"/>
      <c r="G515" s="139"/>
      <c r="H515" s="139"/>
      <c r="I515" s="139"/>
      <c r="J515" s="139"/>
      <c r="K515" s="139"/>
      <c r="L515" s="139"/>
      <c r="M515" s="139"/>
      <c r="N515" s="139"/>
      <c r="O515" s="139"/>
      <c r="P515" s="139"/>
      <c r="Q515" s="139"/>
      <c r="R515" s="139"/>
      <c r="S515" s="139"/>
      <c r="T515" s="139"/>
      <c r="U515" s="139"/>
      <c r="V515" s="139"/>
    </row>
    <row r="516" spans="1:22">
      <c r="A516" s="139"/>
      <c r="B516" s="139"/>
      <c r="C516" s="139"/>
      <c r="D516" s="139"/>
      <c r="E516" s="139"/>
      <c r="F516" s="139"/>
      <c r="G516" s="139"/>
      <c r="H516" s="139"/>
      <c r="I516" s="139"/>
      <c r="J516" s="139"/>
      <c r="K516" s="139"/>
      <c r="L516" s="139"/>
      <c r="M516" s="139"/>
      <c r="N516" s="139"/>
      <c r="O516" s="139"/>
      <c r="P516" s="139"/>
      <c r="Q516" s="139"/>
      <c r="R516" s="139"/>
      <c r="S516" s="139"/>
      <c r="T516" s="139"/>
      <c r="U516" s="139"/>
      <c r="V516" s="139"/>
    </row>
    <row r="517" spans="1:22">
      <c r="A517" s="139"/>
      <c r="B517" s="139"/>
      <c r="C517" s="139"/>
      <c r="D517" s="139"/>
      <c r="E517" s="139"/>
      <c r="F517" s="139"/>
      <c r="G517" s="139"/>
      <c r="H517" s="139"/>
      <c r="I517" s="139"/>
      <c r="J517" s="139"/>
      <c r="K517" s="139"/>
      <c r="L517" s="139"/>
      <c r="M517" s="139"/>
      <c r="N517" s="139"/>
      <c r="O517" s="139"/>
      <c r="P517" s="139"/>
      <c r="Q517" s="139"/>
      <c r="R517" s="139"/>
      <c r="S517" s="139"/>
      <c r="T517" s="139"/>
      <c r="U517" s="139"/>
      <c r="V517" s="139"/>
    </row>
    <row r="518" spans="1:22">
      <c r="A518" s="139"/>
      <c r="B518" s="139"/>
      <c r="C518" s="139"/>
      <c r="D518" s="139"/>
      <c r="E518" s="139"/>
      <c r="F518" s="139"/>
      <c r="G518" s="139"/>
      <c r="H518" s="139"/>
      <c r="I518" s="139"/>
      <c r="J518" s="139"/>
      <c r="K518" s="139"/>
      <c r="L518" s="139"/>
      <c r="M518" s="139"/>
      <c r="N518" s="139"/>
      <c r="O518" s="139"/>
      <c r="P518" s="139"/>
      <c r="Q518" s="139"/>
      <c r="R518" s="139"/>
      <c r="S518" s="139"/>
      <c r="T518" s="139"/>
      <c r="U518" s="139"/>
      <c r="V518" s="139"/>
    </row>
    <row r="519" spans="1:22">
      <c r="A519" s="139"/>
      <c r="B519" s="139"/>
      <c r="C519" s="139"/>
      <c r="D519" s="139"/>
      <c r="E519" s="139"/>
      <c r="F519" s="139"/>
      <c r="G519" s="139"/>
      <c r="H519" s="139"/>
      <c r="I519" s="139"/>
      <c r="J519" s="139"/>
      <c r="K519" s="139"/>
      <c r="L519" s="139"/>
      <c r="M519" s="139"/>
      <c r="N519" s="139"/>
      <c r="O519" s="139"/>
      <c r="P519" s="139"/>
      <c r="Q519" s="139"/>
      <c r="R519" s="139"/>
      <c r="S519" s="139"/>
      <c r="T519" s="139"/>
      <c r="U519" s="139"/>
      <c r="V519" s="139"/>
    </row>
    <row r="520" spans="1:22">
      <c r="A520" s="139"/>
      <c r="B520" s="139"/>
      <c r="C520" s="139"/>
      <c r="D520" s="139"/>
      <c r="E520" s="139"/>
      <c r="F520" s="139"/>
      <c r="G520" s="139"/>
      <c r="H520" s="139"/>
      <c r="I520" s="139"/>
      <c r="J520" s="139"/>
      <c r="K520" s="139"/>
      <c r="L520" s="139"/>
      <c r="M520" s="139"/>
      <c r="N520" s="139"/>
      <c r="O520" s="139"/>
      <c r="P520" s="139"/>
      <c r="Q520" s="139"/>
      <c r="R520" s="139"/>
      <c r="S520" s="139"/>
      <c r="T520" s="139"/>
      <c r="U520" s="139"/>
      <c r="V520" s="139"/>
    </row>
    <row r="521" spans="1:22">
      <c r="A521" s="139"/>
      <c r="B521" s="139"/>
      <c r="C521" s="139"/>
      <c r="D521" s="139"/>
      <c r="E521" s="139"/>
      <c r="F521" s="139"/>
      <c r="G521" s="139"/>
      <c r="H521" s="139"/>
      <c r="I521" s="139"/>
      <c r="J521" s="139"/>
      <c r="K521" s="139"/>
      <c r="L521" s="139"/>
      <c r="M521" s="139"/>
      <c r="N521" s="139"/>
      <c r="O521" s="139"/>
      <c r="P521" s="139"/>
      <c r="Q521" s="139"/>
      <c r="R521" s="139"/>
      <c r="S521" s="139"/>
      <c r="T521" s="139"/>
      <c r="U521" s="139"/>
      <c r="V521" s="139"/>
    </row>
    <row r="522" spans="1:22">
      <c r="A522" s="139"/>
      <c r="B522" s="139"/>
      <c r="C522" s="139"/>
      <c r="D522" s="139"/>
      <c r="E522" s="139"/>
      <c r="F522" s="139"/>
      <c r="G522" s="139"/>
      <c r="H522" s="139"/>
      <c r="I522" s="139"/>
      <c r="J522" s="139"/>
      <c r="K522" s="139"/>
      <c r="L522" s="139"/>
      <c r="M522" s="139"/>
      <c r="N522" s="139"/>
      <c r="O522" s="139"/>
      <c r="P522" s="139"/>
      <c r="Q522" s="139"/>
      <c r="R522" s="139"/>
      <c r="S522" s="139"/>
      <c r="T522" s="139"/>
      <c r="U522" s="139"/>
      <c r="V522" s="139"/>
    </row>
    <row r="523" spans="1:22">
      <c r="A523" s="139"/>
      <c r="B523" s="139"/>
      <c r="C523" s="139"/>
      <c r="D523" s="139"/>
      <c r="E523" s="139"/>
      <c r="F523" s="139"/>
      <c r="G523" s="139"/>
      <c r="H523" s="139"/>
      <c r="I523" s="139"/>
      <c r="J523" s="139"/>
      <c r="K523" s="139"/>
      <c r="L523" s="139"/>
      <c r="M523" s="139"/>
      <c r="N523" s="139"/>
      <c r="O523" s="139"/>
      <c r="P523" s="139"/>
      <c r="Q523" s="139"/>
      <c r="R523" s="139"/>
      <c r="S523" s="139"/>
      <c r="T523" s="139"/>
      <c r="U523" s="139"/>
      <c r="V523" s="139"/>
    </row>
    <row r="524" spans="1:22">
      <c r="A524" s="139"/>
      <c r="B524" s="139"/>
      <c r="C524" s="139"/>
      <c r="D524" s="139"/>
      <c r="E524" s="139"/>
      <c r="F524" s="139"/>
      <c r="G524" s="139"/>
      <c r="H524" s="139"/>
      <c r="I524" s="139"/>
      <c r="J524" s="139"/>
      <c r="K524" s="139"/>
      <c r="L524" s="139"/>
      <c r="M524" s="139"/>
      <c r="N524" s="139"/>
      <c r="O524" s="139"/>
      <c r="P524" s="139"/>
      <c r="Q524" s="139"/>
      <c r="R524" s="139"/>
      <c r="S524" s="139"/>
      <c r="T524" s="139"/>
      <c r="U524" s="139"/>
      <c r="V524" s="139"/>
    </row>
    <row r="525" spans="1:22">
      <c r="A525" s="139"/>
      <c r="B525" s="139"/>
      <c r="C525" s="139"/>
      <c r="D525" s="139"/>
      <c r="E525" s="139"/>
      <c r="F525" s="139"/>
      <c r="G525" s="139"/>
      <c r="H525" s="139"/>
      <c r="I525" s="139"/>
      <c r="J525" s="139"/>
      <c r="K525" s="139"/>
      <c r="L525" s="139"/>
      <c r="M525" s="139"/>
      <c r="N525" s="139"/>
      <c r="O525" s="139"/>
      <c r="P525" s="139"/>
      <c r="Q525" s="139"/>
      <c r="R525" s="139"/>
      <c r="S525" s="139"/>
      <c r="T525" s="139"/>
      <c r="U525" s="139"/>
      <c r="V525" s="139"/>
    </row>
    <row r="526" spans="1:22">
      <c r="A526" s="139"/>
      <c r="B526" s="139"/>
      <c r="C526" s="139"/>
      <c r="D526" s="139"/>
      <c r="E526" s="139"/>
      <c r="F526" s="139"/>
      <c r="G526" s="139"/>
      <c r="H526" s="139"/>
      <c r="I526" s="139"/>
      <c r="J526" s="139"/>
      <c r="K526" s="139"/>
      <c r="L526" s="139"/>
      <c r="M526" s="139"/>
      <c r="N526" s="139"/>
      <c r="O526" s="139"/>
      <c r="P526" s="139"/>
      <c r="Q526" s="139"/>
      <c r="R526" s="139"/>
      <c r="S526" s="139"/>
      <c r="T526" s="139"/>
      <c r="U526" s="139"/>
      <c r="V526" s="139"/>
    </row>
    <row r="527" spans="1:22">
      <c r="A527" s="139"/>
      <c r="B527" s="139"/>
      <c r="C527" s="139"/>
      <c r="D527" s="139"/>
      <c r="E527" s="139"/>
      <c r="F527" s="139"/>
      <c r="G527" s="139"/>
      <c r="H527" s="139"/>
      <c r="I527" s="139"/>
      <c r="J527" s="139"/>
      <c r="K527" s="139"/>
      <c r="L527" s="139"/>
      <c r="M527" s="139"/>
      <c r="N527" s="139"/>
      <c r="O527" s="139"/>
      <c r="P527" s="139"/>
      <c r="Q527" s="139"/>
      <c r="R527" s="139"/>
      <c r="S527" s="139"/>
      <c r="T527" s="139"/>
      <c r="U527" s="139"/>
      <c r="V527" s="139"/>
    </row>
    <row r="528" spans="1:22">
      <c r="A528" s="139"/>
      <c r="B528" s="139"/>
      <c r="C528" s="139"/>
      <c r="D528" s="139"/>
      <c r="E528" s="139"/>
      <c r="F528" s="139"/>
      <c r="G528" s="139"/>
      <c r="H528" s="139"/>
      <c r="I528" s="139"/>
      <c r="J528" s="139"/>
      <c r="K528" s="139"/>
      <c r="L528" s="139"/>
      <c r="M528" s="139"/>
      <c r="N528" s="139"/>
      <c r="O528" s="139"/>
      <c r="P528" s="139"/>
      <c r="Q528" s="139"/>
      <c r="R528" s="139"/>
      <c r="S528" s="139"/>
      <c r="T528" s="139"/>
      <c r="U528" s="139"/>
      <c r="V528" s="139"/>
    </row>
    <row r="529" spans="1:22">
      <c r="A529" s="139"/>
      <c r="B529" s="139"/>
      <c r="C529" s="139"/>
      <c r="D529" s="139"/>
      <c r="E529" s="139"/>
      <c r="F529" s="139"/>
      <c r="G529" s="139"/>
      <c r="H529" s="139"/>
      <c r="I529" s="139"/>
      <c r="J529" s="139"/>
      <c r="K529" s="139"/>
      <c r="L529" s="139"/>
      <c r="M529" s="139"/>
      <c r="N529" s="139"/>
      <c r="O529" s="139"/>
      <c r="P529" s="139"/>
      <c r="Q529" s="139"/>
      <c r="R529" s="139"/>
      <c r="S529" s="139"/>
      <c r="T529" s="139"/>
      <c r="U529" s="139"/>
      <c r="V529" s="139"/>
    </row>
    <row r="530" spans="1:22">
      <c r="A530" s="139"/>
      <c r="B530" s="139"/>
      <c r="C530" s="139"/>
      <c r="D530" s="139"/>
      <c r="E530" s="139"/>
      <c r="F530" s="139"/>
      <c r="G530" s="139"/>
      <c r="H530" s="139"/>
      <c r="I530" s="139"/>
      <c r="J530" s="139"/>
      <c r="K530" s="139"/>
      <c r="L530" s="139"/>
      <c r="M530" s="139"/>
      <c r="N530" s="139"/>
      <c r="O530" s="139"/>
      <c r="P530" s="139"/>
      <c r="Q530" s="139"/>
      <c r="R530" s="139"/>
      <c r="S530" s="139"/>
      <c r="T530" s="139"/>
      <c r="U530" s="139"/>
      <c r="V530" s="139"/>
    </row>
    <row r="531" spans="1:22">
      <c r="A531" s="139"/>
      <c r="B531" s="139"/>
      <c r="C531" s="139"/>
      <c r="D531" s="139"/>
      <c r="E531" s="139"/>
      <c r="F531" s="139"/>
      <c r="G531" s="139"/>
      <c r="H531" s="139"/>
      <c r="I531" s="139"/>
      <c r="J531" s="139"/>
      <c r="K531" s="139"/>
      <c r="L531" s="139"/>
      <c r="M531" s="139"/>
      <c r="N531" s="139"/>
      <c r="O531" s="139"/>
      <c r="P531" s="139"/>
      <c r="Q531" s="139"/>
      <c r="R531" s="139"/>
      <c r="S531" s="139"/>
      <c r="T531" s="139"/>
      <c r="U531" s="139"/>
      <c r="V531" s="139"/>
    </row>
    <row r="532" spans="1:22">
      <c r="A532" s="139"/>
      <c r="B532" s="139"/>
      <c r="C532" s="139"/>
      <c r="D532" s="139"/>
      <c r="E532" s="139"/>
      <c r="F532" s="139"/>
      <c r="G532" s="139"/>
      <c r="H532" s="139"/>
      <c r="I532" s="139"/>
      <c r="J532" s="139"/>
      <c r="K532" s="139"/>
      <c r="L532" s="139"/>
      <c r="M532" s="139"/>
      <c r="N532" s="139"/>
      <c r="O532" s="139"/>
      <c r="P532" s="139"/>
      <c r="Q532" s="139"/>
      <c r="R532" s="139"/>
      <c r="S532" s="139"/>
      <c r="T532" s="139"/>
      <c r="U532" s="139"/>
      <c r="V532" s="139"/>
    </row>
    <row r="533" spans="1:22">
      <c r="A533" s="139"/>
      <c r="B533" s="139"/>
      <c r="C533" s="139"/>
      <c r="D533" s="139"/>
      <c r="E533" s="139"/>
      <c r="F533" s="139"/>
      <c r="G533" s="139"/>
      <c r="H533" s="139"/>
      <c r="I533" s="139"/>
      <c r="J533" s="139"/>
      <c r="K533" s="139"/>
      <c r="L533" s="139"/>
      <c r="M533" s="139"/>
      <c r="N533" s="139"/>
      <c r="O533" s="139"/>
      <c r="P533" s="139"/>
      <c r="Q533" s="139"/>
      <c r="R533" s="139"/>
      <c r="S533" s="139"/>
      <c r="T533" s="139"/>
      <c r="U533" s="139"/>
      <c r="V533" s="139"/>
    </row>
    <row r="534" spans="1:22">
      <c r="A534" s="139"/>
      <c r="B534" s="139"/>
      <c r="C534" s="139"/>
      <c r="D534" s="139"/>
      <c r="E534" s="139"/>
      <c r="F534" s="139"/>
      <c r="G534" s="139"/>
      <c r="H534" s="139"/>
      <c r="I534" s="139"/>
      <c r="J534" s="139"/>
      <c r="K534" s="139"/>
      <c r="L534" s="139"/>
      <c r="M534" s="139"/>
      <c r="N534" s="139"/>
      <c r="O534" s="139"/>
      <c r="P534" s="139"/>
      <c r="Q534" s="139"/>
      <c r="R534" s="139"/>
      <c r="S534" s="139"/>
      <c r="T534" s="139"/>
      <c r="U534" s="139"/>
      <c r="V534" s="139"/>
    </row>
    <row r="535" spans="1:22">
      <c r="A535" s="139"/>
      <c r="B535" s="139"/>
      <c r="C535" s="139"/>
      <c r="D535" s="139"/>
      <c r="E535" s="139"/>
      <c r="F535" s="139"/>
      <c r="G535" s="139"/>
      <c r="H535" s="139"/>
      <c r="I535" s="139"/>
      <c r="J535" s="139"/>
      <c r="K535" s="139"/>
      <c r="L535" s="139"/>
      <c r="M535" s="139"/>
      <c r="N535" s="139"/>
      <c r="O535" s="139"/>
      <c r="P535" s="139"/>
      <c r="Q535" s="139"/>
      <c r="R535" s="139"/>
      <c r="S535" s="139"/>
      <c r="T535" s="139"/>
      <c r="U535" s="139"/>
      <c r="V535" s="139"/>
    </row>
    <row r="536" spans="1:22">
      <c r="A536" s="139"/>
      <c r="B536" s="139"/>
      <c r="C536" s="139"/>
      <c r="D536" s="139"/>
      <c r="E536" s="139"/>
      <c r="F536" s="139"/>
      <c r="G536" s="139"/>
      <c r="H536" s="139"/>
      <c r="I536" s="139"/>
      <c r="J536" s="139"/>
      <c r="K536" s="139"/>
      <c r="L536" s="139"/>
      <c r="M536" s="139"/>
      <c r="N536" s="139"/>
      <c r="O536" s="139"/>
      <c r="P536" s="139"/>
      <c r="Q536" s="139"/>
      <c r="R536" s="139"/>
      <c r="S536" s="139"/>
      <c r="T536" s="139"/>
      <c r="U536" s="139"/>
      <c r="V536" s="139"/>
    </row>
    <row r="537" spans="1:22">
      <c r="A537" s="139"/>
      <c r="B537" s="139"/>
      <c r="C537" s="139"/>
      <c r="D537" s="139"/>
      <c r="E537" s="139"/>
      <c r="F537" s="139"/>
      <c r="G537" s="139"/>
      <c r="H537" s="139"/>
      <c r="I537" s="139"/>
      <c r="J537" s="139"/>
      <c r="K537" s="139"/>
      <c r="L537" s="139"/>
      <c r="M537" s="139"/>
      <c r="N537" s="139"/>
      <c r="O537" s="139"/>
      <c r="P537" s="139"/>
      <c r="Q537" s="139"/>
      <c r="R537" s="139"/>
      <c r="S537" s="139"/>
      <c r="T537" s="139"/>
      <c r="U537" s="139"/>
      <c r="V537" s="139"/>
    </row>
    <row r="538" spans="1:22">
      <c r="A538" s="139"/>
      <c r="B538" s="139"/>
      <c r="C538" s="139"/>
      <c r="D538" s="139"/>
      <c r="E538" s="139"/>
      <c r="F538" s="139"/>
      <c r="G538" s="139"/>
      <c r="H538" s="139"/>
      <c r="I538" s="139"/>
      <c r="J538" s="139"/>
      <c r="K538" s="139"/>
      <c r="L538" s="139"/>
      <c r="M538" s="139"/>
      <c r="N538" s="139"/>
      <c r="O538" s="139"/>
      <c r="P538" s="139"/>
      <c r="Q538" s="139"/>
      <c r="R538" s="139"/>
      <c r="S538" s="139"/>
      <c r="T538" s="139"/>
      <c r="U538" s="139"/>
      <c r="V538" s="139"/>
    </row>
    <row r="539" spans="1:22">
      <c r="A539" s="139"/>
      <c r="B539" s="139"/>
      <c r="C539" s="139"/>
      <c r="D539" s="139"/>
      <c r="E539" s="139"/>
      <c r="F539" s="139"/>
      <c r="G539" s="139"/>
      <c r="H539" s="139"/>
      <c r="I539" s="139"/>
      <c r="J539" s="139"/>
      <c r="K539" s="139"/>
      <c r="L539" s="139"/>
      <c r="M539" s="139"/>
      <c r="N539" s="139"/>
      <c r="O539" s="139"/>
      <c r="P539" s="139"/>
      <c r="Q539" s="139"/>
      <c r="R539" s="139"/>
      <c r="S539" s="139"/>
      <c r="T539" s="139"/>
      <c r="U539" s="139"/>
      <c r="V539" s="139"/>
    </row>
    <row r="540" spans="1:22">
      <c r="A540" s="139"/>
      <c r="B540" s="139"/>
      <c r="C540" s="139"/>
      <c r="D540" s="139"/>
      <c r="E540" s="139"/>
      <c r="F540" s="139"/>
      <c r="G540" s="139"/>
      <c r="H540" s="139"/>
      <c r="I540" s="139"/>
      <c r="J540" s="139"/>
      <c r="K540" s="139"/>
      <c r="L540" s="139"/>
      <c r="M540" s="139"/>
      <c r="N540" s="139"/>
      <c r="O540" s="139"/>
      <c r="P540" s="139"/>
      <c r="Q540" s="139"/>
      <c r="R540" s="139"/>
      <c r="S540" s="139"/>
      <c r="T540" s="139"/>
      <c r="U540" s="139"/>
      <c r="V540" s="139"/>
    </row>
    <row r="541" spans="1:22">
      <c r="A541" s="139"/>
      <c r="B541" s="139"/>
      <c r="C541" s="139"/>
      <c r="D541" s="139"/>
      <c r="E541" s="139"/>
      <c r="F541" s="139"/>
      <c r="G541" s="139"/>
      <c r="H541" s="139"/>
      <c r="I541" s="139"/>
      <c r="J541" s="139"/>
      <c r="K541" s="139"/>
      <c r="L541" s="139"/>
      <c r="M541" s="139"/>
      <c r="N541" s="139"/>
      <c r="O541" s="139"/>
      <c r="P541" s="139"/>
      <c r="Q541" s="139"/>
      <c r="R541" s="139"/>
      <c r="S541" s="139"/>
      <c r="T541" s="139"/>
      <c r="U541" s="139"/>
      <c r="V541" s="139"/>
    </row>
    <row r="542" spans="1:22">
      <c r="A542" s="139"/>
      <c r="B542" s="139"/>
      <c r="C542" s="139"/>
      <c r="D542" s="139"/>
      <c r="E542" s="139"/>
      <c r="F542" s="139"/>
      <c r="G542" s="139"/>
      <c r="H542" s="139"/>
      <c r="I542" s="139"/>
      <c r="J542" s="139"/>
      <c r="K542" s="139"/>
      <c r="L542" s="139"/>
      <c r="M542" s="139"/>
      <c r="N542" s="139"/>
      <c r="O542" s="139"/>
      <c r="P542" s="139"/>
      <c r="Q542" s="139"/>
      <c r="R542" s="139"/>
      <c r="S542" s="139"/>
      <c r="T542" s="139"/>
      <c r="U542" s="139"/>
      <c r="V542" s="139"/>
    </row>
    <row r="543" spans="1:22">
      <c r="A543" s="139"/>
      <c r="B543" s="139"/>
      <c r="C543" s="139"/>
      <c r="D543" s="139"/>
      <c r="E543" s="139"/>
      <c r="F543" s="139"/>
      <c r="G543" s="139"/>
      <c r="H543" s="139"/>
      <c r="I543" s="139"/>
      <c r="J543" s="139"/>
      <c r="K543" s="139"/>
      <c r="L543" s="139"/>
      <c r="M543" s="139"/>
      <c r="N543" s="139"/>
      <c r="O543" s="139"/>
      <c r="P543" s="139"/>
      <c r="Q543" s="139"/>
      <c r="R543" s="139"/>
      <c r="S543" s="139"/>
      <c r="T543" s="139"/>
      <c r="U543" s="139"/>
      <c r="V543" s="139"/>
    </row>
    <row r="544" spans="1:22">
      <c r="A544" s="139"/>
      <c r="B544" s="139"/>
      <c r="C544" s="139"/>
      <c r="D544" s="139"/>
      <c r="E544" s="139"/>
      <c r="F544" s="139"/>
      <c r="G544" s="139"/>
      <c r="H544" s="139"/>
      <c r="I544" s="139"/>
      <c r="J544" s="139"/>
      <c r="K544" s="139"/>
      <c r="L544" s="139"/>
      <c r="M544" s="139"/>
      <c r="N544" s="139"/>
      <c r="O544" s="139"/>
      <c r="P544" s="139"/>
      <c r="Q544" s="139"/>
      <c r="R544" s="139"/>
      <c r="S544" s="139"/>
      <c r="T544" s="139"/>
      <c r="U544" s="139"/>
      <c r="V544" s="139"/>
    </row>
    <row r="545" spans="1:22">
      <c r="A545" s="139"/>
      <c r="B545" s="139"/>
      <c r="C545" s="139"/>
      <c r="D545" s="139"/>
      <c r="E545" s="139"/>
      <c r="F545" s="139"/>
      <c r="G545" s="139"/>
      <c r="H545" s="139"/>
      <c r="I545" s="139"/>
      <c r="J545" s="139"/>
      <c r="K545" s="139"/>
      <c r="L545" s="139"/>
      <c r="M545" s="139"/>
      <c r="N545" s="139"/>
      <c r="O545" s="139"/>
      <c r="P545" s="139"/>
      <c r="Q545" s="139"/>
      <c r="R545" s="139"/>
      <c r="S545" s="139"/>
      <c r="T545" s="139"/>
      <c r="U545" s="139"/>
      <c r="V545" s="139"/>
    </row>
    <row r="546" spans="1:22">
      <c r="A546" s="139"/>
      <c r="B546" s="139"/>
      <c r="C546" s="139"/>
      <c r="D546" s="139"/>
      <c r="E546" s="139"/>
      <c r="F546" s="139"/>
      <c r="G546" s="139"/>
      <c r="H546" s="139"/>
      <c r="I546" s="139"/>
      <c r="J546" s="139"/>
      <c r="K546" s="139"/>
      <c r="L546" s="139"/>
      <c r="M546" s="139"/>
      <c r="N546" s="139"/>
      <c r="O546" s="139"/>
      <c r="P546" s="139"/>
      <c r="Q546" s="139"/>
      <c r="R546" s="139"/>
      <c r="S546" s="139"/>
      <c r="T546" s="139"/>
      <c r="U546" s="139"/>
      <c r="V546" s="139"/>
    </row>
    <row r="547" spans="1:22">
      <c r="A547" s="139"/>
      <c r="B547" s="139"/>
      <c r="C547" s="139"/>
      <c r="D547" s="139"/>
      <c r="E547" s="139"/>
      <c r="F547" s="139"/>
      <c r="G547" s="139"/>
      <c r="H547" s="139"/>
      <c r="I547" s="139"/>
      <c r="J547" s="139"/>
      <c r="K547" s="139"/>
      <c r="L547" s="139"/>
      <c r="M547" s="139"/>
      <c r="N547" s="139"/>
      <c r="O547" s="139"/>
      <c r="P547" s="139"/>
      <c r="Q547" s="139"/>
      <c r="R547" s="139"/>
      <c r="S547" s="139"/>
      <c r="T547" s="139"/>
      <c r="U547" s="139"/>
      <c r="V547" s="139"/>
    </row>
    <row r="548" spans="1:22">
      <c r="A548" s="139"/>
      <c r="B548" s="139"/>
      <c r="C548" s="139"/>
      <c r="D548" s="139"/>
      <c r="E548" s="139"/>
      <c r="F548" s="139"/>
      <c r="G548" s="139"/>
      <c r="H548" s="139"/>
      <c r="I548" s="139"/>
      <c r="J548" s="139"/>
      <c r="K548" s="139"/>
      <c r="L548" s="139"/>
      <c r="M548" s="139"/>
      <c r="N548" s="139"/>
      <c r="O548" s="139"/>
      <c r="P548" s="139"/>
      <c r="Q548" s="139"/>
      <c r="R548" s="139"/>
      <c r="S548" s="139"/>
      <c r="T548" s="139"/>
      <c r="U548" s="139"/>
      <c r="V548" s="139"/>
    </row>
    <row r="549" spans="1:22">
      <c r="A549" s="139"/>
      <c r="B549" s="139"/>
      <c r="C549" s="139"/>
      <c r="D549" s="139"/>
      <c r="E549" s="139"/>
      <c r="F549" s="139"/>
      <c r="G549" s="139"/>
      <c r="H549" s="139"/>
      <c r="I549" s="139"/>
      <c r="J549" s="139"/>
      <c r="K549" s="139"/>
      <c r="L549" s="139"/>
      <c r="M549" s="139"/>
      <c r="N549" s="139"/>
      <c r="O549" s="139"/>
      <c r="P549" s="139"/>
      <c r="Q549" s="139"/>
      <c r="R549" s="139"/>
      <c r="S549" s="139"/>
      <c r="T549" s="139"/>
      <c r="U549" s="139"/>
      <c r="V549" s="139"/>
    </row>
    <row r="550" spans="1:22">
      <c r="A550" s="139"/>
      <c r="B550" s="139"/>
      <c r="C550" s="139"/>
      <c r="D550" s="139"/>
      <c r="E550" s="139"/>
      <c r="F550" s="139"/>
      <c r="G550" s="139"/>
      <c r="H550" s="139"/>
      <c r="I550" s="139"/>
      <c r="J550" s="139"/>
      <c r="K550" s="139"/>
      <c r="L550" s="139"/>
      <c r="M550" s="139"/>
      <c r="N550" s="139"/>
      <c r="O550" s="139"/>
      <c r="P550" s="139"/>
      <c r="Q550" s="139"/>
      <c r="R550" s="139"/>
      <c r="S550" s="139"/>
      <c r="T550" s="139"/>
      <c r="U550" s="139"/>
      <c r="V550" s="139"/>
    </row>
    <row r="551" spans="1:22">
      <c r="A551" s="139"/>
      <c r="B551" s="139"/>
      <c r="C551" s="139"/>
      <c r="D551" s="139"/>
      <c r="E551" s="139"/>
      <c r="F551" s="139"/>
      <c r="G551" s="139"/>
      <c r="H551" s="139"/>
      <c r="I551" s="139"/>
      <c r="J551" s="139"/>
      <c r="K551" s="139"/>
      <c r="L551" s="139"/>
      <c r="M551" s="139"/>
      <c r="N551" s="139"/>
      <c r="O551" s="139"/>
      <c r="P551" s="139"/>
      <c r="Q551" s="139"/>
      <c r="R551" s="139"/>
      <c r="S551" s="139"/>
      <c r="T551" s="139"/>
      <c r="U551" s="139"/>
      <c r="V551" s="139"/>
    </row>
    <row r="552" spans="1:22">
      <c r="A552" s="139"/>
      <c r="B552" s="139"/>
      <c r="C552" s="139"/>
      <c r="D552" s="139"/>
      <c r="E552" s="139"/>
      <c r="F552" s="139"/>
      <c r="G552" s="139"/>
      <c r="H552" s="139"/>
      <c r="I552" s="139"/>
      <c r="J552" s="139"/>
      <c r="K552" s="139"/>
      <c r="L552" s="139"/>
      <c r="M552" s="139"/>
      <c r="N552" s="139"/>
      <c r="O552" s="139"/>
      <c r="P552" s="139"/>
      <c r="Q552" s="139"/>
      <c r="R552" s="139"/>
      <c r="S552" s="139"/>
      <c r="T552" s="139"/>
      <c r="U552" s="139"/>
      <c r="V552" s="139"/>
    </row>
    <row r="553" spans="1:22">
      <c r="A553" s="139"/>
      <c r="B553" s="139"/>
      <c r="C553" s="139"/>
      <c r="D553" s="139"/>
      <c r="E553" s="139"/>
      <c r="F553" s="139"/>
      <c r="G553" s="139"/>
      <c r="H553" s="139"/>
      <c r="I553" s="139"/>
      <c r="J553" s="139"/>
      <c r="K553" s="139"/>
      <c r="L553" s="139"/>
      <c r="M553" s="139"/>
      <c r="N553" s="139"/>
      <c r="O553" s="139"/>
      <c r="P553" s="139"/>
      <c r="Q553" s="139"/>
      <c r="R553" s="139"/>
      <c r="S553" s="139"/>
      <c r="T553" s="139"/>
      <c r="U553" s="139"/>
      <c r="V553" s="139"/>
    </row>
    <row r="554" spans="1:22">
      <c r="A554" s="139"/>
      <c r="B554" s="139"/>
      <c r="C554" s="139"/>
      <c r="D554" s="139"/>
      <c r="E554" s="139"/>
      <c r="F554" s="139"/>
      <c r="G554" s="139"/>
      <c r="H554" s="139"/>
      <c r="I554" s="139"/>
      <c r="J554" s="139"/>
      <c r="K554" s="139"/>
      <c r="L554" s="139"/>
      <c r="M554" s="139"/>
      <c r="N554" s="139"/>
      <c r="O554" s="139"/>
      <c r="P554" s="139"/>
      <c r="Q554" s="139"/>
      <c r="R554" s="139"/>
      <c r="S554" s="139"/>
      <c r="T554" s="139"/>
      <c r="U554" s="139"/>
      <c r="V554" s="139"/>
    </row>
    <row r="555" spans="1:22">
      <c r="A555" s="139"/>
      <c r="B555" s="139"/>
      <c r="C555" s="139"/>
      <c r="D555" s="139"/>
      <c r="E555" s="139"/>
      <c r="F555" s="139"/>
      <c r="G555" s="139"/>
      <c r="H555" s="139"/>
      <c r="I555" s="139"/>
      <c r="J555" s="139"/>
      <c r="K555" s="139"/>
      <c r="L555" s="139"/>
      <c r="M555" s="139"/>
      <c r="N555" s="139"/>
      <c r="O555" s="139"/>
      <c r="P555" s="139"/>
      <c r="Q555" s="139"/>
      <c r="R555" s="139"/>
      <c r="S555" s="139"/>
      <c r="T555" s="139"/>
      <c r="U555" s="139"/>
      <c r="V555" s="139"/>
    </row>
    <row r="556" spans="1:22">
      <c r="A556" s="139"/>
      <c r="B556" s="139"/>
      <c r="C556" s="139"/>
      <c r="D556" s="139"/>
      <c r="E556" s="139"/>
      <c r="F556" s="139"/>
      <c r="G556" s="139"/>
      <c r="H556" s="139"/>
      <c r="I556" s="139"/>
      <c r="J556" s="139"/>
      <c r="K556" s="139"/>
      <c r="L556" s="139"/>
      <c r="M556" s="139"/>
      <c r="N556" s="139"/>
      <c r="O556" s="139"/>
      <c r="P556" s="139"/>
      <c r="Q556" s="139"/>
      <c r="R556" s="139"/>
      <c r="S556" s="139"/>
      <c r="T556" s="139"/>
      <c r="U556" s="139"/>
      <c r="V556" s="139"/>
    </row>
    <row r="557" spans="1:22">
      <c r="A557" s="139"/>
      <c r="B557" s="139"/>
      <c r="C557" s="139"/>
      <c r="D557" s="139"/>
      <c r="E557" s="139"/>
      <c r="F557" s="139"/>
      <c r="G557" s="139"/>
      <c r="H557" s="139"/>
      <c r="I557" s="139"/>
      <c r="J557" s="139"/>
      <c r="K557" s="139"/>
      <c r="L557" s="139"/>
      <c r="M557" s="139"/>
      <c r="N557" s="139"/>
      <c r="O557" s="139"/>
      <c r="P557" s="139"/>
      <c r="Q557" s="139"/>
      <c r="R557" s="139"/>
      <c r="S557" s="139"/>
      <c r="T557" s="139"/>
      <c r="U557" s="139"/>
      <c r="V557" s="139"/>
    </row>
    <row r="558" spans="1:22">
      <c r="A558" s="139"/>
      <c r="B558" s="139"/>
      <c r="C558" s="139"/>
      <c r="D558" s="139"/>
      <c r="E558" s="139"/>
      <c r="F558" s="139"/>
      <c r="G558" s="139"/>
      <c r="H558" s="139"/>
      <c r="I558" s="139"/>
      <c r="J558" s="139"/>
      <c r="K558" s="139"/>
      <c r="L558" s="139"/>
      <c r="M558" s="139"/>
      <c r="N558" s="139"/>
      <c r="O558" s="139"/>
      <c r="P558" s="139"/>
      <c r="Q558" s="139"/>
      <c r="R558" s="139"/>
      <c r="S558" s="139"/>
      <c r="T558" s="139"/>
      <c r="U558" s="139"/>
      <c r="V558" s="139"/>
    </row>
    <row r="559" spans="1:22">
      <c r="A559" s="139"/>
      <c r="B559" s="139"/>
      <c r="C559" s="139"/>
      <c r="D559" s="139"/>
      <c r="E559" s="139"/>
      <c r="F559" s="139"/>
      <c r="G559" s="139"/>
      <c r="H559" s="139"/>
      <c r="I559" s="139"/>
      <c r="J559" s="139"/>
      <c r="K559" s="139"/>
      <c r="L559" s="139"/>
      <c r="M559" s="139"/>
      <c r="N559" s="139"/>
      <c r="O559" s="139"/>
      <c r="P559" s="139"/>
      <c r="Q559" s="139"/>
      <c r="R559" s="139"/>
      <c r="S559" s="139"/>
      <c r="T559" s="139"/>
      <c r="U559" s="139"/>
      <c r="V559" s="139"/>
    </row>
    <row r="560" spans="1:22">
      <c r="A560" s="139"/>
      <c r="B560" s="139"/>
      <c r="C560" s="139"/>
      <c r="D560" s="139"/>
      <c r="E560" s="139"/>
      <c r="F560" s="139"/>
      <c r="G560" s="139"/>
      <c r="H560" s="139"/>
      <c r="I560" s="139"/>
      <c r="J560" s="139"/>
      <c r="K560" s="139"/>
      <c r="L560" s="139"/>
      <c r="M560" s="139"/>
      <c r="N560" s="139"/>
      <c r="O560" s="139"/>
      <c r="P560" s="139"/>
      <c r="Q560" s="139"/>
      <c r="R560" s="139"/>
      <c r="S560" s="139"/>
      <c r="T560" s="139"/>
      <c r="U560" s="139"/>
      <c r="V560" s="139"/>
    </row>
    <row r="561" spans="1:22">
      <c r="A561" s="139"/>
      <c r="B561" s="139"/>
      <c r="C561" s="139"/>
      <c r="D561" s="139"/>
      <c r="E561" s="139"/>
      <c r="F561" s="139"/>
      <c r="G561" s="139"/>
      <c r="H561" s="139"/>
      <c r="I561" s="139"/>
      <c r="J561" s="139"/>
      <c r="K561" s="139"/>
      <c r="L561" s="139"/>
      <c r="M561" s="139"/>
      <c r="N561" s="139"/>
      <c r="O561" s="139"/>
      <c r="P561" s="139"/>
      <c r="Q561" s="139"/>
      <c r="R561" s="139"/>
      <c r="S561" s="139"/>
      <c r="T561" s="139"/>
      <c r="U561" s="139"/>
      <c r="V561" s="139"/>
    </row>
    <row r="562" spans="1:22">
      <c r="A562" s="139"/>
      <c r="B562" s="139"/>
      <c r="C562" s="139"/>
      <c r="D562" s="139"/>
      <c r="E562" s="139"/>
      <c r="F562" s="139"/>
      <c r="G562" s="139"/>
      <c r="H562" s="139"/>
      <c r="I562" s="139"/>
      <c r="J562" s="139"/>
      <c r="K562" s="139"/>
      <c r="L562" s="139"/>
      <c r="M562" s="139"/>
      <c r="N562" s="139"/>
      <c r="O562" s="139"/>
      <c r="P562" s="139"/>
      <c r="Q562" s="139"/>
      <c r="R562" s="139"/>
      <c r="S562" s="139"/>
      <c r="T562" s="139"/>
      <c r="U562" s="139"/>
      <c r="V562" s="139"/>
    </row>
    <row r="563" spans="1:22">
      <c r="A563" s="139"/>
      <c r="B563" s="139"/>
      <c r="C563" s="139"/>
      <c r="D563" s="139"/>
      <c r="E563" s="139"/>
      <c r="F563" s="139"/>
      <c r="G563" s="139"/>
      <c r="H563" s="139"/>
      <c r="I563" s="139"/>
      <c r="J563" s="139"/>
      <c r="K563" s="139"/>
      <c r="L563" s="139"/>
      <c r="M563" s="139"/>
      <c r="N563" s="139"/>
      <c r="O563" s="139"/>
      <c r="P563" s="139"/>
      <c r="Q563" s="139"/>
      <c r="R563" s="139"/>
      <c r="S563" s="139"/>
      <c r="T563" s="139"/>
      <c r="U563" s="139"/>
      <c r="V563" s="139"/>
    </row>
    <row r="564" spans="1:22">
      <c r="A564" s="139"/>
      <c r="B564" s="139"/>
      <c r="C564" s="139"/>
      <c r="D564" s="139"/>
      <c r="E564" s="139"/>
      <c r="F564" s="139"/>
      <c r="G564" s="139"/>
      <c r="H564" s="139"/>
      <c r="I564" s="139"/>
      <c r="J564" s="139"/>
      <c r="K564" s="139"/>
      <c r="L564" s="139"/>
      <c r="M564" s="139"/>
      <c r="N564" s="139"/>
      <c r="O564" s="139"/>
      <c r="P564" s="139"/>
      <c r="Q564" s="139"/>
      <c r="R564" s="139"/>
      <c r="S564" s="139"/>
      <c r="T564" s="139"/>
      <c r="U564" s="139"/>
      <c r="V564" s="139"/>
    </row>
    <row r="565" spans="1:22">
      <c r="A565" s="139"/>
      <c r="B565" s="139"/>
      <c r="C565" s="139"/>
      <c r="D565" s="139"/>
      <c r="E565" s="139"/>
      <c r="F565" s="139"/>
      <c r="G565" s="139"/>
      <c r="H565" s="139"/>
      <c r="I565" s="139"/>
      <c r="J565" s="139"/>
      <c r="K565" s="139"/>
      <c r="L565" s="139"/>
      <c r="M565" s="139"/>
      <c r="N565" s="139"/>
      <c r="O565" s="139"/>
      <c r="P565" s="139"/>
      <c r="Q565" s="139"/>
      <c r="R565" s="139"/>
      <c r="S565" s="139"/>
      <c r="T565" s="139"/>
      <c r="U565" s="139"/>
      <c r="V565" s="139"/>
    </row>
    <row r="566" spans="1:22">
      <c r="A566" s="139"/>
      <c r="B566" s="139"/>
      <c r="C566" s="139"/>
      <c r="D566" s="139"/>
      <c r="E566" s="139"/>
      <c r="F566" s="139"/>
      <c r="G566" s="139"/>
      <c r="H566" s="139"/>
      <c r="I566" s="139"/>
      <c r="J566" s="139"/>
      <c r="K566" s="139"/>
      <c r="L566" s="139"/>
      <c r="M566" s="139"/>
      <c r="N566" s="139"/>
      <c r="O566" s="139"/>
      <c r="P566" s="139"/>
      <c r="Q566" s="139"/>
      <c r="R566" s="139"/>
      <c r="S566" s="139"/>
      <c r="T566" s="139"/>
      <c r="U566" s="139"/>
      <c r="V566" s="139"/>
    </row>
    <row r="567" spans="1:22">
      <c r="A567" s="139"/>
      <c r="B567" s="139"/>
      <c r="C567" s="139"/>
      <c r="D567" s="139"/>
      <c r="E567" s="139"/>
      <c r="F567" s="139"/>
      <c r="G567" s="139"/>
      <c r="H567" s="139"/>
      <c r="I567" s="139"/>
      <c r="J567" s="139"/>
      <c r="K567" s="139"/>
      <c r="L567" s="139"/>
      <c r="M567" s="139"/>
      <c r="N567" s="139"/>
      <c r="O567" s="139"/>
      <c r="P567" s="139"/>
      <c r="Q567" s="139"/>
      <c r="R567" s="139"/>
      <c r="S567" s="139"/>
      <c r="T567" s="139"/>
      <c r="U567" s="139"/>
      <c r="V567" s="139"/>
    </row>
    <row r="568" spans="1:22">
      <c r="A568" s="139"/>
      <c r="B568" s="139"/>
      <c r="C568" s="139"/>
      <c r="D568" s="139"/>
      <c r="E568" s="139"/>
      <c r="F568" s="139"/>
      <c r="G568" s="139"/>
      <c r="H568" s="139"/>
      <c r="I568" s="139"/>
      <c r="J568" s="139"/>
      <c r="K568" s="139"/>
      <c r="L568" s="139"/>
      <c r="M568" s="139"/>
      <c r="N568" s="139"/>
      <c r="O568" s="139"/>
      <c r="P568" s="139"/>
      <c r="Q568" s="139"/>
      <c r="R568" s="139"/>
      <c r="S568" s="139"/>
      <c r="T568" s="139"/>
      <c r="U568" s="139"/>
      <c r="V568" s="139"/>
    </row>
    <row r="569" spans="1:22">
      <c r="A569" s="139"/>
      <c r="B569" s="139"/>
      <c r="C569" s="139"/>
      <c r="D569" s="139"/>
      <c r="E569" s="139"/>
      <c r="F569" s="139"/>
      <c r="G569" s="139"/>
      <c r="H569" s="139"/>
      <c r="I569" s="139"/>
      <c r="J569" s="139"/>
      <c r="K569" s="139"/>
      <c r="L569" s="139"/>
      <c r="M569" s="139"/>
      <c r="N569" s="139"/>
      <c r="O569" s="139"/>
      <c r="P569" s="139"/>
      <c r="Q569" s="139"/>
      <c r="R569" s="139"/>
      <c r="S569" s="139"/>
      <c r="T569" s="139"/>
      <c r="U569" s="139"/>
      <c r="V569" s="139"/>
    </row>
    <row r="570" spans="1:22">
      <c r="A570" s="139"/>
      <c r="B570" s="139"/>
      <c r="C570" s="139"/>
      <c r="D570" s="139"/>
      <c r="E570" s="139"/>
      <c r="F570" s="139"/>
      <c r="G570" s="139"/>
      <c r="H570" s="139"/>
      <c r="I570" s="139"/>
      <c r="J570" s="139"/>
      <c r="K570" s="139"/>
      <c r="L570" s="139"/>
      <c r="M570" s="139"/>
      <c r="N570" s="139"/>
      <c r="O570" s="139"/>
      <c r="P570" s="139"/>
      <c r="Q570" s="139"/>
      <c r="R570" s="139"/>
      <c r="S570" s="139"/>
      <c r="T570" s="139"/>
      <c r="U570" s="139"/>
      <c r="V570" s="139"/>
    </row>
    <row r="571" spans="1:22">
      <c r="A571" s="139"/>
      <c r="B571" s="139"/>
      <c r="C571" s="139"/>
      <c r="D571" s="139"/>
      <c r="E571" s="139"/>
      <c r="F571" s="139"/>
      <c r="G571" s="139"/>
      <c r="H571" s="139"/>
      <c r="I571" s="139"/>
      <c r="J571" s="139"/>
      <c r="K571" s="139"/>
      <c r="L571" s="139"/>
      <c r="M571" s="139"/>
      <c r="N571" s="139"/>
      <c r="O571" s="139"/>
      <c r="P571" s="139"/>
      <c r="Q571" s="139"/>
      <c r="R571" s="139"/>
      <c r="S571" s="139"/>
      <c r="T571" s="139"/>
      <c r="U571" s="139"/>
      <c r="V571" s="139"/>
    </row>
    <row r="572" spans="1:22">
      <c r="A572" s="139"/>
      <c r="B572" s="139"/>
      <c r="C572" s="139"/>
      <c r="D572" s="139"/>
      <c r="E572" s="139"/>
      <c r="F572" s="139"/>
      <c r="G572" s="139"/>
      <c r="H572" s="139"/>
      <c r="I572" s="139"/>
      <c r="J572" s="139"/>
      <c r="K572" s="139"/>
      <c r="L572" s="139"/>
      <c r="M572" s="139"/>
      <c r="N572" s="139"/>
      <c r="O572" s="139"/>
      <c r="P572" s="139"/>
      <c r="Q572" s="139"/>
      <c r="R572" s="139"/>
      <c r="S572" s="139"/>
      <c r="T572" s="139"/>
      <c r="U572" s="139"/>
      <c r="V572" s="139"/>
    </row>
    <row r="573" spans="1:22">
      <c r="A573" s="139"/>
      <c r="B573" s="139"/>
      <c r="C573" s="139"/>
      <c r="D573" s="139"/>
      <c r="E573" s="139"/>
      <c r="F573" s="139"/>
      <c r="G573" s="139"/>
      <c r="H573" s="139"/>
      <c r="I573" s="139"/>
      <c r="J573" s="139"/>
      <c r="K573" s="139"/>
      <c r="L573" s="139"/>
      <c r="M573" s="139"/>
      <c r="N573" s="139"/>
      <c r="O573" s="139"/>
      <c r="P573" s="139"/>
      <c r="Q573" s="139"/>
      <c r="R573" s="139"/>
      <c r="S573" s="139"/>
      <c r="T573" s="139"/>
      <c r="U573" s="139"/>
      <c r="V573" s="139"/>
    </row>
    <row r="574" spans="1:22">
      <c r="A574" s="139"/>
      <c r="B574" s="139"/>
      <c r="C574" s="139"/>
      <c r="D574" s="139"/>
      <c r="E574" s="139"/>
      <c r="F574" s="139"/>
      <c r="G574" s="139"/>
      <c r="H574" s="139"/>
      <c r="I574" s="139"/>
      <c r="J574" s="139"/>
      <c r="K574" s="139"/>
      <c r="L574" s="139"/>
      <c r="M574" s="139"/>
      <c r="N574" s="139"/>
      <c r="O574" s="139"/>
      <c r="P574" s="139"/>
      <c r="Q574" s="139"/>
      <c r="R574" s="139"/>
      <c r="S574" s="139"/>
      <c r="T574" s="139"/>
      <c r="U574" s="139"/>
      <c r="V574" s="139"/>
    </row>
    <row r="575" spans="1:22">
      <c r="A575" s="139"/>
      <c r="B575" s="139"/>
      <c r="C575" s="139"/>
      <c r="D575" s="139"/>
      <c r="E575" s="139"/>
      <c r="F575" s="139"/>
      <c r="G575" s="139"/>
      <c r="H575" s="139"/>
      <c r="I575" s="139"/>
      <c r="J575" s="139"/>
      <c r="K575" s="139"/>
      <c r="L575" s="139"/>
      <c r="M575" s="139"/>
      <c r="N575" s="139"/>
      <c r="O575" s="139"/>
      <c r="P575" s="139"/>
      <c r="Q575" s="139"/>
      <c r="R575" s="139"/>
      <c r="S575" s="139"/>
      <c r="T575" s="139"/>
      <c r="U575" s="139"/>
      <c r="V575" s="139"/>
    </row>
    <row r="576" spans="1:22">
      <c r="A576" s="139"/>
      <c r="B576" s="139"/>
      <c r="C576" s="139"/>
      <c r="D576" s="139"/>
      <c r="E576" s="139"/>
      <c r="F576" s="139"/>
      <c r="G576" s="139"/>
      <c r="H576" s="139"/>
      <c r="I576" s="139"/>
      <c r="J576" s="139"/>
      <c r="K576" s="139"/>
      <c r="L576" s="139"/>
      <c r="M576" s="139"/>
      <c r="N576" s="139"/>
      <c r="O576" s="139"/>
      <c r="P576" s="139"/>
      <c r="Q576" s="139"/>
      <c r="R576" s="139"/>
      <c r="S576" s="139"/>
      <c r="T576" s="139"/>
      <c r="U576" s="139"/>
      <c r="V576" s="139"/>
    </row>
    <row r="577" spans="1:22">
      <c r="A577" s="139"/>
      <c r="B577" s="139"/>
      <c r="C577" s="139"/>
      <c r="D577" s="139"/>
      <c r="E577" s="139"/>
      <c r="F577" s="139"/>
      <c r="G577" s="139"/>
      <c r="H577" s="139"/>
      <c r="I577" s="139"/>
      <c r="J577" s="139"/>
      <c r="K577" s="139"/>
      <c r="L577" s="139"/>
      <c r="M577" s="139"/>
      <c r="N577" s="139"/>
      <c r="O577" s="139"/>
      <c r="P577" s="139"/>
      <c r="Q577" s="139"/>
      <c r="R577" s="139"/>
      <c r="S577" s="139"/>
      <c r="T577" s="139"/>
      <c r="U577" s="139"/>
      <c r="V577" s="139"/>
    </row>
    <row r="578" spans="1:22">
      <c r="A578" s="139"/>
      <c r="B578" s="139"/>
      <c r="C578" s="139"/>
      <c r="D578" s="139"/>
      <c r="E578" s="139"/>
      <c r="F578" s="139"/>
      <c r="G578" s="139"/>
      <c r="H578" s="139"/>
      <c r="I578" s="139"/>
      <c r="J578" s="139"/>
      <c r="K578" s="139"/>
      <c r="L578" s="139"/>
      <c r="M578" s="139"/>
      <c r="N578" s="139"/>
      <c r="O578" s="139"/>
      <c r="P578" s="139"/>
      <c r="Q578" s="139"/>
      <c r="R578" s="139"/>
      <c r="S578" s="139"/>
      <c r="T578" s="139"/>
      <c r="U578" s="139"/>
      <c r="V578" s="139"/>
    </row>
    <row r="579" spans="1:22">
      <c r="A579" s="139"/>
      <c r="B579" s="139"/>
      <c r="C579" s="139"/>
      <c r="D579" s="139"/>
      <c r="E579" s="139"/>
      <c r="F579" s="139"/>
      <c r="G579" s="139"/>
      <c r="H579" s="139"/>
      <c r="I579" s="139"/>
      <c r="J579" s="139"/>
      <c r="K579" s="139"/>
      <c r="L579" s="139"/>
      <c r="M579" s="139"/>
      <c r="N579" s="139"/>
      <c r="O579" s="139"/>
      <c r="P579" s="139"/>
      <c r="Q579" s="139"/>
      <c r="R579" s="139"/>
      <c r="S579" s="139"/>
      <c r="T579" s="139"/>
      <c r="U579" s="139"/>
      <c r="V579" s="139"/>
    </row>
    <row r="580" spans="1:22">
      <c r="A580" s="139"/>
      <c r="B580" s="139"/>
      <c r="C580" s="139"/>
      <c r="D580" s="139"/>
      <c r="E580" s="139"/>
      <c r="F580" s="139"/>
      <c r="G580" s="139"/>
      <c r="H580" s="139"/>
      <c r="I580" s="139"/>
      <c r="J580" s="139"/>
      <c r="K580" s="139"/>
      <c r="L580" s="139"/>
      <c r="M580" s="139"/>
      <c r="N580" s="139"/>
      <c r="O580" s="139"/>
      <c r="P580" s="139"/>
      <c r="Q580" s="139"/>
      <c r="R580" s="139"/>
      <c r="S580" s="139"/>
      <c r="T580" s="139"/>
      <c r="U580" s="139"/>
      <c r="V580" s="139"/>
    </row>
    <row r="581" spans="1:22">
      <c r="A581" s="139"/>
      <c r="B581" s="139"/>
      <c r="C581" s="139"/>
      <c r="D581" s="139"/>
      <c r="E581" s="139"/>
      <c r="F581" s="139"/>
      <c r="G581" s="139"/>
      <c r="H581" s="139"/>
      <c r="I581" s="139"/>
      <c r="J581" s="139"/>
      <c r="K581" s="139"/>
      <c r="L581" s="139"/>
      <c r="M581" s="139"/>
      <c r="N581" s="139"/>
      <c r="O581" s="139"/>
      <c r="P581" s="139"/>
      <c r="Q581" s="139"/>
      <c r="R581" s="139"/>
      <c r="S581" s="139"/>
      <c r="T581" s="139"/>
      <c r="U581" s="139"/>
      <c r="V581" s="139"/>
    </row>
    <row r="582" spans="1:22">
      <c r="A582" s="139"/>
      <c r="B582" s="139"/>
      <c r="C582" s="139"/>
      <c r="D582" s="139"/>
      <c r="E582" s="139"/>
      <c r="F582" s="139"/>
      <c r="G582" s="139"/>
      <c r="H582" s="139"/>
      <c r="I582" s="139"/>
      <c r="J582" s="139"/>
      <c r="K582" s="139"/>
      <c r="L582" s="139"/>
      <c r="M582" s="139"/>
      <c r="N582" s="139"/>
      <c r="O582" s="139"/>
      <c r="P582" s="139"/>
      <c r="Q582" s="139"/>
      <c r="R582" s="139"/>
      <c r="S582" s="139"/>
      <c r="T582" s="139"/>
      <c r="U582" s="139"/>
      <c r="V582" s="139"/>
    </row>
    <row r="583" spans="1:22">
      <c r="A583" s="139"/>
      <c r="B583" s="139"/>
      <c r="C583" s="139"/>
      <c r="D583" s="139"/>
      <c r="E583" s="139"/>
      <c r="F583" s="139"/>
      <c r="G583" s="139"/>
      <c r="H583" s="139"/>
      <c r="I583" s="139"/>
      <c r="J583" s="139"/>
      <c r="K583" s="139"/>
      <c r="L583" s="139"/>
      <c r="M583" s="139"/>
      <c r="N583" s="139"/>
      <c r="O583" s="139"/>
      <c r="P583" s="139"/>
      <c r="Q583" s="139"/>
      <c r="R583" s="139"/>
      <c r="S583" s="139"/>
      <c r="T583" s="139"/>
      <c r="U583" s="139"/>
      <c r="V583" s="139"/>
    </row>
    <row r="584" spans="1:22">
      <c r="A584" s="139"/>
      <c r="B584" s="139"/>
      <c r="C584" s="139"/>
      <c r="D584" s="139"/>
      <c r="E584" s="139"/>
      <c r="F584" s="139"/>
      <c r="G584" s="139"/>
      <c r="H584" s="139"/>
      <c r="I584" s="139"/>
      <c r="J584" s="139"/>
      <c r="K584" s="139"/>
      <c r="L584" s="139"/>
      <c r="M584" s="139"/>
      <c r="N584" s="139"/>
      <c r="O584" s="139"/>
      <c r="P584" s="139"/>
      <c r="Q584" s="139"/>
      <c r="R584" s="139"/>
      <c r="S584" s="139"/>
      <c r="T584" s="139"/>
      <c r="U584" s="139"/>
      <c r="V584" s="139"/>
    </row>
    <row r="585" spans="1:22">
      <c r="A585" s="139"/>
      <c r="B585" s="139"/>
      <c r="C585" s="139"/>
      <c r="D585" s="139"/>
      <c r="E585" s="139"/>
      <c r="F585" s="139"/>
      <c r="G585" s="139"/>
      <c r="H585" s="139"/>
      <c r="I585" s="139"/>
      <c r="J585" s="139"/>
      <c r="K585" s="139"/>
      <c r="L585" s="139"/>
      <c r="M585" s="139"/>
      <c r="N585" s="139"/>
      <c r="O585" s="139"/>
      <c r="P585" s="139"/>
      <c r="Q585" s="139"/>
      <c r="R585" s="139"/>
      <c r="S585" s="139"/>
      <c r="T585" s="139"/>
      <c r="U585" s="139"/>
      <c r="V585" s="139"/>
    </row>
    <row r="586" spans="1:22">
      <c r="A586" s="139"/>
      <c r="B586" s="139"/>
      <c r="C586" s="139"/>
      <c r="D586" s="139"/>
      <c r="E586" s="139"/>
      <c r="F586" s="139"/>
      <c r="G586" s="139"/>
      <c r="H586" s="139"/>
      <c r="I586" s="139"/>
      <c r="J586" s="139"/>
      <c r="K586" s="139"/>
      <c r="L586" s="139"/>
      <c r="M586" s="139"/>
      <c r="N586" s="139"/>
      <c r="O586" s="139"/>
      <c r="P586" s="139"/>
      <c r="Q586" s="139"/>
      <c r="R586" s="139"/>
      <c r="S586" s="139"/>
      <c r="T586" s="139"/>
      <c r="U586" s="139"/>
      <c r="V586" s="139"/>
    </row>
    <row r="587" spans="1:22">
      <c r="A587" s="139"/>
      <c r="B587" s="139"/>
      <c r="C587" s="139"/>
      <c r="D587" s="139"/>
      <c r="E587" s="139"/>
      <c r="F587" s="139"/>
      <c r="G587" s="139"/>
      <c r="H587" s="139"/>
      <c r="I587" s="139"/>
      <c r="J587" s="139"/>
      <c r="K587" s="139"/>
      <c r="L587" s="139"/>
      <c r="M587" s="139"/>
      <c r="N587" s="139"/>
      <c r="O587" s="139"/>
      <c r="P587" s="139"/>
      <c r="Q587" s="139"/>
      <c r="R587" s="139"/>
      <c r="S587" s="139"/>
      <c r="T587" s="139"/>
      <c r="U587" s="139"/>
      <c r="V587" s="139"/>
    </row>
    <row r="588" spans="1:22">
      <c r="A588" s="139"/>
      <c r="B588" s="139"/>
      <c r="C588" s="139"/>
      <c r="D588" s="139"/>
      <c r="E588" s="139"/>
      <c r="F588" s="139"/>
      <c r="G588" s="139"/>
      <c r="H588" s="139"/>
      <c r="I588" s="139"/>
      <c r="J588" s="139"/>
      <c r="K588" s="139"/>
      <c r="L588" s="139"/>
      <c r="M588" s="139"/>
      <c r="N588" s="139"/>
      <c r="O588" s="139"/>
      <c r="P588" s="139"/>
      <c r="Q588" s="139"/>
      <c r="R588" s="139"/>
      <c r="S588" s="139"/>
      <c r="T588" s="139"/>
      <c r="U588" s="139"/>
      <c r="V588" s="139"/>
    </row>
    <row r="589" spans="1:22">
      <c r="A589" s="139"/>
      <c r="B589" s="139"/>
      <c r="C589" s="139"/>
      <c r="D589" s="139"/>
      <c r="E589" s="139"/>
      <c r="F589" s="139"/>
      <c r="G589" s="139"/>
      <c r="H589" s="139"/>
      <c r="I589" s="139"/>
      <c r="J589" s="139"/>
      <c r="K589" s="139"/>
      <c r="L589" s="139"/>
      <c r="M589" s="139"/>
      <c r="N589" s="139"/>
      <c r="O589" s="139"/>
      <c r="P589" s="139"/>
      <c r="Q589" s="139"/>
      <c r="R589" s="139"/>
      <c r="S589" s="139"/>
      <c r="T589" s="139"/>
      <c r="U589" s="139"/>
      <c r="V589" s="139"/>
    </row>
    <row r="590" spans="1:22">
      <c r="A590" s="139"/>
      <c r="B590" s="139"/>
      <c r="C590" s="139"/>
      <c r="D590" s="139"/>
      <c r="E590" s="139"/>
      <c r="F590" s="139"/>
      <c r="G590" s="139"/>
      <c r="H590" s="139"/>
      <c r="I590" s="139"/>
      <c r="J590" s="139"/>
      <c r="K590" s="139"/>
      <c r="L590" s="139"/>
      <c r="M590" s="139"/>
      <c r="N590" s="139"/>
      <c r="O590" s="139"/>
      <c r="P590" s="139"/>
      <c r="Q590" s="139"/>
      <c r="R590" s="139"/>
      <c r="S590" s="139"/>
      <c r="T590" s="139"/>
      <c r="U590" s="139"/>
      <c r="V590" s="139"/>
    </row>
    <row r="591" spans="1:22">
      <c r="A591" s="139"/>
      <c r="B591" s="139"/>
      <c r="C591" s="139"/>
      <c r="D591" s="139"/>
      <c r="E591" s="139"/>
      <c r="F591" s="139"/>
      <c r="G591" s="139"/>
      <c r="H591" s="139"/>
      <c r="I591" s="139"/>
      <c r="J591" s="139"/>
      <c r="K591" s="139"/>
      <c r="L591" s="139"/>
      <c r="M591" s="139"/>
      <c r="N591" s="139"/>
      <c r="O591" s="139"/>
      <c r="P591" s="139"/>
      <c r="Q591" s="139"/>
      <c r="R591" s="139"/>
      <c r="S591" s="139"/>
      <c r="T591" s="139"/>
      <c r="U591" s="139"/>
      <c r="V591" s="139"/>
    </row>
    <row r="592" spans="1:22">
      <c r="A592" s="139"/>
      <c r="B592" s="139"/>
      <c r="C592" s="139"/>
      <c r="D592" s="139"/>
      <c r="E592" s="139"/>
      <c r="F592" s="139"/>
      <c r="G592" s="139"/>
      <c r="H592" s="139"/>
      <c r="I592" s="139"/>
      <c r="J592" s="139"/>
      <c r="K592" s="139"/>
      <c r="L592" s="139"/>
      <c r="M592" s="139"/>
      <c r="N592" s="139"/>
      <c r="O592" s="139"/>
      <c r="P592" s="139"/>
      <c r="Q592" s="139"/>
      <c r="R592" s="139"/>
      <c r="S592" s="139"/>
      <c r="T592" s="139"/>
      <c r="U592" s="139"/>
      <c r="V592" s="139"/>
    </row>
    <row r="593" spans="1:22">
      <c r="A593" s="139"/>
      <c r="B593" s="139"/>
      <c r="C593" s="139"/>
      <c r="D593" s="139"/>
      <c r="E593" s="139"/>
      <c r="F593" s="139"/>
      <c r="G593" s="139"/>
      <c r="H593" s="139"/>
      <c r="I593" s="139"/>
      <c r="J593" s="139"/>
      <c r="K593" s="139"/>
      <c r="L593" s="139"/>
      <c r="M593" s="139"/>
      <c r="N593" s="139"/>
      <c r="O593" s="139"/>
      <c r="P593" s="139"/>
      <c r="Q593" s="139"/>
      <c r="R593" s="139"/>
      <c r="S593" s="139"/>
      <c r="T593" s="139"/>
      <c r="U593" s="139"/>
      <c r="V593" s="139"/>
    </row>
    <row r="594" spans="1:22">
      <c r="A594" s="139"/>
      <c r="B594" s="139"/>
      <c r="C594" s="139"/>
      <c r="D594" s="139"/>
      <c r="E594" s="139"/>
      <c r="F594" s="139"/>
      <c r="G594" s="139"/>
      <c r="H594" s="139"/>
      <c r="I594" s="139"/>
      <c r="J594" s="139"/>
      <c r="K594" s="139"/>
      <c r="L594" s="139"/>
      <c r="M594" s="139"/>
      <c r="N594" s="139"/>
      <c r="O594" s="139"/>
      <c r="P594" s="139"/>
      <c r="Q594" s="139"/>
      <c r="R594" s="139"/>
      <c r="S594" s="139"/>
      <c r="T594" s="139"/>
      <c r="U594" s="139"/>
      <c r="V594" s="139"/>
    </row>
    <row r="595" spans="1:22">
      <c r="A595" s="139"/>
      <c r="B595" s="139"/>
      <c r="C595" s="139"/>
      <c r="D595" s="139"/>
      <c r="E595" s="139"/>
      <c r="F595" s="139"/>
      <c r="G595" s="139"/>
      <c r="H595" s="139"/>
      <c r="I595" s="139"/>
      <c r="J595" s="139"/>
      <c r="K595" s="139"/>
      <c r="L595" s="139"/>
      <c r="M595" s="139"/>
      <c r="N595" s="139"/>
      <c r="O595" s="139"/>
      <c r="P595" s="139"/>
      <c r="Q595" s="139"/>
      <c r="R595" s="139"/>
      <c r="S595" s="139"/>
      <c r="T595" s="139"/>
      <c r="U595" s="139"/>
      <c r="V595" s="139"/>
    </row>
    <row r="596" spans="1:22">
      <c r="A596" s="139"/>
      <c r="B596" s="139"/>
      <c r="C596" s="139"/>
      <c r="D596" s="139"/>
      <c r="E596" s="139"/>
      <c r="F596" s="139"/>
      <c r="G596" s="139"/>
      <c r="H596" s="139"/>
      <c r="I596" s="139"/>
      <c r="J596" s="139"/>
      <c r="K596" s="139"/>
      <c r="L596" s="139"/>
      <c r="M596" s="139"/>
      <c r="N596" s="139"/>
      <c r="O596" s="139"/>
      <c r="P596" s="139"/>
      <c r="Q596" s="139"/>
      <c r="R596" s="139"/>
      <c r="S596" s="139"/>
      <c r="T596" s="139"/>
      <c r="U596" s="139"/>
      <c r="V596" s="139"/>
    </row>
    <row r="597" spans="1:22">
      <c r="A597" s="139"/>
      <c r="B597" s="139"/>
      <c r="C597" s="139"/>
      <c r="D597" s="139"/>
      <c r="E597" s="139"/>
      <c r="F597" s="139"/>
      <c r="G597" s="139"/>
      <c r="H597" s="139"/>
      <c r="I597" s="139"/>
      <c r="J597" s="139"/>
      <c r="K597" s="139"/>
      <c r="L597" s="139"/>
      <c r="M597" s="139"/>
      <c r="N597" s="139"/>
      <c r="O597" s="139"/>
      <c r="P597" s="139"/>
      <c r="Q597" s="139"/>
      <c r="R597" s="139"/>
      <c r="S597" s="139"/>
      <c r="T597" s="139"/>
      <c r="U597" s="139"/>
      <c r="V597" s="139"/>
    </row>
    <row r="598" spans="1:22">
      <c r="A598" s="139"/>
      <c r="B598" s="139"/>
      <c r="C598" s="139"/>
      <c r="D598" s="139"/>
      <c r="E598" s="139"/>
      <c r="F598" s="139"/>
      <c r="G598" s="139"/>
      <c r="H598" s="139"/>
      <c r="I598" s="139"/>
      <c r="J598" s="139"/>
      <c r="K598" s="139"/>
      <c r="L598" s="139"/>
      <c r="M598" s="139"/>
      <c r="N598" s="139"/>
      <c r="O598" s="139"/>
      <c r="P598" s="139"/>
      <c r="Q598" s="139"/>
      <c r="R598" s="139"/>
      <c r="S598" s="139"/>
      <c r="T598" s="139"/>
      <c r="U598" s="139"/>
      <c r="V598" s="139"/>
    </row>
    <row r="599" spans="1:22">
      <c r="A599" s="139"/>
      <c r="B599" s="139"/>
      <c r="C599" s="139"/>
      <c r="D599" s="139"/>
      <c r="E599" s="139"/>
      <c r="F599" s="139"/>
      <c r="G599" s="139"/>
      <c r="H599" s="139"/>
      <c r="I599" s="139"/>
      <c r="J599" s="139"/>
      <c r="K599" s="139"/>
      <c r="L599" s="139"/>
      <c r="M599" s="139"/>
      <c r="N599" s="139"/>
      <c r="O599" s="139"/>
      <c r="P599" s="139"/>
      <c r="Q599" s="139"/>
      <c r="R599" s="139"/>
      <c r="S599" s="139"/>
      <c r="T599" s="139"/>
      <c r="U599" s="139"/>
      <c r="V599" s="139"/>
    </row>
    <row r="600" spans="1:22">
      <c r="A600" s="139"/>
      <c r="B600" s="139"/>
      <c r="C600" s="139"/>
      <c r="D600" s="139"/>
      <c r="E600" s="139"/>
      <c r="F600" s="139"/>
      <c r="G600" s="139"/>
      <c r="H600" s="139"/>
      <c r="I600" s="139"/>
      <c r="J600" s="139"/>
      <c r="K600" s="139"/>
      <c r="L600" s="139"/>
      <c r="M600" s="139"/>
      <c r="N600" s="139"/>
      <c r="O600" s="139"/>
      <c r="P600" s="139"/>
      <c r="Q600" s="139"/>
      <c r="R600" s="139"/>
      <c r="S600" s="139"/>
      <c r="T600" s="139"/>
      <c r="U600" s="139"/>
      <c r="V600" s="139"/>
    </row>
    <row r="601" spans="1:22">
      <c r="A601" s="139"/>
      <c r="B601" s="139"/>
      <c r="C601" s="139"/>
      <c r="D601" s="139"/>
      <c r="E601" s="139"/>
      <c r="F601" s="139"/>
      <c r="G601" s="139"/>
      <c r="H601" s="139"/>
      <c r="I601" s="139"/>
      <c r="J601" s="139"/>
      <c r="K601" s="139"/>
      <c r="L601" s="139"/>
      <c r="M601" s="139"/>
      <c r="N601" s="139"/>
      <c r="O601" s="139"/>
      <c r="P601" s="139"/>
      <c r="Q601" s="139"/>
      <c r="R601" s="139"/>
      <c r="S601" s="139"/>
      <c r="T601" s="139"/>
      <c r="U601" s="139"/>
      <c r="V601" s="139"/>
    </row>
    <row r="602" spans="1:22">
      <c r="A602" s="139"/>
      <c r="B602" s="139"/>
      <c r="C602" s="139"/>
      <c r="D602" s="139"/>
      <c r="E602" s="139"/>
      <c r="F602" s="139"/>
      <c r="G602" s="139"/>
      <c r="H602" s="139"/>
      <c r="I602" s="139"/>
      <c r="J602" s="139"/>
      <c r="K602" s="139"/>
      <c r="L602" s="139"/>
      <c r="M602" s="139"/>
      <c r="N602" s="139"/>
      <c r="O602" s="139"/>
      <c r="P602" s="139"/>
      <c r="Q602" s="139"/>
      <c r="R602" s="139"/>
      <c r="S602" s="139"/>
      <c r="T602" s="139"/>
      <c r="U602" s="139"/>
      <c r="V602" s="139"/>
    </row>
    <row r="603" spans="1:22">
      <c r="A603" s="139"/>
      <c r="B603" s="139"/>
      <c r="C603" s="139"/>
      <c r="D603" s="139"/>
      <c r="E603" s="139"/>
      <c r="F603" s="139"/>
      <c r="G603" s="139"/>
      <c r="H603" s="139"/>
      <c r="I603" s="139"/>
      <c r="J603" s="139"/>
      <c r="K603" s="139"/>
      <c r="L603" s="139"/>
      <c r="M603" s="139"/>
      <c r="N603" s="139"/>
      <c r="O603" s="139"/>
      <c r="P603" s="139"/>
      <c r="Q603" s="139"/>
      <c r="R603" s="139"/>
      <c r="S603" s="139"/>
      <c r="T603" s="139"/>
      <c r="U603" s="139"/>
      <c r="V603" s="139"/>
    </row>
    <row r="604" spans="1:22">
      <c r="A604" s="139"/>
      <c r="B604" s="139"/>
      <c r="C604" s="139"/>
      <c r="D604" s="139"/>
      <c r="E604" s="139"/>
      <c r="F604" s="139"/>
      <c r="G604" s="139"/>
      <c r="H604" s="139"/>
      <c r="I604" s="139"/>
      <c r="J604" s="139"/>
      <c r="K604" s="139"/>
      <c r="L604" s="139"/>
      <c r="M604" s="139"/>
      <c r="N604" s="139"/>
      <c r="O604" s="139"/>
      <c r="P604" s="139"/>
      <c r="Q604" s="139"/>
      <c r="R604" s="139"/>
      <c r="S604" s="139"/>
      <c r="T604" s="139"/>
      <c r="U604" s="139"/>
      <c r="V604" s="139"/>
    </row>
    <row r="605" spans="1:22">
      <c r="A605" s="139"/>
      <c r="B605" s="139"/>
      <c r="C605" s="139"/>
      <c r="D605" s="139"/>
      <c r="E605" s="139"/>
      <c r="F605" s="139"/>
      <c r="G605" s="139"/>
      <c r="H605" s="139"/>
      <c r="I605" s="139"/>
      <c r="J605" s="139"/>
      <c r="K605" s="139"/>
      <c r="L605" s="139"/>
      <c r="M605" s="139"/>
      <c r="N605" s="139"/>
      <c r="O605" s="139"/>
      <c r="P605" s="139"/>
      <c r="Q605" s="139"/>
      <c r="R605" s="139"/>
      <c r="S605" s="139"/>
      <c r="T605" s="139"/>
      <c r="U605" s="139"/>
      <c r="V605" s="139"/>
    </row>
    <row r="606" spans="1:22">
      <c r="A606" s="139"/>
      <c r="B606" s="139"/>
      <c r="C606" s="139"/>
      <c r="D606" s="139"/>
      <c r="E606" s="139"/>
      <c r="F606" s="139"/>
      <c r="G606" s="139"/>
      <c r="H606" s="139"/>
      <c r="I606" s="139"/>
      <c r="J606" s="139"/>
      <c r="K606" s="139"/>
      <c r="L606" s="139"/>
      <c r="M606" s="139"/>
      <c r="N606" s="139"/>
      <c r="O606" s="139"/>
      <c r="P606" s="139"/>
      <c r="Q606" s="139"/>
      <c r="R606" s="139"/>
      <c r="S606" s="139"/>
      <c r="T606" s="139"/>
      <c r="U606" s="139"/>
      <c r="V606" s="139"/>
    </row>
    <row r="607" spans="1:22">
      <c r="A607" s="139"/>
      <c r="B607" s="139"/>
      <c r="C607" s="139"/>
      <c r="D607" s="139"/>
      <c r="E607" s="139"/>
      <c r="F607" s="139"/>
      <c r="G607" s="139"/>
      <c r="H607" s="139"/>
      <c r="I607" s="139"/>
      <c r="J607" s="139"/>
      <c r="K607" s="139"/>
      <c r="L607" s="139"/>
      <c r="M607" s="139"/>
      <c r="N607" s="139"/>
      <c r="O607" s="139"/>
      <c r="P607" s="139"/>
      <c r="Q607" s="139"/>
      <c r="R607" s="139"/>
      <c r="S607" s="139"/>
      <c r="T607" s="139"/>
      <c r="U607" s="139"/>
      <c r="V607" s="139"/>
    </row>
    <row r="608" spans="1:22">
      <c r="A608" s="139"/>
      <c r="B608" s="139"/>
      <c r="C608" s="139"/>
      <c r="D608" s="139"/>
      <c r="E608" s="139"/>
      <c r="F608" s="139"/>
      <c r="G608" s="139"/>
      <c r="H608" s="139"/>
      <c r="I608" s="139"/>
      <c r="J608" s="139"/>
      <c r="K608" s="139"/>
      <c r="L608" s="139"/>
      <c r="M608" s="139"/>
      <c r="N608" s="139"/>
      <c r="O608" s="139"/>
      <c r="P608" s="139"/>
      <c r="Q608" s="139"/>
      <c r="R608" s="139"/>
      <c r="S608" s="139"/>
      <c r="T608" s="139"/>
      <c r="U608" s="139"/>
      <c r="V608" s="139"/>
    </row>
    <row r="609" spans="1:22">
      <c r="A609" s="139"/>
      <c r="B609" s="139"/>
      <c r="C609" s="139"/>
      <c r="D609" s="139"/>
      <c r="E609" s="139"/>
      <c r="F609" s="139"/>
      <c r="G609" s="139"/>
      <c r="H609" s="139"/>
      <c r="I609" s="139"/>
      <c r="J609" s="139"/>
      <c r="K609" s="139"/>
      <c r="L609" s="139"/>
      <c r="M609" s="139"/>
      <c r="N609" s="139"/>
      <c r="O609" s="139"/>
      <c r="P609" s="139"/>
      <c r="Q609" s="139"/>
      <c r="R609" s="139"/>
      <c r="S609" s="139"/>
      <c r="T609" s="139"/>
      <c r="U609" s="139"/>
      <c r="V609" s="139"/>
    </row>
    <row r="610" spans="1:22">
      <c r="A610" s="139"/>
      <c r="B610" s="139"/>
      <c r="C610" s="139"/>
      <c r="D610" s="139"/>
      <c r="E610" s="139"/>
      <c r="F610" s="139"/>
      <c r="G610" s="139"/>
      <c r="H610" s="139"/>
      <c r="I610" s="139"/>
      <c r="J610" s="139"/>
      <c r="K610" s="139"/>
      <c r="L610" s="139"/>
      <c r="M610" s="139"/>
      <c r="N610" s="139"/>
      <c r="O610" s="139"/>
      <c r="P610" s="139"/>
      <c r="Q610" s="139"/>
      <c r="R610" s="139"/>
      <c r="S610" s="139"/>
      <c r="T610" s="139"/>
      <c r="U610" s="139"/>
      <c r="V610" s="139"/>
    </row>
    <row r="611" spans="1:22">
      <c r="A611" s="139"/>
      <c r="B611" s="139"/>
      <c r="C611" s="139"/>
      <c r="D611" s="139"/>
      <c r="E611" s="139"/>
      <c r="F611" s="139"/>
      <c r="G611" s="139"/>
      <c r="H611" s="139"/>
      <c r="I611" s="139"/>
      <c r="J611" s="139"/>
      <c r="K611" s="139"/>
      <c r="L611" s="139"/>
      <c r="M611" s="139"/>
      <c r="N611" s="139"/>
      <c r="O611" s="139"/>
      <c r="P611" s="139"/>
      <c r="Q611" s="139"/>
      <c r="R611" s="139"/>
      <c r="S611" s="139"/>
      <c r="T611" s="139"/>
      <c r="U611" s="139"/>
      <c r="V611" s="139"/>
    </row>
    <row r="612" spans="1:22">
      <c r="A612" s="139"/>
      <c r="B612" s="139"/>
      <c r="C612" s="139"/>
      <c r="D612" s="139"/>
      <c r="E612" s="139"/>
      <c r="F612" s="139"/>
      <c r="G612" s="139"/>
      <c r="H612" s="139"/>
      <c r="I612" s="139"/>
      <c r="J612" s="139"/>
      <c r="K612" s="139"/>
      <c r="L612" s="139"/>
      <c r="M612" s="139"/>
      <c r="N612" s="139"/>
      <c r="O612" s="139"/>
      <c r="P612" s="139"/>
      <c r="Q612" s="139"/>
      <c r="R612" s="139"/>
      <c r="S612" s="139"/>
      <c r="T612" s="139"/>
      <c r="U612" s="139"/>
      <c r="V612" s="139"/>
    </row>
    <row r="613" spans="1:22">
      <c r="A613" s="139"/>
      <c r="B613" s="139"/>
      <c r="C613" s="139"/>
      <c r="D613" s="139"/>
      <c r="E613" s="139"/>
      <c r="F613" s="139"/>
      <c r="G613" s="139"/>
      <c r="H613" s="139"/>
      <c r="I613" s="139"/>
      <c r="J613" s="139"/>
      <c r="K613" s="139"/>
      <c r="L613" s="139"/>
      <c r="M613" s="139"/>
      <c r="N613" s="139"/>
      <c r="O613" s="139"/>
      <c r="P613" s="139"/>
      <c r="Q613" s="139"/>
      <c r="R613" s="139"/>
      <c r="S613" s="139"/>
      <c r="T613" s="139"/>
      <c r="U613" s="139"/>
      <c r="V613" s="139"/>
    </row>
    <row r="614" spans="1:22">
      <c r="A614" s="139"/>
      <c r="B614" s="139"/>
      <c r="C614" s="139"/>
      <c r="D614" s="139"/>
      <c r="E614" s="139"/>
      <c r="F614" s="139"/>
      <c r="G614" s="139"/>
      <c r="H614" s="139"/>
      <c r="I614" s="139"/>
      <c r="J614" s="139"/>
      <c r="K614" s="139"/>
      <c r="L614" s="139"/>
      <c r="M614" s="139"/>
      <c r="N614" s="139"/>
      <c r="O614" s="139"/>
      <c r="P614" s="139"/>
      <c r="Q614" s="139"/>
      <c r="R614" s="139"/>
      <c r="S614" s="139"/>
      <c r="T614" s="139"/>
      <c r="U614" s="139"/>
      <c r="V614" s="139"/>
    </row>
    <row r="615" spans="1:22">
      <c r="A615" s="139"/>
      <c r="B615" s="139"/>
      <c r="C615" s="139"/>
      <c r="D615" s="139"/>
      <c r="E615" s="139"/>
      <c r="F615" s="139"/>
      <c r="G615" s="139"/>
      <c r="H615" s="139"/>
      <c r="I615" s="139"/>
      <c r="J615" s="139"/>
      <c r="K615" s="139"/>
      <c r="L615" s="139"/>
      <c r="M615" s="139"/>
      <c r="N615" s="139"/>
      <c r="O615" s="139"/>
      <c r="P615" s="139"/>
      <c r="Q615" s="139"/>
      <c r="R615" s="139"/>
      <c r="S615" s="139"/>
      <c r="T615" s="139"/>
      <c r="U615" s="139"/>
      <c r="V615" s="139"/>
    </row>
    <row r="616" spans="1:22">
      <c r="A616" s="139"/>
      <c r="B616" s="139"/>
      <c r="C616" s="139"/>
      <c r="D616" s="139"/>
      <c r="E616" s="139"/>
      <c r="F616" s="139"/>
      <c r="G616" s="139"/>
      <c r="H616" s="139"/>
      <c r="I616" s="139"/>
      <c r="J616" s="139"/>
      <c r="K616" s="139"/>
      <c r="L616" s="139"/>
      <c r="M616" s="139"/>
      <c r="N616" s="139"/>
      <c r="O616" s="139"/>
      <c r="P616" s="139"/>
      <c r="Q616" s="139"/>
      <c r="R616" s="139"/>
      <c r="S616" s="139"/>
      <c r="T616" s="139"/>
      <c r="U616" s="139"/>
      <c r="V616" s="139"/>
    </row>
    <row r="617" spans="1:22">
      <c r="A617" s="139"/>
      <c r="B617" s="139"/>
      <c r="C617" s="139"/>
      <c r="D617" s="139"/>
      <c r="E617" s="139"/>
      <c r="F617" s="139"/>
      <c r="G617" s="139"/>
      <c r="H617" s="139"/>
      <c r="I617" s="139"/>
      <c r="J617" s="139"/>
      <c r="K617" s="139"/>
      <c r="L617" s="139"/>
      <c r="M617" s="139"/>
      <c r="N617" s="139"/>
      <c r="O617" s="139"/>
      <c r="P617" s="139"/>
      <c r="Q617" s="139"/>
      <c r="R617" s="139"/>
      <c r="S617" s="139"/>
      <c r="T617" s="139"/>
      <c r="U617" s="139"/>
      <c r="V617" s="139"/>
    </row>
    <row r="618" spans="1:22">
      <c r="A618" s="139"/>
      <c r="B618" s="139"/>
      <c r="C618" s="139"/>
      <c r="D618" s="139"/>
      <c r="E618" s="139"/>
      <c r="F618" s="139"/>
      <c r="G618" s="139"/>
      <c r="H618" s="139"/>
      <c r="I618" s="139"/>
      <c r="J618" s="139"/>
      <c r="K618" s="139"/>
      <c r="L618" s="139"/>
      <c r="M618" s="139"/>
      <c r="N618" s="139"/>
      <c r="O618" s="139"/>
      <c r="P618" s="139"/>
      <c r="Q618" s="139"/>
      <c r="R618" s="139"/>
      <c r="S618" s="139"/>
      <c r="T618" s="139"/>
      <c r="U618" s="139"/>
      <c r="V618" s="139"/>
    </row>
    <row r="619" spans="1:22">
      <c r="A619" s="139"/>
      <c r="B619" s="139"/>
      <c r="C619" s="139"/>
      <c r="D619" s="139"/>
      <c r="E619" s="139"/>
      <c r="F619" s="139"/>
      <c r="G619" s="139"/>
      <c r="H619" s="139"/>
      <c r="I619" s="139"/>
      <c r="J619" s="139"/>
      <c r="K619" s="139"/>
      <c r="L619" s="139"/>
      <c r="M619" s="139"/>
      <c r="N619" s="139"/>
      <c r="O619" s="139"/>
      <c r="P619" s="139"/>
      <c r="Q619" s="139"/>
      <c r="R619" s="139"/>
      <c r="S619" s="139"/>
      <c r="T619" s="139"/>
      <c r="U619" s="139"/>
      <c r="V619" s="139"/>
    </row>
    <row r="620" spans="1:22">
      <c r="A620" s="139"/>
      <c r="B620" s="139"/>
      <c r="C620" s="139"/>
      <c r="D620" s="139"/>
      <c r="E620" s="139"/>
      <c r="F620" s="139"/>
      <c r="G620" s="139"/>
      <c r="H620" s="139"/>
      <c r="I620" s="139"/>
      <c r="J620" s="139"/>
      <c r="K620" s="139"/>
      <c r="L620" s="139"/>
      <c r="M620" s="139"/>
      <c r="N620" s="139"/>
      <c r="O620" s="139"/>
      <c r="P620" s="139"/>
      <c r="Q620" s="139"/>
      <c r="R620" s="139"/>
      <c r="S620" s="139"/>
      <c r="T620" s="139"/>
      <c r="U620" s="139"/>
      <c r="V620" s="139"/>
    </row>
    <row r="621" spans="1:22">
      <c r="A621" s="139"/>
      <c r="B621" s="139"/>
      <c r="C621" s="139"/>
      <c r="D621" s="139"/>
      <c r="E621" s="139"/>
      <c r="F621" s="139"/>
      <c r="G621" s="139"/>
      <c r="H621" s="139"/>
      <c r="I621" s="139"/>
      <c r="J621" s="139"/>
      <c r="K621" s="139"/>
      <c r="L621" s="139"/>
      <c r="M621" s="139"/>
      <c r="N621" s="139"/>
      <c r="O621" s="139"/>
      <c r="P621" s="139"/>
      <c r="Q621" s="139"/>
      <c r="R621" s="139"/>
      <c r="S621" s="139"/>
      <c r="T621" s="139"/>
      <c r="U621" s="139"/>
      <c r="V621" s="139"/>
    </row>
    <row r="622" spans="1:22">
      <c r="A622" s="139"/>
      <c r="B622" s="139"/>
      <c r="C622" s="139"/>
      <c r="D622" s="139"/>
      <c r="E622" s="139"/>
      <c r="F622" s="139"/>
      <c r="G622" s="139"/>
      <c r="H622" s="139"/>
      <c r="I622" s="139"/>
      <c r="J622" s="139"/>
      <c r="K622" s="139"/>
      <c r="L622" s="139"/>
      <c r="M622" s="139"/>
      <c r="N622" s="139"/>
      <c r="O622" s="139"/>
      <c r="P622" s="139"/>
      <c r="Q622" s="139"/>
      <c r="R622" s="139"/>
      <c r="S622" s="139"/>
      <c r="T622" s="139"/>
      <c r="U622" s="139"/>
      <c r="V622" s="139"/>
    </row>
    <row r="623" spans="1:22">
      <c r="A623" s="139"/>
      <c r="B623" s="139"/>
      <c r="C623" s="139"/>
      <c r="D623" s="139"/>
      <c r="E623" s="139"/>
      <c r="F623" s="139"/>
      <c r="G623" s="139"/>
      <c r="H623" s="139"/>
      <c r="I623" s="139"/>
      <c r="J623" s="139"/>
      <c r="K623" s="139"/>
      <c r="L623" s="139"/>
      <c r="M623" s="139"/>
      <c r="N623" s="139"/>
      <c r="O623" s="139"/>
      <c r="P623" s="139"/>
      <c r="Q623" s="139"/>
      <c r="R623" s="139"/>
      <c r="S623" s="139"/>
      <c r="T623" s="139"/>
      <c r="U623" s="139"/>
      <c r="V623" s="139"/>
    </row>
    <row r="624" spans="1:22">
      <c r="A624" s="139"/>
      <c r="B624" s="139"/>
      <c r="C624" s="139"/>
      <c r="D624" s="139"/>
      <c r="E624" s="139"/>
      <c r="F624" s="139"/>
      <c r="G624" s="139"/>
      <c r="H624" s="139"/>
      <c r="I624" s="139"/>
      <c r="J624" s="139"/>
      <c r="K624" s="139"/>
      <c r="L624" s="139"/>
      <c r="M624" s="139"/>
      <c r="N624" s="139"/>
      <c r="O624" s="139"/>
      <c r="P624" s="139"/>
      <c r="Q624" s="139"/>
      <c r="R624" s="139"/>
      <c r="S624" s="139"/>
      <c r="T624" s="139"/>
      <c r="U624" s="139"/>
      <c r="V624" s="139"/>
    </row>
    <row r="625" spans="1:22">
      <c r="A625" s="139"/>
      <c r="B625" s="139"/>
      <c r="C625" s="139"/>
      <c r="D625" s="139"/>
      <c r="E625" s="139"/>
      <c r="F625" s="139"/>
      <c r="G625" s="139"/>
      <c r="H625" s="139"/>
      <c r="I625" s="139"/>
      <c r="J625" s="139"/>
      <c r="K625" s="139"/>
      <c r="L625" s="139"/>
      <c r="M625" s="139"/>
      <c r="N625" s="139"/>
      <c r="O625" s="139"/>
      <c r="P625" s="139"/>
      <c r="Q625" s="139"/>
      <c r="R625" s="139"/>
      <c r="S625" s="139"/>
      <c r="T625" s="139"/>
      <c r="U625" s="139"/>
      <c r="V625" s="139"/>
    </row>
    <row r="626" spans="1:22">
      <c r="A626" s="139"/>
      <c r="B626" s="139"/>
      <c r="C626" s="139"/>
      <c r="D626" s="139"/>
      <c r="E626" s="139"/>
      <c r="F626" s="139"/>
      <c r="G626" s="139"/>
      <c r="H626" s="139"/>
      <c r="I626" s="139"/>
      <c r="J626" s="139"/>
      <c r="K626" s="139"/>
      <c r="L626" s="139"/>
      <c r="M626" s="139"/>
      <c r="N626" s="139"/>
      <c r="O626" s="139"/>
      <c r="P626" s="139"/>
      <c r="Q626" s="139"/>
      <c r="R626" s="139"/>
      <c r="S626" s="139"/>
      <c r="T626" s="139"/>
      <c r="U626" s="139"/>
      <c r="V626" s="139"/>
    </row>
    <row r="627" spans="1:22">
      <c r="A627" s="139"/>
      <c r="B627" s="139"/>
      <c r="C627" s="139"/>
      <c r="D627" s="139"/>
      <c r="E627" s="139"/>
      <c r="F627" s="139"/>
      <c r="G627" s="139"/>
      <c r="H627" s="139"/>
      <c r="I627" s="139"/>
      <c r="J627" s="139"/>
      <c r="K627" s="139"/>
      <c r="L627" s="139"/>
      <c r="M627" s="139"/>
      <c r="N627" s="139"/>
      <c r="O627" s="139"/>
      <c r="P627" s="139"/>
      <c r="Q627" s="139"/>
      <c r="R627" s="139"/>
      <c r="S627" s="139"/>
      <c r="T627" s="139"/>
      <c r="U627" s="139"/>
      <c r="V627" s="139"/>
    </row>
    <row r="628" spans="1:22">
      <c r="A628" s="139"/>
      <c r="B628" s="139"/>
      <c r="C628" s="139"/>
      <c r="D628" s="139"/>
      <c r="E628" s="139"/>
      <c r="F628" s="139"/>
      <c r="G628" s="139"/>
      <c r="H628" s="139"/>
      <c r="I628" s="139"/>
      <c r="J628" s="139"/>
      <c r="K628" s="139"/>
      <c r="L628" s="139"/>
      <c r="M628" s="139"/>
      <c r="N628" s="139"/>
      <c r="O628" s="139"/>
      <c r="P628" s="139"/>
      <c r="Q628" s="139"/>
      <c r="R628" s="139"/>
      <c r="S628" s="139"/>
      <c r="T628" s="139"/>
      <c r="U628" s="139"/>
      <c r="V628" s="139"/>
    </row>
    <row r="629" spans="1:22">
      <c r="A629" s="139"/>
      <c r="B629" s="139"/>
      <c r="C629" s="139"/>
      <c r="D629" s="139"/>
      <c r="E629" s="139"/>
      <c r="F629" s="139"/>
      <c r="G629" s="139"/>
      <c r="H629" s="139"/>
      <c r="I629" s="139"/>
      <c r="J629" s="139"/>
      <c r="K629" s="139"/>
      <c r="L629" s="139"/>
      <c r="M629" s="139"/>
      <c r="N629" s="139"/>
      <c r="O629" s="139"/>
      <c r="P629" s="139"/>
      <c r="Q629" s="139"/>
      <c r="R629" s="139"/>
      <c r="S629" s="139"/>
      <c r="T629" s="139"/>
      <c r="U629" s="139"/>
      <c r="V629" s="139"/>
    </row>
    <row r="630" spans="1:22">
      <c r="A630" s="139"/>
      <c r="B630" s="139"/>
      <c r="C630" s="139"/>
      <c r="D630" s="139"/>
      <c r="E630" s="139"/>
      <c r="F630" s="139"/>
      <c r="G630" s="139"/>
      <c r="H630" s="139"/>
      <c r="I630" s="139"/>
      <c r="J630" s="139"/>
      <c r="K630" s="139"/>
      <c r="L630" s="139"/>
      <c r="M630" s="139"/>
      <c r="N630" s="139"/>
      <c r="O630" s="139"/>
      <c r="P630" s="139"/>
      <c r="Q630" s="139"/>
      <c r="R630" s="139"/>
      <c r="S630" s="139"/>
      <c r="T630" s="139"/>
      <c r="U630" s="139"/>
      <c r="V630" s="139"/>
    </row>
    <row r="631" spans="1:22">
      <c r="A631" s="139"/>
      <c r="B631" s="139"/>
      <c r="C631" s="139"/>
      <c r="D631" s="139"/>
      <c r="E631" s="139"/>
      <c r="F631" s="139"/>
      <c r="G631" s="139"/>
      <c r="H631" s="139"/>
      <c r="I631" s="139"/>
      <c r="J631" s="139"/>
      <c r="K631" s="139"/>
      <c r="L631" s="139"/>
      <c r="M631" s="139"/>
      <c r="N631" s="139"/>
      <c r="O631" s="139"/>
      <c r="P631" s="139"/>
      <c r="Q631" s="139"/>
      <c r="R631" s="139"/>
      <c r="S631" s="139"/>
      <c r="T631" s="139"/>
      <c r="U631" s="139"/>
      <c r="V631" s="139"/>
    </row>
    <row r="632" spans="1:22">
      <c r="A632" s="139"/>
      <c r="B632" s="139"/>
      <c r="C632" s="139"/>
      <c r="D632" s="139"/>
      <c r="E632" s="139"/>
      <c r="F632" s="139"/>
      <c r="G632" s="139"/>
      <c r="H632" s="139"/>
      <c r="I632" s="139"/>
      <c r="J632" s="139"/>
      <c r="K632" s="139"/>
      <c r="L632" s="139"/>
      <c r="M632" s="139"/>
      <c r="N632" s="139"/>
      <c r="O632" s="139"/>
      <c r="P632" s="139"/>
      <c r="Q632" s="139"/>
      <c r="R632" s="139"/>
      <c r="S632" s="139"/>
      <c r="T632" s="139"/>
      <c r="U632" s="139"/>
      <c r="V632" s="139"/>
    </row>
    <row r="633" spans="1:22">
      <c r="A633" s="139"/>
      <c r="B633" s="139"/>
      <c r="C633" s="139"/>
      <c r="D633" s="139"/>
      <c r="E633" s="139"/>
      <c r="F633" s="139"/>
      <c r="G633" s="139"/>
      <c r="H633" s="139"/>
      <c r="I633" s="139"/>
      <c r="J633" s="139"/>
      <c r="K633" s="139"/>
      <c r="L633" s="139"/>
      <c r="M633" s="139"/>
      <c r="N633" s="139"/>
      <c r="O633" s="139"/>
      <c r="P633" s="139"/>
      <c r="Q633" s="139"/>
      <c r="R633" s="139"/>
      <c r="S633" s="139"/>
      <c r="T633" s="139"/>
      <c r="U633" s="139"/>
      <c r="V633" s="139"/>
    </row>
    <row r="634" spans="1:22">
      <c r="A634" s="139"/>
      <c r="B634" s="139"/>
      <c r="C634" s="139"/>
      <c r="D634" s="139"/>
      <c r="E634" s="139"/>
      <c r="F634" s="139"/>
      <c r="G634" s="139"/>
      <c r="H634" s="139"/>
      <c r="I634" s="139"/>
      <c r="J634" s="139"/>
      <c r="K634" s="139"/>
      <c r="L634" s="139"/>
      <c r="M634" s="139"/>
      <c r="N634" s="139"/>
      <c r="O634" s="139"/>
      <c r="P634" s="139"/>
      <c r="Q634" s="139"/>
      <c r="R634" s="139"/>
      <c r="S634" s="139"/>
      <c r="T634" s="139"/>
      <c r="U634" s="139"/>
      <c r="V634" s="139"/>
    </row>
    <row r="635" spans="1:22">
      <c r="A635" s="139"/>
      <c r="B635" s="139"/>
      <c r="C635" s="139"/>
      <c r="D635" s="139"/>
      <c r="E635" s="139"/>
      <c r="F635" s="139"/>
      <c r="G635" s="139"/>
      <c r="H635" s="139"/>
      <c r="I635" s="139"/>
      <c r="J635" s="139"/>
      <c r="K635" s="139"/>
      <c r="L635" s="139"/>
      <c r="M635" s="139"/>
      <c r="N635" s="139"/>
      <c r="O635" s="139"/>
      <c r="P635" s="139"/>
      <c r="Q635" s="139"/>
      <c r="R635" s="139"/>
      <c r="S635" s="139"/>
      <c r="T635" s="139"/>
      <c r="U635" s="139"/>
      <c r="V635" s="139"/>
    </row>
    <row r="636" spans="1:22">
      <c r="A636" s="139"/>
      <c r="B636" s="139"/>
      <c r="C636" s="139"/>
      <c r="D636" s="139"/>
      <c r="E636" s="139"/>
      <c r="F636" s="139"/>
      <c r="G636" s="139"/>
      <c r="H636" s="139"/>
      <c r="I636" s="139"/>
      <c r="J636" s="139"/>
      <c r="K636" s="139"/>
      <c r="L636" s="139"/>
      <c r="M636" s="139"/>
      <c r="N636" s="139"/>
      <c r="O636" s="139"/>
      <c r="P636" s="139"/>
      <c r="Q636" s="139"/>
      <c r="R636" s="139"/>
      <c r="S636" s="139"/>
      <c r="T636" s="139"/>
      <c r="U636" s="139"/>
      <c r="V636" s="139"/>
    </row>
    <row r="637" spans="1:22">
      <c r="A637" s="139"/>
      <c r="B637" s="139"/>
      <c r="C637" s="139"/>
      <c r="D637" s="139"/>
      <c r="E637" s="139"/>
      <c r="F637" s="139"/>
      <c r="G637" s="139"/>
      <c r="H637" s="139"/>
      <c r="I637" s="139"/>
      <c r="J637" s="139"/>
      <c r="K637" s="139"/>
      <c r="L637" s="139"/>
      <c r="M637" s="139"/>
      <c r="N637" s="139"/>
      <c r="O637" s="139"/>
      <c r="P637" s="139"/>
      <c r="Q637" s="139"/>
      <c r="R637" s="139"/>
      <c r="S637" s="139"/>
      <c r="T637" s="139"/>
      <c r="U637" s="139"/>
      <c r="V637" s="139"/>
    </row>
    <row r="638" spans="1:22">
      <c r="A638" s="139"/>
      <c r="B638" s="139"/>
      <c r="C638" s="139"/>
      <c r="D638" s="139"/>
      <c r="E638" s="139"/>
      <c r="F638" s="139"/>
      <c r="G638" s="139"/>
      <c r="H638" s="139"/>
      <c r="I638" s="139"/>
      <c r="J638" s="139"/>
      <c r="K638" s="139"/>
      <c r="L638" s="139"/>
      <c r="M638" s="139"/>
      <c r="N638" s="139"/>
      <c r="O638" s="139"/>
      <c r="P638" s="139"/>
      <c r="Q638" s="139"/>
      <c r="R638" s="139"/>
      <c r="S638" s="139"/>
      <c r="T638" s="139"/>
      <c r="U638" s="139"/>
      <c r="V638" s="139"/>
    </row>
    <row r="639" spans="1:22">
      <c r="A639" s="139"/>
      <c r="B639" s="139"/>
      <c r="C639" s="139"/>
      <c r="D639" s="139"/>
      <c r="E639" s="139"/>
      <c r="F639" s="139"/>
      <c r="G639" s="139"/>
      <c r="H639" s="139"/>
      <c r="I639" s="139"/>
      <c r="J639" s="139"/>
      <c r="K639" s="139"/>
      <c r="L639" s="139"/>
      <c r="M639" s="139"/>
      <c r="N639" s="139"/>
      <c r="O639" s="139"/>
      <c r="P639" s="139"/>
      <c r="Q639" s="139"/>
      <c r="R639" s="139"/>
      <c r="S639" s="139"/>
      <c r="T639" s="139"/>
      <c r="U639" s="139"/>
      <c r="V639" s="139"/>
    </row>
    <row r="640" spans="1:22">
      <c r="A640" s="139"/>
      <c r="B640" s="139"/>
      <c r="C640" s="139"/>
      <c r="D640" s="139"/>
      <c r="E640" s="139"/>
      <c r="F640" s="139"/>
      <c r="G640" s="139"/>
      <c r="H640" s="139"/>
      <c r="I640" s="139"/>
      <c r="J640" s="139"/>
      <c r="K640" s="139"/>
      <c r="L640" s="139"/>
      <c r="M640" s="139"/>
      <c r="N640" s="139"/>
      <c r="O640" s="139"/>
      <c r="P640" s="139"/>
      <c r="Q640" s="139"/>
      <c r="R640" s="139"/>
      <c r="S640" s="139"/>
      <c r="T640" s="139"/>
      <c r="U640" s="139"/>
      <c r="V640" s="139"/>
    </row>
    <row r="641" spans="1:22">
      <c r="A641" s="139"/>
      <c r="B641" s="139"/>
      <c r="C641" s="139"/>
      <c r="D641" s="139"/>
      <c r="E641" s="139"/>
      <c r="F641" s="139"/>
      <c r="G641" s="139"/>
      <c r="H641" s="139"/>
      <c r="I641" s="139"/>
      <c r="J641" s="139"/>
      <c r="K641" s="139"/>
      <c r="L641" s="139"/>
      <c r="M641" s="139"/>
      <c r="N641" s="139"/>
      <c r="O641" s="139"/>
      <c r="P641" s="139"/>
      <c r="Q641" s="139"/>
      <c r="R641" s="139"/>
      <c r="S641" s="139"/>
      <c r="T641" s="139"/>
      <c r="U641" s="139"/>
      <c r="V641" s="139"/>
    </row>
    <row r="642" spans="1:22">
      <c r="A642" s="139"/>
      <c r="B642" s="139"/>
      <c r="C642" s="139"/>
      <c r="D642" s="139"/>
      <c r="E642" s="139"/>
      <c r="F642" s="139"/>
      <c r="G642" s="139"/>
      <c r="H642" s="139"/>
      <c r="I642" s="139"/>
      <c r="J642" s="139"/>
      <c r="K642" s="139"/>
      <c r="L642" s="139"/>
      <c r="M642" s="139"/>
      <c r="N642" s="139"/>
      <c r="O642" s="139"/>
      <c r="P642" s="139"/>
      <c r="Q642" s="139"/>
      <c r="R642" s="139"/>
      <c r="S642" s="139"/>
      <c r="T642" s="139"/>
      <c r="U642" s="139"/>
      <c r="V642" s="139"/>
    </row>
    <row r="643" spans="1:22">
      <c r="A643" s="139"/>
      <c r="B643" s="139"/>
      <c r="C643" s="139"/>
      <c r="D643" s="139"/>
      <c r="E643" s="139"/>
      <c r="F643" s="139"/>
      <c r="G643" s="139"/>
      <c r="H643" s="139"/>
      <c r="I643" s="139"/>
      <c r="J643" s="139"/>
      <c r="K643" s="139"/>
      <c r="L643" s="139"/>
      <c r="M643" s="139"/>
      <c r="N643" s="139"/>
      <c r="O643" s="139"/>
      <c r="P643" s="139"/>
      <c r="Q643" s="139"/>
      <c r="R643" s="139"/>
      <c r="S643" s="139"/>
      <c r="T643" s="139"/>
      <c r="U643" s="139"/>
      <c r="V643" s="139"/>
    </row>
    <row r="644" spans="1:22">
      <c r="A644" s="139"/>
      <c r="B644" s="139"/>
      <c r="C644" s="139"/>
      <c r="D644" s="139"/>
      <c r="E644" s="139"/>
      <c r="F644" s="139"/>
      <c r="G644" s="139"/>
      <c r="H644" s="139"/>
      <c r="I644" s="139"/>
      <c r="J644" s="139"/>
      <c r="K644" s="139"/>
      <c r="L644" s="139"/>
      <c r="M644" s="139"/>
      <c r="N644" s="139"/>
      <c r="O644" s="139"/>
      <c r="P644" s="139"/>
      <c r="Q644" s="139"/>
      <c r="R644" s="139"/>
      <c r="S644" s="139"/>
      <c r="T644" s="139"/>
      <c r="U644" s="139"/>
      <c r="V644" s="139"/>
    </row>
    <row r="645" spans="1:22">
      <c r="A645" s="139"/>
      <c r="B645" s="139"/>
      <c r="C645" s="139"/>
      <c r="D645" s="139"/>
      <c r="E645" s="139"/>
      <c r="F645" s="139"/>
      <c r="G645" s="139"/>
      <c r="H645" s="139"/>
      <c r="I645" s="139"/>
      <c r="J645" s="139"/>
      <c r="K645" s="139"/>
      <c r="L645" s="139"/>
      <c r="M645" s="139"/>
      <c r="N645" s="139"/>
      <c r="O645" s="139"/>
      <c r="P645" s="139"/>
      <c r="Q645" s="139"/>
      <c r="R645" s="139"/>
      <c r="S645" s="139"/>
      <c r="T645" s="139"/>
      <c r="U645" s="139"/>
      <c r="V645" s="139"/>
    </row>
    <row r="646" spans="1:22">
      <c r="A646" s="139"/>
      <c r="B646" s="139"/>
      <c r="C646" s="139"/>
      <c r="D646" s="139"/>
      <c r="E646" s="139"/>
      <c r="F646" s="139"/>
      <c r="G646" s="139"/>
      <c r="H646" s="139"/>
      <c r="I646" s="139"/>
      <c r="J646" s="139"/>
      <c r="K646" s="139"/>
      <c r="L646" s="139"/>
      <c r="M646" s="139"/>
      <c r="N646" s="139"/>
      <c r="O646" s="139"/>
      <c r="P646" s="139"/>
      <c r="Q646" s="139"/>
      <c r="R646" s="139"/>
      <c r="S646" s="139"/>
      <c r="T646" s="139"/>
      <c r="U646" s="139"/>
      <c r="V646" s="139"/>
    </row>
    <row r="647" spans="1:22">
      <c r="A647" s="139"/>
      <c r="B647" s="139"/>
      <c r="C647" s="139"/>
      <c r="D647" s="139"/>
      <c r="E647" s="139"/>
      <c r="F647" s="139"/>
      <c r="G647" s="139"/>
      <c r="H647" s="139"/>
      <c r="I647" s="139"/>
      <c r="J647" s="139"/>
      <c r="K647" s="139"/>
      <c r="L647" s="139"/>
      <c r="M647" s="139"/>
      <c r="N647" s="139"/>
      <c r="O647" s="139"/>
      <c r="P647" s="139"/>
      <c r="Q647" s="139"/>
      <c r="R647" s="139"/>
      <c r="S647" s="139"/>
      <c r="T647" s="139"/>
      <c r="U647" s="139"/>
      <c r="V647" s="139"/>
    </row>
    <row r="648" spans="1:22">
      <c r="A648" s="139"/>
      <c r="B648" s="139"/>
      <c r="C648" s="139"/>
      <c r="D648" s="139"/>
      <c r="E648" s="139"/>
      <c r="F648" s="139"/>
      <c r="G648" s="139"/>
      <c r="H648" s="139"/>
      <c r="I648" s="139"/>
      <c r="J648" s="139"/>
      <c r="K648" s="139"/>
      <c r="L648" s="139"/>
      <c r="M648" s="139"/>
      <c r="N648" s="139"/>
      <c r="O648" s="139"/>
      <c r="P648" s="139"/>
      <c r="Q648" s="139"/>
      <c r="R648" s="139"/>
      <c r="S648" s="139"/>
      <c r="T648" s="139"/>
      <c r="U648" s="139"/>
      <c r="V648" s="139"/>
    </row>
    <row r="649" spans="1:22">
      <c r="A649" s="139"/>
      <c r="B649" s="139"/>
      <c r="C649" s="139"/>
      <c r="D649" s="139"/>
      <c r="E649" s="139"/>
      <c r="F649" s="139"/>
      <c r="G649" s="139"/>
      <c r="H649" s="139"/>
      <c r="I649" s="139"/>
      <c r="J649" s="139"/>
      <c r="K649" s="139"/>
      <c r="L649" s="139"/>
      <c r="M649" s="139"/>
      <c r="N649" s="139"/>
      <c r="O649" s="139"/>
      <c r="P649" s="139"/>
      <c r="Q649" s="139"/>
      <c r="R649" s="139"/>
      <c r="S649" s="139"/>
      <c r="T649" s="139"/>
      <c r="U649" s="139"/>
      <c r="V649" s="139"/>
    </row>
    <row r="650" spans="1:22">
      <c r="A650" s="139"/>
      <c r="B650" s="139"/>
      <c r="C650" s="139"/>
      <c r="D650" s="139"/>
      <c r="E650" s="139"/>
      <c r="F650" s="139"/>
      <c r="G650" s="139"/>
      <c r="H650" s="139"/>
      <c r="I650" s="139"/>
      <c r="J650" s="139"/>
      <c r="K650" s="139"/>
      <c r="L650" s="139"/>
      <c r="M650" s="139"/>
      <c r="N650" s="139"/>
      <c r="O650" s="139"/>
      <c r="P650" s="139"/>
      <c r="Q650" s="139"/>
      <c r="R650" s="139"/>
      <c r="S650" s="139"/>
      <c r="T650" s="139"/>
      <c r="U650" s="139"/>
      <c r="V650" s="139"/>
    </row>
    <row r="651" spans="1:22">
      <c r="A651" s="139"/>
      <c r="B651" s="139"/>
      <c r="C651" s="139"/>
      <c r="D651" s="139"/>
      <c r="E651" s="139"/>
      <c r="F651" s="139"/>
      <c r="G651" s="139"/>
      <c r="H651" s="139"/>
      <c r="I651" s="139"/>
      <c r="J651" s="139"/>
      <c r="K651" s="139"/>
      <c r="L651" s="139"/>
      <c r="M651" s="139"/>
      <c r="N651" s="139"/>
      <c r="O651" s="139"/>
      <c r="P651" s="139"/>
      <c r="Q651" s="139"/>
      <c r="R651" s="139"/>
      <c r="S651" s="139"/>
      <c r="T651" s="139"/>
      <c r="U651" s="139"/>
      <c r="V651" s="139"/>
    </row>
    <row r="652" spans="1:22">
      <c r="A652" s="139"/>
      <c r="B652" s="139"/>
      <c r="C652" s="139"/>
      <c r="D652" s="139"/>
      <c r="E652" s="139"/>
      <c r="F652" s="139"/>
      <c r="G652" s="139"/>
      <c r="H652" s="139"/>
      <c r="I652" s="139"/>
      <c r="J652" s="139"/>
      <c r="K652" s="139"/>
      <c r="L652" s="139"/>
      <c r="M652" s="139"/>
      <c r="N652" s="139"/>
      <c r="O652" s="139"/>
      <c r="P652" s="139"/>
      <c r="Q652" s="139"/>
      <c r="R652" s="139"/>
      <c r="S652" s="139"/>
      <c r="T652" s="139"/>
      <c r="U652" s="139"/>
      <c r="V652" s="139"/>
    </row>
    <row r="653" spans="1:22">
      <c r="A653" s="139"/>
      <c r="B653" s="139"/>
      <c r="C653" s="139"/>
      <c r="D653" s="139"/>
      <c r="E653" s="139"/>
      <c r="F653" s="139"/>
      <c r="G653" s="139"/>
      <c r="H653" s="139"/>
      <c r="I653" s="139"/>
      <c r="J653" s="139"/>
      <c r="K653" s="139"/>
      <c r="L653" s="139"/>
      <c r="M653" s="139"/>
      <c r="N653" s="139"/>
      <c r="O653" s="139"/>
      <c r="P653" s="139"/>
      <c r="Q653" s="139"/>
      <c r="R653" s="139"/>
      <c r="S653" s="139"/>
      <c r="T653" s="139"/>
      <c r="U653" s="139"/>
      <c r="V653" s="139"/>
    </row>
    <row r="654" spans="1:22">
      <c r="A654" s="139"/>
      <c r="B654" s="139"/>
      <c r="C654" s="139"/>
      <c r="D654" s="139"/>
      <c r="E654" s="139"/>
      <c r="F654" s="139"/>
      <c r="G654" s="139"/>
      <c r="H654" s="139"/>
      <c r="I654" s="139"/>
      <c r="J654" s="139"/>
      <c r="K654" s="139"/>
      <c r="L654" s="139"/>
      <c r="M654" s="139"/>
      <c r="N654" s="139"/>
      <c r="O654" s="139"/>
      <c r="P654" s="139"/>
      <c r="Q654" s="139"/>
      <c r="R654" s="139"/>
      <c r="S654" s="139"/>
      <c r="T654" s="139"/>
      <c r="U654" s="139"/>
      <c r="V654" s="139"/>
    </row>
    <row r="655" spans="1:22">
      <c r="A655" s="139"/>
      <c r="B655" s="139"/>
      <c r="C655" s="139"/>
      <c r="D655" s="139"/>
      <c r="E655" s="139"/>
      <c r="F655" s="139"/>
      <c r="G655" s="139"/>
      <c r="H655" s="139"/>
      <c r="I655" s="139"/>
      <c r="J655" s="139"/>
      <c r="K655" s="139"/>
      <c r="L655" s="139"/>
      <c r="M655" s="139"/>
      <c r="N655" s="139"/>
      <c r="O655" s="139"/>
      <c r="P655" s="139"/>
      <c r="Q655" s="139"/>
      <c r="R655" s="139"/>
      <c r="S655" s="139"/>
      <c r="T655" s="139"/>
      <c r="U655" s="139"/>
      <c r="V655" s="139"/>
    </row>
    <row r="656" spans="1:22">
      <c r="A656" s="139"/>
      <c r="B656" s="139"/>
      <c r="C656" s="139"/>
      <c r="D656" s="139"/>
      <c r="E656" s="139"/>
      <c r="F656" s="139"/>
      <c r="G656" s="139"/>
      <c r="H656" s="139"/>
      <c r="I656" s="139"/>
      <c r="J656" s="139"/>
      <c r="K656" s="139"/>
      <c r="L656" s="139"/>
      <c r="M656" s="139"/>
      <c r="N656" s="139"/>
      <c r="O656" s="139"/>
      <c r="P656" s="139"/>
      <c r="Q656" s="139"/>
      <c r="R656" s="139"/>
      <c r="S656" s="139"/>
      <c r="T656" s="139"/>
      <c r="U656" s="139"/>
      <c r="V656" s="139"/>
    </row>
    <row r="657" spans="1:22">
      <c r="A657" s="139"/>
      <c r="B657" s="139"/>
      <c r="C657" s="139"/>
      <c r="D657" s="139"/>
      <c r="E657" s="139"/>
      <c r="F657" s="139"/>
      <c r="G657" s="139"/>
      <c r="H657" s="139"/>
      <c r="I657" s="139"/>
      <c r="J657" s="139"/>
      <c r="K657" s="139"/>
      <c r="L657" s="139"/>
      <c r="M657" s="139"/>
      <c r="N657" s="139"/>
      <c r="O657" s="139"/>
      <c r="P657" s="139"/>
      <c r="Q657" s="139"/>
      <c r="R657" s="139"/>
      <c r="S657" s="139"/>
      <c r="T657" s="139"/>
      <c r="U657" s="139"/>
      <c r="V657" s="139"/>
    </row>
    <row r="658" spans="1:22">
      <c r="A658" s="139"/>
      <c r="B658" s="139"/>
      <c r="C658" s="139"/>
      <c r="D658" s="139"/>
      <c r="E658" s="139"/>
      <c r="F658" s="139"/>
      <c r="G658" s="139"/>
      <c r="H658" s="139"/>
      <c r="I658" s="139"/>
      <c r="J658" s="139"/>
      <c r="K658" s="139"/>
      <c r="L658" s="139"/>
      <c r="M658" s="139"/>
      <c r="N658" s="139"/>
      <c r="O658" s="139"/>
      <c r="P658" s="139"/>
      <c r="Q658" s="139"/>
      <c r="R658" s="139"/>
      <c r="S658" s="139"/>
      <c r="T658" s="139"/>
      <c r="U658" s="139"/>
      <c r="V658" s="139"/>
    </row>
    <row r="659" spans="1:22">
      <c r="A659" s="139"/>
      <c r="B659" s="139"/>
      <c r="C659" s="139"/>
      <c r="D659" s="139"/>
      <c r="E659" s="139"/>
      <c r="F659" s="139"/>
      <c r="G659" s="139"/>
      <c r="H659" s="139"/>
      <c r="I659" s="139"/>
      <c r="J659" s="139"/>
      <c r="K659" s="139"/>
      <c r="L659" s="139"/>
      <c r="M659" s="139"/>
      <c r="N659" s="139"/>
      <c r="O659" s="139"/>
      <c r="P659" s="139"/>
      <c r="Q659" s="139"/>
      <c r="R659" s="139"/>
      <c r="S659" s="139"/>
      <c r="T659" s="139"/>
      <c r="U659" s="139"/>
      <c r="V659" s="139"/>
    </row>
    <row r="660" spans="1:22">
      <c r="A660" s="139"/>
      <c r="B660" s="139"/>
      <c r="C660" s="139"/>
      <c r="D660" s="139"/>
      <c r="E660" s="139"/>
      <c r="F660" s="139"/>
      <c r="G660" s="139"/>
      <c r="H660" s="139"/>
      <c r="I660" s="139"/>
      <c r="J660" s="139"/>
      <c r="K660" s="139"/>
      <c r="L660" s="139"/>
      <c r="M660" s="139"/>
      <c r="N660" s="139"/>
      <c r="O660" s="139"/>
      <c r="P660" s="139"/>
      <c r="Q660" s="139"/>
      <c r="R660" s="139"/>
      <c r="S660" s="139"/>
      <c r="T660" s="139"/>
      <c r="U660" s="139"/>
      <c r="V660" s="139"/>
    </row>
    <row r="661" spans="1:22">
      <c r="A661" s="139"/>
      <c r="B661" s="139"/>
      <c r="C661" s="139"/>
      <c r="D661" s="139"/>
      <c r="E661" s="139"/>
      <c r="F661" s="139"/>
      <c r="G661" s="139"/>
      <c r="H661" s="139"/>
      <c r="I661" s="139"/>
      <c r="J661" s="139"/>
      <c r="K661" s="139"/>
      <c r="L661" s="139"/>
      <c r="M661" s="139"/>
      <c r="N661" s="139"/>
      <c r="O661" s="139"/>
      <c r="P661" s="139"/>
      <c r="Q661" s="139"/>
      <c r="R661" s="139"/>
      <c r="S661" s="139"/>
      <c r="T661" s="139"/>
      <c r="U661" s="139"/>
      <c r="V661" s="139"/>
    </row>
    <row r="662" spans="1:22">
      <c r="A662" s="139"/>
      <c r="B662" s="139"/>
      <c r="C662" s="139"/>
      <c r="D662" s="139"/>
      <c r="E662" s="139"/>
      <c r="F662" s="139"/>
      <c r="G662" s="139"/>
      <c r="H662" s="139"/>
      <c r="I662" s="139"/>
      <c r="J662" s="139"/>
      <c r="K662" s="139"/>
      <c r="L662" s="139"/>
      <c r="M662" s="139"/>
      <c r="N662" s="139"/>
      <c r="O662" s="139"/>
      <c r="P662" s="139"/>
      <c r="Q662" s="139"/>
      <c r="R662" s="139"/>
      <c r="S662" s="139"/>
      <c r="T662" s="139"/>
      <c r="U662" s="139"/>
      <c r="V662" s="139"/>
    </row>
    <row r="663" spans="1:22">
      <c r="A663" s="139"/>
      <c r="B663" s="139"/>
      <c r="C663" s="139"/>
      <c r="D663" s="139"/>
      <c r="E663" s="139"/>
      <c r="F663" s="139"/>
      <c r="G663" s="139"/>
      <c r="H663" s="139"/>
      <c r="I663" s="139"/>
      <c r="J663" s="139"/>
      <c r="K663" s="139"/>
      <c r="L663" s="139"/>
      <c r="M663" s="139"/>
      <c r="N663" s="139"/>
      <c r="O663" s="139"/>
      <c r="P663" s="139"/>
      <c r="Q663" s="139"/>
      <c r="R663" s="139"/>
      <c r="S663" s="139"/>
      <c r="T663" s="139"/>
      <c r="U663" s="139"/>
      <c r="V663" s="139"/>
    </row>
    <row r="664" spans="1:22">
      <c r="A664" s="139"/>
      <c r="B664" s="139"/>
      <c r="C664" s="139"/>
      <c r="D664" s="139"/>
      <c r="E664" s="139"/>
      <c r="F664" s="139"/>
      <c r="G664" s="139"/>
      <c r="H664" s="139"/>
      <c r="I664" s="139"/>
      <c r="J664" s="139"/>
      <c r="K664" s="139"/>
      <c r="L664" s="139"/>
      <c r="M664" s="139"/>
      <c r="N664" s="139"/>
      <c r="O664" s="139"/>
      <c r="P664" s="139"/>
      <c r="Q664" s="139"/>
      <c r="R664" s="139"/>
      <c r="S664" s="139"/>
      <c r="T664" s="139"/>
      <c r="U664" s="139"/>
      <c r="V664" s="139"/>
    </row>
    <row r="665" spans="1:22">
      <c r="A665" s="139"/>
      <c r="B665" s="139"/>
      <c r="C665" s="139"/>
      <c r="D665" s="139"/>
      <c r="E665" s="139"/>
      <c r="F665" s="139"/>
      <c r="G665" s="139"/>
      <c r="H665" s="139"/>
      <c r="I665" s="139"/>
      <c r="J665" s="139"/>
      <c r="K665" s="139"/>
      <c r="L665" s="139"/>
      <c r="M665" s="139"/>
      <c r="N665" s="139"/>
      <c r="O665" s="139"/>
      <c r="P665" s="139"/>
      <c r="Q665" s="139"/>
      <c r="R665" s="139"/>
      <c r="S665" s="139"/>
      <c r="T665" s="139"/>
      <c r="U665" s="139"/>
      <c r="V665" s="139"/>
    </row>
    <row r="666" spans="1:22">
      <c r="A666" s="139"/>
      <c r="B666" s="139"/>
      <c r="C666" s="139"/>
      <c r="D666" s="139"/>
      <c r="E666" s="139"/>
      <c r="F666" s="139"/>
      <c r="G666" s="139"/>
      <c r="H666" s="139"/>
      <c r="I666" s="139"/>
      <c r="J666" s="139"/>
      <c r="K666" s="139"/>
      <c r="L666" s="139"/>
      <c r="M666" s="139"/>
      <c r="N666" s="139"/>
      <c r="O666" s="139"/>
      <c r="P666" s="139"/>
      <c r="Q666" s="139"/>
      <c r="R666" s="139"/>
      <c r="S666" s="139"/>
      <c r="T666" s="139"/>
      <c r="U666" s="139"/>
      <c r="V666" s="139"/>
    </row>
    <row r="667" spans="1:22">
      <c r="A667" s="139"/>
      <c r="B667" s="139"/>
      <c r="C667" s="139"/>
      <c r="D667" s="139"/>
      <c r="E667" s="139"/>
      <c r="F667" s="139"/>
      <c r="G667" s="139"/>
      <c r="H667" s="139"/>
      <c r="I667" s="139"/>
      <c r="J667" s="139"/>
      <c r="K667" s="139"/>
      <c r="L667" s="139"/>
      <c r="M667" s="139"/>
      <c r="N667" s="139"/>
      <c r="O667" s="139"/>
      <c r="P667" s="139"/>
      <c r="Q667" s="139"/>
      <c r="R667" s="139"/>
      <c r="S667" s="139"/>
      <c r="T667" s="139"/>
      <c r="U667" s="139"/>
      <c r="V667" s="139"/>
    </row>
    <row r="668" spans="1:22">
      <c r="A668" s="139"/>
      <c r="B668" s="139"/>
      <c r="C668" s="139"/>
      <c r="D668" s="139"/>
      <c r="E668" s="139"/>
      <c r="F668" s="139"/>
      <c r="G668" s="139"/>
      <c r="H668" s="139"/>
      <c r="I668" s="139"/>
      <c r="J668" s="139"/>
      <c r="K668" s="139"/>
      <c r="L668" s="139"/>
      <c r="M668" s="139"/>
      <c r="N668" s="139"/>
      <c r="O668" s="139"/>
      <c r="P668" s="139"/>
      <c r="Q668" s="139"/>
      <c r="R668" s="139"/>
      <c r="S668" s="139"/>
      <c r="T668" s="139"/>
      <c r="U668" s="139"/>
      <c r="V668" s="139"/>
    </row>
    <row r="669" spans="1:22">
      <c r="A669" s="139"/>
      <c r="B669" s="139"/>
      <c r="C669" s="139"/>
      <c r="D669" s="139"/>
      <c r="E669" s="139"/>
      <c r="F669" s="139"/>
      <c r="G669" s="139"/>
      <c r="H669" s="139"/>
      <c r="I669" s="139"/>
      <c r="J669" s="139"/>
      <c r="K669" s="139"/>
      <c r="L669" s="139"/>
      <c r="M669" s="139"/>
      <c r="N669" s="139"/>
      <c r="O669" s="139"/>
      <c r="P669" s="139"/>
      <c r="Q669" s="139"/>
      <c r="R669" s="139"/>
      <c r="S669" s="139"/>
      <c r="T669" s="139"/>
      <c r="U669" s="139"/>
      <c r="V669" s="139"/>
    </row>
    <row r="670" spans="1:22">
      <c r="A670" s="139"/>
      <c r="B670" s="139"/>
      <c r="C670" s="139"/>
      <c r="D670" s="139"/>
      <c r="E670" s="139"/>
      <c r="F670" s="139"/>
      <c r="G670" s="139"/>
      <c r="H670" s="139"/>
      <c r="I670" s="139"/>
      <c r="J670" s="139"/>
      <c r="K670" s="139"/>
      <c r="L670" s="139"/>
      <c r="M670" s="139"/>
      <c r="N670" s="139"/>
      <c r="O670" s="139"/>
      <c r="P670" s="139"/>
      <c r="Q670" s="139"/>
      <c r="R670" s="139"/>
      <c r="S670" s="139"/>
      <c r="T670" s="139"/>
      <c r="U670" s="139"/>
      <c r="V670" s="139"/>
    </row>
    <row r="671" spans="1:22">
      <c r="A671" s="139"/>
      <c r="B671" s="139"/>
      <c r="C671" s="139"/>
      <c r="D671" s="139"/>
      <c r="E671" s="139"/>
      <c r="F671" s="139"/>
      <c r="G671" s="139"/>
      <c r="H671" s="139"/>
      <c r="I671" s="139"/>
      <c r="J671" s="139"/>
      <c r="K671" s="139"/>
      <c r="L671" s="139"/>
      <c r="M671" s="139"/>
      <c r="N671" s="139"/>
      <c r="O671" s="139"/>
      <c r="P671" s="139"/>
      <c r="Q671" s="139"/>
      <c r="R671" s="139"/>
      <c r="S671" s="139"/>
      <c r="T671" s="139"/>
      <c r="U671" s="139"/>
      <c r="V671" s="139"/>
    </row>
    <row r="672" spans="1:22">
      <c r="A672" s="139"/>
      <c r="B672" s="139"/>
      <c r="C672" s="139"/>
      <c r="D672" s="139"/>
      <c r="E672" s="139"/>
      <c r="F672" s="139"/>
      <c r="G672" s="139"/>
      <c r="H672" s="139"/>
      <c r="I672" s="139"/>
      <c r="J672" s="139"/>
      <c r="K672" s="139"/>
      <c r="L672" s="139"/>
      <c r="M672" s="139"/>
      <c r="N672" s="139"/>
      <c r="O672" s="139"/>
      <c r="P672" s="139"/>
      <c r="Q672" s="139"/>
      <c r="R672" s="139"/>
      <c r="S672" s="139"/>
      <c r="T672" s="139"/>
      <c r="U672" s="139"/>
      <c r="V672" s="139"/>
    </row>
    <row r="673" spans="1:22">
      <c r="A673" s="139"/>
      <c r="B673" s="139"/>
      <c r="C673" s="139"/>
      <c r="D673" s="139"/>
      <c r="E673" s="139"/>
      <c r="F673" s="139"/>
      <c r="G673" s="139"/>
      <c r="H673" s="139"/>
      <c r="I673" s="139"/>
      <c r="J673" s="139"/>
      <c r="K673" s="139"/>
      <c r="L673" s="139"/>
      <c r="M673" s="139"/>
      <c r="N673" s="139"/>
      <c r="O673" s="139"/>
      <c r="P673" s="139"/>
      <c r="Q673" s="139"/>
      <c r="R673" s="139"/>
      <c r="S673" s="139"/>
      <c r="T673" s="139"/>
      <c r="U673" s="139"/>
      <c r="V673" s="139"/>
    </row>
    <row r="674" spans="1:22">
      <c r="A674" s="139"/>
      <c r="B674" s="139"/>
      <c r="C674" s="139"/>
      <c r="D674" s="139"/>
      <c r="E674" s="139"/>
      <c r="F674" s="139"/>
      <c r="G674" s="139"/>
      <c r="H674" s="139"/>
      <c r="I674" s="139"/>
      <c r="J674" s="139"/>
      <c r="K674" s="139"/>
      <c r="L674" s="139"/>
      <c r="M674" s="139"/>
      <c r="N674" s="139"/>
      <c r="O674" s="139"/>
      <c r="P674" s="139"/>
      <c r="Q674" s="139"/>
      <c r="R674" s="139"/>
      <c r="S674" s="139"/>
      <c r="T674" s="139"/>
      <c r="U674" s="139"/>
      <c r="V674" s="139"/>
    </row>
    <row r="675" spans="1:22">
      <c r="A675" s="139"/>
      <c r="B675" s="139"/>
      <c r="C675" s="139"/>
      <c r="D675" s="139"/>
      <c r="E675" s="139"/>
      <c r="F675" s="139"/>
      <c r="G675" s="139"/>
      <c r="H675" s="139"/>
      <c r="I675" s="139"/>
      <c r="J675" s="139"/>
      <c r="K675" s="139"/>
      <c r="L675" s="139"/>
      <c r="M675" s="139"/>
      <c r="N675" s="139"/>
      <c r="O675" s="139"/>
      <c r="P675" s="139"/>
      <c r="Q675" s="139"/>
      <c r="R675" s="139"/>
      <c r="S675" s="139"/>
      <c r="T675" s="139"/>
      <c r="U675" s="139"/>
      <c r="V675" s="139"/>
    </row>
    <row r="676" spans="1:22">
      <c r="A676" s="139"/>
      <c r="B676" s="139"/>
      <c r="C676" s="139"/>
      <c r="D676" s="139"/>
      <c r="E676" s="139"/>
      <c r="F676" s="139"/>
      <c r="G676" s="139"/>
      <c r="H676" s="139"/>
      <c r="I676" s="139"/>
      <c r="J676" s="139"/>
      <c r="K676" s="139"/>
      <c r="L676" s="139"/>
      <c r="M676" s="139"/>
      <c r="N676" s="139"/>
      <c r="O676" s="139"/>
      <c r="P676" s="139"/>
      <c r="Q676" s="139"/>
      <c r="R676" s="139"/>
      <c r="S676" s="139"/>
      <c r="T676" s="139"/>
      <c r="U676" s="139"/>
      <c r="V676" s="139"/>
    </row>
    <row r="677" spans="1:22">
      <c r="A677" s="139"/>
      <c r="B677" s="139"/>
      <c r="C677" s="139"/>
      <c r="D677" s="139"/>
      <c r="E677" s="139"/>
      <c r="F677" s="139"/>
      <c r="G677" s="139"/>
      <c r="H677" s="139"/>
      <c r="I677" s="139"/>
      <c r="J677" s="139"/>
      <c r="K677" s="139"/>
      <c r="L677" s="139"/>
      <c r="M677" s="139"/>
      <c r="N677" s="139"/>
      <c r="O677" s="139"/>
      <c r="P677" s="139"/>
      <c r="Q677" s="139"/>
      <c r="R677" s="139"/>
      <c r="S677" s="139"/>
      <c r="T677" s="139"/>
      <c r="U677" s="139"/>
      <c r="V677" s="139"/>
    </row>
    <row r="678" spans="1:22">
      <c r="A678" s="139"/>
      <c r="B678" s="139"/>
      <c r="C678" s="139"/>
      <c r="D678" s="139"/>
      <c r="E678" s="139"/>
      <c r="F678" s="139"/>
      <c r="G678" s="139"/>
      <c r="H678" s="139"/>
      <c r="I678" s="139"/>
      <c r="J678" s="139"/>
      <c r="K678" s="139"/>
      <c r="L678" s="139"/>
      <c r="M678" s="139"/>
      <c r="N678" s="139"/>
      <c r="O678" s="139"/>
      <c r="P678" s="139"/>
      <c r="Q678" s="139"/>
      <c r="R678" s="139"/>
      <c r="S678" s="139"/>
      <c r="T678" s="139"/>
      <c r="U678" s="139"/>
      <c r="V678" s="139"/>
    </row>
    <row r="679" spans="1:22">
      <c r="A679" s="139"/>
      <c r="B679" s="139"/>
      <c r="C679" s="139"/>
      <c r="D679" s="139"/>
      <c r="E679" s="139"/>
      <c r="F679" s="139"/>
      <c r="G679" s="139"/>
      <c r="H679" s="139"/>
      <c r="I679" s="139"/>
      <c r="J679" s="139"/>
      <c r="K679" s="139"/>
      <c r="L679" s="139"/>
      <c r="M679" s="139"/>
      <c r="N679" s="139"/>
      <c r="O679" s="139"/>
      <c r="P679" s="139"/>
      <c r="Q679" s="139"/>
      <c r="R679" s="139"/>
      <c r="S679" s="139"/>
      <c r="T679" s="139"/>
      <c r="U679" s="139"/>
      <c r="V679" s="139"/>
    </row>
    <row r="680" spans="1:22">
      <c r="A680" s="139"/>
      <c r="B680" s="139"/>
      <c r="C680" s="139"/>
      <c r="D680" s="139"/>
      <c r="E680" s="139"/>
      <c r="F680" s="139"/>
      <c r="G680" s="139"/>
      <c r="H680" s="139"/>
      <c r="I680" s="139"/>
      <c r="J680" s="139"/>
      <c r="K680" s="139"/>
      <c r="L680" s="139"/>
      <c r="M680" s="139"/>
      <c r="N680" s="139"/>
      <c r="O680" s="139"/>
      <c r="P680" s="139"/>
      <c r="Q680" s="139"/>
      <c r="R680" s="139"/>
      <c r="S680" s="139"/>
      <c r="T680" s="139"/>
      <c r="U680" s="139"/>
      <c r="V680" s="139"/>
    </row>
    <row r="681" spans="1:22">
      <c r="A681" s="139"/>
      <c r="B681" s="139"/>
      <c r="C681" s="139"/>
      <c r="D681" s="139"/>
      <c r="E681" s="139"/>
      <c r="F681" s="139"/>
      <c r="G681" s="139"/>
      <c r="H681" s="139"/>
      <c r="I681" s="139"/>
      <c r="J681" s="139"/>
      <c r="K681" s="139"/>
      <c r="L681" s="139"/>
      <c r="M681" s="139"/>
      <c r="N681" s="139"/>
      <c r="O681" s="139"/>
      <c r="P681" s="139"/>
      <c r="Q681" s="139"/>
      <c r="R681" s="139"/>
      <c r="S681" s="139"/>
      <c r="T681" s="139"/>
      <c r="U681" s="139"/>
      <c r="V681" s="139"/>
    </row>
    <row r="682" spans="1:22">
      <c r="A682" s="139"/>
      <c r="B682" s="139"/>
      <c r="C682" s="139"/>
      <c r="D682" s="139"/>
      <c r="E682" s="139"/>
      <c r="F682" s="139"/>
      <c r="G682" s="139"/>
      <c r="H682" s="139"/>
      <c r="I682" s="139"/>
      <c r="J682" s="139"/>
      <c r="K682" s="139"/>
      <c r="L682" s="139"/>
      <c r="M682" s="139"/>
      <c r="N682" s="139"/>
      <c r="O682" s="139"/>
      <c r="P682" s="139"/>
      <c r="Q682" s="139"/>
      <c r="R682" s="139"/>
      <c r="S682" s="139"/>
      <c r="T682" s="139"/>
      <c r="U682" s="139"/>
      <c r="V682" s="139"/>
    </row>
    <row r="683" spans="1:22">
      <c r="A683" s="139"/>
      <c r="B683" s="139"/>
      <c r="C683" s="139"/>
      <c r="D683" s="139"/>
      <c r="E683" s="139"/>
      <c r="F683" s="139"/>
      <c r="G683" s="139"/>
      <c r="H683" s="139"/>
      <c r="I683" s="139"/>
      <c r="J683" s="139"/>
      <c r="K683" s="139"/>
      <c r="L683" s="139"/>
      <c r="M683" s="139"/>
      <c r="N683" s="139"/>
      <c r="O683" s="139"/>
      <c r="P683" s="139"/>
      <c r="Q683" s="139"/>
      <c r="R683" s="139"/>
      <c r="S683" s="139"/>
      <c r="T683" s="139"/>
      <c r="U683" s="139"/>
      <c r="V683" s="139"/>
    </row>
    <row r="684" spans="1:22">
      <c r="A684" s="139"/>
      <c r="B684" s="139"/>
      <c r="C684" s="139"/>
      <c r="D684" s="139"/>
      <c r="E684" s="139"/>
      <c r="F684" s="139"/>
      <c r="G684" s="139"/>
      <c r="H684" s="139"/>
      <c r="I684" s="139"/>
      <c r="J684" s="139"/>
      <c r="K684" s="139"/>
      <c r="L684" s="139"/>
      <c r="M684" s="139"/>
      <c r="N684" s="139"/>
      <c r="O684" s="139"/>
      <c r="P684" s="139"/>
      <c r="Q684" s="139"/>
      <c r="R684" s="139"/>
      <c r="S684" s="139"/>
      <c r="T684" s="139"/>
      <c r="U684" s="139"/>
      <c r="V684" s="139"/>
    </row>
    <row r="685" spans="1:22">
      <c r="A685" s="139"/>
      <c r="B685" s="139"/>
      <c r="C685" s="139"/>
      <c r="D685" s="139"/>
      <c r="E685" s="139"/>
      <c r="F685" s="139"/>
      <c r="G685" s="139"/>
      <c r="H685" s="139"/>
      <c r="I685" s="139"/>
      <c r="J685" s="139"/>
      <c r="K685" s="139"/>
      <c r="L685" s="139"/>
      <c r="M685" s="139"/>
      <c r="N685" s="139"/>
      <c r="O685" s="139"/>
      <c r="P685" s="139"/>
      <c r="Q685" s="139"/>
      <c r="R685" s="139"/>
      <c r="S685" s="139"/>
      <c r="T685" s="139"/>
      <c r="U685" s="139"/>
      <c r="V685" s="139"/>
    </row>
    <row r="686" spans="1:22">
      <c r="A686" s="139"/>
      <c r="B686" s="139"/>
      <c r="C686" s="139"/>
      <c r="D686" s="139"/>
      <c r="E686" s="139"/>
      <c r="F686" s="139"/>
      <c r="G686" s="139"/>
      <c r="H686" s="139"/>
      <c r="I686" s="139"/>
      <c r="J686" s="139"/>
      <c r="K686" s="139"/>
      <c r="L686" s="139"/>
      <c r="M686" s="139"/>
      <c r="N686" s="139"/>
      <c r="O686" s="139"/>
      <c r="P686" s="139"/>
      <c r="Q686" s="139"/>
      <c r="R686" s="139"/>
      <c r="S686" s="139"/>
      <c r="T686" s="139"/>
      <c r="U686" s="139"/>
      <c r="V686" s="139"/>
    </row>
    <row r="687" spans="1:22">
      <c r="A687" s="139"/>
      <c r="B687" s="139"/>
      <c r="C687" s="139"/>
      <c r="D687" s="139"/>
      <c r="E687" s="139"/>
      <c r="F687" s="139"/>
      <c r="G687" s="139"/>
      <c r="H687" s="139"/>
      <c r="I687" s="139"/>
      <c r="J687" s="139"/>
      <c r="K687" s="139"/>
      <c r="L687" s="139"/>
      <c r="M687" s="139"/>
      <c r="N687" s="139"/>
      <c r="O687" s="139"/>
      <c r="P687" s="139"/>
      <c r="Q687" s="139"/>
      <c r="R687" s="139"/>
      <c r="S687" s="139"/>
      <c r="T687" s="139"/>
      <c r="U687" s="139"/>
      <c r="V687" s="139"/>
    </row>
    <row r="688" spans="1:22">
      <c r="A688" s="139"/>
      <c r="B688" s="139"/>
      <c r="C688" s="139"/>
      <c r="D688" s="139"/>
      <c r="E688" s="139"/>
      <c r="F688" s="139"/>
      <c r="G688" s="139"/>
      <c r="H688" s="139"/>
      <c r="I688" s="139"/>
      <c r="J688" s="139"/>
      <c r="K688" s="139"/>
      <c r="L688" s="139"/>
      <c r="M688" s="139"/>
      <c r="N688" s="139"/>
      <c r="O688" s="139"/>
      <c r="P688" s="139"/>
      <c r="Q688" s="139"/>
      <c r="R688" s="139"/>
      <c r="S688" s="139"/>
      <c r="T688" s="139"/>
      <c r="U688" s="139"/>
      <c r="V688" s="139"/>
    </row>
    <row r="689" spans="1:22">
      <c r="A689" s="139"/>
      <c r="B689" s="139"/>
      <c r="C689" s="139"/>
      <c r="D689" s="139"/>
      <c r="E689" s="139"/>
      <c r="F689" s="139"/>
      <c r="G689" s="139"/>
      <c r="H689" s="139"/>
      <c r="I689" s="139"/>
      <c r="J689" s="139"/>
      <c r="K689" s="139"/>
      <c r="L689" s="139"/>
      <c r="M689" s="139"/>
      <c r="N689" s="139"/>
      <c r="O689" s="139"/>
      <c r="P689" s="139"/>
      <c r="Q689" s="139"/>
      <c r="R689" s="139"/>
      <c r="S689" s="139"/>
      <c r="T689" s="139"/>
      <c r="U689" s="139"/>
      <c r="V689" s="139"/>
    </row>
    <row r="690" spans="1:22">
      <c r="A690" s="139"/>
      <c r="B690" s="139"/>
      <c r="C690" s="139"/>
      <c r="D690" s="139"/>
      <c r="E690" s="139"/>
      <c r="F690" s="139"/>
      <c r="G690" s="139"/>
      <c r="H690" s="139"/>
      <c r="I690" s="139"/>
      <c r="J690" s="139"/>
      <c r="K690" s="139"/>
      <c r="L690" s="139"/>
      <c r="M690" s="139"/>
      <c r="N690" s="139"/>
      <c r="O690" s="139"/>
      <c r="P690" s="139"/>
      <c r="Q690" s="139"/>
      <c r="R690" s="139"/>
      <c r="S690" s="139"/>
      <c r="T690" s="139"/>
      <c r="U690" s="139"/>
      <c r="V690" s="139"/>
    </row>
    <row r="691" spans="1:22">
      <c r="A691" s="139"/>
      <c r="B691" s="139"/>
      <c r="C691" s="139"/>
      <c r="D691" s="139"/>
      <c r="E691" s="139"/>
      <c r="F691" s="139"/>
      <c r="G691" s="139"/>
      <c r="H691" s="139"/>
      <c r="I691" s="139"/>
      <c r="J691" s="139"/>
      <c r="K691" s="139"/>
      <c r="L691" s="139"/>
      <c r="M691" s="139"/>
      <c r="N691" s="139"/>
      <c r="O691" s="139"/>
      <c r="P691" s="139"/>
      <c r="Q691" s="139"/>
      <c r="R691" s="139"/>
      <c r="S691" s="139"/>
      <c r="T691" s="139"/>
      <c r="U691" s="139"/>
      <c r="V691" s="139"/>
    </row>
    <row r="692" spans="1:22">
      <c r="A692" s="139"/>
      <c r="B692" s="139"/>
      <c r="C692" s="139"/>
      <c r="D692" s="139"/>
      <c r="E692" s="139"/>
      <c r="F692" s="139"/>
      <c r="G692" s="139"/>
      <c r="H692" s="139"/>
      <c r="I692" s="139"/>
      <c r="J692" s="139"/>
      <c r="K692" s="139"/>
      <c r="L692" s="139"/>
      <c r="M692" s="139"/>
      <c r="N692" s="139"/>
      <c r="O692" s="139"/>
      <c r="P692" s="139"/>
      <c r="Q692" s="139"/>
      <c r="R692" s="139"/>
      <c r="S692" s="139"/>
      <c r="T692" s="139"/>
      <c r="U692" s="139"/>
      <c r="V692" s="139"/>
    </row>
    <row r="693" spans="1:22">
      <c r="A693" s="139"/>
      <c r="B693" s="139"/>
      <c r="C693" s="139"/>
      <c r="D693" s="139"/>
      <c r="E693" s="139"/>
      <c r="F693" s="139"/>
      <c r="G693" s="139"/>
      <c r="H693" s="139"/>
      <c r="I693" s="139"/>
      <c r="J693" s="139"/>
      <c r="K693" s="139"/>
      <c r="L693" s="139"/>
      <c r="M693" s="139"/>
      <c r="N693" s="139"/>
      <c r="O693" s="139"/>
      <c r="P693" s="139"/>
      <c r="Q693" s="139"/>
      <c r="R693" s="139"/>
      <c r="S693" s="139"/>
      <c r="T693" s="139"/>
      <c r="U693" s="139"/>
      <c r="V693" s="139"/>
    </row>
    <row r="694" spans="1:22">
      <c r="A694" s="139"/>
      <c r="B694" s="139"/>
      <c r="C694" s="139"/>
      <c r="D694" s="139"/>
      <c r="E694" s="139"/>
      <c r="F694" s="139"/>
      <c r="G694" s="139"/>
      <c r="H694" s="139"/>
      <c r="I694" s="139"/>
      <c r="J694" s="139"/>
      <c r="K694" s="139"/>
      <c r="L694" s="139"/>
      <c r="M694" s="139"/>
      <c r="N694" s="139"/>
      <c r="O694" s="139"/>
      <c r="P694" s="139"/>
      <c r="Q694" s="139"/>
      <c r="R694" s="139"/>
      <c r="S694" s="139"/>
      <c r="T694" s="139"/>
      <c r="U694" s="139"/>
      <c r="V694" s="139"/>
    </row>
    <row r="695" spans="1:22">
      <c r="A695" s="139"/>
      <c r="B695" s="139"/>
      <c r="C695" s="139"/>
      <c r="D695" s="139"/>
      <c r="E695" s="139"/>
      <c r="F695" s="139"/>
      <c r="G695" s="139"/>
      <c r="H695" s="139"/>
      <c r="I695" s="139"/>
      <c r="J695" s="139"/>
      <c r="K695" s="139"/>
      <c r="L695" s="139"/>
      <c r="M695" s="139"/>
      <c r="N695" s="139"/>
      <c r="O695" s="139"/>
      <c r="P695" s="139"/>
      <c r="Q695" s="139"/>
      <c r="R695" s="139"/>
      <c r="S695" s="139"/>
      <c r="T695" s="139"/>
      <c r="U695" s="139"/>
      <c r="V695" s="139"/>
    </row>
    <row r="696" spans="1:22">
      <c r="A696" s="139"/>
      <c r="B696" s="139"/>
      <c r="C696" s="139"/>
      <c r="D696" s="139"/>
      <c r="E696" s="139"/>
      <c r="F696" s="139"/>
      <c r="G696" s="139"/>
      <c r="H696" s="139"/>
      <c r="I696" s="139"/>
      <c r="J696" s="139"/>
      <c r="K696" s="139"/>
      <c r="L696" s="139"/>
      <c r="M696" s="139"/>
      <c r="N696" s="139"/>
      <c r="O696" s="139"/>
      <c r="P696" s="139"/>
      <c r="Q696" s="139"/>
      <c r="R696" s="139"/>
      <c r="S696" s="139"/>
      <c r="T696" s="139"/>
      <c r="U696" s="139"/>
      <c r="V696" s="139"/>
    </row>
    <row r="697" spans="1:22">
      <c r="A697" s="139"/>
      <c r="B697" s="139"/>
      <c r="C697" s="139"/>
      <c r="D697" s="139"/>
      <c r="E697" s="139"/>
      <c r="F697" s="139"/>
      <c r="G697" s="139"/>
      <c r="H697" s="139"/>
      <c r="I697" s="139"/>
      <c r="J697" s="139"/>
      <c r="K697" s="139"/>
      <c r="L697" s="139"/>
      <c r="M697" s="139"/>
      <c r="N697" s="139"/>
      <c r="O697" s="139"/>
      <c r="P697" s="139"/>
      <c r="Q697" s="139"/>
      <c r="R697" s="139"/>
      <c r="S697" s="139"/>
      <c r="T697" s="139"/>
      <c r="U697" s="139"/>
      <c r="V697" s="139"/>
    </row>
    <row r="698" spans="1:22">
      <c r="A698" s="139"/>
      <c r="B698" s="139"/>
      <c r="C698" s="139"/>
      <c r="D698" s="139"/>
      <c r="E698" s="139"/>
      <c r="F698" s="139"/>
      <c r="G698" s="139"/>
      <c r="H698" s="139"/>
      <c r="I698" s="139"/>
      <c r="J698" s="139"/>
      <c r="K698" s="139"/>
      <c r="L698" s="139"/>
      <c r="M698" s="139"/>
      <c r="N698" s="139"/>
      <c r="O698" s="139"/>
      <c r="P698" s="139"/>
      <c r="Q698" s="139"/>
      <c r="R698" s="139"/>
      <c r="S698" s="139"/>
      <c r="T698" s="139"/>
      <c r="U698" s="139"/>
      <c r="V698" s="139"/>
    </row>
    <row r="699" spans="1:22">
      <c r="A699" s="139"/>
      <c r="B699" s="139"/>
      <c r="C699" s="139"/>
      <c r="D699" s="139"/>
      <c r="E699" s="139"/>
      <c r="F699" s="139"/>
      <c r="G699" s="139"/>
      <c r="H699" s="139"/>
      <c r="I699" s="139"/>
      <c r="J699" s="139"/>
      <c r="K699" s="139"/>
      <c r="L699" s="139"/>
      <c r="M699" s="139"/>
      <c r="N699" s="139"/>
      <c r="O699" s="139"/>
      <c r="P699" s="139"/>
      <c r="Q699" s="139"/>
      <c r="R699" s="139"/>
      <c r="S699" s="139"/>
      <c r="T699" s="139"/>
      <c r="U699" s="139"/>
      <c r="V699" s="139"/>
    </row>
    <row r="700" spans="1:22">
      <c r="A700" s="139"/>
      <c r="B700" s="139"/>
      <c r="C700" s="139"/>
      <c r="D700" s="139"/>
      <c r="E700" s="139"/>
      <c r="F700" s="139"/>
      <c r="G700" s="139"/>
      <c r="H700" s="139"/>
      <c r="I700" s="139"/>
      <c r="J700" s="139"/>
      <c r="K700" s="139"/>
      <c r="L700" s="139"/>
      <c r="M700" s="139"/>
      <c r="N700" s="139"/>
      <c r="O700" s="139"/>
      <c r="P700" s="139"/>
      <c r="Q700" s="139"/>
      <c r="R700" s="139"/>
      <c r="S700" s="139"/>
      <c r="T700" s="139"/>
      <c r="U700" s="139"/>
      <c r="V700" s="139"/>
    </row>
    <row r="701" spans="1:22">
      <c r="A701" s="139"/>
      <c r="B701" s="139"/>
      <c r="C701" s="139"/>
      <c r="D701" s="139"/>
      <c r="E701" s="139"/>
      <c r="F701" s="139"/>
      <c r="G701" s="139"/>
      <c r="H701" s="139"/>
      <c r="I701" s="139"/>
      <c r="J701" s="139"/>
      <c r="K701" s="139"/>
      <c r="L701" s="139"/>
      <c r="M701" s="139"/>
      <c r="N701" s="139"/>
      <c r="O701" s="139"/>
      <c r="P701" s="139"/>
      <c r="Q701" s="139"/>
      <c r="R701" s="139"/>
      <c r="S701" s="139"/>
      <c r="T701" s="139"/>
      <c r="U701" s="139"/>
      <c r="V701" s="139"/>
    </row>
    <row r="702" spans="1:22">
      <c r="A702" s="139"/>
      <c r="B702" s="139"/>
      <c r="C702" s="139"/>
      <c r="D702" s="139"/>
      <c r="E702" s="139"/>
      <c r="F702" s="139"/>
      <c r="G702" s="139"/>
      <c r="H702" s="139"/>
      <c r="I702" s="139"/>
      <c r="J702" s="139"/>
      <c r="K702" s="139"/>
      <c r="L702" s="139"/>
      <c r="M702" s="139"/>
      <c r="N702" s="139"/>
      <c r="O702" s="139"/>
      <c r="P702" s="139"/>
      <c r="Q702" s="139"/>
      <c r="R702" s="139"/>
      <c r="S702" s="139"/>
      <c r="T702" s="139"/>
      <c r="U702" s="139"/>
      <c r="V702" s="139"/>
    </row>
    <row r="703" spans="1:22">
      <c r="A703" s="139"/>
      <c r="B703" s="139"/>
      <c r="C703" s="139"/>
      <c r="D703" s="139"/>
      <c r="E703" s="139"/>
      <c r="F703" s="139"/>
      <c r="G703" s="139"/>
      <c r="H703" s="139"/>
      <c r="I703" s="139"/>
      <c r="J703" s="139"/>
      <c r="K703" s="139"/>
      <c r="L703" s="139"/>
      <c r="M703" s="139"/>
      <c r="N703" s="139"/>
      <c r="O703" s="139"/>
      <c r="P703" s="139"/>
      <c r="Q703" s="139"/>
      <c r="R703" s="139"/>
      <c r="S703" s="139"/>
      <c r="T703" s="139"/>
      <c r="U703" s="139"/>
      <c r="V703" s="139"/>
    </row>
    <row r="704" spans="1:22">
      <c r="A704" s="139"/>
      <c r="B704" s="139"/>
      <c r="C704" s="139"/>
      <c r="D704" s="139"/>
      <c r="E704" s="139"/>
      <c r="F704" s="139"/>
      <c r="G704" s="139"/>
      <c r="H704" s="139"/>
      <c r="I704" s="139"/>
      <c r="J704" s="139"/>
      <c r="K704" s="139"/>
      <c r="L704" s="139"/>
      <c r="M704" s="139"/>
      <c r="N704" s="139"/>
      <c r="O704" s="139"/>
      <c r="P704" s="139"/>
      <c r="Q704" s="139"/>
      <c r="R704" s="139"/>
      <c r="S704" s="139"/>
      <c r="T704" s="139"/>
      <c r="U704" s="139"/>
      <c r="V704" s="139"/>
    </row>
    <row r="705" spans="1:22">
      <c r="A705" s="139"/>
      <c r="B705" s="139"/>
      <c r="C705" s="139"/>
      <c r="D705" s="139"/>
      <c r="E705" s="139"/>
      <c r="F705" s="139"/>
      <c r="G705" s="139"/>
      <c r="H705" s="139"/>
      <c r="I705" s="139"/>
      <c r="J705" s="139"/>
      <c r="K705" s="139"/>
      <c r="L705" s="139"/>
      <c r="M705" s="139"/>
      <c r="N705" s="139"/>
      <c r="O705" s="139"/>
      <c r="P705" s="139"/>
      <c r="Q705" s="139"/>
      <c r="R705" s="139"/>
      <c r="S705" s="139"/>
      <c r="T705" s="139"/>
      <c r="U705" s="139"/>
      <c r="V705" s="139"/>
    </row>
    <row r="706" spans="1:22">
      <c r="A706" s="139"/>
      <c r="B706" s="139"/>
      <c r="C706" s="139"/>
      <c r="D706" s="139"/>
      <c r="E706" s="139"/>
      <c r="F706" s="139"/>
      <c r="G706" s="139"/>
      <c r="H706" s="139"/>
      <c r="I706" s="139"/>
      <c r="J706" s="139"/>
      <c r="K706" s="139"/>
      <c r="L706" s="139"/>
      <c r="M706" s="139"/>
      <c r="N706" s="139"/>
      <c r="O706" s="139"/>
      <c r="P706" s="139"/>
      <c r="Q706" s="139"/>
      <c r="R706" s="139"/>
      <c r="S706" s="139"/>
      <c r="T706" s="139"/>
      <c r="U706" s="139"/>
      <c r="V706" s="139"/>
    </row>
    <row r="707" spans="1:22">
      <c r="A707" s="139"/>
      <c r="B707" s="139"/>
      <c r="C707" s="139"/>
      <c r="D707" s="139"/>
      <c r="E707" s="139"/>
      <c r="F707" s="139"/>
      <c r="G707" s="139"/>
      <c r="H707" s="139"/>
      <c r="I707" s="139"/>
      <c r="J707" s="139"/>
      <c r="K707" s="139"/>
      <c r="L707" s="139"/>
      <c r="M707" s="139"/>
      <c r="N707" s="139"/>
      <c r="O707" s="139"/>
      <c r="P707" s="139"/>
      <c r="Q707" s="139"/>
      <c r="R707" s="139"/>
      <c r="S707" s="139"/>
      <c r="T707" s="139"/>
      <c r="U707" s="139"/>
      <c r="V707" s="139"/>
    </row>
    <row r="708" spans="1:22">
      <c r="A708" s="139"/>
      <c r="B708" s="139"/>
      <c r="C708" s="139"/>
      <c r="D708" s="139"/>
      <c r="E708" s="139"/>
      <c r="F708" s="139"/>
      <c r="G708" s="139"/>
      <c r="H708" s="139"/>
      <c r="I708" s="139"/>
      <c r="J708" s="139"/>
      <c r="K708" s="139"/>
      <c r="L708" s="139"/>
      <c r="M708" s="139"/>
      <c r="N708" s="139"/>
      <c r="O708" s="139"/>
      <c r="P708" s="139"/>
      <c r="Q708" s="139"/>
      <c r="R708" s="139"/>
      <c r="S708" s="139"/>
      <c r="T708" s="139"/>
      <c r="U708" s="139"/>
      <c r="V708" s="139"/>
    </row>
    <row r="709" spans="1:22">
      <c r="A709" s="139"/>
      <c r="B709" s="139"/>
      <c r="C709" s="139"/>
      <c r="D709" s="139"/>
      <c r="E709" s="139"/>
      <c r="F709" s="139"/>
      <c r="G709" s="139"/>
      <c r="H709" s="139"/>
      <c r="I709" s="139"/>
      <c r="J709" s="139"/>
      <c r="K709" s="139"/>
      <c r="L709" s="139"/>
      <c r="M709" s="139"/>
      <c r="N709" s="139"/>
      <c r="O709" s="139"/>
      <c r="P709" s="139"/>
      <c r="Q709" s="139"/>
      <c r="R709" s="139"/>
      <c r="S709" s="139"/>
      <c r="T709" s="139"/>
      <c r="U709" s="139"/>
      <c r="V709" s="139"/>
    </row>
    <row r="710" spans="1:22">
      <c r="A710" s="139"/>
      <c r="B710" s="139"/>
      <c r="C710" s="139"/>
      <c r="D710" s="139"/>
      <c r="E710" s="139"/>
      <c r="F710" s="139"/>
      <c r="G710" s="139"/>
      <c r="H710" s="139"/>
      <c r="I710" s="139"/>
      <c r="J710" s="139"/>
      <c r="K710" s="139"/>
      <c r="L710" s="139"/>
      <c r="M710" s="139"/>
      <c r="N710" s="139"/>
      <c r="O710" s="139"/>
      <c r="P710" s="139"/>
      <c r="Q710" s="139"/>
      <c r="R710" s="139"/>
      <c r="S710" s="139"/>
      <c r="T710" s="139"/>
      <c r="U710" s="139"/>
      <c r="V710" s="139"/>
    </row>
    <row r="711" spans="1:22">
      <c r="A711" s="139"/>
      <c r="B711" s="139"/>
      <c r="C711" s="139"/>
      <c r="D711" s="139"/>
      <c r="E711" s="139"/>
      <c r="F711" s="139"/>
      <c r="G711" s="139"/>
      <c r="H711" s="139"/>
      <c r="I711" s="139"/>
      <c r="J711" s="139"/>
      <c r="K711" s="139"/>
      <c r="L711" s="139"/>
      <c r="M711" s="139"/>
      <c r="N711" s="139"/>
      <c r="O711" s="139"/>
      <c r="P711" s="139"/>
      <c r="Q711" s="139"/>
      <c r="R711" s="139"/>
      <c r="S711" s="139"/>
      <c r="T711" s="139"/>
      <c r="U711" s="139"/>
      <c r="V711" s="139"/>
    </row>
    <row r="712" spans="1:22">
      <c r="A712" s="139"/>
      <c r="B712" s="139"/>
      <c r="C712" s="139"/>
      <c r="D712" s="139"/>
      <c r="E712" s="139"/>
      <c r="F712" s="139"/>
      <c r="G712" s="139"/>
      <c r="H712" s="139"/>
      <c r="I712" s="139"/>
      <c r="J712" s="139"/>
      <c r="K712" s="139"/>
      <c r="L712" s="139"/>
      <c r="M712" s="139"/>
      <c r="N712" s="139"/>
      <c r="O712" s="139"/>
      <c r="P712" s="139"/>
      <c r="Q712" s="139"/>
      <c r="R712" s="139"/>
      <c r="S712" s="139"/>
      <c r="T712" s="139"/>
      <c r="U712" s="139"/>
      <c r="V712" s="139"/>
    </row>
    <row r="713" spans="1:22">
      <c r="A713" s="139"/>
      <c r="B713" s="139"/>
      <c r="C713" s="139"/>
      <c r="D713" s="139"/>
      <c r="E713" s="139"/>
      <c r="F713" s="139"/>
      <c r="G713" s="139"/>
      <c r="H713" s="139"/>
      <c r="I713" s="139"/>
      <c r="J713" s="139"/>
      <c r="K713" s="139"/>
      <c r="L713" s="139"/>
      <c r="M713" s="139"/>
      <c r="N713" s="139"/>
      <c r="O713" s="139"/>
      <c r="P713" s="139"/>
      <c r="Q713" s="139"/>
      <c r="R713" s="139"/>
      <c r="S713" s="139"/>
      <c r="T713" s="139"/>
      <c r="U713" s="139"/>
      <c r="V713" s="139"/>
    </row>
    <row r="714" spans="1:22">
      <c r="A714" s="139"/>
      <c r="B714" s="139"/>
      <c r="C714" s="139"/>
      <c r="D714" s="139"/>
      <c r="E714" s="139"/>
      <c r="F714" s="139"/>
      <c r="G714" s="139"/>
      <c r="H714" s="139"/>
      <c r="I714" s="139"/>
      <c r="J714" s="139"/>
      <c r="K714" s="139"/>
      <c r="L714" s="139"/>
      <c r="M714" s="139"/>
      <c r="N714" s="139"/>
      <c r="O714" s="139"/>
      <c r="P714" s="139"/>
      <c r="Q714" s="139"/>
      <c r="R714" s="139"/>
      <c r="S714" s="139"/>
      <c r="T714" s="139"/>
      <c r="U714" s="139"/>
      <c r="V714" s="139"/>
    </row>
    <row r="715" spans="1:22">
      <c r="A715" s="139"/>
      <c r="B715" s="139"/>
      <c r="C715" s="139"/>
      <c r="D715" s="139"/>
      <c r="E715" s="139"/>
      <c r="F715" s="139"/>
      <c r="G715" s="139"/>
      <c r="H715" s="139"/>
      <c r="I715" s="139"/>
      <c r="J715" s="139"/>
      <c r="K715" s="139"/>
      <c r="L715" s="139"/>
      <c r="M715" s="139"/>
      <c r="N715" s="139"/>
      <c r="O715" s="139"/>
      <c r="P715" s="139"/>
      <c r="Q715" s="139"/>
      <c r="R715" s="139"/>
      <c r="S715" s="139"/>
      <c r="T715" s="139"/>
      <c r="U715" s="139"/>
      <c r="V715" s="139"/>
    </row>
    <row r="716" spans="1:22">
      <c r="A716" s="139"/>
      <c r="B716" s="139"/>
      <c r="C716" s="139"/>
      <c r="D716" s="139"/>
      <c r="E716" s="139"/>
      <c r="F716" s="139"/>
      <c r="G716" s="139"/>
      <c r="H716" s="139"/>
      <c r="I716" s="139"/>
      <c r="J716" s="139"/>
      <c r="K716" s="139"/>
      <c r="L716" s="139"/>
      <c r="M716" s="139"/>
      <c r="N716" s="139"/>
      <c r="O716" s="139"/>
      <c r="P716" s="139"/>
      <c r="Q716" s="139"/>
      <c r="R716" s="139"/>
      <c r="S716" s="139"/>
      <c r="T716" s="139"/>
      <c r="U716" s="139"/>
      <c r="V716" s="139"/>
    </row>
    <row r="717" spans="1:22">
      <c r="A717" s="139"/>
      <c r="B717" s="139"/>
      <c r="C717" s="139"/>
      <c r="D717" s="139"/>
      <c r="E717" s="139"/>
      <c r="F717" s="139"/>
      <c r="G717" s="139"/>
      <c r="H717" s="139"/>
      <c r="I717" s="139"/>
      <c r="J717" s="139"/>
      <c r="K717" s="139"/>
      <c r="L717" s="139"/>
      <c r="M717" s="139"/>
      <c r="N717" s="139"/>
      <c r="O717" s="139"/>
      <c r="P717" s="139"/>
      <c r="Q717" s="139"/>
      <c r="R717" s="139"/>
      <c r="S717" s="139"/>
      <c r="T717" s="139"/>
      <c r="U717" s="139"/>
      <c r="V717" s="139"/>
    </row>
    <row r="718" spans="1:22">
      <c r="A718" s="139"/>
      <c r="B718" s="139"/>
      <c r="C718" s="139"/>
      <c r="D718" s="139"/>
      <c r="E718" s="139"/>
      <c r="F718" s="139"/>
      <c r="G718" s="139"/>
      <c r="H718" s="139"/>
      <c r="I718" s="139"/>
      <c r="J718" s="139"/>
      <c r="K718" s="139"/>
      <c r="L718" s="139"/>
      <c r="M718" s="139"/>
      <c r="N718" s="139"/>
      <c r="O718" s="139"/>
      <c r="P718" s="139"/>
      <c r="Q718" s="139"/>
      <c r="R718" s="139"/>
      <c r="S718" s="139"/>
      <c r="T718" s="139"/>
      <c r="U718" s="139"/>
      <c r="V718" s="139"/>
    </row>
    <row r="719" spans="1:22">
      <c r="A719" s="139"/>
      <c r="B719" s="139"/>
      <c r="C719" s="139"/>
      <c r="D719" s="139"/>
      <c r="E719" s="139"/>
      <c r="F719" s="139"/>
      <c r="G719" s="139"/>
      <c r="H719" s="139"/>
      <c r="I719" s="139"/>
      <c r="J719" s="139"/>
      <c r="K719" s="139"/>
      <c r="L719" s="139"/>
      <c r="M719" s="139"/>
      <c r="N719" s="139"/>
      <c r="O719" s="139"/>
      <c r="P719" s="139"/>
      <c r="Q719" s="139"/>
      <c r="R719" s="139"/>
      <c r="S719" s="139"/>
      <c r="T719" s="139"/>
      <c r="U719" s="139"/>
      <c r="V719" s="139"/>
    </row>
    <row r="720" spans="1:22">
      <c r="A720" s="139"/>
      <c r="B720" s="139"/>
      <c r="C720" s="139"/>
      <c r="D720" s="139"/>
      <c r="E720" s="139"/>
      <c r="F720" s="139"/>
      <c r="G720" s="139"/>
      <c r="H720" s="139"/>
      <c r="I720" s="139"/>
      <c r="J720" s="139"/>
      <c r="K720" s="139"/>
      <c r="L720" s="139"/>
      <c r="M720" s="139"/>
      <c r="N720" s="139"/>
      <c r="O720" s="139"/>
      <c r="P720" s="139"/>
      <c r="Q720" s="139"/>
      <c r="R720" s="139"/>
      <c r="S720" s="139"/>
      <c r="T720" s="139"/>
      <c r="U720" s="139"/>
      <c r="V720" s="139"/>
    </row>
    <row r="721" spans="1:22">
      <c r="A721" s="139"/>
      <c r="B721" s="139"/>
      <c r="C721" s="139"/>
      <c r="D721" s="139"/>
      <c r="E721" s="139"/>
      <c r="F721" s="139"/>
      <c r="G721" s="139"/>
      <c r="H721" s="139"/>
      <c r="I721" s="139"/>
      <c r="J721" s="139"/>
      <c r="K721" s="139"/>
      <c r="L721" s="139"/>
      <c r="M721" s="139"/>
      <c r="N721" s="139"/>
      <c r="O721" s="139"/>
      <c r="P721" s="139"/>
      <c r="Q721" s="139"/>
      <c r="R721" s="139"/>
      <c r="S721" s="139"/>
      <c r="T721" s="139"/>
      <c r="U721" s="139"/>
      <c r="V721" s="139"/>
    </row>
    <row r="722" spans="1:22">
      <c r="A722" s="139"/>
      <c r="B722" s="139"/>
      <c r="C722" s="139"/>
      <c r="D722" s="139"/>
      <c r="E722" s="139"/>
      <c r="F722" s="139"/>
      <c r="G722" s="139"/>
      <c r="H722" s="139"/>
      <c r="I722" s="139"/>
      <c r="J722" s="139"/>
      <c r="K722" s="139"/>
      <c r="L722" s="139"/>
      <c r="M722" s="139"/>
      <c r="N722" s="139"/>
      <c r="O722" s="139"/>
      <c r="P722" s="139"/>
      <c r="Q722" s="139"/>
      <c r="R722" s="139"/>
      <c r="S722" s="139"/>
      <c r="T722" s="139"/>
      <c r="U722" s="139"/>
      <c r="V722" s="139"/>
    </row>
    <row r="723" spans="1:22">
      <c r="A723" s="139"/>
      <c r="B723" s="139"/>
      <c r="C723" s="139"/>
      <c r="D723" s="139"/>
      <c r="E723" s="139"/>
      <c r="F723" s="139"/>
      <c r="G723" s="139"/>
      <c r="H723" s="139"/>
      <c r="I723" s="139"/>
      <c r="J723" s="139"/>
      <c r="K723" s="139"/>
      <c r="L723" s="139"/>
      <c r="M723" s="139"/>
      <c r="N723" s="139"/>
      <c r="O723" s="139"/>
      <c r="P723" s="139"/>
      <c r="Q723" s="139"/>
      <c r="R723" s="139"/>
      <c r="S723" s="139"/>
      <c r="T723" s="139"/>
      <c r="U723" s="139"/>
      <c r="V723" s="139"/>
    </row>
    <row r="724" spans="1:22">
      <c r="A724" s="139"/>
      <c r="B724" s="139"/>
      <c r="C724" s="139"/>
      <c r="D724" s="139"/>
      <c r="E724" s="139"/>
      <c r="F724" s="139"/>
      <c r="G724" s="139"/>
      <c r="H724" s="139"/>
      <c r="I724" s="139"/>
      <c r="J724" s="139"/>
      <c r="K724" s="139"/>
      <c r="L724" s="139"/>
      <c r="M724" s="139"/>
      <c r="N724" s="139"/>
      <c r="O724" s="139"/>
      <c r="P724" s="139"/>
      <c r="Q724" s="139"/>
      <c r="R724" s="139"/>
      <c r="S724" s="139"/>
      <c r="T724" s="139"/>
      <c r="U724" s="139"/>
      <c r="V724" s="139"/>
    </row>
    <row r="725" spans="1:22">
      <c r="A725" s="139"/>
      <c r="B725" s="139"/>
      <c r="C725" s="139"/>
      <c r="D725" s="139"/>
      <c r="E725" s="139"/>
      <c r="F725" s="139"/>
      <c r="G725" s="139"/>
      <c r="H725" s="139"/>
      <c r="I725" s="139"/>
      <c r="J725" s="139"/>
      <c r="K725" s="139"/>
      <c r="L725" s="139"/>
      <c r="M725" s="139"/>
      <c r="N725" s="139"/>
      <c r="O725" s="139"/>
      <c r="P725" s="139"/>
      <c r="Q725" s="139"/>
      <c r="R725" s="139"/>
      <c r="S725" s="139"/>
      <c r="T725" s="139"/>
      <c r="U725" s="139"/>
      <c r="V725" s="139"/>
    </row>
    <row r="726" spans="1:22">
      <c r="A726" s="139"/>
      <c r="B726" s="139"/>
      <c r="C726" s="139"/>
      <c r="D726" s="139"/>
      <c r="E726" s="139"/>
      <c r="F726" s="139"/>
      <c r="G726" s="139"/>
      <c r="H726" s="139"/>
      <c r="I726" s="139"/>
      <c r="J726" s="139"/>
      <c r="K726" s="139"/>
      <c r="L726" s="139"/>
      <c r="M726" s="139"/>
      <c r="N726" s="139"/>
      <c r="O726" s="139"/>
      <c r="P726" s="139"/>
      <c r="Q726" s="139"/>
      <c r="R726" s="139"/>
      <c r="S726" s="139"/>
      <c r="T726" s="139"/>
      <c r="U726" s="139"/>
      <c r="V726" s="139"/>
    </row>
    <row r="727" spans="1:22">
      <c r="A727" s="139"/>
      <c r="B727" s="139"/>
      <c r="C727" s="139"/>
      <c r="D727" s="139"/>
      <c r="E727" s="139"/>
      <c r="F727" s="139"/>
      <c r="G727" s="139"/>
      <c r="H727" s="139"/>
      <c r="I727" s="139"/>
      <c r="J727" s="139"/>
      <c r="K727" s="139"/>
      <c r="L727" s="139"/>
      <c r="M727" s="139"/>
      <c r="N727" s="139"/>
      <c r="O727" s="139"/>
      <c r="P727" s="139"/>
      <c r="Q727" s="139"/>
      <c r="R727" s="139"/>
      <c r="S727" s="139"/>
      <c r="T727" s="139"/>
      <c r="U727" s="139"/>
      <c r="V727" s="139"/>
    </row>
    <row r="728" spans="1:22">
      <c r="A728" s="139"/>
      <c r="B728" s="139"/>
      <c r="C728" s="139"/>
      <c r="D728" s="139"/>
      <c r="E728" s="139"/>
      <c r="F728" s="139"/>
      <c r="G728" s="139"/>
      <c r="H728" s="139"/>
      <c r="I728" s="139"/>
      <c r="J728" s="139"/>
      <c r="K728" s="139"/>
      <c r="L728" s="139"/>
      <c r="M728" s="139"/>
      <c r="N728" s="139"/>
      <c r="O728" s="139"/>
      <c r="P728" s="139"/>
      <c r="Q728" s="139"/>
      <c r="R728" s="139"/>
      <c r="S728" s="139"/>
      <c r="T728" s="139"/>
      <c r="U728" s="139"/>
      <c r="V728" s="139"/>
    </row>
    <row r="729" spans="1:22">
      <c r="A729" s="139"/>
      <c r="B729" s="139"/>
      <c r="C729" s="139"/>
      <c r="D729" s="139"/>
      <c r="E729" s="139"/>
      <c r="F729" s="139"/>
      <c r="G729" s="139"/>
      <c r="H729" s="139"/>
      <c r="I729" s="139"/>
      <c r="J729" s="139"/>
      <c r="K729" s="139"/>
      <c r="L729" s="139"/>
      <c r="M729" s="139"/>
      <c r="N729" s="139"/>
      <c r="O729" s="139"/>
      <c r="P729" s="139"/>
      <c r="Q729" s="139"/>
      <c r="R729" s="139"/>
      <c r="S729" s="139"/>
      <c r="T729" s="139"/>
      <c r="U729" s="139"/>
      <c r="V729" s="139"/>
    </row>
    <row r="730" spans="1:22">
      <c r="A730" s="139"/>
      <c r="B730" s="139"/>
      <c r="C730" s="139"/>
      <c r="D730" s="139"/>
      <c r="E730" s="139"/>
      <c r="F730" s="139"/>
      <c r="G730" s="139"/>
      <c r="H730" s="139"/>
      <c r="I730" s="139"/>
      <c r="J730" s="139"/>
      <c r="K730" s="139"/>
      <c r="L730" s="139"/>
      <c r="M730" s="139"/>
      <c r="N730" s="139"/>
      <c r="O730" s="139"/>
      <c r="P730" s="139"/>
      <c r="Q730" s="139"/>
      <c r="R730" s="139"/>
      <c r="S730" s="139"/>
      <c r="T730" s="139"/>
      <c r="U730" s="139"/>
      <c r="V730" s="139"/>
    </row>
    <row r="731" spans="1:22">
      <c r="A731" s="139"/>
      <c r="B731" s="139"/>
      <c r="C731" s="139"/>
      <c r="D731" s="139"/>
      <c r="E731" s="139"/>
      <c r="F731" s="139"/>
      <c r="G731" s="139"/>
      <c r="H731" s="139"/>
      <c r="I731" s="139"/>
      <c r="J731" s="139"/>
      <c r="K731" s="139"/>
      <c r="L731" s="139"/>
      <c r="M731" s="139"/>
      <c r="N731" s="139"/>
      <c r="O731" s="139"/>
      <c r="P731" s="139"/>
      <c r="Q731" s="139"/>
      <c r="R731" s="139"/>
      <c r="S731" s="139"/>
      <c r="T731" s="139"/>
      <c r="U731" s="139"/>
      <c r="V731" s="139"/>
    </row>
    <row r="732" spans="1:22">
      <c r="A732" s="139"/>
      <c r="B732" s="139"/>
      <c r="C732" s="139"/>
      <c r="D732" s="139"/>
      <c r="E732" s="139"/>
      <c r="F732" s="139"/>
      <c r="G732" s="139"/>
      <c r="H732" s="139"/>
      <c r="I732" s="139"/>
      <c r="J732" s="139"/>
      <c r="K732" s="139"/>
      <c r="L732" s="139"/>
      <c r="M732" s="139"/>
      <c r="N732" s="139"/>
      <c r="O732" s="139"/>
      <c r="P732" s="139"/>
      <c r="Q732" s="139"/>
      <c r="R732" s="139"/>
      <c r="S732" s="139"/>
      <c r="T732" s="139"/>
      <c r="U732" s="139"/>
      <c r="V732" s="139"/>
    </row>
    <row r="733" spans="1:22">
      <c r="A733" s="139"/>
      <c r="B733" s="139"/>
      <c r="C733" s="139"/>
      <c r="D733" s="139"/>
      <c r="E733" s="139"/>
      <c r="F733" s="139"/>
      <c r="G733" s="139"/>
      <c r="H733" s="139"/>
      <c r="I733" s="139"/>
      <c r="J733" s="139"/>
      <c r="K733" s="139"/>
      <c r="L733" s="139"/>
      <c r="M733" s="139"/>
      <c r="N733" s="139"/>
      <c r="O733" s="139"/>
      <c r="P733" s="139"/>
      <c r="Q733" s="139"/>
      <c r="R733" s="139"/>
      <c r="S733" s="139"/>
      <c r="T733" s="139"/>
      <c r="U733" s="139"/>
      <c r="V733" s="139"/>
    </row>
    <row r="734" spans="1:22">
      <c r="A734" s="139"/>
      <c r="B734" s="139"/>
      <c r="C734" s="139"/>
      <c r="D734" s="139"/>
      <c r="E734" s="139"/>
      <c r="F734" s="139"/>
      <c r="G734" s="139"/>
      <c r="H734" s="139"/>
      <c r="I734" s="139"/>
      <c r="J734" s="139"/>
      <c r="K734" s="139"/>
      <c r="L734" s="139"/>
      <c r="M734" s="139"/>
      <c r="N734" s="139"/>
      <c r="O734" s="139"/>
      <c r="P734" s="139"/>
      <c r="Q734" s="139"/>
      <c r="R734" s="139"/>
      <c r="S734" s="139"/>
      <c r="T734" s="139"/>
      <c r="U734" s="139"/>
      <c r="V734" s="139"/>
    </row>
    <row r="735" spans="1:22">
      <c r="A735" s="139"/>
      <c r="B735" s="139"/>
      <c r="C735" s="139"/>
      <c r="D735" s="139"/>
      <c r="E735" s="139"/>
      <c r="F735" s="139"/>
      <c r="G735" s="139"/>
      <c r="H735" s="139"/>
      <c r="I735" s="139"/>
      <c r="J735" s="139"/>
      <c r="K735" s="139"/>
      <c r="L735" s="139"/>
      <c r="M735" s="139"/>
      <c r="N735" s="139"/>
      <c r="O735" s="139"/>
      <c r="P735" s="139"/>
      <c r="Q735" s="139"/>
      <c r="R735" s="139"/>
      <c r="S735" s="139"/>
      <c r="T735" s="139"/>
      <c r="U735" s="139"/>
      <c r="V735" s="139"/>
    </row>
    <row r="736" spans="1:22">
      <c r="A736" s="139"/>
      <c r="B736" s="139"/>
      <c r="C736" s="139"/>
      <c r="D736" s="139"/>
      <c r="E736" s="139"/>
      <c r="F736" s="139"/>
      <c r="G736" s="139"/>
      <c r="H736" s="139"/>
      <c r="I736" s="139"/>
      <c r="J736" s="139"/>
      <c r="K736" s="139"/>
      <c r="L736" s="139"/>
      <c r="M736" s="139"/>
      <c r="N736" s="139"/>
      <c r="O736" s="139"/>
      <c r="P736" s="139"/>
      <c r="Q736" s="139"/>
      <c r="R736" s="139"/>
      <c r="S736" s="139"/>
      <c r="T736" s="139"/>
      <c r="U736" s="139"/>
      <c r="V736" s="139"/>
    </row>
    <row r="737" spans="1:22">
      <c r="A737" s="139"/>
      <c r="B737" s="139"/>
      <c r="C737" s="139"/>
      <c r="D737" s="139"/>
      <c r="E737" s="139"/>
      <c r="F737" s="139"/>
      <c r="G737" s="139"/>
      <c r="H737" s="139"/>
      <c r="I737" s="139"/>
      <c r="J737" s="139"/>
      <c r="K737" s="139"/>
      <c r="L737" s="139"/>
      <c r="M737" s="139"/>
      <c r="N737" s="139"/>
      <c r="O737" s="139"/>
      <c r="P737" s="139"/>
      <c r="Q737" s="139"/>
      <c r="R737" s="139"/>
      <c r="S737" s="139"/>
      <c r="T737" s="139"/>
      <c r="U737" s="139"/>
      <c r="V737" s="139"/>
    </row>
    <row r="738" spans="1:22">
      <c r="A738" s="139"/>
      <c r="B738" s="139"/>
      <c r="C738" s="139"/>
      <c r="D738" s="139"/>
      <c r="E738" s="139"/>
      <c r="F738" s="139"/>
      <c r="G738" s="139"/>
      <c r="H738" s="139"/>
      <c r="I738" s="139"/>
      <c r="J738" s="139"/>
      <c r="K738" s="139"/>
      <c r="L738" s="139"/>
      <c r="M738" s="139"/>
      <c r="N738" s="139"/>
      <c r="O738" s="139"/>
      <c r="P738" s="139"/>
      <c r="Q738" s="139"/>
      <c r="R738" s="139"/>
      <c r="S738" s="139"/>
      <c r="T738" s="139"/>
      <c r="U738" s="139"/>
      <c r="V738" s="139"/>
    </row>
    <row r="739" spans="1:22">
      <c r="A739" s="139"/>
      <c r="B739" s="139"/>
      <c r="C739" s="139"/>
      <c r="D739" s="139"/>
      <c r="E739" s="139"/>
      <c r="F739" s="139"/>
      <c r="G739" s="139"/>
      <c r="H739" s="139"/>
      <c r="I739" s="139"/>
      <c r="J739" s="139"/>
      <c r="K739" s="139"/>
      <c r="L739" s="139"/>
      <c r="M739" s="139"/>
      <c r="N739" s="139"/>
      <c r="O739" s="139"/>
      <c r="P739" s="139"/>
      <c r="Q739" s="139"/>
      <c r="R739" s="139"/>
      <c r="S739" s="139"/>
      <c r="T739" s="139"/>
      <c r="U739" s="139"/>
      <c r="V739" s="139"/>
    </row>
    <row r="740" spans="1:22">
      <c r="A740" s="139"/>
      <c r="B740" s="139"/>
      <c r="C740" s="139"/>
      <c r="D740" s="139"/>
      <c r="E740" s="139"/>
      <c r="F740" s="139"/>
      <c r="G740" s="139"/>
      <c r="H740" s="139"/>
      <c r="I740" s="139"/>
      <c r="J740" s="139"/>
      <c r="K740" s="139"/>
      <c r="L740" s="139"/>
      <c r="M740" s="139"/>
      <c r="N740" s="139"/>
      <c r="O740" s="139"/>
      <c r="P740" s="139"/>
      <c r="Q740" s="139"/>
      <c r="R740" s="139"/>
      <c r="S740" s="139"/>
      <c r="T740" s="139"/>
      <c r="U740" s="139"/>
      <c r="V740" s="139"/>
    </row>
    <row r="741" spans="1:22">
      <c r="A741" s="139"/>
      <c r="B741" s="139"/>
      <c r="C741" s="139"/>
      <c r="D741" s="139"/>
      <c r="E741" s="139"/>
      <c r="F741" s="139"/>
      <c r="G741" s="139"/>
      <c r="H741" s="139"/>
      <c r="I741" s="139"/>
      <c r="J741" s="139"/>
      <c r="K741" s="139"/>
      <c r="L741" s="139"/>
      <c r="M741" s="139"/>
      <c r="N741" s="139"/>
      <c r="O741" s="139"/>
      <c r="P741" s="139"/>
      <c r="Q741" s="139"/>
      <c r="R741" s="139"/>
      <c r="S741" s="139"/>
      <c r="T741" s="139"/>
      <c r="U741" s="139"/>
      <c r="V741" s="139"/>
    </row>
    <row r="742" spans="1:22">
      <c r="A742" s="139"/>
      <c r="B742" s="139"/>
      <c r="C742" s="139"/>
      <c r="D742" s="139"/>
      <c r="E742" s="139"/>
      <c r="F742" s="139"/>
      <c r="G742" s="139"/>
      <c r="H742" s="139"/>
      <c r="I742" s="139"/>
      <c r="J742" s="139"/>
      <c r="K742" s="139"/>
      <c r="L742" s="139"/>
      <c r="M742" s="139"/>
      <c r="N742" s="139"/>
      <c r="O742" s="139"/>
      <c r="P742" s="139"/>
      <c r="Q742" s="139"/>
      <c r="R742" s="139"/>
      <c r="S742" s="139"/>
      <c r="T742" s="139"/>
      <c r="U742" s="139"/>
      <c r="V742" s="139"/>
    </row>
    <row r="743" spans="1:22">
      <c r="A743" s="139"/>
      <c r="B743" s="139"/>
      <c r="C743" s="139"/>
      <c r="D743" s="139"/>
      <c r="E743" s="139"/>
      <c r="F743" s="139"/>
      <c r="G743" s="139"/>
      <c r="H743" s="139"/>
      <c r="I743" s="139"/>
      <c r="J743" s="139"/>
      <c r="K743" s="139"/>
      <c r="L743" s="139"/>
      <c r="M743" s="139"/>
      <c r="N743" s="139"/>
      <c r="O743" s="139"/>
      <c r="P743" s="139"/>
      <c r="Q743" s="139"/>
      <c r="R743" s="139"/>
      <c r="S743" s="139"/>
      <c r="T743" s="139"/>
      <c r="U743" s="139"/>
      <c r="V743" s="139"/>
    </row>
    <row r="744" spans="1:22">
      <c r="A744" s="139"/>
      <c r="B744" s="139"/>
      <c r="C744" s="139"/>
      <c r="D744" s="139"/>
      <c r="E744" s="139"/>
      <c r="F744" s="139"/>
      <c r="G744" s="139"/>
      <c r="H744" s="139"/>
      <c r="I744" s="139"/>
      <c r="J744" s="139"/>
      <c r="K744" s="139"/>
      <c r="L744" s="139"/>
      <c r="M744" s="139"/>
      <c r="N744" s="139"/>
      <c r="O744" s="139"/>
      <c r="P744" s="139"/>
      <c r="Q744" s="139"/>
      <c r="R744" s="139"/>
      <c r="S744" s="139"/>
      <c r="T744" s="139"/>
      <c r="U744" s="139"/>
      <c r="V744" s="139"/>
    </row>
    <row r="745" spans="1:22">
      <c r="A745" s="139"/>
      <c r="B745" s="139"/>
      <c r="C745" s="139"/>
      <c r="D745" s="139"/>
      <c r="E745" s="139"/>
      <c r="F745" s="139"/>
      <c r="G745" s="139"/>
      <c r="H745" s="139"/>
      <c r="I745" s="139"/>
      <c r="J745" s="139"/>
      <c r="K745" s="139"/>
      <c r="L745" s="139"/>
      <c r="M745" s="139"/>
      <c r="N745" s="139"/>
      <c r="O745" s="139"/>
      <c r="P745" s="139"/>
      <c r="Q745" s="139"/>
      <c r="R745" s="139"/>
      <c r="S745" s="139"/>
      <c r="T745" s="139"/>
      <c r="U745" s="139"/>
      <c r="V745" s="139"/>
    </row>
    <row r="746" spans="1:22">
      <c r="A746" s="139"/>
      <c r="B746" s="139"/>
      <c r="C746" s="139"/>
      <c r="D746" s="139"/>
      <c r="E746" s="139"/>
      <c r="F746" s="139"/>
      <c r="G746" s="139"/>
      <c r="H746" s="139"/>
      <c r="I746" s="139"/>
      <c r="J746" s="139"/>
      <c r="K746" s="139"/>
      <c r="L746" s="139"/>
      <c r="M746" s="139"/>
      <c r="N746" s="139"/>
      <c r="O746" s="139"/>
      <c r="P746" s="139"/>
      <c r="Q746" s="139"/>
      <c r="R746" s="139"/>
      <c r="S746" s="139"/>
      <c r="T746" s="139"/>
      <c r="U746" s="139"/>
      <c r="V746" s="139"/>
    </row>
    <row r="747" spans="1:22">
      <c r="A747" s="139"/>
      <c r="B747" s="139"/>
      <c r="C747" s="139"/>
      <c r="D747" s="139"/>
      <c r="E747" s="139"/>
      <c r="F747" s="139"/>
      <c r="G747" s="139"/>
      <c r="H747" s="139"/>
      <c r="I747" s="139"/>
      <c r="J747" s="139"/>
      <c r="K747" s="139"/>
      <c r="L747" s="139"/>
      <c r="M747" s="139"/>
      <c r="N747" s="139"/>
      <c r="O747" s="139"/>
      <c r="P747" s="139"/>
      <c r="Q747" s="139"/>
      <c r="R747" s="139"/>
      <c r="S747" s="139"/>
      <c r="T747" s="139"/>
      <c r="U747" s="139"/>
      <c r="V747" s="139"/>
    </row>
    <row r="748" spans="1:22">
      <c r="A748" s="139"/>
      <c r="B748" s="139"/>
      <c r="C748" s="139"/>
      <c r="D748" s="139"/>
      <c r="E748" s="139"/>
      <c r="F748" s="139"/>
      <c r="G748" s="139"/>
      <c r="H748" s="139"/>
      <c r="I748" s="139"/>
      <c r="J748" s="139"/>
      <c r="K748" s="139"/>
      <c r="L748" s="139"/>
      <c r="M748" s="139"/>
      <c r="N748" s="139"/>
      <c r="O748" s="139"/>
      <c r="P748" s="139"/>
      <c r="Q748" s="139"/>
      <c r="R748" s="139"/>
      <c r="S748" s="139"/>
      <c r="T748" s="139"/>
      <c r="U748" s="139"/>
      <c r="V748" s="139"/>
    </row>
    <row r="749" spans="1:22">
      <c r="A749" s="139"/>
      <c r="B749" s="139"/>
      <c r="C749" s="139"/>
      <c r="D749" s="139"/>
      <c r="E749" s="139"/>
      <c r="F749" s="139"/>
      <c r="G749" s="139"/>
      <c r="H749" s="139"/>
      <c r="I749" s="139"/>
      <c r="J749" s="139"/>
      <c r="K749" s="139"/>
      <c r="L749" s="139"/>
      <c r="M749" s="139"/>
      <c r="N749" s="139"/>
      <c r="O749" s="139"/>
      <c r="P749" s="139"/>
      <c r="Q749" s="139"/>
      <c r="R749" s="139"/>
      <c r="S749" s="139"/>
      <c r="T749" s="139"/>
      <c r="U749" s="139"/>
      <c r="V749" s="139"/>
    </row>
    <row r="750" spans="1:22">
      <c r="A750" s="139"/>
      <c r="B750" s="139"/>
      <c r="C750" s="139"/>
      <c r="D750" s="139"/>
      <c r="E750" s="139"/>
      <c r="F750" s="139"/>
      <c r="G750" s="139"/>
      <c r="H750" s="139"/>
      <c r="I750" s="139"/>
      <c r="J750" s="139"/>
      <c r="K750" s="139"/>
      <c r="L750" s="139"/>
      <c r="M750" s="139"/>
      <c r="N750" s="139"/>
      <c r="O750" s="139"/>
      <c r="P750" s="139"/>
      <c r="Q750" s="139"/>
      <c r="R750" s="139"/>
      <c r="S750" s="139"/>
      <c r="T750" s="139"/>
      <c r="U750" s="139"/>
      <c r="V750" s="139"/>
    </row>
    <row r="751" spans="1:22">
      <c r="A751" s="139"/>
      <c r="B751" s="139"/>
      <c r="C751" s="139"/>
      <c r="D751" s="139"/>
      <c r="E751" s="139"/>
      <c r="F751" s="139"/>
      <c r="G751" s="139"/>
      <c r="H751" s="139"/>
      <c r="I751" s="139"/>
      <c r="J751" s="139"/>
      <c r="K751" s="139"/>
      <c r="L751" s="139"/>
      <c r="M751" s="139"/>
      <c r="N751" s="139"/>
      <c r="O751" s="139"/>
      <c r="P751" s="139"/>
      <c r="Q751" s="139"/>
      <c r="R751" s="139"/>
      <c r="S751" s="139"/>
      <c r="T751" s="139"/>
      <c r="U751" s="139"/>
      <c r="V751" s="139"/>
    </row>
    <row r="752" spans="1:22">
      <c r="A752" s="139"/>
      <c r="B752" s="139"/>
      <c r="C752" s="139"/>
      <c r="D752" s="139"/>
      <c r="E752" s="139"/>
      <c r="F752" s="139"/>
      <c r="G752" s="139"/>
      <c r="H752" s="139"/>
      <c r="I752" s="139"/>
      <c r="J752" s="139"/>
      <c r="K752" s="139"/>
      <c r="L752" s="139"/>
      <c r="M752" s="139"/>
      <c r="N752" s="139"/>
      <c r="O752" s="139"/>
      <c r="P752" s="139"/>
      <c r="Q752" s="139"/>
      <c r="R752" s="139"/>
      <c r="S752" s="139"/>
      <c r="T752" s="139"/>
      <c r="U752" s="139"/>
      <c r="V752" s="139"/>
    </row>
    <row r="753" spans="1:22">
      <c r="A753" s="139"/>
      <c r="B753" s="139"/>
      <c r="C753" s="139"/>
      <c r="D753" s="139"/>
      <c r="E753" s="139"/>
      <c r="F753" s="139"/>
      <c r="G753" s="139"/>
      <c r="H753" s="139"/>
      <c r="I753" s="139"/>
      <c r="J753" s="139"/>
      <c r="K753" s="139"/>
      <c r="L753" s="139"/>
      <c r="M753" s="139"/>
      <c r="N753" s="139"/>
      <c r="O753" s="139"/>
      <c r="P753" s="139"/>
      <c r="Q753" s="139"/>
      <c r="R753" s="139"/>
      <c r="S753" s="139"/>
      <c r="T753" s="139"/>
      <c r="U753" s="139"/>
      <c r="V753" s="139"/>
    </row>
    <row r="754" spans="1:22">
      <c r="A754" s="139"/>
      <c r="B754" s="139"/>
      <c r="C754" s="139"/>
      <c r="D754" s="139"/>
      <c r="E754" s="139"/>
      <c r="F754" s="139"/>
      <c r="G754" s="139"/>
      <c r="H754" s="139"/>
      <c r="I754" s="139"/>
      <c r="J754" s="139"/>
      <c r="K754" s="139"/>
      <c r="L754" s="139"/>
      <c r="M754" s="139"/>
      <c r="N754" s="139"/>
      <c r="O754" s="139"/>
      <c r="P754" s="139"/>
      <c r="Q754" s="139"/>
      <c r="R754" s="139"/>
      <c r="S754" s="139"/>
      <c r="T754" s="139"/>
      <c r="U754" s="139"/>
      <c r="V754" s="139"/>
    </row>
    <row r="755" spans="1:22">
      <c r="A755" s="139"/>
      <c r="B755" s="139"/>
      <c r="C755" s="139"/>
      <c r="D755" s="139"/>
      <c r="E755" s="139"/>
      <c r="F755" s="139"/>
      <c r="G755" s="139"/>
      <c r="H755" s="139"/>
      <c r="I755" s="139"/>
      <c r="J755" s="139"/>
      <c r="K755" s="139"/>
      <c r="L755" s="139"/>
      <c r="M755" s="139"/>
      <c r="N755" s="139"/>
      <c r="O755" s="139"/>
      <c r="P755" s="139"/>
      <c r="Q755" s="139"/>
      <c r="R755" s="139"/>
      <c r="S755" s="139"/>
      <c r="T755" s="139"/>
      <c r="U755" s="139"/>
      <c r="V755" s="139"/>
    </row>
    <row r="756" spans="1:22">
      <c r="A756" s="139"/>
      <c r="B756" s="139"/>
      <c r="C756" s="139"/>
      <c r="D756" s="139"/>
      <c r="E756" s="139"/>
      <c r="F756" s="139"/>
      <c r="G756" s="139"/>
      <c r="H756" s="139"/>
      <c r="I756" s="139"/>
      <c r="J756" s="139"/>
      <c r="K756" s="139"/>
      <c r="L756" s="139"/>
      <c r="M756" s="139"/>
      <c r="N756" s="139"/>
      <c r="O756" s="139"/>
      <c r="P756" s="139"/>
      <c r="Q756" s="139"/>
      <c r="R756" s="139"/>
      <c r="S756" s="139"/>
      <c r="T756" s="139"/>
      <c r="U756" s="139"/>
      <c r="V756" s="139"/>
    </row>
    <row r="757" spans="1:22">
      <c r="A757" s="139"/>
      <c r="B757" s="139"/>
      <c r="C757" s="139"/>
      <c r="D757" s="139"/>
      <c r="E757" s="139"/>
      <c r="F757" s="139"/>
      <c r="G757" s="139"/>
      <c r="H757" s="139"/>
      <c r="I757" s="139"/>
      <c r="J757" s="139"/>
      <c r="K757" s="139"/>
      <c r="L757" s="139"/>
      <c r="M757" s="139"/>
      <c r="N757" s="139"/>
      <c r="O757" s="139"/>
      <c r="P757" s="139"/>
      <c r="Q757" s="139"/>
      <c r="R757" s="139"/>
      <c r="S757" s="139"/>
      <c r="T757" s="139"/>
      <c r="U757" s="139"/>
      <c r="V757" s="139"/>
    </row>
    <row r="758" spans="1:22">
      <c r="A758" s="139"/>
      <c r="B758" s="139"/>
      <c r="C758" s="139"/>
      <c r="D758" s="139"/>
      <c r="E758" s="139"/>
      <c r="F758" s="139"/>
      <c r="G758" s="139"/>
      <c r="H758" s="139"/>
      <c r="I758" s="139"/>
      <c r="J758" s="139"/>
      <c r="K758" s="139"/>
      <c r="L758" s="139"/>
      <c r="M758" s="139"/>
      <c r="N758" s="139"/>
      <c r="O758" s="139"/>
      <c r="P758" s="139"/>
      <c r="Q758" s="139"/>
      <c r="R758" s="139"/>
      <c r="S758" s="139"/>
      <c r="T758" s="139"/>
      <c r="U758" s="139"/>
      <c r="V758" s="139"/>
    </row>
    <row r="759" spans="1:22">
      <c r="A759" s="139"/>
      <c r="B759" s="139"/>
      <c r="C759" s="139"/>
      <c r="D759" s="139"/>
      <c r="E759" s="139"/>
      <c r="F759" s="139"/>
      <c r="G759" s="139"/>
      <c r="H759" s="139"/>
      <c r="I759" s="139"/>
      <c r="J759" s="139"/>
      <c r="K759" s="139"/>
      <c r="L759" s="139"/>
      <c r="M759" s="139"/>
      <c r="N759" s="139"/>
      <c r="O759" s="139"/>
      <c r="P759" s="139"/>
      <c r="Q759" s="139"/>
      <c r="R759" s="139"/>
      <c r="S759" s="139"/>
      <c r="T759" s="139"/>
      <c r="U759" s="139"/>
      <c r="V759" s="139"/>
    </row>
    <row r="760" spans="1:22">
      <c r="A760" s="139"/>
      <c r="B760" s="139"/>
      <c r="C760" s="139"/>
      <c r="D760" s="139"/>
      <c r="E760" s="139"/>
      <c r="F760" s="139"/>
      <c r="G760" s="139"/>
      <c r="H760" s="139"/>
      <c r="I760" s="139"/>
      <c r="J760" s="139"/>
      <c r="K760" s="139"/>
      <c r="L760" s="139"/>
      <c r="M760" s="139"/>
      <c r="N760" s="139"/>
      <c r="O760" s="139"/>
      <c r="P760" s="139"/>
      <c r="Q760" s="139"/>
      <c r="R760" s="139"/>
      <c r="S760" s="139"/>
      <c r="T760" s="139"/>
      <c r="U760" s="139"/>
      <c r="V760" s="139"/>
    </row>
    <row r="761" spans="1:22">
      <c r="A761" s="139"/>
      <c r="B761" s="139"/>
      <c r="C761" s="139"/>
      <c r="D761" s="139"/>
      <c r="E761" s="139"/>
      <c r="F761" s="139"/>
      <c r="G761" s="139"/>
      <c r="H761" s="139"/>
      <c r="I761" s="139"/>
      <c r="J761" s="139"/>
      <c r="K761" s="139"/>
      <c r="L761" s="139"/>
      <c r="M761" s="139"/>
      <c r="N761" s="139"/>
      <c r="O761" s="139"/>
      <c r="P761" s="139"/>
      <c r="Q761" s="139"/>
      <c r="R761" s="139"/>
      <c r="S761" s="139"/>
      <c r="T761" s="139"/>
      <c r="U761" s="139"/>
      <c r="V761" s="139"/>
    </row>
    <row r="762" spans="1:22">
      <c r="A762" s="139"/>
      <c r="B762" s="139"/>
      <c r="C762" s="139"/>
      <c r="D762" s="139"/>
      <c r="E762" s="139"/>
      <c r="F762" s="139"/>
      <c r="G762" s="139"/>
      <c r="H762" s="139"/>
      <c r="I762" s="139"/>
      <c r="J762" s="139"/>
      <c r="K762" s="139"/>
      <c r="L762" s="139"/>
      <c r="M762" s="139"/>
      <c r="N762" s="139"/>
      <c r="O762" s="139"/>
      <c r="P762" s="139"/>
      <c r="Q762" s="139"/>
      <c r="R762" s="139"/>
      <c r="S762" s="139"/>
      <c r="T762" s="139"/>
      <c r="U762" s="139"/>
      <c r="V762" s="139"/>
    </row>
    <row r="763" spans="1:22">
      <c r="A763" s="139"/>
      <c r="B763" s="139"/>
      <c r="C763" s="139"/>
      <c r="D763" s="139"/>
      <c r="E763" s="139"/>
      <c r="F763" s="139"/>
      <c r="G763" s="139"/>
      <c r="H763" s="139"/>
      <c r="I763" s="139"/>
      <c r="J763" s="139"/>
      <c r="K763" s="139"/>
      <c r="L763" s="139"/>
      <c r="M763" s="139"/>
      <c r="N763" s="139"/>
      <c r="O763" s="139"/>
      <c r="P763" s="139"/>
      <c r="Q763" s="139"/>
      <c r="R763" s="139"/>
      <c r="S763" s="139"/>
      <c r="T763" s="139"/>
      <c r="U763" s="139"/>
      <c r="V763" s="139"/>
    </row>
    <row r="764" spans="1:22">
      <c r="A764" s="139"/>
      <c r="B764" s="139"/>
      <c r="C764" s="139"/>
      <c r="D764" s="139"/>
      <c r="E764" s="139"/>
      <c r="F764" s="139"/>
      <c r="G764" s="139"/>
      <c r="H764" s="139"/>
      <c r="I764" s="139"/>
      <c r="J764" s="139"/>
      <c r="K764" s="139"/>
      <c r="L764" s="139"/>
      <c r="M764" s="139"/>
      <c r="N764" s="139"/>
      <c r="O764" s="139"/>
      <c r="P764" s="139"/>
      <c r="Q764" s="139"/>
      <c r="R764" s="139"/>
      <c r="S764" s="139"/>
      <c r="T764" s="139"/>
      <c r="U764" s="139"/>
      <c r="V764" s="139"/>
    </row>
    <row r="765" spans="1:22">
      <c r="A765" s="139"/>
      <c r="B765" s="139"/>
      <c r="C765" s="139"/>
      <c r="D765" s="139"/>
      <c r="E765" s="139"/>
      <c r="F765" s="139"/>
      <c r="G765" s="139"/>
      <c r="H765" s="139"/>
      <c r="I765" s="139"/>
      <c r="J765" s="139"/>
      <c r="K765" s="139"/>
      <c r="L765" s="139"/>
      <c r="M765" s="139"/>
      <c r="N765" s="139"/>
      <c r="O765" s="139"/>
      <c r="P765" s="139"/>
      <c r="Q765" s="139"/>
      <c r="R765" s="139"/>
      <c r="S765" s="139"/>
      <c r="T765" s="139"/>
      <c r="U765" s="139"/>
      <c r="V765" s="139"/>
    </row>
    <row r="766" spans="1:22">
      <c r="A766" s="139"/>
      <c r="B766" s="139"/>
      <c r="C766" s="139"/>
      <c r="D766" s="139"/>
      <c r="E766" s="139"/>
      <c r="F766" s="139"/>
      <c r="G766" s="139"/>
      <c r="H766" s="139"/>
      <c r="I766" s="139"/>
      <c r="J766" s="139"/>
      <c r="K766" s="139"/>
      <c r="L766" s="139"/>
      <c r="M766" s="139"/>
      <c r="N766" s="139"/>
      <c r="O766" s="139"/>
      <c r="P766" s="139"/>
      <c r="Q766" s="139"/>
      <c r="R766" s="139"/>
      <c r="S766" s="139"/>
      <c r="T766" s="139"/>
      <c r="U766" s="139"/>
      <c r="V766" s="139"/>
    </row>
    <row r="767" spans="1:22">
      <c r="A767" s="139"/>
      <c r="B767" s="139"/>
      <c r="C767" s="139"/>
      <c r="D767" s="139"/>
      <c r="E767" s="139"/>
      <c r="F767" s="139"/>
      <c r="G767" s="139"/>
      <c r="H767" s="139"/>
      <c r="I767" s="139"/>
      <c r="J767" s="139"/>
      <c r="K767" s="139"/>
      <c r="L767" s="139"/>
      <c r="M767" s="139"/>
      <c r="N767" s="139"/>
      <c r="O767" s="139"/>
      <c r="P767" s="139"/>
      <c r="Q767" s="139"/>
      <c r="R767" s="139"/>
      <c r="S767" s="139"/>
      <c r="T767" s="139"/>
      <c r="U767" s="139"/>
      <c r="V767" s="139"/>
    </row>
    <row r="768" spans="1:22">
      <c r="A768" s="139"/>
      <c r="B768" s="139"/>
      <c r="C768" s="139"/>
      <c r="D768" s="139"/>
      <c r="E768" s="139"/>
      <c r="F768" s="139"/>
      <c r="G768" s="139"/>
      <c r="H768" s="139"/>
      <c r="I768" s="139"/>
      <c r="J768" s="139"/>
      <c r="K768" s="139"/>
      <c r="L768" s="139"/>
      <c r="M768" s="139"/>
      <c r="N768" s="139"/>
      <c r="O768" s="139"/>
      <c r="P768" s="139"/>
      <c r="Q768" s="139"/>
      <c r="R768" s="139"/>
      <c r="S768" s="139"/>
      <c r="T768" s="139"/>
      <c r="U768" s="139"/>
      <c r="V768" s="139"/>
    </row>
    <row r="769" spans="1:22">
      <c r="A769" s="139"/>
      <c r="B769" s="139"/>
      <c r="C769" s="139"/>
      <c r="D769" s="139"/>
      <c r="E769" s="139"/>
      <c r="F769" s="139"/>
      <c r="G769" s="139"/>
      <c r="H769" s="139"/>
      <c r="I769" s="139"/>
      <c r="J769" s="139"/>
      <c r="K769" s="139"/>
      <c r="L769" s="139"/>
      <c r="M769" s="139"/>
      <c r="N769" s="139"/>
      <c r="O769" s="139"/>
      <c r="P769" s="139"/>
      <c r="Q769" s="139"/>
      <c r="R769" s="139"/>
      <c r="S769" s="139"/>
      <c r="T769" s="139"/>
      <c r="U769" s="139"/>
      <c r="V769" s="139"/>
    </row>
    <row r="770" spans="1:22">
      <c r="A770" s="139"/>
      <c r="B770" s="139"/>
      <c r="C770" s="139"/>
      <c r="D770" s="139"/>
      <c r="E770" s="139"/>
      <c r="F770" s="139"/>
      <c r="G770" s="139"/>
      <c r="H770" s="139"/>
      <c r="I770" s="139"/>
      <c r="J770" s="139"/>
      <c r="K770" s="139"/>
      <c r="L770" s="139"/>
      <c r="M770" s="139"/>
      <c r="N770" s="139"/>
      <c r="O770" s="139"/>
      <c r="P770" s="139"/>
      <c r="Q770" s="139"/>
      <c r="R770" s="139"/>
      <c r="S770" s="139"/>
      <c r="T770" s="139"/>
      <c r="U770" s="139"/>
      <c r="V770" s="139"/>
    </row>
    <row r="771" spans="1:22">
      <c r="A771" s="139"/>
      <c r="B771" s="139"/>
      <c r="C771" s="139"/>
      <c r="D771" s="139"/>
      <c r="E771" s="139"/>
      <c r="F771" s="139"/>
      <c r="G771" s="139"/>
      <c r="H771" s="139"/>
      <c r="I771" s="139"/>
      <c r="J771" s="139"/>
      <c r="K771" s="139"/>
      <c r="L771" s="139"/>
      <c r="M771" s="139"/>
      <c r="N771" s="139"/>
      <c r="O771" s="139"/>
      <c r="P771" s="139"/>
      <c r="Q771" s="139"/>
      <c r="R771" s="139"/>
      <c r="S771" s="139"/>
      <c r="T771" s="139"/>
      <c r="U771" s="139"/>
      <c r="V771" s="139"/>
    </row>
    <row r="772" spans="1:22">
      <c r="A772" s="139"/>
      <c r="B772" s="139"/>
      <c r="C772" s="139"/>
      <c r="D772" s="139"/>
      <c r="E772" s="139"/>
      <c r="F772" s="139"/>
      <c r="G772" s="139"/>
      <c r="H772" s="139"/>
      <c r="I772" s="139"/>
      <c r="J772" s="139"/>
      <c r="K772" s="139"/>
      <c r="L772" s="139"/>
      <c r="M772" s="139"/>
      <c r="N772" s="139"/>
      <c r="O772" s="139"/>
      <c r="P772" s="139"/>
      <c r="Q772" s="139"/>
      <c r="R772" s="139"/>
      <c r="S772" s="139"/>
      <c r="T772" s="139"/>
      <c r="U772" s="139"/>
      <c r="V772" s="139"/>
    </row>
    <row r="773" spans="1:22">
      <c r="A773" s="139"/>
      <c r="B773" s="139"/>
      <c r="C773" s="139"/>
      <c r="D773" s="139"/>
      <c r="E773" s="139"/>
      <c r="F773" s="139"/>
      <c r="G773" s="139"/>
      <c r="H773" s="139"/>
      <c r="I773" s="139"/>
      <c r="J773" s="139"/>
      <c r="K773" s="139"/>
      <c r="L773" s="139"/>
      <c r="M773" s="139"/>
      <c r="N773" s="139"/>
      <c r="O773" s="139"/>
      <c r="P773" s="139"/>
      <c r="Q773" s="139"/>
      <c r="R773" s="139"/>
      <c r="S773" s="139"/>
      <c r="T773" s="139"/>
      <c r="U773" s="139"/>
      <c r="V773" s="139"/>
    </row>
    <row r="774" spans="1:22">
      <c r="A774" s="139"/>
      <c r="B774" s="139"/>
      <c r="C774" s="139"/>
      <c r="D774" s="139"/>
      <c r="E774" s="139"/>
      <c r="F774" s="139"/>
      <c r="G774" s="139"/>
      <c r="H774" s="139"/>
      <c r="I774" s="139"/>
      <c r="J774" s="139"/>
      <c r="K774" s="139"/>
      <c r="L774" s="139"/>
      <c r="M774" s="139"/>
      <c r="N774" s="139"/>
      <c r="O774" s="139"/>
      <c r="P774" s="139"/>
      <c r="Q774" s="139"/>
      <c r="R774" s="139"/>
      <c r="S774" s="139"/>
      <c r="T774" s="139"/>
      <c r="U774" s="139"/>
      <c r="V774" s="139"/>
    </row>
    <row r="775" spans="1:22">
      <c r="A775" s="139"/>
      <c r="B775" s="139"/>
      <c r="C775" s="139"/>
      <c r="D775" s="139"/>
      <c r="E775" s="139"/>
      <c r="F775" s="139"/>
      <c r="G775" s="139"/>
      <c r="H775" s="139"/>
      <c r="I775" s="139"/>
      <c r="J775" s="139"/>
      <c r="K775" s="139"/>
      <c r="L775" s="139"/>
      <c r="M775" s="139"/>
      <c r="N775" s="139"/>
      <c r="O775" s="139"/>
      <c r="P775" s="139"/>
      <c r="Q775" s="139"/>
      <c r="R775" s="139"/>
      <c r="S775" s="139"/>
      <c r="T775" s="139"/>
      <c r="U775" s="139"/>
      <c r="V775" s="139"/>
    </row>
    <row r="776" spans="1:22">
      <c r="A776" s="139"/>
      <c r="B776" s="139"/>
      <c r="C776" s="139"/>
      <c r="D776" s="139"/>
      <c r="E776" s="139"/>
      <c r="F776" s="139"/>
      <c r="G776" s="139"/>
      <c r="H776" s="139"/>
      <c r="I776" s="139"/>
      <c r="J776" s="139"/>
      <c r="K776" s="139"/>
      <c r="L776" s="139"/>
      <c r="M776" s="139"/>
      <c r="N776" s="139"/>
      <c r="O776" s="139"/>
      <c r="P776" s="139"/>
      <c r="Q776" s="139"/>
      <c r="R776" s="139"/>
      <c r="S776" s="139"/>
      <c r="T776" s="139"/>
      <c r="U776" s="139"/>
      <c r="V776" s="139"/>
    </row>
    <row r="777" spans="1:22">
      <c r="A777" s="139"/>
      <c r="B777" s="139"/>
      <c r="C777" s="139"/>
      <c r="D777" s="139"/>
      <c r="E777" s="139"/>
      <c r="F777" s="139"/>
      <c r="G777" s="139"/>
      <c r="H777" s="139"/>
      <c r="I777" s="139"/>
      <c r="J777" s="139"/>
      <c r="K777" s="139"/>
      <c r="L777" s="139"/>
      <c r="M777" s="139"/>
      <c r="N777" s="139"/>
      <c r="O777" s="139"/>
      <c r="P777" s="139"/>
      <c r="Q777" s="139"/>
      <c r="R777" s="139"/>
      <c r="S777" s="139"/>
      <c r="T777" s="139"/>
      <c r="U777" s="139"/>
      <c r="V777" s="139"/>
    </row>
    <row r="778" spans="1:22">
      <c r="A778" s="139"/>
      <c r="B778" s="139"/>
      <c r="C778" s="139"/>
      <c r="D778" s="139"/>
      <c r="E778" s="139"/>
      <c r="F778" s="139"/>
      <c r="G778" s="139"/>
      <c r="H778" s="139"/>
      <c r="I778" s="139"/>
      <c r="J778" s="139"/>
      <c r="K778" s="139"/>
      <c r="L778" s="139"/>
      <c r="M778" s="139"/>
      <c r="N778" s="139"/>
      <c r="O778" s="139"/>
      <c r="P778" s="139"/>
      <c r="Q778" s="139"/>
      <c r="R778" s="139"/>
      <c r="S778" s="139"/>
      <c r="T778" s="139"/>
      <c r="U778" s="139"/>
      <c r="V778" s="139"/>
    </row>
    <row r="779" spans="1:22">
      <c r="A779" s="139"/>
      <c r="B779" s="139"/>
      <c r="C779" s="139"/>
      <c r="D779" s="139"/>
      <c r="E779" s="139"/>
      <c r="F779" s="139"/>
      <c r="G779" s="139"/>
      <c r="H779" s="139"/>
      <c r="I779" s="139"/>
      <c r="J779" s="139"/>
      <c r="K779" s="139"/>
      <c r="L779" s="139"/>
      <c r="M779" s="139"/>
      <c r="N779" s="139"/>
      <c r="O779" s="139"/>
      <c r="P779" s="139"/>
      <c r="Q779" s="139"/>
      <c r="R779" s="139"/>
      <c r="S779" s="139"/>
      <c r="T779" s="139"/>
      <c r="U779" s="139"/>
      <c r="V779" s="139"/>
    </row>
    <row r="780" spans="1:22">
      <c r="A780" s="139"/>
      <c r="B780" s="139"/>
      <c r="C780" s="139"/>
      <c r="D780" s="139"/>
      <c r="E780" s="139"/>
      <c r="F780" s="139"/>
      <c r="G780" s="139"/>
      <c r="H780" s="139"/>
      <c r="I780" s="139"/>
      <c r="J780" s="139"/>
      <c r="K780" s="139"/>
      <c r="L780" s="139"/>
      <c r="M780" s="139"/>
      <c r="N780" s="139"/>
      <c r="O780" s="139"/>
      <c r="P780" s="139"/>
      <c r="Q780" s="139"/>
      <c r="R780" s="139"/>
      <c r="S780" s="139"/>
      <c r="T780" s="139"/>
      <c r="U780" s="139"/>
      <c r="V780" s="139"/>
    </row>
    <row r="781" spans="1:22">
      <c r="A781" s="139"/>
      <c r="B781" s="139"/>
      <c r="C781" s="139"/>
      <c r="D781" s="139"/>
      <c r="E781" s="139"/>
      <c r="F781" s="139"/>
      <c r="G781" s="139"/>
      <c r="H781" s="139"/>
      <c r="I781" s="139"/>
      <c r="J781" s="139"/>
      <c r="K781" s="139"/>
      <c r="L781" s="139"/>
      <c r="M781" s="139"/>
      <c r="N781" s="139"/>
      <c r="O781" s="139"/>
      <c r="P781" s="139"/>
      <c r="Q781" s="139"/>
      <c r="R781" s="139"/>
      <c r="S781" s="139"/>
      <c r="T781" s="139"/>
      <c r="U781" s="139"/>
      <c r="V781" s="139"/>
    </row>
    <row r="782" spans="1:22">
      <c r="A782" s="139"/>
      <c r="B782" s="139"/>
      <c r="C782" s="139"/>
      <c r="D782" s="139"/>
      <c r="E782" s="139"/>
      <c r="F782" s="139"/>
      <c r="G782" s="139"/>
      <c r="H782" s="139"/>
      <c r="I782" s="139"/>
      <c r="J782" s="139"/>
      <c r="K782" s="139"/>
      <c r="L782" s="139"/>
      <c r="M782" s="139"/>
      <c r="N782" s="139"/>
      <c r="O782" s="139"/>
      <c r="P782" s="139"/>
      <c r="Q782" s="139"/>
      <c r="R782" s="139"/>
      <c r="S782" s="139"/>
      <c r="T782" s="139"/>
      <c r="U782" s="139"/>
      <c r="V782" s="139"/>
    </row>
    <row r="783" spans="1:22">
      <c r="A783" s="139"/>
      <c r="B783" s="139"/>
      <c r="C783" s="139"/>
      <c r="D783" s="139"/>
      <c r="E783" s="139"/>
      <c r="F783" s="139"/>
      <c r="G783" s="139"/>
      <c r="H783" s="139"/>
      <c r="I783" s="139"/>
      <c r="J783" s="139"/>
      <c r="K783" s="139"/>
      <c r="L783" s="139"/>
      <c r="M783" s="139"/>
      <c r="N783" s="139"/>
      <c r="O783" s="139"/>
      <c r="P783" s="139"/>
      <c r="Q783" s="139"/>
      <c r="R783" s="139"/>
      <c r="S783" s="139"/>
      <c r="T783" s="139"/>
      <c r="U783" s="139"/>
      <c r="V783" s="139"/>
    </row>
    <row r="784" spans="1:22">
      <c r="A784" s="139"/>
      <c r="B784" s="139"/>
      <c r="C784" s="139"/>
      <c r="D784" s="139"/>
      <c r="E784" s="139"/>
      <c r="F784" s="139"/>
      <c r="G784" s="139"/>
      <c r="H784" s="139"/>
      <c r="I784" s="139"/>
      <c r="J784" s="139"/>
      <c r="K784" s="139"/>
      <c r="L784" s="139"/>
      <c r="M784" s="139"/>
      <c r="N784" s="139"/>
      <c r="O784" s="139"/>
      <c r="P784" s="139"/>
      <c r="Q784" s="139"/>
      <c r="R784" s="139"/>
      <c r="S784" s="139"/>
      <c r="T784" s="139"/>
      <c r="U784" s="139"/>
      <c r="V784" s="139"/>
    </row>
    <row r="785" spans="1:22">
      <c r="A785" s="139"/>
      <c r="B785" s="139"/>
      <c r="C785" s="139"/>
      <c r="D785" s="139"/>
      <c r="E785" s="139"/>
      <c r="F785" s="139"/>
      <c r="G785" s="139"/>
      <c r="H785" s="139"/>
      <c r="I785" s="139"/>
      <c r="J785" s="139"/>
      <c r="K785" s="139"/>
      <c r="L785" s="139"/>
      <c r="M785" s="139"/>
      <c r="N785" s="139"/>
      <c r="O785" s="139"/>
      <c r="P785" s="139"/>
      <c r="Q785" s="139"/>
      <c r="R785" s="139"/>
      <c r="S785" s="139"/>
      <c r="T785" s="139"/>
      <c r="U785" s="139"/>
      <c r="V785" s="139"/>
    </row>
    <row r="786" spans="1:22">
      <c r="A786" s="139"/>
      <c r="B786" s="139"/>
      <c r="C786" s="139"/>
      <c r="D786" s="139"/>
      <c r="E786" s="139"/>
      <c r="F786" s="139"/>
      <c r="G786" s="139"/>
      <c r="H786" s="139"/>
      <c r="I786" s="139"/>
      <c r="J786" s="139"/>
      <c r="K786" s="139"/>
      <c r="L786" s="139"/>
      <c r="M786" s="139"/>
      <c r="N786" s="139"/>
      <c r="O786" s="139"/>
      <c r="P786" s="139"/>
      <c r="Q786" s="139"/>
      <c r="R786" s="139"/>
      <c r="S786" s="139"/>
      <c r="T786" s="139"/>
      <c r="U786" s="139"/>
      <c r="V786" s="139"/>
    </row>
    <row r="787" spans="1:22">
      <c r="A787" s="139"/>
      <c r="B787" s="139"/>
      <c r="C787" s="139"/>
      <c r="D787" s="139"/>
      <c r="E787" s="139"/>
      <c r="F787" s="139"/>
      <c r="G787" s="139"/>
      <c r="H787" s="139"/>
      <c r="I787" s="139"/>
      <c r="J787" s="139"/>
      <c r="K787" s="139"/>
      <c r="L787" s="139"/>
      <c r="M787" s="139"/>
      <c r="N787" s="139"/>
      <c r="O787" s="139"/>
      <c r="P787" s="139"/>
      <c r="Q787" s="139"/>
      <c r="R787" s="139"/>
      <c r="S787" s="139"/>
      <c r="T787" s="139"/>
      <c r="U787" s="139"/>
      <c r="V787" s="139"/>
    </row>
    <row r="788" spans="1:22">
      <c r="A788" s="139"/>
      <c r="B788" s="139"/>
      <c r="C788" s="139"/>
      <c r="D788" s="139"/>
      <c r="E788" s="139"/>
      <c r="F788" s="139"/>
      <c r="G788" s="139"/>
      <c r="H788" s="139"/>
      <c r="I788" s="139"/>
      <c r="J788" s="139"/>
      <c r="K788" s="139"/>
      <c r="L788" s="139"/>
      <c r="M788" s="139"/>
      <c r="N788" s="139"/>
      <c r="O788" s="139"/>
      <c r="P788" s="139"/>
      <c r="Q788" s="139"/>
      <c r="R788" s="139"/>
      <c r="S788" s="139"/>
      <c r="T788" s="139"/>
      <c r="U788" s="139"/>
      <c r="V788" s="139"/>
    </row>
    <row r="789" spans="1:22">
      <c r="A789" s="139"/>
      <c r="B789" s="139"/>
      <c r="C789" s="139"/>
      <c r="D789" s="139"/>
      <c r="E789" s="139"/>
      <c r="F789" s="139"/>
      <c r="G789" s="139"/>
      <c r="H789" s="139"/>
      <c r="I789" s="139"/>
      <c r="J789" s="139"/>
      <c r="K789" s="139"/>
      <c r="L789" s="139"/>
      <c r="M789" s="139"/>
      <c r="N789" s="139"/>
      <c r="O789" s="139"/>
      <c r="P789" s="139"/>
      <c r="Q789" s="139"/>
      <c r="R789" s="139"/>
      <c r="S789" s="139"/>
      <c r="T789" s="139"/>
      <c r="U789" s="139"/>
      <c r="V789" s="139"/>
    </row>
    <row r="790" spans="1:22">
      <c r="A790" s="139"/>
      <c r="B790" s="139"/>
      <c r="C790" s="139"/>
      <c r="D790" s="139"/>
      <c r="E790" s="139"/>
      <c r="F790" s="139"/>
      <c r="G790" s="139"/>
      <c r="H790" s="139"/>
      <c r="I790" s="139"/>
      <c r="J790" s="139"/>
      <c r="K790" s="139"/>
      <c r="L790" s="139"/>
      <c r="M790" s="139"/>
      <c r="N790" s="139"/>
      <c r="O790" s="139"/>
      <c r="P790" s="139"/>
      <c r="Q790" s="139"/>
      <c r="R790" s="139"/>
      <c r="S790" s="139"/>
      <c r="T790" s="139"/>
      <c r="U790" s="139"/>
      <c r="V790" s="139"/>
    </row>
    <row r="791" spans="1:22">
      <c r="A791" s="139"/>
      <c r="B791" s="139"/>
      <c r="C791" s="139"/>
      <c r="D791" s="139"/>
      <c r="E791" s="139"/>
      <c r="F791" s="139"/>
      <c r="G791" s="139"/>
      <c r="H791" s="139"/>
      <c r="I791" s="139"/>
      <c r="J791" s="139"/>
      <c r="K791" s="139"/>
      <c r="L791" s="139"/>
      <c r="M791" s="139"/>
      <c r="N791" s="139"/>
      <c r="O791" s="139"/>
      <c r="P791" s="139"/>
      <c r="Q791" s="139"/>
      <c r="R791" s="139"/>
      <c r="S791" s="139"/>
      <c r="T791" s="139"/>
      <c r="U791" s="139"/>
      <c r="V791" s="139"/>
    </row>
    <row r="792" spans="1:22">
      <c r="A792" s="139"/>
      <c r="B792" s="139"/>
      <c r="C792" s="139"/>
      <c r="D792" s="139"/>
      <c r="E792" s="139"/>
      <c r="F792" s="139"/>
      <c r="G792" s="139"/>
      <c r="H792" s="139"/>
      <c r="I792" s="139"/>
      <c r="J792" s="139"/>
      <c r="K792" s="139"/>
      <c r="L792" s="139"/>
      <c r="M792" s="139"/>
      <c r="N792" s="139"/>
      <c r="O792" s="139"/>
      <c r="P792" s="139"/>
      <c r="Q792" s="139"/>
      <c r="R792" s="139"/>
      <c r="S792" s="139"/>
      <c r="T792" s="139"/>
      <c r="U792" s="139"/>
      <c r="V792" s="139"/>
    </row>
    <row r="793" spans="1:22">
      <c r="A793" s="139"/>
      <c r="B793" s="139"/>
      <c r="C793" s="139"/>
      <c r="D793" s="139"/>
      <c r="E793" s="139"/>
      <c r="F793" s="139"/>
      <c r="G793" s="139"/>
      <c r="H793" s="139"/>
      <c r="I793" s="139"/>
      <c r="J793" s="139"/>
      <c r="K793" s="139"/>
      <c r="L793" s="139"/>
      <c r="M793" s="139"/>
      <c r="N793" s="139"/>
      <c r="O793" s="139"/>
      <c r="P793" s="139"/>
      <c r="Q793" s="139"/>
      <c r="R793" s="139"/>
      <c r="S793" s="139"/>
      <c r="T793" s="139"/>
      <c r="U793" s="139"/>
      <c r="V793" s="139"/>
    </row>
    <row r="794" spans="1:22">
      <c r="A794" s="139"/>
      <c r="B794" s="139"/>
      <c r="C794" s="139"/>
      <c r="D794" s="139"/>
      <c r="E794" s="139"/>
      <c r="F794" s="139"/>
      <c r="G794" s="139"/>
      <c r="H794" s="139"/>
      <c r="I794" s="139"/>
      <c r="J794" s="139"/>
      <c r="K794" s="139"/>
      <c r="L794" s="139"/>
      <c r="M794" s="139"/>
      <c r="N794" s="139"/>
      <c r="O794" s="139"/>
      <c r="P794" s="139"/>
      <c r="Q794" s="139"/>
      <c r="R794" s="139"/>
      <c r="S794" s="139"/>
      <c r="T794" s="139"/>
      <c r="U794" s="139"/>
      <c r="V794" s="139"/>
    </row>
    <row r="795" spans="1:22">
      <c r="A795" s="139"/>
      <c r="B795" s="139"/>
      <c r="C795" s="139"/>
      <c r="D795" s="139"/>
      <c r="E795" s="139"/>
      <c r="F795" s="139"/>
      <c r="G795" s="139"/>
      <c r="H795" s="139"/>
      <c r="I795" s="139"/>
      <c r="J795" s="139"/>
      <c r="K795" s="139"/>
      <c r="L795" s="139"/>
      <c r="M795" s="139"/>
      <c r="N795" s="139"/>
      <c r="O795" s="139"/>
      <c r="P795" s="139"/>
      <c r="Q795" s="139"/>
      <c r="R795" s="139"/>
      <c r="S795" s="139"/>
      <c r="T795" s="139"/>
      <c r="U795" s="139"/>
      <c r="V795" s="139"/>
    </row>
    <row r="796" spans="1:22">
      <c r="A796" s="139"/>
      <c r="B796" s="139"/>
      <c r="C796" s="139"/>
      <c r="D796" s="139"/>
      <c r="E796" s="139"/>
      <c r="F796" s="139"/>
      <c r="G796" s="139"/>
      <c r="H796" s="139"/>
      <c r="I796" s="139"/>
      <c r="J796" s="139"/>
      <c r="K796" s="139"/>
      <c r="L796" s="139"/>
      <c r="M796" s="139"/>
      <c r="N796" s="139"/>
      <c r="O796" s="139"/>
      <c r="P796" s="139"/>
      <c r="Q796" s="139"/>
      <c r="R796" s="139"/>
      <c r="S796" s="139"/>
      <c r="T796" s="139"/>
      <c r="U796" s="139"/>
      <c r="V796" s="139"/>
    </row>
    <row r="797" spans="1:22">
      <c r="A797" s="139"/>
      <c r="B797" s="139"/>
      <c r="C797" s="139"/>
      <c r="D797" s="139"/>
      <c r="E797" s="139"/>
      <c r="F797" s="139"/>
      <c r="G797" s="139"/>
      <c r="H797" s="139"/>
      <c r="I797" s="139"/>
      <c r="J797" s="139"/>
      <c r="K797" s="139"/>
      <c r="L797" s="139"/>
      <c r="M797" s="139"/>
      <c r="N797" s="139"/>
      <c r="O797" s="139"/>
      <c r="P797" s="139"/>
      <c r="Q797" s="139"/>
      <c r="R797" s="139"/>
      <c r="S797" s="139"/>
      <c r="T797" s="139"/>
      <c r="U797" s="139"/>
      <c r="V797" s="139"/>
    </row>
    <row r="798" spans="1:22">
      <c r="A798" s="139"/>
      <c r="B798" s="139"/>
      <c r="C798" s="139"/>
      <c r="D798" s="139"/>
      <c r="E798" s="139"/>
      <c r="F798" s="139"/>
      <c r="G798" s="139"/>
      <c r="H798" s="139"/>
      <c r="I798" s="139"/>
      <c r="J798" s="139"/>
      <c r="K798" s="139"/>
      <c r="L798" s="139"/>
      <c r="M798" s="139"/>
      <c r="N798" s="139"/>
      <c r="O798" s="139"/>
      <c r="P798" s="139"/>
      <c r="Q798" s="139"/>
      <c r="R798" s="139"/>
      <c r="S798" s="139"/>
      <c r="T798" s="139"/>
      <c r="U798" s="139"/>
      <c r="V798" s="139"/>
    </row>
    <row r="799" spans="1:22">
      <c r="A799" s="139"/>
      <c r="B799" s="139"/>
      <c r="C799" s="139"/>
      <c r="D799" s="139"/>
      <c r="E799" s="139"/>
      <c r="F799" s="139"/>
      <c r="G799" s="139"/>
      <c r="H799" s="139"/>
      <c r="I799" s="139"/>
      <c r="J799" s="139"/>
      <c r="K799" s="139"/>
      <c r="L799" s="139"/>
      <c r="M799" s="139"/>
      <c r="N799" s="139"/>
      <c r="O799" s="139"/>
      <c r="P799" s="139"/>
      <c r="Q799" s="139"/>
      <c r="R799" s="139"/>
      <c r="S799" s="139"/>
      <c r="T799" s="139"/>
      <c r="U799" s="139"/>
      <c r="V799" s="139"/>
    </row>
    <row r="800" spans="1:22">
      <c r="A800" s="139"/>
      <c r="B800" s="139"/>
      <c r="C800" s="139"/>
      <c r="D800" s="139"/>
      <c r="E800" s="139"/>
      <c r="F800" s="139"/>
      <c r="G800" s="139"/>
      <c r="H800" s="139"/>
      <c r="I800" s="139"/>
      <c r="J800" s="139"/>
      <c r="K800" s="139"/>
      <c r="L800" s="139"/>
      <c r="M800" s="139"/>
      <c r="N800" s="139"/>
      <c r="O800" s="139"/>
      <c r="P800" s="139"/>
      <c r="Q800" s="139"/>
      <c r="R800" s="139"/>
      <c r="S800" s="139"/>
      <c r="T800" s="139"/>
      <c r="U800" s="139"/>
      <c r="V800" s="139"/>
    </row>
    <row r="801" spans="1:22">
      <c r="A801" s="139"/>
      <c r="B801" s="139"/>
      <c r="C801" s="139"/>
      <c r="D801" s="139"/>
      <c r="E801" s="139"/>
      <c r="F801" s="139"/>
      <c r="G801" s="139"/>
      <c r="H801" s="139"/>
      <c r="I801" s="139"/>
      <c r="J801" s="139"/>
      <c r="K801" s="139"/>
      <c r="L801" s="139"/>
      <c r="M801" s="139"/>
      <c r="N801" s="139"/>
      <c r="O801" s="139"/>
      <c r="P801" s="139"/>
      <c r="Q801" s="139"/>
      <c r="R801" s="139"/>
      <c r="S801" s="139"/>
      <c r="T801" s="139"/>
      <c r="U801" s="139"/>
      <c r="V801" s="139"/>
    </row>
    <row r="802" spans="1:22">
      <c r="A802" s="139"/>
      <c r="B802" s="139"/>
      <c r="C802" s="139"/>
      <c r="D802" s="139"/>
      <c r="E802" s="139"/>
      <c r="F802" s="139"/>
      <c r="G802" s="139"/>
      <c r="H802" s="139"/>
      <c r="I802" s="139"/>
      <c r="J802" s="139"/>
      <c r="K802" s="139"/>
      <c r="L802" s="139"/>
      <c r="M802" s="139"/>
      <c r="N802" s="139"/>
      <c r="O802" s="139"/>
      <c r="P802" s="139"/>
      <c r="Q802" s="139"/>
      <c r="R802" s="139"/>
      <c r="S802" s="139"/>
      <c r="T802" s="139"/>
      <c r="U802" s="139"/>
      <c r="V802" s="139"/>
    </row>
    <row r="803" spans="1:22">
      <c r="A803" s="139"/>
      <c r="B803" s="139"/>
      <c r="C803" s="139"/>
      <c r="D803" s="139"/>
      <c r="E803" s="139"/>
      <c r="F803" s="139"/>
      <c r="G803" s="139"/>
      <c r="H803" s="139"/>
      <c r="I803" s="139"/>
      <c r="J803" s="139"/>
      <c r="K803" s="139"/>
      <c r="L803" s="139"/>
      <c r="M803" s="139"/>
      <c r="N803" s="139"/>
      <c r="O803" s="139"/>
      <c r="P803" s="139"/>
      <c r="Q803" s="139"/>
      <c r="R803" s="139"/>
      <c r="S803" s="139"/>
      <c r="T803" s="139"/>
      <c r="U803" s="139"/>
      <c r="V803" s="139"/>
    </row>
    <row r="804" spans="1:22">
      <c r="A804" s="139"/>
      <c r="B804" s="139"/>
      <c r="C804" s="139"/>
      <c r="D804" s="139"/>
      <c r="E804" s="139"/>
      <c r="F804" s="139"/>
      <c r="G804" s="139"/>
      <c r="H804" s="139"/>
      <c r="I804" s="139"/>
      <c r="J804" s="139"/>
      <c r="K804" s="139"/>
      <c r="L804" s="139"/>
      <c r="M804" s="139"/>
      <c r="N804" s="139"/>
      <c r="O804" s="139"/>
      <c r="P804" s="139"/>
      <c r="Q804" s="139"/>
      <c r="R804" s="139"/>
      <c r="S804" s="139"/>
      <c r="T804" s="139"/>
      <c r="U804" s="139"/>
      <c r="V804" s="139"/>
    </row>
    <row r="805" spans="1:22">
      <c r="A805" s="139"/>
      <c r="B805" s="139"/>
      <c r="C805" s="139"/>
      <c r="D805" s="139"/>
      <c r="E805" s="139"/>
      <c r="F805" s="139"/>
      <c r="G805" s="139"/>
      <c r="H805" s="139"/>
      <c r="I805" s="139"/>
      <c r="J805" s="139"/>
      <c r="K805" s="139"/>
      <c r="L805" s="139"/>
      <c r="M805" s="139"/>
      <c r="N805" s="139"/>
      <c r="O805" s="139"/>
      <c r="P805" s="139"/>
      <c r="Q805" s="139"/>
      <c r="R805" s="139"/>
      <c r="S805" s="139"/>
      <c r="T805" s="139"/>
      <c r="U805" s="139"/>
      <c r="V805" s="139"/>
    </row>
    <row r="806" spans="1:22">
      <c r="A806" s="139"/>
      <c r="B806" s="139"/>
      <c r="C806" s="139"/>
      <c r="D806" s="139"/>
      <c r="E806" s="139"/>
      <c r="F806" s="139"/>
      <c r="G806" s="139"/>
      <c r="H806" s="139"/>
      <c r="I806" s="139"/>
      <c r="J806" s="139"/>
      <c r="K806" s="139"/>
      <c r="L806" s="139"/>
      <c r="M806" s="139"/>
      <c r="N806" s="139"/>
      <c r="O806" s="139"/>
      <c r="P806" s="139"/>
      <c r="Q806" s="139"/>
      <c r="R806" s="139"/>
      <c r="S806" s="139"/>
      <c r="T806" s="139"/>
      <c r="U806" s="139"/>
      <c r="V806" s="139"/>
    </row>
    <row r="807" spans="1:22">
      <c r="A807" s="139"/>
      <c r="B807" s="139"/>
      <c r="C807" s="139"/>
      <c r="D807" s="139"/>
      <c r="E807" s="139"/>
      <c r="F807" s="139"/>
      <c r="G807" s="139"/>
      <c r="H807" s="139"/>
      <c r="I807" s="139"/>
      <c r="J807" s="139"/>
      <c r="K807" s="139"/>
      <c r="L807" s="139"/>
      <c r="M807" s="139"/>
      <c r="N807" s="139"/>
      <c r="O807" s="139"/>
      <c r="P807" s="139"/>
      <c r="Q807" s="139"/>
      <c r="R807" s="139"/>
      <c r="S807" s="139"/>
      <c r="T807" s="139"/>
      <c r="U807" s="139"/>
      <c r="V807" s="139"/>
    </row>
    <row r="808" spans="1:22">
      <c r="A808" s="139"/>
      <c r="B808" s="139"/>
      <c r="C808" s="139"/>
      <c r="D808" s="139"/>
      <c r="E808" s="139"/>
      <c r="F808" s="139"/>
      <c r="G808" s="139"/>
      <c r="H808" s="139"/>
      <c r="I808" s="139"/>
      <c r="J808" s="139"/>
      <c r="K808" s="139"/>
      <c r="L808" s="139"/>
      <c r="M808" s="139"/>
      <c r="N808" s="139"/>
      <c r="O808" s="139"/>
      <c r="P808" s="139"/>
      <c r="Q808" s="139"/>
      <c r="R808" s="139"/>
      <c r="S808" s="139"/>
      <c r="T808" s="139"/>
      <c r="U808" s="139"/>
      <c r="V808" s="139"/>
    </row>
    <row r="809" spans="1:22">
      <c r="A809" s="139"/>
      <c r="B809" s="139"/>
      <c r="C809" s="139"/>
      <c r="D809" s="139"/>
      <c r="E809" s="139"/>
      <c r="F809" s="139"/>
      <c r="G809" s="139"/>
      <c r="H809" s="139"/>
      <c r="I809" s="139"/>
      <c r="J809" s="139"/>
      <c r="K809" s="139"/>
      <c r="L809" s="139"/>
      <c r="M809" s="139"/>
      <c r="N809" s="139"/>
      <c r="O809" s="139"/>
      <c r="P809" s="139"/>
      <c r="Q809" s="139"/>
      <c r="R809" s="139"/>
      <c r="S809" s="139"/>
      <c r="T809" s="139"/>
      <c r="U809" s="139"/>
      <c r="V809" s="139"/>
    </row>
    <row r="810" spans="1:22">
      <c r="A810" s="139"/>
      <c r="B810" s="139"/>
      <c r="C810" s="139"/>
      <c r="D810" s="139"/>
      <c r="E810" s="139"/>
      <c r="F810" s="139"/>
      <c r="G810" s="139"/>
      <c r="H810" s="139"/>
      <c r="I810" s="139"/>
      <c r="J810" s="139"/>
      <c r="K810" s="139"/>
      <c r="L810" s="139"/>
      <c r="M810" s="139"/>
      <c r="N810" s="139"/>
      <c r="O810" s="139"/>
      <c r="P810" s="139"/>
      <c r="Q810" s="139"/>
      <c r="R810" s="139"/>
      <c r="S810" s="139"/>
      <c r="T810" s="139"/>
      <c r="U810" s="139"/>
      <c r="V810" s="139"/>
    </row>
    <row r="811" spans="1:22">
      <c r="A811" s="139"/>
      <c r="B811" s="139"/>
      <c r="C811" s="139"/>
      <c r="D811" s="139"/>
      <c r="E811" s="139"/>
      <c r="F811" s="139"/>
      <c r="G811" s="139"/>
      <c r="H811" s="139"/>
      <c r="I811" s="139"/>
      <c r="J811" s="139"/>
      <c r="K811" s="139"/>
      <c r="L811" s="139"/>
      <c r="M811" s="139"/>
      <c r="N811" s="139"/>
      <c r="O811" s="139"/>
      <c r="P811" s="139"/>
      <c r="Q811" s="139"/>
      <c r="R811" s="139"/>
      <c r="S811" s="139"/>
      <c r="T811" s="139"/>
      <c r="U811" s="139"/>
      <c r="V811" s="139"/>
    </row>
    <row r="812" spans="1:22">
      <c r="A812" s="139"/>
      <c r="B812" s="139"/>
      <c r="C812" s="139"/>
      <c r="D812" s="139"/>
      <c r="E812" s="139"/>
      <c r="F812" s="139"/>
      <c r="G812" s="139"/>
      <c r="H812" s="139"/>
      <c r="I812" s="139"/>
      <c r="J812" s="139"/>
      <c r="K812" s="139"/>
      <c r="L812" s="139"/>
      <c r="M812" s="139"/>
      <c r="N812" s="139"/>
      <c r="O812" s="139"/>
      <c r="P812" s="139"/>
      <c r="Q812" s="139"/>
      <c r="R812" s="139"/>
      <c r="S812" s="139"/>
      <c r="T812" s="139"/>
      <c r="U812" s="139"/>
      <c r="V812" s="139"/>
    </row>
    <row r="813" spans="1:22">
      <c r="A813" s="139"/>
      <c r="B813" s="139"/>
      <c r="C813" s="139"/>
      <c r="D813" s="139"/>
      <c r="E813" s="139"/>
      <c r="F813" s="139"/>
      <c r="G813" s="139"/>
      <c r="H813" s="139"/>
      <c r="I813" s="139"/>
      <c r="J813" s="139"/>
      <c r="K813" s="139"/>
      <c r="L813" s="139"/>
      <c r="M813" s="139"/>
      <c r="N813" s="139"/>
      <c r="O813" s="139"/>
      <c r="P813" s="139"/>
      <c r="Q813" s="139"/>
      <c r="R813" s="139"/>
      <c r="S813" s="139"/>
      <c r="T813" s="139"/>
      <c r="U813" s="139"/>
      <c r="V813" s="139"/>
    </row>
    <row r="814" spans="1:22">
      <c r="A814" s="139"/>
      <c r="B814" s="139"/>
      <c r="C814" s="139"/>
      <c r="D814" s="139"/>
      <c r="E814" s="139"/>
      <c r="F814" s="139"/>
      <c r="G814" s="139"/>
      <c r="H814" s="139"/>
      <c r="I814" s="139"/>
      <c r="J814" s="139"/>
      <c r="K814" s="139"/>
      <c r="L814" s="139"/>
      <c r="M814" s="139"/>
      <c r="N814" s="139"/>
      <c r="O814" s="139"/>
      <c r="P814" s="139"/>
      <c r="Q814" s="139"/>
      <c r="R814" s="139"/>
      <c r="S814" s="139"/>
      <c r="T814" s="139"/>
      <c r="U814" s="139"/>
      <c r="V814" s="139"/>
    </row>
    <row r="815" spans="1:22">
      <c r="A815" s="139"/>
      <c r="B815" s="139"/>
      <c r="C815" s="139"/>
      <c r="D815" s="139"/>
      <c r="E815" s="139"/>
      <c r="F815" s="139"/>
      <c r="G815" s="139"/>
      <c r="H815" s="139"/>
      <c r="I815" s="139"/>
      <c r="J815" s="139"/>
      <c r="K815" s="139"/>
      <c r="L815" s="139"/>
      <c r="M815" s="139"/>
      <c r="N815" s="139"/>
      <c r="O815" s="139"/>
      <c r="P815" s="139"/>
      <c r="Q815" s="139"/>
      <c r="R815" s="139"/>
      <c r="S815" s="139"/>
      <c r="T815" s="139"/>
      <c r="U815" s="139"/>
      <c r="V815" s="139"/>
    </row>
    <row r="816" spans="1:22">
      <c r="A816" s="139"/>
      <c r="B816" s="139"/>
      <c r="C816" s="139"/>
      <c r="D816" s="139"/>
      <c r="E816" s="139"/>
      <c r="F816" s="139"/>
      <c r="G816" s="139"/>
      <c r="H816" s="139"/>
      <c r="I816" s="139"/>
      <c r="J816" s="139"/>
      <c r="K816" s="139"/>
      <c r="L816" s="139"/>
      <c r="M816" s="139"/>
      <c r="N816" s="139"/>
      <c r="O816" s="139"/>
      <c r="P816" s="139"/>
      <c r="Q816" s="139"/>
      <c r="R816" s="139"/>
      <c r="S816" s="139"/>
      <c r="T816" s="139"/>
      <c r="U816" s="139"/>
      <c r="V816" s="139"/>
    </row>
    <row r="817" spans="1:22">
      <c r="A817" s="139"/>
      <c r="B817" s="139"/>
      <c r="C817" s="139"/>
      <c r="D817" s="139"/>
      <c r="E817" s="139"/>
      <c r="F817" s="139"/>
      <c r="G817" s="139"/>
      <c r="H817" s="139"/>
      <c r="I817" s="139"/>
      <c r="J817" s="139"/>
      <c r="K817" s="139"/>
      <c r="L817" s="139"/>
      <c r="M817" s="139"/>
      <c r="N817" s="139"/>
      <c r="O817" s="139"/>
      <c r="P817" s="139"/>
      <c r="Q817" s="139"/>
      <c r="R817" s="139"/>
      <c r="S817" s="139"/>
      <c r="T817" s="139"/>
      <c r="U817" s="139"/>
      <c r="V817" s="139"/>
    </row>
    <row r="818" spans="1:22">
      <c r="A818" s="139"/>
      <c r="B818" s="139"/>
      <c r="C818" s="139"/>
      <c r="D818" s="139"/>
      <c r="E818" s="139"/>
      <c r="F818" s="139"/>
      <c r="G818" s="139"/>
      <c r="H818" s="139"/>
      <c r="I818" s="139"/>
      <c r="J818" s="139"/>
      <c r="K818" s="139"/>
      <c r="L818" s="139"/>
      <c r="M818" s="139"/>
      <c r="N818" s="139"/>
      <c r="O818" s="139"/>
      <c r="P818" s="139"/>
      <c r="Q818" s="139"/>
      <c r="R818" s="139"/>
      <c r="S818" s="139"/>
      <c r="T818" s="139"/>
      <c r="U818" s="139"/>
      <c r="V818" s="139"/>
    </row>
    <row r="819" spans="1:22">
      <c r="A819" s="139"/>
      <c r="B819" s="139"/>
      <c r="C819" s="139"/>
      <c r="D819" s="139"/>
      <c r="E819" s="139"/>
      <c r="F819" s="139"/>
      <c r="G819" s="139"/>
      <c r="H819" s="139"/>
      <c r="I819" s="139"/>
      <c r="J819" s="139"/>
      <c r="K819" s="139"/>
      <c r="L819" s="139"/>
      <c r="M819" s="139"/>
      <c r="N819" s="139"/>
      <c r="O819" s="139"/>
      <c r="P819" s="139"/>
      <c r="Q819" s="139"/>
      <c r="R819" s="139"/>
      <c r="S819" s="139"/>
      <c r="T819" s="139"/>
      <c r="U819" s="139"/>
      <c r="V819" s="139"/>
    </row>
    <row r="820" spans="1:22">
      <c r="A820" s="139"/>
      <c r="B820" s="139"/>
      <c r="C820" s="139"/>
      <c r="D820" s="139"/>
      <c r="E820" s="139"/>
      <c r="F820" s="139"/>
      <c r="G820" s="139"/>
      <c r="H820" s="139"/>
      <c r="I820" s="139"/>
      <c r="J820" s="139"/>
      <c r="K820" s="139"/>
      <c r="L820" s="139"/>
      <c r="M820" s="139"/>
      <c r="N820" s="139"/>
      <c r="O820" s="139"/>
      <c r="P820" s="139"/>
      <c r="Q820" s="139"/>
      <c r="R820" s="139"/>
      <c r="S820" s="139"/>
      <c r="T820" s="139"/>
      <c r="U820" s="139"/>
      <c r="V820" s="139"/>
    </row>
    <row r="821" spans="1:22">
      <c r="A821" s="139"/>
      <c r="B821" s="139"/>
      <c r="C821" s="139"/>
      <c r="D821" s="139"/>
      <c r="E821" s="139"/>
      <c r="F821" s="139"/>
      <c r="G821" s="139"/>
      <c r="H821" s="139"/>
      <c r="I821" s="139"/>
      <c r="J821" s="139"/>
      <c r="K821" s="139"/>
      <c r="L821" s="139"/>
      <c r="M821" s="139"/>
      <c r="N821" s="139"/>
      <c r="O821" s="139"/>
      <c r="P821" s="139"/>
      <c r="Q821" s="139"/>
      <c r="R821" s="139"/>
      <c r="S821" s="139"/>
      <c r="T821" s="139"/>
      <c r="U821" s="139"/>
      <c r="V821" s="139"/>
    </row>
    <row r="822" spans="1:22">
      <c r="A822" s="139"/>
      <c r="B822" s="139"/>
      <c r="C822" s="139"/>
      <c r="D822" s="139"/>
      <c r="E822" s="139"/>
      <c r="F822" s="139"/>
      <c r="G822" s="139"/>
      <c r="H822" s="139"/>
      <c r="I822" s="139"/>
      <c r="J822" s="139"/>
      <c r="K822" s="139"/>
      <c r="L822" s="139"/>
      <c r="M822" s="139"/>
      <c r="N822" s="139"/>
      <c r="O822" s="139"/>
      <c r="P822" s="139"/>
      <c r="Q822" s="139"/>
      <c r="R822" s="139"/>
      <c r="S822" s="139"/>
      <c r="T822" s="139"/>
      <c r="U822" s="139"/>
      <c r="V822" s="139"/>
    </row>
    <row r="823" spans="1:22">
      <c r="A823" s="139"/>
      <c r="B823" s="139"/>
      <c r="C823" s="139"/>
      <c r="D823" s="139"/>
      <c r="E823" s="139"/>
      <c r="F823" s="139"/>
      <c r="G823" s="139"/>
      <c r="H823" s="139"/>
      <c r="I823" s="139"/>
      <c r="J823" s="139"/>
      <c r="K823" s="139"/>
      <c r="L823" s="139"/>
      <c r="M823" s="139"/>
      <c r="N823" s="139"/>
      <c r="O823" s="139"/>
      <c r="P823" s="139"/>
      <c r="Q823" s="139"/>
      <c r="R823" s="139"/>
      <c r="S823" s="139"/>
      <c r="T823" s="139"/>
      <c r="U823" s="139"/>
      <c r="V823" s="139"/>
    </row>
    <row r="824" spans="1:22">
      <c r="A824" s="139"/>
      <c r="B824" s="139"/>
      <c r="C824" s="139"/>
      <c r="D824" s="139"/>
      <c r="E824" s="139"/>
      <c r="F824" s="139"/>
      <c r="G824" s="139"/>
      <c r="H824" s="139"/>
      <c r="I824" s="139"/>
      <c r="J824" s="139"/>
      <c r="K824" s="139"/>
      <c r="L824" s="139"/>
      <c r="M824" s="139"/>
      <c r="N824" s="139"/>
      <c r="O824" s="139"/>
      <c r="P824" s="139"/>
      <c r="Q824" s="139"/>
      <c r="R824" s="139"/>
      <c r="S824" s="139"/>
      <c r="T824" s="139"/>
      <c r="U824" s="139"/>
      <c r="V824" s="139"/>
    </row>
    <row r="825" spans="1:22">
      <c r="A825" s="139"/>
      <c r="B825" s="139"/>
      <c r="C825" s="139"/>
      <c r="D825" s="139"/>
      <c r="E825" s="139"/>
      <c r="F825" s="139"/>
      <c r="G825" s="139"/>
      <c r="H825" s="139"/>
      <c r="I825" s="139"/>
      <c r="J825" s="139"/>
      <c r="K825" s="139"/>
      <c r="L825" s="139"/>
      <c r="M825" s="139"/>
      <c r="N825" s="139"/>
      <c r="O825" s="139"/>
      <c r="P825" s="139"/>
      <c r="Q825" s="139"/>
      <c r="R825" s="139"/>
      <c r="S825" s="139"/>
      <c r="T825" s="139"/>
      <c r="U825" s="139"/>
      <c r="V825" s="139"/>
    </row>
    <row r="826" spans="1:22">
      <c r="A826" s="139"/>
      <c r="B826" s="139"/>
      <c r="C826" s="139"/>
      <c r="D826" s="139"/>
      <c r="E826" s="139"/>
      <c r="F826" s="139"/>
      <c r="G826" s="139"/>
      <c r="H826" s="139"/>
      <c r="I826" s="139"/>
      <c r="J826" s="139"/>
      <c r="K826" s="139"/>
      <c r="L826" s="139"/>
      <c r="M826" s="139"/>
      <c r="N826" s="139"/>
      <c r="O826" s="139"/>
      <c r="P826" s="139"/>
      <c r="Q826" s="139"/>
      <c r="R826" s="139"/>
      <c r="S826" s="139"/>
      <c r="T826" s="139"/>
      <c r="U826" s="139"/>
      <c r="V826" s="139"/>
    </row>
    <row r="827" spans="1:22">
      <c r="A827" s="139"/>
      <c r="B827" s="139"/>
      <c r="C827" s="139"/>
      <c r="D827" s="139"/>
      <c r="E827" s="139"/>
      <c r="F827" s="139"/>
      <c r="G827" s="139"/>
      <c r="H827" s="139"/>
      <c r="I827" s="139"/>
      <c r="J827" s="139"/>
      <c r="K827" s="139"/>
      <c r="L827" s="139"/>
      <c r="M827" s="139"/>
      <c r="N827" s="139"/>
      <c r="O827" s="139"/>
      <c r="P827" s="139"/>
      <c r="Q827" s="139"/>
      <c r="R827" s="139"/>
      <c r="S827" s="139"/>
      <c r="T827" s="139"/>
      <c r="U827" s="139"/>
      <c r="V827" s="139"/>
    </row>
    <row r="828" spans="1:22">
      <c r="A828" s="139"/>
      <c r="B828" s="139"/>
      <c r="C828" s="139"/>
      <c r="D828" s="139"/>
      <c r="E828" s="139"/>
      <c r="F828" s="139"/>
      <c r="G828" s="139"/>
      <c r="H828" s="139"/>
      <c r="I828" s="139"/>
      <c r="J828" s="139"/>
      <c r="K828" s="139"/>
      <c r="L828" s="139"/>
      <c r="M828" s="139"/>
      <c r="N828" s="139"/>
      <c r="O828" s="139"/>
      <c r="P828" s="139"/>
      <c r="Q828" s="139"/>
      <c r="R828" s="139"/>
      <c r="S828" s="139"/>
      <c r="T828" s="139"/>
      <c r="U828" s="139"/>
      <c r="V828" s="139"/>
    </row>
    <row r="829" spans="1:22">
      <c r="A829" s="139"/>
      <c r="B829" s="139"/>
      <c r="C829" s="139"/>
      <c r="D829" s="139"/>
      <c r="E829" s="139"/>
      <c r="F829" s="139"/>
      <c r="G829" s="139"/>
      <c r="H829" s="139"/>
      <c r="I829" s="139"/>
      <c r="J829" s="139"/>
      <c r="K829" s="139"/>
      <c r="L829" s="139"/>
      <c r="M829" s="139"/>
      <c r="N829" s="139"/>
      <c r="O829" s="139"/>
      <c r="P829" s="139"/>
      <c r="Q829" s="139"/>
      <c r="R829" s="139"/>
      <c r="S829" s="139"/>
      <c r="T829" s="139"/>
      <c r="U829" s="139"/>
      <c r="V829" s="139"/>
    </row>
    <row r="830" spans="1:22">
      <c r="A830" s="139"/>
      <c r="B830" s="139"/>
      <c r="C830" s="139"/>
      <c r="D830" s="139"/>
      <c r="E830" s="139"/>
      <c r="F830" s="139"/>
      <c r="G830" s="139"/>
      <c r="H830" s="139"/>
      <c r="I830" s="139"/>
      <c r="J830" s="139"/>
      <c r="K830" s="139"/>
      <c r="L830" s="139"/>
      <c r="M830" s="139"/>
      <c r="N830" s="139"/>
      <c r="O830" s="139"/>
      <c r="P830" s="139"/>
      <c r="Q830" s="139"/>
      <c r="R830" s="139"/>
      <c r="S830" s="139"/>
      <c r="T830" s="139"/>
      <c r="U830" s="139"/>
      <c r="V830" s="139"/>
    </row>
    <row r="831" spans="1:22">
      <c r="A831" s="139"/>
      <c r="B831" s="139"/>
      <c r="C831" s="139"/>
      <c r="D831" s="139"/>
      <c r="E831" s="139"/>
      <c r="F831" s="139"/>
      <c r="G831" s="139"/>
      <c r="H831" s="139"/>
      <c r="I831" s="139"/>
      <c r="J831" s="139"/>
      <c r="K831" s="139"/>
      <c r="L831" s="139"/>
      <c r="M831" s="139"/>
      <c r="N831" s="139"/>
      <c r="O831" s="139"/>
      <c r="P831" s="139"/>
      <c r="Q831" s="139"/>
      <c r="R831" s="139"/>
      <c r="S831" s="139"/>
      <c r="T831" s="139"/>
      <c r="U831" s="139"/>
      <c r="V831" s="139"/>
    </row>
    <row r="832" spans="1:22">
      <c r="A832" s="139"/>
      <c r="B832" s="139"/>
      <c r="C832" s="139"/>
      <c r="D832" s="139"/>
      <c r="E832" s="139"/>
      <c r="F832" s="139"/>
      <c r="G832" s="139"/>
      <c r="H832" s="139"/>
      <c r="I832" s="139"/>
      <c r="J832" s="139"/>
      <c r="K832" s="139"/>
      <c r="L832" s="139"/>
      <c r="M832" s="139"/>
      <c r="N832" s="139"/>
      <c r="O832" s="139"/>
      <c r="P832" s="139"/>
      <c r="Q832" s="139"/>
      <c r="R832" s="139"/>
      <c r="S832" s="139"/>
      <c r="T832" s="139"/>
      <c r="U832" s="139"/>
      <c r="V832" s="139"/>
    </row>
    <row r="833" spans="1:22">
      <c r="A833" s="139"/>
      <c r="B833" s="139"/>
      <c r="C833" s="139"/>
      <c r="D833" s="139"/>
      <c r="E833" s="139"/>
      <c r="F833" s="139"/>
      <c r="G833" s="139"/>
      <c r="H833" s="139"/>
      <c r="I833" s="139"/>
      <c r="J833" s="139"/>
      <c r="K833" s="139"/>
      <c r="L833" s="139"/>
      <c r="M833" s="139"/>
      <c r="N833" s="139"/>
      <c r="O833" s="139"/>
      <c r="P833" s="139"/>
      <c r="Q833" s="139"/>
      <c r="R833" s="139"/>
      <c r="S833" s="139"/>
      <c r="T833" s="139"/>
      <c r="U833" s="139"/>
      <c r="V833" s="139"/>
    </row>
    <row r="834" spans="1:22">
      <c r="A834" s="139"/>
      <c r="B834" s="139"/>
      <c r="C834" s="139"/>
      <c r="D834" s="139"/>
      <c r="E834" s="139"/>
      <c r="F834" s="139"/>
      <c r="G834" s="139"/>
      <c r="H834" s="139"/>
      <c r="I834" s="139"/>
      <c r="J834" s="139"/>
      <c r="K834" s="139"/>
      <c r="L834" s="139"/>
      <c r="M834" s="139"/>
      <c r="N834" s="139"/>
      <c r="O834" s="139"/>
      <c r="P834" s="139"/>
      <c r="Q834" s="139"/>
      <c r="R834" s="139"/>
      <c r="S834" s="139"/>
      <c r="T834" s="139"/>
      <c r="U834" s="139"/>
      <c r="V834" s="139"/>
    </row>
    <row r="835" spans="1:22">
      <c r="A835" s="139"/>
      <c r="B835" s="139"/>
      <c r="C835" s="139"/>
      <c r="D835" s="139"/>
      <c r="E835" s="139"/>
      <c r="F835" s="139"/>
      <c r="G835" s="139"/>
      <c r="H835" s="139"/>
      <c r="I835" s="139"/>
      <c r="J835" s="139"/>
      <c r="K835" s="139"/>
      <c r="L835" s="139"/>
      <c r="M835" s="139"/>
      <c r="N835" s="139"/>
      <c r="O835" s="139"/>
      <c r="P835" s="139"/>
      <c r="Q835" s="139"/>
      <c r="R835" s="139"/>
      <c r="S835" s="139"/>
      <c r="T835" s="139"/>
      <c r="U835" s="139"/>
      <c r="V835" s="139"/>
    </row>
    <row r="836" spans="1:22">
      <c r="A836" s="139"/>
      <c r="B836" s="139"/>
      <c r="C836" s="139"/>
      <c r="D836" s="139"/>
      <c r="E836" s="139"/>
      <c r="F836" s="139"/>
      <c r="G836" s="139"/>
      <c r="H836" s="139"/>
      <c r="I836" s="139"/>
      <c r="J836" s="139"/>
      <c r="K836" s="139"/>
      <c r="L836" s="139"/>
      <c r="M836" s="139"/>
      <c r="N836" s="139"/>
      <c r="O836" s="139"/>
      <c r="P836" s="139"/>
      <c r="Q836" s="139"/>
      <c r="R836" s="139"/>
      <c r="S836" s="139"/>
      <c r="T836" s="139"/>
      <c r="U836" s="139"/>
      <c r="V836" s="139"/>
    </row>
    <row r="837" spans="1:22">
      <c r="A837" s="139"/>
      <c r="B837" s="139"/>
      <c r="C837" s="139"/>
      <c r="D837" s="139"/>
      <c r="E837" s="139"/>
      <c r="F837" s="139"/>
      <c r="G837" s="139"/>
      <c r="H837" s="139"/>
      <c r="I837" s="139"/>
      <c r="J837" s="139"/>
      <c r="K837" s="139"/>
      <c r="L837" s="139"/>
      <c r="M837" s="139"/>
      <c r="N837" s="139"/>
      <c r="O837" s="139"/>
      <c r="P837" s="139"/>
      <c r="Q837" s="139"/>
      <c r="R837" s="139"/>
      <c r="S837" s="139"/>
      <c r="T837" s="139"/>
      <c r="U837" s="139"/>
      <c r="V837" s="139"/>
    </row>
    <row r="838" spans="1:22">
      <c r="A838" s="139"/>
      <c r="B838" s="139"/>
      <c r="C838" s="139"/>
      <c r="D838" s="139"/>
      <c r="E838" s="139"/>
      <c r="F838" s="139"/>
      <c r="G838" s="139"/>
      <c r="H838" s="139"/>
      <c r="I838" s="139"/>
      <c r="J838" s="139"/>
      <c r="K838" s="139"/>
      <c r="L838" s="139"/>
      <c r="M838" s="139"/>
      <c r="N838" s="139"/>
      <c r="O838" s="139"/>
      <c r="P838" s="139"/>
      <c r="Q838" s="139"/>
      <c r="R838" s="139"/>
      <c r="S838" s="139"/>
      <c r="T838" s="139"/>
      <c r="U838" s="139"/>
      <c r="V838" s="139"/>
    </row>
    <row r="839" spans="1:22">
      <c r="A839" s="139"/>
      <c r="B839" s="139"/>
      <c r="C839" s="139"/>
      <c r="D839" s="139"/>
      <c r="E839" s="139"/>
      <c r="F839" s="139"/>
      <c r="G839" s="139"/>
      <c r="H839" s="139"/>
      <c r="I839" s="139"/>
      <c r="J839" s="139"/>
      <c r="K839" s="139"/>
      <c r="L839" s="139"/>
      <c r="M839" s="139"/>
      <c r="N839" s="139"/>
      <c r="O839" s="139"/>
      <c r="P839" s="139"/>
      <c r="Q839" s="139"/>
      <c r="R839" s="139"/>
      <c r="S839" s="139"/>
      <c r="T839" s="139"/>
      <c r="U839" s="139"/>
      <c r="V839" s="139"/>
    </row>
    <row r="840" spans="1:22">
      <c r="A840" s="139"/>
      <c r="B840" s="139"/>
      <c r="C840" s="139"/>
      <c r="D840" s="139"/>
      <c r="E840" s="139"/>
      <c r="F840" s="139"/>
      <c r="G840" s="139"/>
      <c r="H840" s="139"/>
      <c r="I840" s="139"/>
      <c r="J840" s="139"/>
      <c r="K840" s="139"/>
      <c r="L840" s="139"/>
      <c r="M840" s="139"/>
      <c r="N840" s="139"/>
      <c r="O840" s="139"/>
      <c r="P840" s="139"/>
      <c r="Q840" s="139"/>
      <c r="R840" s="139"/>
      <c r="S840" s="139"/>
      <c r="T840" s="139"/>
      <c r="U840" s="139"/>
      <c r="V840" s="139"/>
    </row>
    <row r="841" spans="1:22">
      <c r="A841" s="139"/>
      <c r="B841" s="139"/>
      <c r="C841" s="139"/>
      <c r="D841" s="139"/>
      <c r="E841" s="139"/>
      <c r="F841" s="139"/>
      <c r="G841" s="139"/>
      <c r="H841" s="139"/>
      <c r="I841" s="139"/>
      <c r="J841" s="139"/>
      <c r="K841" s="139"/>
      <c r="L841" s="139"/>
      <c r="M841" s="139"/>
      <c r="N841" s="139"/>
      <c r="O841" s="139"/>
      <c r="P841" s="139"/>
      <c r="Q841" s="139"/>
      <c r="R841" s="139"/>
      <c r="S841" s="139"/>
      <c r="T841" s="139"/>
      <c r="U841" s="139"/>
      <c r="V841" s="139"/>
    </row>
    <row r="842" spans="1:22">
      <c r="A842" s="139"/>
      <c r="B842" s="139"/>
      <c r="C842" s="139"/>
      <c r="D842" s="139"/>
      <c r="E842" s="139"/>
      <c r="F842" s="139"/>
      <c r="G842" s="139"/>
      <c r="H842" s="139"/>
      <c r="I842" s="139"/>
      <c r="J842" s="139"/>
      <c r="K842" s="139"/>
      <c r="L842" s="139"/>
      <c r="M842" s="139"/>
      <c r="N842" s="139"/>
      <c r="O842" s="139"/>
      <c r="P842" s="139"/>
      <c r="Q842" s="139"/>
      <c r="R842" s="139"/>
      <c r="S842" s="139"/>
      <c r="T842" s="139"/>
      <c r="U842" s="139"/>
      <c r="V842" s="139"/>
    </row>
    <row r="843" spans="1:22">
      <c r="A843" s="139"/>
      <c r="B843" s="139"/>
      <c r="C843" s="139"/>
      <c r="D843" s="139"/>
      <c r="E843" s="139"/>
      <c r="F843" s="139"/>
      <c r="G843" s="139"/>
      <c r="H843" s="139"/>
      <c r="I843" s="139"/>
      <c r="J843" s="139"/>
      <c r="K843" s="139"/>
      <c r="L843" s="139"/>
      <c r="M843" s="139"/>
      <c r="N843" s="139"/>
      <c r="O843" s="139"/>
      <c r="P843" s="139"/>
      <c r="Q843" s="139"/>
      <c r="R843" s="139"/>
      <c r="S843" s="139"/>
      <c r="T843" s="139"/>
      <c r="U843" s="139"/>
      <c r="V843" s="139"/>
    </row>
    <row r="844" spans="1:22">
      <c r="A844" s="139"/>
      <c r="B844" s="139"/>
      <c r="C844" s="139"/>
      <c r="D844" s="139"/>
      <c r="E844" s="139"/>
      <c r="F844" s="139"/>
      <c r="G844" s="139"/>
      <c r="H844" s="139"/>
      <c r="I844" s="139"/>
      <c r="J844" s="139"/>
      <c r="K844" s="139"/>
      <c r="L844" s="139"/>
      <c r="M844" s="139"/>
      <c r="N844" s="139"/>
      <c r="O844" s="139"/>
      <c r="P844" s="139"/>
      <c r="Q844" s="139"/>
      <c r="R844" s="139"/>
      <c r="S844" s="139"/>
      <c r="T844" s="139"/>
      <c r="U844" s="139"/>
      <c r="V844" s="139"/>
    </row>
    <row r="845" spans="1:22">
      <c r="A845" s="139"/>
      <c r="B845" s="139"/>
      <c r="C845" s="139"/>
      <c r="D845" s="139"/>
      <c r="E845" s="139"/>
      <c r="F845" s="139"/>
      <c r="G845" s="139"/>
      <c r="H845" s="139"/>
      <c r="I845" s="139"/>
      <c r="J845" s="139"/>
      <c r="K845" s="139"/>
      <c r="L845" s="139"/>
      <c r="M845" s="139"/>
      <c r="N845" s="139"/>
      <c r="O845" s="139"/>
      <c r="P845" s="139"/>
      <c r="Q845" s="139"/>
      <c r="R845" s="139"/>
      <c r="S845" s="139"/>
      <c r="T845" s="139"/>
      <c r="U845" s="139"/>
      <c r="V845" s="139"/>
    </row>
    <row r="846" spans="1:22">
      <c r="A846" s="139"/>
      <c r="B846" s="139"/>
      <c r="C846" s="139"/>
      <c r="D846" s="139"/>
      <c r="E846" s="139"/>
      <c r="F846" s="139"/>
      <c r="G846" s="139"/>
      <c r="H846" s="139"/>
      <c r="I846" s="139"/>
      <c r="J846" s="139"/>
      <c r="K846" s="139"/>
      <c r="L846" s="139"/>
      <c r="M846" s="139"/>
      <c r="N846" s="139"/>
      <c r="O846" s="139"/>
      <c r="P846" s="139"/>
      <c r="Q846" s="139"/>
      <c r="R846" s="139"/>
      <c r="S846" s="139"/>
      <c r="T846" s="139"/>
      <c r="U846" s="139"/>
      <c r="V846" s="139"/>
    </row>
    <row r="847" spans="1:22">
      <c r="A847" s="139"/>
      <c r="B847" s="139"/>
      <c r="C847" s="139"/>
      <c r="D847" s="139"/>
      <c r="E847" s="139"/>
      <c r="F847" s="139"/>
      <c r="G847" s="139"/>
      <c r="H847" s="139"/>
      <c r="I847" s="139"/>
      <c r="J847" s="139"/>
      <c r="K847" s="139"/>
      <c r="L847" s="139"/>
      <c r="M847" s="139"/>
      <c r="N847" s="139"/>
      <c r="O847" s="139"/>
      <c r="P847" s="139"/>
      <c r="Q847" s="139"/>
      <c r="R847" s="139"/>
      <c r="S847" s="139"/>
      <c r="T847" s="139"/>
      <c r="U847" s="139"/>
      <c r="V847" s="139"/>
    </row>
    <row r="848" spans="1:22">
      <c r="A848" s="139"/>
      <c r="B848" s="139"/>
      <c r="C848" s="139"/>
      <c r="D848" s="139"/>
      <c r="E848" s="139"/>
      <c r="F848" s="139"/>
      <c r="G848" s="139"/>
      <c r="H848" s="139"/>
      <c r="I848" s="139"/>
      <c r="J848" s="139"/>
      <c r="K848" s="139"/>
      <c r="L848" s="139"/>
      <c r="M848" s="139"/>
      <c r="N848" s="139"/>
      <c r="O848" s="139"/>
      <c r="P848" s="139"/>
      <c r="Q848" s="139"/>
      <c r="R848" s="139"/>
      <c r="S848" s="139"/>
      <c r="T848" s="139"/>
      <c r="U848" s="139"/>
      <c r="V848" s="139"/>
    </row>
    <row r="849" spans="1:22">
      <c r="A849" s="139"/>
      <c r="B849" s="139"/>
      <c r="C849" s="139"/>
      <c r="D849" s="139"/>
      <c r="E849" s="139"/>
      <c r="F849" s="139"/>
      <c r="G849" s="139"/>
      <c r="H849" s="139"/>
      <c r="I849" s="139"/>
      <c r="J849" s="139"/>
      <c r="K849" s="139"/>
      <c r="L849" s="139"/>
      <c r="M849" s="139"/>
      <c r="N849" s="139"/>
      <c r="O849" s="139"/>
      <c r="P849" s="139"/>
      <c r="Q849" s="139"/>
      <c r="R849" s="139"/>
      <c r="S849" s="139"/>
      <c r="T849" s="139"/>
      <c r="U849" s="139"/>
      <c r="V849" s="139"/>
    </row>
    <row r="850" spans="1:22">
      <c r="A850" s="139"/>
      <c r="B850" s="139"/>
      <c r="C850" s="139"/>
      <c r="D850" s="139"/>
      <c r="E850" s="139"/>
      <c r="F850" s="139"/>
      <c r="G850" s="139"/>
      <c r="H850" s="139"/>
      <c r="I850" s="139"/>
      <c r="J850" s="139"/>
      <c r="K850" s="139"/>
      <c r="L850" s="139"/>
      <c r="M850" s="139"/>
      <c r="N850" s="139"/>
      <c r="O850" s="139"/>
      <c r="P850" s="139"/>
      <c r="Q850" s="139"/>
      <c r="R850" s="139"/>
      <c r="S850" s="139"/>
      <c r="T850" s="139"/>
      <c r="U850" s="139"/>
      <c r="V850" s="139"/>
    </row>
    <row r="851" spans="1:22">
      <c r="A851" s="139"/>
      <c r="B851" s="139"/>
      <c r="C851" s="139"/>
      <c r="D851" s="139"/>
      <c r="E851" s="139"/>
      <c r="F851" s="139"/>
      <c r="G851" s="139"/>
      <c r="H851" s="139"/>
      <c r="I851" s="139"/>
      <c r="J851" s="139"/>
      <c r="K851" s="139"/>
      <c r="L851" s="139"/>
      <c r="M851" s="139"/>
      <c r="N851" s="139"/>
      <c r="O851" s="139"/>
      <c r="P851" s="139"/>
      <c r="Q851" s="139"/>
      <c r="R851" s="139"/>
      <c r="S851" s="139"/>
      <c r="T851" s="139"/>
      <c r="U851" s="139"/>
      <c r="V851" s="139"/>
    </row>
    <row r="852" spans="1:22">
      <c r="A852" s="139"/>
      <c r="B852" s="139"/>
      <c r="C852" s="139"/>
      <c r="D852" s="139"/>
      <c r="E852" s="139"/>
      <c r="F852" s="139"/>
      <c r="G852" s="139"/>
      <c r="H852" s="139"/>
      <c r="I852" s="139"/>
      <c r="J852" s="139"/>
      <c r="K852" s="139"/>
      <c r="L852" s="139"/>
      <c r="M852" s="139"/>
      <c r="N852" s="139"/>
      <c r="O852" s="139"/>
      <c r="P852" s="139"/>
      <c r="Q852" s="139"/>
      <c r="R852" s="139"/>
      <c r="S852" s="139"/>
      <c r="T852" s="139"/>
      <c r="U852" s="139"/>
      <c r="V852" s="139"/>
    </row>
    <row r="853" spans="1:22">
      <c r="A853" s="139"/>
      <c r="B853" s="139"/>
      <c r="C853" s="139"/>
      <c r="D853" s="139"/>
      <c r="E853" s="139"/>
      <c r="F853" s="139"/>
      <c r="G853" s="139"/>
      <c r="H853" s="139"/>
      <c r="I853" s="139"/>
      <c r="J853" s="139"/>
      <c r="K853" s="139"/>
      <c r="L853" s="139"/>
      <c r="M853" s="139"/>
      <c r="N853" s="139"/>
      <c r="O853" s="139"/>
      <c r="P853" s="139"/>
      <c r="Q853" s="139"/>
      <c r="R853" s="139"/>
      <c r="S853" s="139"/>
      <c r="T853" s="139"/>
      <c r="U853" s="139"/>
      <c r="V853" s="139"/>
    </row>
    <row r="854" spans="1:22">
      <c r="A854" s="139"/>
      <c r="B854" s="139"/>
      <c r="C854" s="139"/>
      <c r="D854" s="139"/>
      <c r="E854" s="139"/>
      <c r="F854" s="139"/>
      <c r="G854" s="139"/>
      <c r="H854" s="139"/>
      <c r="I854" s="139"/>
      <c r="J854" s="139"/>
      <c r="K854" s="139"/>
      <c r="L854" s="139"/>
      <c r="M854" s="139"/>
      <c r="N854" s="139"/>
      <c r="O854" s="139"/>
      <c r="P854" s="139"/>
      <c r="Q854" s="139"/>
      <c r="R854" s="139"/>
      <c r="S854" s="139"/>
      <c r="T854" s="139"/>
      <c r="U854" s="139"/>
      <c r="V854" s="139"/>
    </row>
    <row r="855" spans="1:22">
      <c r="A855" s="139"/>
      <c r="B855" s="139"/>
      <c r="C855" s="139"/>
      <c r="D855" s="139"/>
      <c r="E855" s="139"/>
      <c r="F855" s="139"/>
      <c r="G855" s="139"/>
      <c r="H855" s="139"/>
      <c r="I855" s="139"/>
      <c r="J855" s="139"/>
      <c r="K855" s="139"/>
      <c r="L855" s="139"/>
      <c r="M855" s="139"/>
      <c r="N855" s="139"/>
      <c r="O855" s="139"/>
      <c r="P855" s="139"/>
      <c r="Q855" s="139"/>
      <c r="R855" s="139"/>
      <c r="S855" s="139"/>
      <c r="T855" s="139"/>
      <c r="U855" s="139"/>
      <c r="V855" s="139"/>
    </row>
    <row r="856" spans="1:22">
      <c r="A856" s="139"/>
      <c r="B856" s="139"/>
      <c r="C856" s="139"/>
      <c r="D856" s="139"/>
      <c r="E856" s="139"/>
      <c r="F856" s="139"/>
      <c r="G856" s="139"/>
      <c r="H856" s="139"/>
      <c r="I856" s="139"/>
      <c r="J856" s="139"/>
      <c r="K856" s="139"/>
      <c r="L856" s="139"/>
      <c r="M856" s="139"/>
      <c r="N856" s="139"/>
      <c r="O856" s="139"/>
      <c r="P856" s="139"/>
      <c r="Q856" s="139"/>
      <c r="R856" s="139"/>
      <c r="S856" s="139"/>
      <c r="T856" s="139"/>
      <c r="U856" s="139"/>
      <c r="V856" s="139"/>
    </row>
    <row r="857" spans="1:22">
      <c r="A857" s="139"/>
      <c r="B857" s="139"/>
      <c r="C857" s="139"/>
      <c r="D857" s="139"/>
      <c r="E857" s="139"/>
      <c r="F857" s="139"/>
      <c r="G857" s="139"/>
      <c r="H857" s="139"/>
      <c r="I857" s="139"/>
      <c r="J857" s="139"/>
      <c r="K857" s="139"/>
      <c r="L857" s="139"/>
      <c r="M857" s="139"/>
      <c r="N857" s="139"/>
      <c r="O857" s="139"/>
      <c r="P857" s="139"/>
      <c r="Q857" s="139"/>
      <c r="R857" s="139"/>
      <c r="S857" s="139"/>
      <c r="T857" s="139"/>
      <c r="U857" s="139"/>
      <c r="V857" s="139"/>
    </row>
    <row r="858" spans="1:22">
      <c r="A858" s="139"/>
      <c r="B858" s="139"/>
      <c r="C858" s="139"/>
      <c r="D858" s="139"/>
      <c r="E858" s="139"/>
      <c r="F858" s="139"/>
      <c r="G858" s="139"/>
      <c r="H858" s="139"/>
      <c r="I858" s="139"/>
      <c r="J858" s="139"/>
      <c r="K858" s="139"/>
      <c r="L858" s="139"/>
      <c r="M858" s="139"/>
      <c r="N858" s="139"/>
      <c r="O858" s="139"/>
      <c r="P858" s="139"/>
      <c r="Q858" s="139"/>
      <c r="R858" s="139"/>
      <c r="S858" s="139"/>
      <c r="T858" s="139"/>
      <c r="U858" s="139"/>
      <c r="V858" s="139"/>
    </row>
    <row r="859" spans="1:22">
      <c r="A859" s="139"/>
      <c r="B859" s="139"/>
      <c r="C859" s="139"/>
      <c r="D859" s="139"/>
      <c r="E859" s="139"/>
      <c r="F859" s="139"/>
      <c r="G859" s="139"/>
      <c r="H859" s="139"/>
      <c r="I859" s="139"/>
      <c r="J859" s="139"/>
      <c r="K859" s="139"/>
      <c r="L859" s="139"/>
      <c r="M859" s="139"/>
      <c r="N859" s="139"/>
      <c r="O859" s="139"/>
      <c r="P859" s="139"/>
      <c r="Q859" s="139"/>
      <c r="R859" s="139"/>
      <c r="S859" s="139"/>
      <c r="T859" s="139"/>
      <c r="U859" s="139"/>
      <c r="V859" s="139"/>
    </row>
    <row r="860" spans="1:22">
      <c r="A860" s="139"/>
      <c r="B860" s="139"/>
      <c r="C860" s="139"/>
      <c r="D860" s="139"/>
      <c r="E860" s="139"/>
      <c r="F860" s="139"/>
      <c r="G860" s="139"/>
      <c r="H860" s="139"/>
      <c r="I860" s="139"/>
      <c r="J860" s="139"/>
      <c r="K860" s="139"/>
      <c r="L860" s="139"/>
      <c r="M860" s="139"/>
      <c r="N860" s="139"/>
      <c r="O860" s="139"/>
      <c r="P860" s="139"/>
      <c r="Q860" s="139"/>
      <c r="R860" s="139"/>
      <c r="S860" s="139"/>
      <c r="T860" s="139"/>
      <c r="U860" s="139"/>
      <c r="V860" s="139"/>
    </row>
    <row r="861" spans="1:22">
      <c r="A861" s="139"/>
      <c r="B861" s="139"/>
      <c r="C861" s="139"/>
      <c r="D861" s="139"/>
      <c r="E861" s="139"/>
      <c r="F861" s="139"/>
      <c r="G861" s="139"/>
      <c r="H861" s="139"/>
      <c r="I861" s="139"/>
      <c r="J861" s="139"/>
      <c r="K861" s="139"/>
      <c r="L861" s="139"/>
      <c r="M861" s="139"/>
      <c r="N861" s="139"/>
      <c r="O861" s="139"/>
      <c r="P861" s="139"/>
      <c r="Q861" s="139"/>
      <c r="R861" s="139"/>
      <c r="S861" s="139"/>
      <c r="T861" s="139"/>
      <c r="U861" s="139"/>
      <c r="V861" s="139"/>
    </row>
    <row r="862" spans="1:22">
      <c r="A862" s="139"/>
      <c r="B862" s="139"/>
      <c r="C862" s="139"/>
      <c r="D862" s="139"/>
      <c r="E862" s="139"/>
      <c r="F862" s="139"/>
      <c r="G862" s="139"/>
      <c r="H862" s="139"/>
      <c r="I862" s="139"/>
      <c r="J862" s="139"/>
      <c r="K862" s="139"/>
      <c r="L862" s="139"/>
      <c r="M862" s="139"/>
      <c r="N862" s="139"/>
      <c r="O862" s="139"/>
      <c r="P862" s="139"/>
      <c r="Q862" s="139"/>
      <c r="R862" s="139"/>
      <c r="S862" s="139"/>
      <c r="T862" s="139"/>
      <c r="U862" s="139"/>
      <c r="V862" s="139"/>
    </row>
    <row r="863" spans="1:22">
      <c r="A863" s="139"/>
      <c r="B863" s="139"/>
      <c r="C863" s="139"/>
      <c r="D863" s="139"/>
      <c r="E863" s="139"/>
      <c r="F863" s="139"/>
      <c r="G863" s="139"/>
      <c r="H863" s="139"/>
      <c r="I863" s="139"/>
      <c r="J863" s="139"/>
      <c r="K863" s="139"/>
      <c r="L863" s="139"/>
      <c r="M863" s="139"/>
      <c r="N863" s="139"/>
      <c r="O863" s="139"/>
      <c r="P863" s="139"/>
      <c r="Q863" s="139"/>
      <c r="R863" s="139"/>
      <c r="S863" s="139"/>
      <c r="T863" s="139"/>
      <c r="U863" s="139"/>
      <c r="V863" s="139"/>
    </row>
    <row r="864" spans="1:22">
      <c r="A864" s="139"/>
      <c r="B864" s="139"/>
      <c r="C864" s="139"/>
      <c r="D864" s="139"/>
      <c r="E864" s="139"/>
      <c r="F864" s="139"/>
      <c r="G864" s="139"/>
      <c r="H864" s="139"/>
      <c r="I864" s="139"/>
      <c r="J864" s="139"/>
      <c r="K864" s="139"/>
      <c r="L864" s="139"/>
      <c r="M864" s="139"/>
      <c r="N864" s="139"/>
      <c r="O864" s="139"/>
      <c r="P864" s="139"/>
      <c r="Q864" s="139"/>
      <c r="R864" s="139"/>
      <c r="S864" s="139"/>
      <c r="T864" s="139"/>
      <c r="U864" s="139"/>
      <c r="V864" s="139"/>
    </row>
    <row r="865" spans="1:22">
      <c r="A865" s="139"/>
      <c r="B865" s="139"/>
      <c r="C865" s="139"/>
      <c r="D865" s="139"/>
      <c r="E865" s="139"/>
      <c r="F865" s="139"/>
      <c r="G865" s="139"/>
      <c r="H865" s="139"/>
      <c r="I865" s="139"/>
      <c r="J865" s="139"/>
      <c r="K865" s="139"/>
      <c r="L865" s="139"/>
      <c r="M865" s="139"/>
      <c r="N865" s="139"/>
      <c r="O865" s="139"/>
      <c r="P865" s="139"/>
      <c r="Q865" s="139"/>
      <c r="R865" s="139"/>
      <c r="S865" s="139"/>
      <c r="T865" s="139"/>
      <c r="U865" s="139"/>
      <c r="V865" s="139"/>
    </row>
    <row r="866" spans="1:22">
      <c r="A866" s="139"/>
      <c r="B866" s="139"/>
      <c r="C866" s="139"/>
      <c r="D866" s="139"/>
      <c r="E866" s="139"/>
      <c r="F866" s="139"/>
      <c r="G866" s="139"/>
      <c r="H866" s="139"/>
      <c r="I866" s="139"/>
      <c r="J866" s="139"/>
      <c r="K866" s="139"/>
      <c r="L866" s="139"/>
      <c r="M866" s="139"/>
      <c r="N866" s="139"/>
      <c r="O866" s="139"/>
      <c r="P866" s="139"/>
      <c r="Q866" s="139"/>
      <c r="R866" s="139"/>
      <c r="S866" s="139"/>
      <c r="T866" s="139"/>
      <c r="U866" s="139"/>
      <c r="V866" s="139"/>
    </row>
    <row r="867" spans="1:22">
      <c r="A867" s="139"/>
      <c r="B867" s="139"/>
      <c r="C867" s="139"/>
      <c r="D867" s="139"/>
      <c r="E867" s="139"/>
      <c r="F867" s="139"/>
      <c r="G867" s="139"/>
      <c r="H867" s="139"/>
      <c r="I867" s="139"/>
      <c r="J867" s="139"/>
      <c r="K867" s="139"/>
      <c r="L867" s="139"/>
      <c r="M867" s="139"/>
      <c r="N867" s="139"/>
      <c r="O867" s="139"/>
      <c r="P867" s="139"/>
      <c r="Q867" s="139"/>
      <c r="R867" s="139"/>
      <c r="S867" s="139"/>
      <c r="T867" s="139"/>
      <c r="U867" s="139"/>
      <c r="V867" s="139"/>
    </row>
    <row r="868" spans="1:22">
      <c r="A868" s="139"/>
      <c r="B868" s="139"/>
      <c r="C868" s="139"/>
      <c r="D868" s="139"/>
      <c r="E868" s="139"/>
      <c r="F868" s="139"/>
      <c r="G868" s="139"/>
      <c r="H868" s="139"/>
      <c r="I868" s="139"/>
      <c r="J868" s="139"/>
      <c r="K868" s="139"/>
      <c r="L868" s="139"/>
      <c r="M868" s="139"/>
      <c r="N868" s="139"/>
      <c r="O868" s="139"/>
      <c r="P868" s="139"/>
      <c r="Q868" s="139"/>
      <c r="R868" s="139"/>
      <c r="S868" s="139"/>
      <c r="T868" s="139"/>
      <c r="U868" s="139"/>
      <c r="V868" s="139"/>
    </row>
    <row r="869" spans="1:22">
      <c r="A869" s="139"/>
      <c r="B869" s="139"/>
      <c r="C869" s="139"/>
      <c r="D869" s="139"/>
      <c r="E869" s="139"/>
      <c r="F869" s="139"/>
      <c r="G869" s="139"/>
      <c r="H869" s="139"/>
      <c r="I869" s="139"/>
      <c r="J869" s="139"/>
      <c r="K869" s="139"/>
      <c r="L869" s="139"/>
      <c r="M869" s="139"/>
      <c r="N869" s="139"/>
      <c r="O869" s="139"/>
      <c r="P869" s="139"/>
      <c r="Q869" s="139"/>
      <c r="R869" s="139"/>
      <c r="S869" s="139"/>
      <c r="T869" s="139"/>
      <c r="U869" s="139"/>
      <c r="V869" s="139"/>
    </row>
    <row r="870" spans="1:22">
      <c r="A870" s="139"/>
      <c r="B870" s="139"/>
      <c r="C870" s="139"/>
      <c r="D870" s="139"/>
      <c r="E870" s="139"/>
      <c r="F870" s="139"/>
      <c r="G870" s="139"/>
      <c r="H870" s="139"/>
      <c r="I870" s="139"/>
      <c r="J870" s="139"/>
      <c r="K870" s="139"/>
      <c r="L870" s="139"/>
      <c r="M870" s="139"/>
      <c r="N870" s="139"/>
      <c r="O870" s="139"/>
      <c r="P870" s="139"/>
      <c r="Q870" s="139"/>
      <c r="R870" s="139"/>
      <c r="S870" s="139"/>
      <c r="T870" s="139"/>
      <c r="U870" s="139"/>
      <c r="V870" s="139"/>
    </row>
    <row r="871" spans="1:22">
      <c r="A871" s="139"/>
      <c r="B871" s="139"/>
      <c r="C871" s="139"/>
      <c r="D871" s="139"/>
      <c r="E871" s="139"/>
      <c r="F871" s="139"/>
      <c r="G871" s="139"/>
      <c r="H871" s="139"/>
      <c r="I871" s="139"/>
      <c r="J871" s="139"/>
      <c r="K871" s="139"/>
      <c r="L871" s="139"/>
      <c r="M871" s="139"/>
      <c r="N871" s="139"/>
      <c r="O871" s="139"/>
      <c r="P871" s="139"/>
      <c r="Q871" s="139"/>
      <c r="R871" s="139"/>
      <c r="S871" s="139"/>
      <c r="T871" s="139"/>
      <c r="U871" s="139"/>
      <c r="V871" s="139"/>
    </row>
    <row r="872" spans="1:22">
      <c r="A872" s="139"/>
      <c r="B872" s="139"/>
      <c r="C872" s="139"/>
      <c r="D872" s="139"/>
      <c r="E872" s="139"/>
      <c r="F872" s="139"/>
      <c r="G872" s="139"/>
      <c r="H872" s="139"/>
      <c r="I872" s="139"/>
      <c r="J872" s="139"/>
      <c r="K872" s="139"/>
      <c r="L872" s="139"/>
      <c r="M872" s="139"/>
      <c r="N872" s="139"/>
      <c r="O872" s="139"/>
      <c r="P872" s="139"/>
      <c r="Q872" s="139"/>
      <c r="R872" s="139"/>
      <c r="S872" s="139"/>
      <c r="T872" s="139"/>
      <c r="U872" s="139"/>
      <c r="V872" s="139"/>
    </row>
    <row r="873" spans="1:22">
      <c r="A873" s="139"/>
      <c r="B873" s="139"/>
      <c r="C873" s="139"/>
      <c r="D873" s="139"/>
      <c r="E873" s="139"/>
      <c r="F873" s="139"/>
      <c r="G873" s="139"/>
      <c r="H873" s="139"/>
      <c r="I873" s="139"/>
      <c r="J873" s="139"/>
      <c r="K873" s="139"/>
      <c r="L873" s="139"/>
      <c r="M873" s="139"/>
      <c r="N873" s="139"/>
      <c r="O873" s="139"/>
      <c r="P873" s="139"/>
      <c r="Q873" s="139"/>
      <c r="R873" s="139"/>
      <c r="S873" s="139"/>
      <c r="T873" s="139"/>
      <c r="U873" s="139"/>
      <c r="V873" s="139"/>
    </row>
    <row r="874" spans="1:22">
      <c r="A874" s="139"/>
      <c r="B874" s="139"/>
      <c r="C874" s="139"/>
      <c r="D874" s="139"/>
      <c r="E874" s="139"/>
      <c r="F874" s="139"/>
      <c r="G874" s="139"/>
      <c r="H874" s="139"/>
      <c r="I874" s="139"/>
      <c r="J874" s="139"/>
      <c r="K874" s="139"/>
      <c r="L874" s="139"/>
      <c r="M874" s="139"/>
      <c r="N874" s="139"/>
      <c r="O874" s="139"/>
      <c r="P874" s="139"/>
      <c r="Q874" s="139"/>
      <c r="R874" s="139"/>
      <c r="S874" s="139"/>
      <c r="T874" s="139"/>
      <c r="U874" s="139"/>
      <c r="V874" s="139"/>
    </row>
    <row r="875" spans="1:22">
      <c r="A875" s="139"/>
      <c r="B875" s="139"/>
      <c r="C875" s="139"/>
      <c r="D875" s="139"/>
      <c r="E875" s="139"/>
      <c r="F875" s="139"/>
      <c r="G875" s="139"/>
      <c r="H875" s="139"/>
      <c r="I875" s="139"/>
      <c r="J875" s="139"/>
      <c r="K875" s="139"/>
      <c r="L875" s="139"/>
      <c r="M875" s="139"/>
      <c r="N875" s="139"/>
      <c r="O875" s="139"/>
      <c r="P875" s="139"/>
      <c r="Q875" s="139"/>
      <c r="R875" s="139"/>
      <c r="S875" s="139"/>
      <c r="T875" s="139"/>
      <c r="U875" s="139"/>
      <c r="V875" s="139"/>
    </row>
    <row r="876" spans="1:22">
      <c r="A876" s="139"/>
      <c r="B876" s="139"/>
      <c r="C876" s="139"/>
      <c r="D876" s="139"/>
      <c r="E876" s="139"/>
      <c r="F876" s="139"/>
      <c r="G876" s="139"/>
      <c r="H876" s="139"/>
      <c r="I876" s="139"/>
      <c r="J876" s="139"/>
      <c r="K876" s="139"/>
      <c r="L876" s="139"/>
      <c r="M876" s="139"/>
      <c r="N876" s="139"/>
      <c r="O876" s="139"/>
      <c r="P876" s="139"/>
      <c r="Q876" s="139"/>
      <c r="R876" s="139"/>
      <c r="S876" s="139"/>
      <c r="T876" s="139"/>
      <c r="U876" s="139"/>
      <c r="V876" s="139"/>
    </row>
    <row r="877" spans="1:22">
      <c r="A877" s="139"/>
      <c r="B877" s="139"/>
      <c r="C877" s="139"/>
      <c r="D877" s="139"/>
      <c r="E877" s="139"/>
      <c r="F877" s="139"/>
      <c r="G877" s="139"/>
      <c r="H877" s="139"/>
      <c r="I877" s="139"/>
      <c r="J877" s="139"/>
      <c r="K877" s="139"/>
      <c r="L877" s="139"/>
      <c r="M877" s="139"/>
      <c r="N877" s="139"/>
      <c r="O877" s="139"/>
      <c r="P877" s="139"/>
      <c r="Q877" s="139"/>
      <c r="R877" s="139"/>
      <c r="S877" s="139"/>
      <c r="T877" s="139"/>
      <c r="U877" s="139"/>
      <c r="V877" s="139"/>
    </row>
    <row r="878" spans="1:22">
      <c r="A878" s="139"/>
      <c r="B878" s="139"/>
      <c r="C878" s="139"/>
      <c r="D878" s="139"/>
      <c r="E878" s="139"/>
      <c r="F878" s="139"/>
      <c r="G878" s="139"/>
      <c r="H878" s="139"/>
      <c r="I878" s="139"/>
      <c r="J878" s="139"/>
      <c r="K878" s="139"/>
      <c r="L878" s="139"/>
      <c r="M878" s="139"/>
      <c r="N878" s="139"/>
      <c r="O878" s="139"/>
      <c r="P878" s="139"/>
      <c r="Q878" s="139"/>
      <c r="R878" s="139"/>
      <c r="S878" s="139"/>
      <c r="T878" s="139"/>
      <c r="U878" s="139"/>
      <c r="V878" s="139"/>
    </row>
    <row r="879" spans="1:22">
      <c r="A879" s="139"/>
      <c r="B879" s="139"/>
      <c r="C879" s="139"/>
      <c r="D879" s="139"/>
      <c r="E879" s="139"/>
      <c r="F879" s="139"/>
      <c r="G879" s="139"/>
      <c r="H879" s="139"/>
      <c r="I879" s="139"/>
      <c r="J879" s="139"/>
      <c r="K879" s="139"/>
      <c r="L879" s="139"/>
      <c r="M879" s="139"/>
      <c r="N879" s="139"/>
      <c r="O879" s="139"/>
      <c r="P879" s="139"/>
      <c r="Q879" s="139"/>
      <c r="R879" s="139"/>
      <c r="S879" s="139"/>
      <c r="T879" s="139"/>
      <c r="U879" s="139"/>
      <c r="V879" s="139"/>
    </row>
    <row r="880" spans="1:22">
      <c r="A880" s="139"/>
      <c r="B880" s="139"/>
      <c r="C880" s="139"/>
      <c r="D880" s="139"/>
      <c r="E880" s="139"/>
      <c r="F880" s="139"/>
      <c r="G880" s="139"/>
      <c r="H880" s="139"/>
      <c r="I880" s="139"/>
      <c r="J880" s="139"/>
      <c r="K880" s="139"/>
      <c r="L880" s="139"/>
      <c r="M880" s="139"/>
      <c r="N880" s="139"/>
      <c r="O880" s="139"/>
      <c r="P880" s="139"/>
      <c r="Q880" s="139"/>
      <c r="R880" s="139"/>
      <c r="S880" s="139"/>
      <c r="T880" s="139"/>
      <c r="U880" s="139"/>
      <c r="V880" s="139"/>
    </row>
    <row r="881" spans="1:22">
      <c r="A881" s="139"/>
      <c r="B881" s="139"/>
      <c r="C881" s="139"/>
      <c r="D881" s="139"/>
      <c r="E881" s="139"/>
      <c r="F881" s="139"/>
      <c r="G881" s="139"/>
      <c r="H881" s="139"/>
      <c r="I881" s="139"/>
      <c r="J881" s="139"/>
      <c r="K881" s="139"/>
      <c r="L881" s="139"/>
      <c r="M881" s="139"/>
      <c r="N881" s="139"/>
      <c r="O881" s="139"/>
      <c r="P881" s="139"/>
      <c r="Q881" s="139"/>
      <c r="R881" s="139"/>
      <c r="S881" s="139"/>
      <c r="T881" s="139"/>
      <c r="U881" s="139"/>
      <c r="V881" s="139"/>
    </row>
    <row r="882" spans="1:22">
      <c r="A882" s="139"/>
      <c r="B882" s="139"/>
      <c r="C882" s="139"/>
      <c r="D882" s="139"/>
      <c r="E882" s="139"/>
      <c r="F882" s="139"/>
      <c r="G882" s="139"/>
      <c r="H882" s="139"/>
      <c r="I882" s="139"/>
      <c r="J882" s="139"/>
      <c r="K882" s="139"/>
      <c r="L882" s="139"/>
      <c r="M882" s="139"/>
      <c r="N882" s="139"/>
      <c r="O882" s="139"/>
      <c r="P882" s="139"/>
      <c r="Q882" s="139"/>
      <c r="R882" s="139"/>
      <c r="S882" s="139"/>
      <c r="T882" s="139"/>
      <c r="U882" s="139"/>
      <c r="V882" s="139"/>
    </row>
    <row r="883" spans="1:22">
      <c r="A883" s="139"/>
      <c r="B883" s="139"/>
      <c r="C883" s="139"/>
      <c r="D883" s="139"/>
      <c r="E883" s="139"/>
      <c r="F883" s="139"/>
      <c r="G883" s="139"/>
      <c r="H883" s="139"/>
      <c r="I883" s="139"/>
      <c r="J883" s="139"/>
      <c r="K883" s="139"/>
      <c r="L883" s="139"/>
      <c r="M883" s="139"/>
      <c r="N883" s="139"/>
      <c r="O883" s="139"/>
      <c r="P883" s="139"/>
      <c r="Q883" s="139"/>
      <c r="R883" s="139"/>
      <c r="S883" s="139"/>
      <c r="T883" s="139"/>
      <c r="U883" s="139"/>
      <c r="V883" s="139"/>
    </row>
    <row r="884" spans="1:22">
      <c r="A884" s="139"/>
      <c r="B884" s="139"/>
      <c r="C884" s="139"/>
      <c r="D884" s="139"/>
      <c r="E884" s="139"/>
      <c r="F884" s="139"/>
      <c r="G884" s="139"/>
      <c r="H884" s="139"/>
      <c r="I884" s="139"/>
      <c r="J884" s="139"/>
      <c r="K884" s="139"/>
      <c r="L884" s="139"/>
      <c r="M884" s="139"/>
      <c r="N884" s="139"/>
      <c r="O884" s="139"/>
      <c r="P884" s="139"/>
      <c r="Q884" s="139"/>
      <c r="R884" s="139"/>
      <c r="S884" s="139"/>
      <c r="T884" s="139"/>
      <c r="U884" s="139"/>
      <c r="V884" s="139"/>
    </row>
    <row r="885" spans="1:22">
      <c r="A885" s="139"/>
      <c r="B885" s="139"/>
      <c r="C885" s="139"/>
      <c r="D885" s="139"/>
      <c r="E885" s="139"/>
      <c r="F885" s="139"/>
      <c r="G885" s="139"/>
      <c r="H885" s="139"/>
      <c r="I885" s="139"/>
      <c r="J885" s="139"/>
      <c r="K885" s="139"/>
      <c r="L885" s="139"/>
      <c r="M885" s="139"/>
      <c r="N885" s="139"/>
      <c r="O885" s="139"/>
      <c r="P885" s="139"/>
      <c r="Q885" s="139"/>
      <c r="R885" s="139"/>
      <c r="S885" s="139"/>
      <c r="T885" s="139"/>
      <c r="U885" s="139"/>
      <c r="V885" s="139"/>
    </row>
    <row r="886" spans="1:22">
      <c r="A886" s="139"/>
      <c r="B886" s="139"/>
      <c r="C886" s="139"/>
      <c r="D886" s="139"/>
      <c r="E886" s="139"/>
      <c r="F886" s="139"/>
      <c r="G886" s="139"/>
      <c r="H886" s="139"/>
      <c r="I886" s="139"/>
      <c r="J886" s="139"/>
      <c r="K886" s="139"/>
      <c r="L886" s="139"/>
      <c r="M886" s="139"/>
      <c r="N886" s="139"/>
      <c r="O886" s="139"/>
      <c r="P886" s="139"/>
      <c r="Q886" s="139"/>
      <c r="R886" s="139"/>
      <c r="S886" s="139"/>
      <c r="T886" s="139"/>
      <c r="U886" s="139"/>
      <c r="V886" s="139"/>
    </row>
    <row r="887" spans="1:22">
      <c r="A887" s="139"/>
      <c r="B887" s="139"/>
      <c r="C887" s="139"/>
      <c r="D887" s="139"/>
      <c r="E887" s="139"/>
      <c r="F887" s="139"/>
      <c r="G887" s="139"/>
      <c r="H887" s="139"/>
      <c r="I887" s="139"/>
      <c r="J887" s="139"/>
      <c r="K887" s="139"/>
      <c r="L887" s="139"/>
      <c r="M887" s="139"/>
      <c r="N887" s="139"/>
      <c r="O887" s="139"/>
      <c r="P887" s="139"/>
      <c r="Q887" s="139"/>
      <c r="R887" s="139"/>
      <c r="S887" s="139"/>
      <c r="T887" s="139"/>
      <c r="U887" s="139"/>
      <c r="V887" s="139"/>
    </row>
    <row r="888" spans="1:22">
      <c r="A888" s="139"/>
      <c r="B888" s="139"/>
      <c r="C888" s="139"/>
      <c r="D888" s="139"/>
      <c r="E888" s="139"/>
      <c r="F888" s="139"/>
      <c r="G888" s="139"/>
      <c r="H888" s="139"/>
      <c r="I888" s="139"/>
      <c r="J888" s="139"/>
      <c r="K888" s="139"/>
      <c r="L888" s="139"/>
      <c r="M888" s="139"/>
      <c r="N888" s="139"/>
      <c r="O888" s="139"/>
      <c r="P888" s="139"/>
      <c r="Q888" s="139"/>
      <c r="R888" s="139"/>
      <c r="S888" s="139"/>
      <c r="T888" s="139"/>
      <c r="U888" s="139"/>
      <c r="V888" s="139"/>
    </row>
    <row r="889" spans="1:22">
      <c r="A889" s="139"/>
      <c r="B889" s="139"/>
      <c r="C889" s="139"/>
      <c r="D889" s="139"/>
      <c r="E889" s="139"/>
      <c r="F889" s="139"/>
      <c r="G889" s="139"/>
      <c r="H889" s="139"/>
      <c r="I889" s="139"/>
      <c r="J889" s="139"/>
      <c r="K889" s="139"/>
      <c r="L889" s="139"/>
      <c r="M889" s="139"/>
      <c r="N889" s="139"/>
      <c r="O889" s="139"/>
      <c r="P889" s="139"/>
      <c r="Q889" s="139"/>
      <c r="R889" s="139"/>
      <c r="S889" s="139"/>
      <c r="T889" s="139"/>
      <c r="U889" s="139"/>
      <c r="V889" s="139"/>
    </row>
    <row r="890" spans="1:22">
      <c r="A890" s="139"/>
      <c r="B890" s="139"/>
      <c r="C890" s="139"/>
      <c r="D890" s="139"/>
      <c r="E890" s="139"/>
      <c r="F890" s="139"/>
      <c r="G890" s="139"/>
      <c r="H890" s="139"/>
      <c r="I890" s="139"/>
      <c r="J890" s="139"/>
      <c r="K890" s="139"/>
      <c r="L890" s="139"/>
      <c r="M890" s="139"/>
      <c r="N890" s="139"/>
      <c r="O890" s="139"/>
      <c r="P890" s="139"/>
      <c r="Q890" s="139"/>
      <c r="R890" s="139"/>
      <c r="S890" s="139"/>
      <c r="T890" s="139"/>
      <c r="U890" s="139"/>
      <c r="V890" s="139"/>
    </row>
    <row r="891" spans="1:22">
      <c r="A891" s="139"/>
      <c r="B891" s="139"/>
      <c r="C891" s="139"/>
      <c r="D891" s="139"/>
      <c r="E891" s="139"/>
      <c r="F891" s="139"/>
      <c r="G891" s="139"/>
      <c r="H891" s="139"/>
      <c r="I891" s="139"/>
      <c r="J891" s="139"/>
      <c r="K891" s="139"/>
      <c r="L891" s="139"/>
      <c r="M891" s="139"/>
      <c r="N891" s="139"/>
      <c r="O891" s="139"/>
      <c r="P891" s="139"/>
      <c r="Q891" s="139"/>
      <c r="R891" s="139"/>
      <c r="S891" s="139"/>
      <c r="T891" s="139"/>
      <c r="U891" s="139"/>
      <c r="V891" s="139"/>
    </row>
    <row r="892" spans="1:22">
      <c r="A892" s="139"/>
      <c r="B892" s="139"/>
      <c r="C892" s="139"/>
      <c r="D892" s="139"/>
      <c r="E892" s="139"/>
      <c r="F892" s="139"/>
      <c r="G892" s="139"/>
      <c r="H892" s="139"/>
      <c r="I892" s="139"/>
      <c r="J892" s="139"/>
      <c r="K892" s="139"/>
      <c r="L892" s="139"/>
      <c r="M892" s="139"/>
      <c r="N892" s="139"/>
      <c r="O892" s="139"/>
      <c r="P892" s="139"/>
      <c r="Q892" s="139"/>
      <c r="R892" s="139"/>
      <c r="S892" s="139"/>
      <c r="T892" s="139"/>
      <c r="U892" s="139"/>
      <c r="V892" s="139"/>
    </row>
    <row r="893" spans="1:22">
      <c r="A893" s="139"/>
      <c r="B893" s="139"/>
      <c r="C893" s="139"/>
      <c r="D893" s="139"/>
      <c r="E893" s="139"/>
      <c r="F893" s="139"/>
      <c r="G893" s="139"/>
      <c r="H893" s="139"/>
      <c r="I893" s="139"/>
      <c r="J893" s="139"/>
      <c r="K893" s="139"/>
      <c r="L893" s="139"/>
      <c r="M893" s="139"/>
      <c r="N893" s="139"/>
      <c r="O893" s="139"/>
      <c r="P893" s="139"/>
      <c r="Q893" s="139"/>
      <c r="R893" s="139"/>
      <c r="S893" s="139"/>
      <c r="T893" s="139"/>
      <c r="U893" s="139"/>
      <c r="V893" s="139"/>
    </row>
    <row r="894" spans="1:22">
      <c r="A894" s="139"/>
      <c r="B894" s="139"/>
      <c r="C894" s="139"/>
      <c r="D894" s="139"/>
      <c r="E894" s="139"/>
      <c r="F894" s="139"/>
      <c r="G894" s="139"/>
      <c r="H894" s="139"/>
      <c r="I894" s="139"/>
      <c r="J894" s="139"/>
      <c r="K894" s="139"/>
      <c r="L894" s="139"/>
      <c r="M894" s="139"/>
      <c r="N894" s="139"/>
      <c r="O894" s="139"/>
      <c r="P894" s="139"/>
      <c r="Q894" s="139"/>
      <c r="R894" s="139"/>
      <c r="S894" s="139"/>
      <c r="T894" s="139"/>
      <c r="U894" s="139"/>
      <c r="V894" s="139"/>
    </row>
    <row r="895" spans="1:22">
      <c r="A895" s="139"/>
      <c r="B895" s="139"/>
      <c r="C895" s="139"/>
      <c r="D895" s="139"/>
      <c r="E895" s="139"/>
      <c r="F895" s="139"/>
      <c r="G895" s="139"/>
      <c r="H895" s="139"/>
      <c r="I895" s="139"/>
      <c r="J895" s="139"/>
      <c r="K895" s="139"/>
      <c r="L895" s="139"/>
      <c r="M895" s="139"/>
      <c r="N895" s="139"/>
      <c r="O895" s="139"/>
      <c r="P895" s="139"/>
      <c r="Q895" s="139"/>
      <c r="R895" s="139"/>
      <c r="S895" s="139"/>
      <c r="T895" s="139"/>
      <c r="U895" s="139"/>
      <c r="V895" s="139"/>
    </row>
    <row r="896" spans="1:22">
      <c r="A896" s="139"/>
      <c r="B896" s="139"/>
      <c r="C896" s="139"/>
      <c r="D896" s="139"/>
      <c r="E896" s="139"/>
      <c r="F896" s="139"/>
      <c r="G896" s="139"/>
      <c r="H896" s="139"/>
      <c r="I896" s="139"/>
      <c r="J896" s="139"/>
      <c r="K896" s="139"/>
      <c r="L896" s="139"/>
      <c r="M896" s="139"/>
      <c r="N896" s="139"/>
      <c r="O896" s="139"/>
      <c r="P896" s="139"/>
      <c r="Q896" s="139"/>
      <c r="R896" s="139"/>
      <c r="S896" s="139"/>
      <c r="T896" s="139"/>
      <c r="U896" s="139"/>
      <c r="V896" s="139"/>
    </row>
    <row r="897" spans="1:22">
      <c r="A897" s="139"/>
      <c r="B897" s="139"/>
      <c r="C897" s="139"/>
      <c r="D897" s="139"/>
      <c r="E897" s="139"/>
      <c r="F897" s="139"/>
      <c r="G897" s="139"/>
      <c r="H897" s="139"/>
      <c r="I897" s="139"/>
      <c r="J897" s="139"/>
      <c r="K897" s="139"/>
      <c r="L897" s="139"/>
      <c r="M897" s="139"/>
      <c r="N897" s="139"/>
      <c r="O897" s="139"/>
      <c r="P897" s="139"/>
      <c r="Q897" s="139"/>
      <c r="R897" s="139"/>
      <c r="S897" s="139"/>
      <c r="T897" s="139"/>
      <c r="U897" s="139"/>
      <c r="V897" s="139"/>
    </row>
    <row r="898" spans="1:22">
      <c r="A898" s="139"/>
      <c r="B898" s="139"/>
      <c r="C898" s="139"/>
      <c r="D898" s="139"/>
      <c r="E898" s="139"/>
      <c r="F898" s="139"/>
      <c r="G898" s="139"/>
      <c r="H898" s="139"/>
      <c r="I898" s="139"/>
      <c r="J898" s="139"/>
      <c r="K898" s="139"/>
      <c r="L898" s="139"/>
      <c r="M898" s="139"/>
      <c r="N898" s="139"/>
      <c r="O898" s="139"/>
      <c r="P898" s="139"/>
      <c r="Q898" s="139"/>
      <c r="R898" s="139"/>
      <c r="S898" s="139"/>
      <c r="T898" s="139"/>
      <c r="U898" s="139"/>
      <c r="V898" s="139"/>
    </row>
    <row r="899" spans="1:22">
      <c r="A899" s="139"/>
      <c r="B899" s="139"/>
      <c r="C899" s="139"/>
      <c r="D899" s="139"/>
      <c r="E899" s="139"/>
      <c r="F899" s="139"/>
      <c r="G899" s="139"/>
      <c r="H899" s="139"/>
      <c r="I899" s="139"/>
      <c r="J899" s="139"/>
      <c r="K899" s="139"/>
      <c r="L899" s="139"/>
      <c r="M899" s="139"/>
      <c r="N899" s="139"/>
      <c r="O899" s="139"/>
      <c r="P899" s="139"/>
      <c r="Q899" s="139"/>
      <c r="R899" s="139"/>
      <c r="S899" s="139"/>
      <c r="T899" s="139"/>
      <c r="U899" s="139"/>
      <c r="V899" s="139"/>
    </row>
    <row r="900" spans="1:22">
      <c r="A900" s="139"/>
      <c r="B900" s="139"/>
      <c r="C900" s="139"/>
      <c r="D900" s="139"/>
      <c r="E900" s="139"/>
      <c r="F900" s="139"/>
      <c r="G900" s="139"/>
      <c r="H900" s="139"/>
      <c r="I900" s="139"/>
      <c r="J900" s="139"/>
      <c r="K900" s="139"/>
      <c r="L900" s="139"/>
      <c r="M900" s="139"/>
      <c r="N900" s="139"/>
      <c r="O900" s="139"/>
      <c r="P900" s="139"/>
      <c r="Q900" s="139"/>
      <c r="R900" s="139"/>
      <c r="S900" s="139"/>
      <c r="T900" s="139"/>
      <c r="U900" s="139"/>
      <c r="V900" s="139"/>
    </row>
    <row r="901" spans="1:22">
      <c r="A901" s="139"/>
      <c r="B901" s="139"/>
      <c r="C901" s="139"/>
      <c r="D901" s="139"/>
      <c r="E901" s="139"/>
      <c r="F901" s="139"/>
      <c r="G901" s="139"/>
      <c r="H901" s="139"/>
      <c r="I901" s="139"/>
      <c r="J901" s="139"/>
      <c r="K901" s="139"/>
      <c r="L901" s="139"/>
      <c r="M901" s="139"/>
      <c r="N901" s="139"/>
      <c r="O901" s="139"/>
      <c r="P901" s="139"/>
      <c r="Q901" s="139"/>
      <c r="R901" s="139"/>
      <c r="S901" s="139"/>
      <c r="T901" s="139"/>
      <c r="U901" s="139"/>
      <c r="V901" s="139"/>
    </row>
    <row r="902" spans="1:22">
      <c r="A902" s="139"/>
      <c r="B902" s="139"/>
      <c r="C902" s="139"/>
      <c r="D902" s="139"/>
      <c r="E902" s="139"/>
      <c r="F902" s="139"/>
      <c r="G902" s="139"/>
      <c r="H902" s="139"/>
      <c r="I902" s="139"/>
      <c r="J902" s="139"/>
      <c r="K902" s="139"/>
      <c r="L902" s="139"/>
      <c r="M902" s="139"/>
      <c r="N902" s="139"/>
      <c r="O902" s="139"/>
      <c r="P902" s="139"/>
      <c r="Q902" s="139"/>
      <c r="R902" s="139"/>
      <c r="S902" s="139"/>
      <c r="T902" s="139"/>
      <c r="U902" s="139"/>
      <c r="V902" s="139"/>
    </row>
    <row r="903" spans="1:22">
      <c r="A903" s="139"/>
      <c r="B903" s="139"/>
      <c r="C903" s="139"/>
      <c r="D903" s="139"/>
      <c r="E903" s="139"/>
      <c r="F903" s="139"/>
      <c r="G903" s="139"/>
      <c r="H903" s="139"/>
      <c r="I903" s="139"/>
      <c r="J903" s="139"/>
      <c r="K903" s="139"/>
      <c r="L903" s="139"/>
      <c r="M903" s="139"/>
      <c r="N903" s="139"/>
      <c r="O903" s="139"/>
      <c r="P903" s="139"/>
      <c r="Q903" s="139"/>
      <c r="R903" s="139"/>
      <c r="S903" s="139"/>
      <c r="T903" s="139"/>
      <c r="U903" s="139"/>
      <c r="V903" s="139"/>
    </row>
    <row r="904" spans="1:22">
      <c r="A904" s="139"/>
      <c r="B904" s="139"/>
      <c r="C904" s="139"/>
      <c r="D904" s="139"/>
      <c r="E904" s="139"/>
      <c r="F904" s="139"/>
      <c r="G904" s="139"/>
      <c r="H904" s="139"/>
      <c r="I904" s="139"/>
      <c r="J904" s="139"/>
      <c r="K904" s="139"/>
      <c r="L904" s="139"/>
      <c r="M904" s="139"/>
      <c r="N904" s="139"/>
      <c r="O904" s="139"/>
      <c r="P904" s="139"/>
      <c r="Q904" s="139"/>
      <c r="R904" s="139"/>
      <c r="S904" s="139"/>
      <c r="T904" s="139"/>
      <c r="U904" s="139"/>
      <c r="V904" s="139"/>
    </row>
    <row r="905" spans="1:22">
      <c r="A905" s="139"/>
      <c r="B905" s="139"/>
      <c r="C905" s="139"/>
      <c r="D905" s="139"/>
      <c r="E905" s="139"/>
      <c r="F905" s="139"/>
      <c r="G905" s="139"/>
      <c r="H905" s="139"/>
      <c r="I905" s="139"/>
      <c r="J905" s="139"/>
      <c r="K905" s="139"/>
      <c r="L905" s="139"/>
      <c r="M905" s="139"/>
      <c r="N905" s="139"/>
      <c r="O905" s="139"/>
      <c r="P905" s="139"/>
      <c r="Q905" s="139"/>
      <c r="R905" s="139"/>
      <c r="S905" s="139"/>
      <c r="T905" s="139"/>
      <c r="U905" s="139"/>
      <c r="V905" s="139"/>
    </row>
    <row r="906" spans="1:22">
      <c r="A906" s="139"/>
      <c r="B906" s="139"/>
      <c r="C906" s="139"/>
      <c r="D906" s="139"/>
      <c r="E906" s="139"/>
      <c r="F906" s="139"/>
      <c r="G906" s="139"/>
      <c r="H906" s="139"/>
      <c r="I906" s="139"/>
      <c r="J906" s="139"/>
      <c r="K906" s="139"/>
      <c r="L906" s="139"/>
      <c r="M906" s="139"/>
      <c r="N906" s="139"/>
      <c r="O906" s="139"/>
      <c r="P906" s="139"/>
      <c r="Q906" s="139"/>
      <c r="R906" s="139"/>
      <c r="S906" s="139"/>
      <c r="T906" s="139"/>
      <c r="U906" s="139"/>
      <c r="V906" s="139"/>
    </row>
    <row r="907" spans="1:22">
      <c r="A907" s="139"/>
      <c r="B907" s="139"/>
      <c r="C907" s="139"/>
      <c r="D907" s="139"/>
      <c r="E907" s="139"/>
      <c r="F907" s="139"/>
      <c r="G907" s="139"/>
      <c r="H907" s="139"/>
      <c r="I907" s="139"/>
      <c r="J907" s="139"/>
      <c r="K907" s="139"/>
      <c r="L907" s="139"/>
      <c r="M907" s="139"/>
      <c r="N907" s="139"/>
      <c r="O907" s="139"/>
      <c r="P907" s="139"/>
      <c r="Q907" s="139"/>
      <c r="R907" s="139"/>
      <c r="S907" s="139"/>
      <c r="T907" s="139"/>
      <c r="U907" s="139"/>
      <c r="V907" s="139"/>
    </row>
    <row r="908" spans="1:22">
      <c r="A908" s="139"/>
      <c r="B908" s="139"/>
      <c r="C908" s="139"/>
      <c r="D908" s="139"/>
      <c r="E908" s="139"/>
      <c r="F908" s="139"/>
      <c r="G908" s="139"/>
      <c r="H908" s="139"/>
      <c r="I908" s="139"/>
      <c r="J908" s="139"/>
      <c r="K908" s="139"/>
      <c r="L908" s="139"/>
      <c r="M908" s="139"/>
      <c r="N908" s="139"/>
      <c r="O908" s="139"/>
      <c r="P908" s="139"/>
      <c r="Q908" s="139"/>
      <c r="R908" s="139"/>
      <c r="S908" s="139"/>
      <c r="T908" s="139"/>
      <c r="U908" s="139"/>
      <c r="V908" s="139"/>
    </row>
    <row r="909" spans="1:22">
      <c r="A909" s="139"/>
      <c r="B909" s="139"/>
      <c r="C909" s="139"/>
      <c r="D909" s="139"/>
      <c r="E909" s="139"/>
      <c r="F909" s="139"/>
      <c r="G909" s="139"/>
      <c r="H909" s="139"/>
      <c r="I909" s="139"/>
      <c r="J909" s="139"/>
      <c r="K909" s="139"/>
      <c r="L909" s="139"/>
      <c r="M909" s="139"/>
      <c r="N909" s="139"/>
      <c r="O909" s="139"/>
      <c r="P909" s="139"/>
      <c r="Q909" s="139"/>
      <c r="R909" s="139"/>
      <c r="S909" s="139"/>
      <c r="T909" s="139"/>
      <c r="U909" s="139"/>
      <c r="V909" s="139"/>
    </row>
    <row r="910" spans="1:22">
      <c r="A910" s="139"/>
      <c r="B910" s="139"/>
      <c r="C910" s="139"/>
      <c r="D910" s="139"/>
      <c r="E910" s="139"/>
      <c r="F910" s="139"/>
      <c r="G910" s="139"/>
      <c r="H910" s="139"/>
      <c r="I910" s="139"/>
      <c r="J910" s="139"/>
      <c r="K910" s="139"/>
      <c r="L910" s="139"/>
      <c r="M910" s="139"/>
      <c r="N910" s="139"/>
      <c r="O910" s="139"/>
      <c r="P910" s="139"/>
      <c r="Q910" s="139"/>
      <c r="R910" s="139"/>
      <c r="S910" s="139"/>
      <c r="T910" s="139"/>
      <c r="U910" s="139"/>
      <c r="V910" s="139"/>
    </row>
    <row r="911" spans="1:22">
      <c r="A911" s="139"/>
      <c r="B911" s="139"/>
      <c r="C911" s="139"/>
      <c r="D911" s="139"/>
      <c r="E911" s="139"/>
      <c r="F911" s="139"/>
      <c r="G911" s="139"/>
      <c r="H911" s="139"/>
      <c r="I911" s="139"/>
      <c r="J911" s="139"/>
      <c r="K911" s="139"/>
      <c r="L911" s="139"/>
      <c r="M911" s="139"/>
      <c r="N911" s="139"/>
      <c r="O911" s="139"/>
      <c r="P911" s="139"/>
      <c r="Q911" s="139"/>
      <c r="R911" s="139"/>
      <c r="S911" s="139"/>
      <c r="T911" s="139"/>
      <c r="U911" s="139"/>
      <c r="V911" s="139"/>
    </row>
    <row r="912" spans="1:22">
      <c r="A912" s="139"/>
      <c r="B912" s="139"/>
      <c r="C912" s="139"/>
      <c r="D912" s="139"/>
      <c r="E912" s="139"/>
      <c r="F912" s="139"/>
      <c r="G912" s="139"/>
      <c r="H912" s="139"/>
      <c r="I912" s="139"/>
      <c r="J912" s="139"/>
      <c r="K912" s="139"/>
      <c r="L912" s="139"/>
      <c r="M912" s="139"/>
      <c r="N912" s="139"/>
      <c r="O912" s="139"/>
      <c r="P912" s="139"/>
      <c r="Q912" s="139"/>
      <c r="R912" s="139"/>
      <c r="S912" s="139"/>
      <c r="T912" s="139"/>
      <c r="U912" s="139"/>
      <c r="V912" s="139"/>
    </row>
    <row r="913" spans="1:22">
      <c r="A913" s="139"/>
      <c r="B913" s="139"/>
      <c r="C913" s="139"/>
      <c r="D913" s="139"/>
      <c r="E913" s="139"/>
      <c r="F913" s="139"/>
      <c r="G913" s="139"/>
      <c r="H913" s="139"/>
      <c r="I913" s="139"/>
      <c r="J913" s="139"/>
      <c r="K913" s="139"/>
      <c r="L913" s="139"/>
      <c r="M913" s="139"/>
      <c r="N913" s="139"/>
      <c r="O913" s="139"/>
      <c r="P913" s="139"/>
      <c r="Q913" s="139"/>
      <c r="R913" s="139"/>
      <c r="S913" s="139"/>
      <c r="T913" s="139"/>
      <c r="U913" s="139"/>
      <c r="V913" s="139"/>
    </row>
    <row r="914" spans="1:22">
      <c r="A914" s="139"/>
      <c r="B914" s="139"/>
      <c r="C914" s="139"/>
      <c r="D914" s="139"/>
      <c r="E914" s="139"/>
      <c r="F914" s="139"/>
      <c r="G914" s="139"/>
      <c r="H914" s="139"/>
      <c r="I914" s="139"/>
      <c r="J914" s="139"/>
      <c r="K914" s="139"/>
      <c r="L914" s="139"/>
      <c r="M914" s="139"/>
      <c r="N914" s="139"/>
      <c r="O914" s="139"/>
      <c r="P914" s="139"/>
      <c r="Q914" s="139"/>
      <c r="R914" s="139"/>
      <c r="S914" s="139"/>
      <c r="T914" s="139"/>
      <c r="U914" s="139"/>
      <c r="V914" s="139"/>
    </row>
    <row r="915" spans="1:22">
      <c r="A915" s="139"/>
      <c r="B915" s="139"/>
      <c r="C915" s="139"/>
      <c r="D915" s="139"/>
      <c r="E915" s="139"/>
      <c r="F915" s="139"/>
      <c r="G915" s="139"/>
      <c r="H915" s="139"/>
      <c r="I915" s="139"/>
      <c r="J915" s="139"/>
      <c r="K915" s="139"/>
      <c r="L915" s="139"/>
      <c r="M915" s="139"/>
      <c r="N915" s="139"/>
      <c r="O915" s="139"/>
      <c r="P915" s="139"/>
      <c r="Q915" s="139"/>
      <c r="R915" s="139"/>
      <c r="S915" s="139"/>
      <c r="T915" s="139"/>
      <c r="U915" s="139"/>
      <c r="V915" s="139"/>
    </row>
    <row r="916" spans="1:22">
      <c r="A916" s="139"/>
      <c r="B916" s="139"/>
      <c r="C916" s="139"/>
      <c r="D916" s="139"/>
      <c r="E916" s="139"/>
      <c r="F916" s="139"/>
      <c r="G916" s="139"/>
      <c r="H916" s="139"/>
      <c r="I916" s="139"/>
      <c r="J916" s="139"/>
      <c r="K916" s="139"/>
      <c r="L916" s="139"/>
      <c r="M916" s="139"/>
      <c r="N916" s="139"/>
      <c r="O916" s="139"/>
      <c r="P916" s="139"/>
      <c r="Q916" s="139"/>
      <c r="R916" s="139"/>
      <c r="S916" s="139"/>
      <c r="T916" s="139"/>
      <c r="U916" s="139"/>
      <c r="V916" s="139"/>
    </row>
    <row r="917" spans="1:22">
      <c r="A917" s="139"/>
      <c r="B917" s="139"/>
      <c r="C917" s="139"/>
      <c r="D917" s="139"/>
      <c r="E917" s="139"/>
      <c r="F917" s="139"/>
      <c r="G917" s="139"/>
      <c r="H917" s="139"/>
      <c r="I917" s="139"/>
      <c r="J917" s="139"/>
      <c r="K917" s="139"/>
      <c r="L917" s="139"/>
      <c r="M917" s="139"/>
      <c r="N917" s="139"/>
      <c r="O917" s="139"/>
      <c r="P917" s="139"/>
      <c r="Q917" s="139"/>
      <c r="R917" s="139"/>
      <c r="S917" s="139"/>
      <c r="T917" s="139"/>
      <c r="U917" s="139"/>
      <c r="V917" s="139"/>
    </row>
    <row r="918" spans="1:22">
      <c r="A918" s="139"/>
      <c r="B918" s="139"/>
      <c r="C918" s="139"/>
      <c r="D918" s="139"/>
      <c r="E918" s="139"/>
      <c r="F918" s="139"/>
      <c r="G918" s="139"/>
      <c r="H918" s="139"/>
      <c r="I918" s="139"/>
      <c r="J918" s="139"/>
      <c r="K918" s="139"/>
      <c r="L918" s="139"/>
      <c r="M918" s="139"/>
      <c r="N918" s="139"/>
      <c r="O918" s="139"/>
      <c r="P918" s="139"/>
      <c r="Q918" s="139"/>
      <c r="R918" s="139"/>
      <c r="S918" s="139"/>
      <c r="T918" s="139"/>
      <c r="U918" s="139"/>
      <c r="V918" s="139"/>
    </row>
    <row r="919" spans="1:22">
      <c r="A919" s="139"/>
      <c r="B919" s="139"/>
      <c r="C919" s="139"/>
      <c r="D919" s="139"/>
      <c r="E919" s="139"/>
      <c r="F919" s="139"/>
      <c r="G919" s="139"/>
      <c r="H919" s="139"/>
      <c r="I919" s="139"/>
      <c r="J919" s="139"/>
      <c r="K919" s="139"/>
      <c r="L919" s="139"/>
      <c r="M919" s="139"/>
      <c r="N919" s="139"/>
      <c r="O919" s="139"/>
      <c r="P919" s="139"/>
      <c r="Q919" s="139"/>
      <c r="R919" s="139"/>
      <c r="S919" s="139"/>
      <c r="T919" s="139"/>
      <c r="U919" s="139"/>
      <c r="V919" s="139"/>
    </row>
    <row r="920" spans="1:22">
      <c r="A920" s="139"/>
      <c r="B920" s="139"/>
      <c r="C920" s="139"/>
      <c r="D920" s="139"/>
      <c r="E920" s="139"/>
      <c r="F920" s="139"/>
      <c r="G920" s="139"/>
      <c r="H920" s="139"/>
      <c r="I920" s="139"/>
      <c r="J920" s="139"/>
      <c r="K920" s="139"/>
      <c r="L920" s="139"/>
      <c r="M920" s="139"/>
      <c r="N920" s="139"/>
      <c r="O920" s="139"/>
      <c r="P920" s="139"/>
      <c r="Q920" s="139"/>
      <c r="R920" s="139"/>
      <c r="S920" s="139"/>
      <c r="T920" s="139"/>
      <c r="U920" s="139"/>
      <c r="V920" s="139"/>
    </row>
    <row r="921" spans="1:22">
      <c r="A921" s="139"/>
      <c r="B921" s="139"/>
      <c r="C921" s="139"/>
      <c r="D921" s="139"/>
      <c r="E921" s="139"/>
      <c r="F921" s="139"/>
      <c r="G921" s="139"/>
      <c r="H921" s="139"/>
      <c r="I921" s="139"/>
      <c r="J921" s="139"/>
      <c r="K921" s="139"/>
      <c r="L921" s="139"/>
      <c r="M921" s="139"/>
      <c r="N921" s="139"/>
      <c r="O921" s="139"/>
      <c r="P921" s="139"/>
      <c r="Q921" s="139"/>
      <c r="R921" s="139"/>
      <c r="S921" s="139"/>
      <c r="T921" s="139"/>
      <c r="U921" s="139"/>
      <c r="V921" s="139"/>
    </row>
    <row r="922" spans="1:22">
      <c r="A922" s="139"/>
      <c r="B922" s="139"/>
      <c r="C922" s="139"/>
      <c r="D922" s="139"/>
      <c r="E922" s="139"/>
      <c r="F922" s="139"/>
      <c r="G922" s="139"/>
      <c r="H922" s="139"/>
      <c r="I922" s="139"/>
      <c r="J922" s="139"/>
      <c r="K922" s="139"/>
      <c r="L922" s="139"/>
      <c r="M922" s="139"/>
      <c r="N922" s="139"/>
      <c r="O922" s="139"/>
      <c r="P922" s="139"/>
      <c r="Q922" s="139"/>
      <c r="R922" s="139"/>
      <c r="S922" s="139"/>
      <c r="T922" s="139"/>
      <c r="U922" s="139"/>
      <c r="V922" s="139"/>
    </row>
    <row r="923" spans="1:22">
      <c r="A923" s="139"/>
      <c r="B923" s="139"/>
      <c r="C923" s="139"/>
      <c r="D923" s="139"/>
      <c r="E923" s="139"/>
      <c r="F923" s="139"/>
      <c r="G923" s="139"/>
      <c r="H923" s="139"/>
      <c r="I923" s="139"/>
      <c r="J923" s="139"/>
      <c r="K923" s="139"/>
      <c r="L923" s="139"/>
      <c r="M923" s="139"/>
      <c r="N923" s="139"/>
      <c r="O923" s="139"/>
      <c r="P923" s="139"/>
      <c r="Q923" s="139"/>
      <c r="R923" s="139"/>
      <c r="S923" s="139"/>
      <c r="T923" s="139"/>
      <c r="U923" s="139"/>
      <c r="V923" s="139"/>
    </row>
    <row r="924" spans="1:22">
      <c r="A924" s="139"/>
      <c r="B924" s="139"/>
      <c r="C924" s="139"/>
      <c r="D924" s="139"/>
      <c r="E924" s="139"/>
      <c r="F924" s="139"/>
      <c r="G924" s="139"/>
      <c r="H924" s="139"/>
      <c r="I924" s="139"/>
      <c r="J924" s="139"/>
      <c r="K924" s="139"/>
      <c r="L924" s="139"/>
      <c r="M924" s="139"/>
      <c r="N924" s="139"/>
      <c r="O924" s="139"/>
      <c r="P924" s="139"/>
      <c r="Q924" s="139"/>
      <c r="R924" s="139"/>
      <c r="S924" s="139"/>
      <c r="T924" s="139"/>
      <c r="U924" s="139"/>
      <c r="V924" s="139"/>
    </row>
    <row r="925" spans="1:22">
      <c r="A925" s="139"/>
      <c r="B925" s="139"/>
      <c r="C925" s="139"/>
      <c r="D925" s="139"/>
      <c r="E925" s="139"/>
      <c r="F925" s="139"/>
      <c r="G925" s="139"/>
      <c r="H925" s="139"/>
      <c r="I925" s="139"/>
      <c r="J925" s="139"/>
      <c r="K925" s="139"/>
      <c r="L925" s="139"/>
      <c r="M925" s="139"/>
      <c r="N925" s="139"/>
      <c r="O925" s="139"/>
      <c r="P925" s="139"/>
      <c r="Q925" s="139"/>
      <c r="R925" s="139"/>
      <c r="S925" s="139"/>
      <c r="T925" s="139"/>
      <c r="U925" s="139"/>
      <c r="V925" s="139"/>
    </row>
    <row r="926" spans="1:22">
      <c r="A926" s="139"/>
      <c r="B926" s="139"/>
      <c r="C926" s="139"/>
      <c r="D926" s="139"/>
      <c r="E926" s="139"/>
      <c r="F926" s="139"/>
      <c r="G926" s="139"/>
      <c r="H926" s="139"/>
      <c r="I926" s="139"/>
      <c r="J926" s="139"/>
      <c r="K926" s="139"/>
      <c r="L926" s="139"/>
      <c r="M926" s="139"/>
      <c r="N926" s="139"/>
      <c r="O926" s="139"/>
      <c r="P926" s="139"/>
      <c r="Q926" s="139"/>
      <c r="R926" s="139"/>
      <c r="S926" s="139"/>
      <c r="T926" s="139"/>
      <c r="U926" s="139"/>
      <c r="V926" s="139"/>
    </row>
    <row r="927" spans="1:22">
      <c r="A927" s="139"/>
      <c r="B927" s="139"/>
      <c r="C927" s="139"/>
      <c r="D927" s="139"/>
      <c r="E927" s="139"/>
      <c r="F927" s="139"/>
      <c r="G927" s="139"/>
      <c r="H927" s="139"/>
      <c r="I927" s="139"/>
      <c r="J927" s="139"/>
      <c r="K927" s="139"/>
      <c r="L927" s="139"/>
      <c r="M927" s="139"/>
      <c r="N927" s="139"/>
      <c r="O927" s="139"/>
      <c r="P927" s="139"/>
      <c r="Q927" s="139"/>
      <c r="R927" s="139"/>
      <c r="S927" s="139"/>
      <c r="T927" s="139"/>
      <c r="U927" s="139"/>
      <c r="V927" s="139"/>
    </row>
    <row r="928" spans="1:22">
      <c r="A928" s="139"/>
      <c r="B928" s="139"/>
      <c r="C928" s="139"/>
      <c r="D928" s="139"/>
      <c r="E928" s="139"/>
      <c r="F928" s="139"/>
      <c r="G928" s="139"/>
      <c r="H928" s="139"/>
      <c r="I928" s="139"/>
      <c r="J928" s="139"/>
      <c r="K928" s="139"/>
      <c r="L928" s="139"/>
      <c r="M928" s="139"/>
      <c r="N928" s="139"/>
      <c r="O928" s="139"/>
      <c r="P928" s="139"/>
      <c r="Q928" s="139"/>
      <c r="R928" s="139"/>
      <c r="S928" s="139"/>
      <c r="T928" s="139"/>
      <c r="U928" s="139"/>
      <c r="V928" s="139"/>
    </row>
    <row r="929" spans="1:22">
      <c r="A929" s="139"/>
      <c r="B929" s="139"/>
      <c r="C929" s="139"/>
      <c r="D929" s="139"/>
      <c r="E929" s="139"/>
      <c r="F929" s="139"/>
      <c r="G929" s="139"/>
      <c r="H929" s="139"/>
      <c r="I929" s="139"/>
      <c r="J929" s="139"/>
      <c r="K929" s="139"/>
      <c r="L929" s="139"/>
      <c r="M929" s="139"/>
      <c r="N929" s="139"/>
      <c r="O929" s="139"/>
      <c r="P929" s="139"/>
      <c r="Q929" s="139"/>
      <c r="R929" s="139"/>
      <c r="S929" s="139"/>
      <c r="T929" s="139"/>
      <c r="U929" s="139"/>
      <c r="V929" s="139"/>
    </row>
    <row r="930" spans="1:22">
      <c r="A930" s="139"/>
      <c r="B930" s="139"/>
      <c r="C930" s="139"/>
      <c r="D930" s="139"/>
      <c r="E930" s="139"/>
      <c r="F930" s="139"/>
      <c r="G930" s="139"/>
      <c r="H930" s="139"/>
      <c r="I930" s="139"/>
      <c r="J930" s="139"/>
      <c r="K930" s="139"/>
      <c r="L930" s="139"/>
      <c r="M930" s="139"/>
      <c r="N930" s="139"/>
      <c r="O930" s="139"/>
      <c r="P930" s="139"/>
      <c r="Q930" s="139"/>
      <c r="R930" s="139"/>
      <c r="S930" s="139"/>
      <c r="T930" s="139"/>
      <c r="U930" s="139"/>
      <c r="V930" s="139"/>
    </row>
    <row r="931" spans="1:22">
      <c r="A931" s="139"/>
      <c r="B931" s="139"/>
      <c r="C931" s="139"/>
      <c r="D931" s="139"/>
      <c r="E931" s="139"/>
      <c r="F931" s="139"/>
      <c r="G931" s="139"/>
      <c r="H931" s="139"/>
      <c r="I931" s="139"/>
      <c r="J931" s="139"/>
      <c r="K931" s="139"/>
      <c r="L931" s="139"/>
      <c r="M931" s="139"/>
      <c r="N931" s="139"/>
      <c r="O931" s="139"/>
      <c r="P931" s="139"/>
      <c r="Q931" s="139"/>
      <c r="R931" s="139"/>
      <c r="S931" s="139"/>
      <c r="T931" s="139"/>
      <c r="U931" s="139"/>
      <c r="V931" s="139"/>
    </row>
    <row r="932" spans="1:22">
      <c r="A932" s="139"/>
      <c r="B932" s="139"/>
      <c r="C932" s="139"/>
      <c r="D932" s="139"/>
      <c r="E932" s="139"/>
      <c r="F932" s="139"/>
      <c r="G932" s="139"/>
      <c r="H932" s="139"/>
      <c r="I932" s="139"/>
      <c r="J932" s="139"/>
      <c r="K932" s="139"/>
      <c r="L932" s="139"/>
      <c r="M932" s="139"/>
      <c r="N932" s="139"/>
      <c r="O932" s="139"/>
      <c r="P932" s="139"/>
      <c r="Q932" s="139"/>
      <c r="R932" s="139"/>
      <c r="S932" s="139"/>
      <c r="T932" s="139"/>
      <c r="U932" s="139"/>
      <c r="V932" s="139"/>
    </row>
    <row r="933" spans="1:22">
      <c r="A933" s="139"/>
      <c r="B933" s="139"/>
      <c r="C933" s="139"/>
      <c r="D933" s="139"/>
      <c r="E933" s="139"/>
      <c r="F933" s="139"/>
      <c r="G933" s="139"/>
      <c r="H933" s="139"/>
      <c r="I933" s="139"/>
      <c r="J933" s="139"/>
      <c r="K933" s="139"/>
      <c r="L933" s="139"/>
      <c r="M933" s="139"/>
      <c r="N933" s="139"/>
      <c r="O933" s="139"/>
      <c r="P933" s="139"/>
      <c r="Q933" s="139"/>
      <c r="R933" s="139"/>
      <c r="S933" s="139"/>
      <c r="T933" s="139"/>
      <c r="U933" s="139"/>
      <c r="V933" s="139"/>
    </row>
    <row r="934" spans="1:22">
      <c r="A934" s="139"/>
      <c r="B934" s="139"/>
      <c r="C934" s="139"/>
      <c r="D934" s="139"/>
      <c r="E934" s="139"/>
      <c r="F934" s="139"/>
      <c r="G934" s="139"/>
      <c r="H934" s="139"/>
      <c r="I934" s="139"/>
      <c r="J934" s="139"/>
      <c r="K934" s="139"/>
      <c r="L934" s="139"/>
      <c r="M934" s="139"/>
      <c r="N934" s="139"/>
      <c r="O934" s="139"/>
      <c r="P934" s="139"/>
      <c r="Q934" s="139"/>
      <c r="R934" s="139"/>
      <c r="S934" s="139"/>
      <c r="T934" s="139"/>
      <c r="U934" s="139"/>
      <c r="V934" s="139"/>
    </row>
    <row r="935" spans="1:22">
      <c r="A935" s="139"/>
      <c r="B935" s="139"/>
      <c r="C935" s="139"/>
      <c r="D935" s="139"/>
      <c r="E935" s="139"/>
      <c r="F935" s="139"/>
      <c r="G935" s="139"/>
      <c r="H935" s="139"/>
      <c r="I935" s="139"/>
      <c r="J935" s="139"/>
      <c r="K935" s="139"/>
      <c r="L935" s="139"/>
      <c r="M935" s="139"/>
      <c r="N935" s="139"/>
      <c r="O935" s="139"/>
      <c r="P935" s="139"/>
      <c r="Q935" s="139"/>
      <c r="R935" s="139"/>
      <c r="S935" s="139"/>
      <c r="T935" s="139"/>
      <c r="U935" s="139"/>
      <c r="V935" s="139"/>
    </row>
    <row r="936" spans="1:22">
      <c r="A936" s="139"/>
      <c r="B936" s="139"/>
      <c r="C936" s="139"/>
      <c r="D936" s="139"/>
      <c r="E936" s="139"/>
      <c r="F936" s="139"/>
      <c r="G936" s="139"/>
      <c r="H936" s="139"/>
      <c r="I936" s="139"/>
      <c r="J936" s="139"/>
      <c r="K936" s="139"/>
      <c r="L936" s="139"/>
      <c r="M936" s="139"/>
      <c r="N936" s="139"/>
      <c r="O936" s="139"/>
      <c r="P936" s="139"/>
      <c r="Q936" s="139"/>
      <c r="R936" s="139"/>
      <c r="S936" s="139"/>
      <c r="T936" s="139"/>
      <c r="U936" s="139"/>
      <c r="V936" s="139"/>
    </row>
    <row r="937" spans="1:22">
      <c r="A937" s="139"/>
      <c r="B937" s="139"/>
      <c r="C937" s="139"/>
      <c r="D937" s="139"/>
      <c r="E937" s="139"/>
      <c r="F937" s="139"/>
      <c r="G937" s="139"/>
      <c r="H937" s="139"/>
      <c r="I937" s="139"/>
      <c r="J937" s="139"/>
      <c r="K937" s="139"/>
      <c r="L937" s="139"/>
      <c r="M937" s="139"/>
      <c r="N937" s="139"/>
      <c r="O937" s="139"/>
      <c r="P937" s="139"/>
      <c r="Q937" s="139"/>
      <c r="R937" s="139"/>
      <c r="S937" s="139"/>
      <c r="T937" s="139"/>
      <c r="U937" s="139"/>
      <c r="V937" s="139"/>
    </row>
    <row r="938" spans="1:22">
      <c r="A938" s="139"/>
      <c r="B938" s="139"/>
      <c r="C938" s="139"/>
      <c r="D938" s="139"/>
      <c r="E938" s="139"/>
      <c r="F938" s="139"/>
      <c r="G938" s="139"/>
      <c r="H938" s="139"/>
      <c r="I938" s="139"/>
      <c r="J938" s="139"/>
      <c r="K938" s="139"/>
      <c r="L938" s="139"/>
      <c r="M938" s="139"/>
      <c r="N938" s="139"/>
      <c r="O938" s="139"/>
      <c r="P938" s="139"/>
      <c r="Q938" s="139"/>
      <c r="R938" s="139"/>
      <c r="S938" s="139"/>
      <c r="T938" s="139"/>
      <c r="U938" s="139"/>
      <c r="V938" s="139"/>
    </row>
    <row r="939" spans="1:22">
      <c r="A939" s="139"/>
      <c r="B939" s="139"/>
      <c r="C939" s="139"/>
      <c r="D939" s="139"/>
      <c r="E939" s="139"/>
      <c r="F939" s="139"/>
      <c r="G939" s="139"/>
      <c r="H939" s="139"/>
      <c r="I939" s="139"/>
      <c r="J939" s="139"/>
      <c r="K939" s="139"/>
      <c r="L939" s="139"/>
      <c r="M939" s="139"/>
      <c r="N939" s="139"/>
      <c r="O939" s="139"/>
      <c r="P939" s="139"/>
      <c r="Q939" s="139"/>
      <c r="R939" s="139"/>
      <c r="S939" s="139"/>
      <c r="T939" s="139"/>
      <c r="U939" s="139"/>
      <c r="V939" s="139"/>
    </row>
    <row r="940" spans="1:22">
      <c r="A940" s="139"/>
      <c r="B940" s="139"/>
      <c r="C940" s="139"/>
      <c r="D940" s="139"/>
      <c r="E940" s="139"/>
      <c r="F940" s="139"/>
      <c r="G940" s="139"/>
      <c r="H940" s="139"/>
      <c r="I940" s="139"/>
      <c r="J940" s="139"/>
      <c r="K940" s="139"/>
      <c r="L940" s="139"/>
      <c r="M940" s="139"/>
      <c r="N940" s="139"/>
      <c r="O940" s="139"/>
      <c r="P940" s="139"/>
      <c r="Q940" s="139"/>
      <c r="R940" s="139"/>
      <c r="S940" s="139"/>
      <c r="T940" s="139"/>
      <c r="U940" s="139"/>
      <c r="V940" s="139"/>
    </row>
    <row r="941" spans="1:22">
      <c r="A941" s="139"/>
      <c r="B941" s="139"/>
      <c r="C941" s="139"/>
      <c r="D941" s="139"/>
      <c r="E941" s="139"/>
      <c r="F941" s="139"/>
      <c r="G941" s="139"/>
      <c r="H941" s="139"/>
      <c r="I941" s="139"/>
      <c r="J941" s="139"/>
      <c r="K941" s="139"/>
      <c r="L941" s="139"/>
      <c r="M941" s="139"/>
      <c r="N941" s="139"/>
      <c r="O941" s="139"/>
      <c r="P941" s="139"/>
      <c r="Q941" s="139"/>
      <c r="R941" s="139"/>
      <c r="S941" s="139"/>
      <c r="T941" s="139"/>
      <c r="U941" s="139"/>
      <c r="V941" s="139"/>
    </row>
    <row r="942" spans="1:22">
      <c r="A942" s="139"/>
      <c r="B942" s="139"/>
      <c r="C942" s="139"/>
      <c r="D942" s="139"/>
      <c r="E942" s="139"/>
      <c r="F942" s="139"/>
      <c r="G942" s="139"/>
      <c r="H942" s="139"/>
      <c r="I942" s="139"/>
      <c r="J942" s="139"/>
      <c r="K942" s="139"/>
      <c r="L942" s="139"/>
      <c r="M942" s="139"/>
      <c r="N942" s="139"/>
      <c r="O942" s="139"/>
      <c r="P942" s="139"/>
      <c r="Q942" s="139"/>
      <c r="R942" s="139"/>
      <c r="S942" s="139"/>
      <c r="T942" s="139"/>
      <c r="U942" s="139"/>
      <c r="V942" s="139"/>
    </row>
    <row r="943" spans="1:22">
      <c r="A943" s="139"/>
      <c r="B943" s="139"/>
      <c r="C943" s="139"/>
      <c r="D943" s="139"/>
      <c r="E943" s="139"/>
      <c r="F943" s="139"/>
      <c r="G943" s="139"/>
      <c r="H943" s="139"/>
      <c r="I943" s="139"/>
      <c r="J943" s="139"/>
      <c r="K943" s="139"/>
      <c r="L943" s="139"/>
      <c r="M943" s="139"/>
      <c r="N943" s="139"/>
      <c r="O943" s="139"/>
      <c r="P943" s="139"/>
      <c r="Q943" s="139"/>
      <c r="R943" s="139"/>
      <c r="S943" s="139"/>
      <c r="T943" s="139"/>
      <c r="U943" s="139"/>
      <c r="V943" s="139"/>
    </row>
    <row r="944" spans="1:22">
      <c r="A944" s="139"/>
      <c r="B944" s="139"/>
      <c r="C944" s="139"/>
      <c r="D944" s="139"/>
      <c r="E944" s="139"/>
      <c r="F944" s="139"/>
      <c r="G944" s="139"/>
      <c r="H944" s="139"/>
      <c r="I944" s="139"/>
      <c r="J944" s="139"/>
      <c r="K944" s="139"/>
      <c r="L944" s="139"/>
      <c r="M944" s="139"/>
      <c r="N944" s="139"/>
      <c r="O944" s="139"/>
      <c r="P944" s="139"/>
      <c r="Q944" s="139"/>
      <c r="R944" s="139"/>
      <c r="S944" s="139"/>
      <c r="T944" s="139"/>
      <c r="U944" s="139"/>
      <c r="V944" s="139"/>
    </row>
    <row r="945" spans="1:22">
      <c r="A945" s="139"/>
      <c r="B945" s="139"/>
      <c r="C945" s="139"/>
      <c r="D945" s="139"/>
      <c r="E945" s="139"/>
      <c r="F945" s="139"/>
      <c r="G945" s="139"/>
      <c r="H945" s="139"/>
      <c r="I945" s="139"/>
      <c r="J945" s="139"/>
      <c r="K945" s="139"/>
      <c r="L945" s="139"/>
      <c r="M945" s="139"/>
      <c r="N945" s="139"/>
      <c r="O945" s="139"/>
      <c r="P945" s="139"/>
      <c r="Q945" s="139"/>
      <c r="R945" s="139"/>
      <c r="S945" s="139"/>
      <c r="T945" s="139"/>
      <c r="U945" s="139"/>
      <c r="V945" s="139"/>
    </row>
    <row r="946" spans="1:22">
      <c r="A946" s="139"/>
      <c r="B946" s="139"/>
      <c r="C946" s="139"/>
      <c r="D946" s="139"/>
      <c r="E946" s="139"/>
      <c r="F946" s="139"/>
      <c r="G946" s="139"/>
      <c r="H946" s="139"/>
      <c r="I946" s="139"/>
      <c r="J946" s="139"/>
      <c r="K946" s="139"/>
      <c r="L946" s="139"/>
      <c r="M946" s="139"/>
      <c r="N946" s="139"/>
      <c r="O946" s="139"/>
      <c r="P946" s="139"/>
      <c r="Q946" s="139"/>
      <c r="R946" s="139"/>
      <c r="S946" s="139"/>
      <c r="T946" s="139"/>
      <c r="U946" s="139"/>
      <c r="V946" s="139"/>
    </row>
    <row r="947" spans="1:22">
      <c r="A947" s="139"/>
      <c r="B947" s="139"/>
      <c r="C947" s="139"/>
      <c r="D947" s="139"/>
      <c r="E947" s="139"/>
      <c r="F947" s="139"/>
      <c r="G947" s="139"/>
      <c r="H947" s="139"/>
      <c r="I947" s="139"/>
      <c r="J947" s="139"/>
      <c r="K947" s="139"/>
      <c r="L947" s="139"/>
      <c r="M947" s="139"/>
      <c r="N947" s="139"/>
      <c r="O947" s="139"/>
      <c r="P947" s="139"/>
      <c r="Q947" s="139"/>
      <c r="R947" s="139"/>
      <c r="S947" s="139"/>
      <c r="T947" s="139"/>
      <c r="U947" s="139"/>
      <c r="V947" s="139"/>
    </row>
    <row r="948" spans="1:22">
      <c r="A948" s="139"/>
      <c r="B948" s="139"/>
      <c r="C948" s="139"/>
      <c r="D948" s="139"/>
      <c r="E948" s="139"/>
      <c r="F948" s="139"/>
      <c r="G948" s="139"/>
      <c r="H948" s="139"/>
      <c r="I948" s="139"/>
      <c r="J948" s="139"/>
      <c r="K948" s="139"/>
      <c r="L948" s="139"/>
      <c r="M948" s="139"/>
      <c r="N948" s="139"/>
      <c r="O948" s="139"/>
      <c r="P948" s="139"/>
      <c r="Q948" s="139"/>
      <c r="R948" s="139"/>
      <c r="S948" s="139"/>
      <c r="T948" s="139"/>
      <c r="U948" s="139"/>
      <c r="V948" s="139"/>
    </row>
    <row r="949" spans="1:22">
      <c r="A949" s="139"/>
      <c r="B949" s="139"/>
      <c r="C949" s="139"/>
      <c r="D949" s="139"/>
      <c r="E949" s="139"/>
      <c r="F949" s="139"/>
      <c r="G949" s="139"/>
      <c r="H949" s="139"/>
      <c r="I949" s="139"/>
      <c r="J949" s="139"/>
      <c r="K949" s="139"/>
      <c r="L949" s="139"/>
      <c r="M949" s="139"/>
      <c r="N949" s="139"/>
      <c r="O949" s="139"/>
      <c r="P949" s="139"/>
      <c r="Q949" s="139"/>
      <c r="R949" s="139"/>
      <c r="S949" s="139"/>
      <c r="T949" s="139"/>
      <c r="U949" s="139"/>
      <c r="V949" s="139"/>
    </row>
    <row r="950" spans="1:22">
      <c r="A950" s="139"/>
      <c r="B950" s="139"/>
      <c r="C950" s="139"/>
      <c r="D950" s="139"/>
      <c r="E950" s="139"/>
      <c r="F950" s="139"/>
      <c r="G950" s="139"/>
      <c r="H950" s="139"/>
      <c r="I950" s="139"/>
      <c r="J950" s="139"/>
      <c r="K950" s="139"/>
      <c r="L950" s="139"/>
      <c r="M950" s="139"/>
      <c r="N950" s="139"/>
      <c r="O950" s="139"/>
      <c r="P950" s="139"/>
      <c r="Q950" s="139"/>
      <c r="R950" s="139"/>
      <c r="S950" s="139"/>
      <c r="T950" s="139"/>
      <c r="U950" s="139"/>
      <c r="V950" s="139"/>
    </row>
    <row r="951" spans="1:22">
      <c r="A951" s="139"/>
      <c r="B951" s="139"/>
      <c r="C951" s="139"/>
      <c r="D951" s="139"/>
      <c r="E951" s="139"/>
      <c r="F951" s="139"/>
      <c r="G951" s="139"/>
      <c r="H951" s="139"/>
      <c r="I951" s="139"/>
      <c r="J951" s="139"/>
      <c r="K951" s="139"/>
      <c r="L951" s="139"/>
      <c r="M951" s="139"/>
      <c r="N951" s="139"/>
      <c r="O951" s="139"/>
      <c r="P951" s="139"/>
      <c r="Q951" s="139"/>
      <c r="R951" s="139"/>
      <c r="S951" s="139"/>
      <c r="T951" s="139"/>
      <c r="U951" s="139"/>
      <c r="V951" s="139"/>
    </row>
    <row r="952" spans="1:22">
      <c r="A952" s="139"/>
      <c r="B952" s="139"/>
      <c r="C952" s="139"/>
      <c r="D952" s="139"/>
      <c r="E952" s="139"/>
      <c r="F952" s="139"/>
      <c r="G952" s="139"/>
      <c r="H952" s="139"/>
      <c r="I952" s="139"/>
      <c r="J952" s="139"/>
      <c r="K952" s="139"/>
      <c r="L952" s="139"/>
      <c r="M952" s="139"/>
      <c r="N952" s="139"/>
      <c r="O952" s="139"/>
      <c r="P952" s="139"/>
      <c r="Q952" s="139"/>
      <c r="R952" s="139"/>
      <c r="S952" s="139"/>
      <c r="T952" s="139"/>
      <c r="U952" s="139"/>
      <c r="V952" s="139"/>
    </row>
    <row r="953" spans="1:22">
      <c r="A953" s="139"/>
      <c r="B953" s="139"/>
      <c r="C953" s="139"/>
      <c r="D953" s="139"/>
      <c r="E953" s="139"/>
      <c r="F953" s="139"/>
      <c r="G953" s="139"/>
      <c r="H953" s="139"/>
      <c r="I953" s="139"/>
      <c r="J953" s="139"/>
      <c r="K953" s="139"/>
      <c r="L953" s="139"/>
      <c r="M953" s="139"/>
      <c r="N953" s="139"/>
      <c r="O953" s="139"/>
      <c r="P953" s="139"/>
      <c r="Q953" s="139"/>
      <c r="R953" s="139"/>
      <c r="S953" s="139"/>
      <c r="T953" s="139"/>
      <c r="U953" s="139"/>
      <c r="V953" s="139"/>
    </row>
    <row r="954" spans="1:22">
      <c r="A954" s="139"/>
      <c r="B954" s="139"/>
      <c r="C954" s="139"/>
      <c r="D954" s="139"/>
      <c r="E954" s="139"/>
      <c r="F954" s="139"/>
      <c r="G954" s="139"/>
      <c r="H954" s="139"/>
      <c r="I954" s="139"/>
      <c r="J954" s="139"/>
      <c r="K954" s="139"/>
      <c r="L954" s="139"/>
      <c r="M954" s="139"/>
      <c r="N954" s="139"/>
      <c r="O954" s="139"/>
      <c r="P954" s="139"/>
      <c r="Q954" s="139"/>
      <c r="R954" s="139"/>
      <c r="S954" s="139"/>
      <c r="T954" s="139"/>
      <c r="U954" s="139"/>
      <c r="V954" s="139"/>
    </row>
    <row r="955" spans="1:22">
      <c r="A955" s="139"/>
      <c r="B955" s="139"/>
      <c r="C955" s="139"/>
      <c r="D955" s="139"/>
      <c r="E955" s="139"/>
      <c r="F955" s="139"/>
      <c r="G955" s="139"/>
      <c r="H955" s="139"/>
      <c r="I955" s="139"/>
      <c r="J955" s="139"/>
      <c r="K955" s="139"/>
      <c r="L955" s="139"/>
      <c r="M955" s="139"/>
      <c r="N955" s="139"/>
      <c r="O955" s="139"/>
      <c r="P955" s="139"/>
      <c r="Q955" s="139"/>
      <c r="R955" s="139"/>
      <c r="S955" s="139"/>
      <c r="T955" s="139"/>
      <c r="U955" s="139"/>
      <c r="V955" s="139"/>
    </row>
    <row r="956" spans="1:22">
      <c r="A956" s="139"/>
      <c r="B956" s="139"/>
      <c r="C956" s="139"/>
      <c r="D956" s="139"/>
      <c r="E956" s="139"/>
      <c r="F956" s="139"/>
      <c r="G956" s="139"/>
      <c r="H956" s="139"/>
      <c r="I956" s="139"/>
      <c r="J956" s="139"/>
      <c r="K956" s="139"/>
      <c r="L956" s="139"/>
      <c r="M956" s="139"/>
      <c r="N956" s="139"/>
      <c r="O956" s="139"/>
      <c r="P956" s="139"/>
      <c r="Q956" s="139"/>
      <c r="R956" s="139"/>
      <c r="S956" s="139"/>
      <c r="T956" s="139"/>
      <c r="U956" s="139"/>
      <c r="V956" s="139"/>
    </row>
    <row r="957" spans="1:22">
      <c r="A957" s="139"/>
      <c r="B957" s="139"/>
      <c r="C957" s="139"/>
      <c r="D957" s="139"/>
      <c r="E957" s="139"/>
      <c r="F957" s="139"/>
      <c r="G957" s="139"/>
      <c r="H957" s="139"/>
      <c r="I957" s="139"/>
      <c r="J957" s="139"/>
      <c r="K957" s="139"/>
      <c r="L957" s="139"/>
      <c r="M957" s="139"/>
      <c r="N957" s="139"/>
      <c r="O957" s="139"/>
      <c r="P957" s="139"/>
      <c r="Q957" s="139"/>
      <c r="R957" s="139"/>
      <c r="S957" s="139"/>
      <c r="T957" s="139"/>
      <c r="U957" s="139"/>
      <c r="V957" s="139"/>
    </row>
    <row r="958" spans="1:22">
      <c r="A958" s="139"/>
      <c r="B958" s="139"/>
      <c r="C958" s="139"/>
      <c r="D958" s="139"/>
      <c r="E958" s="139"/>
      <c r="F958" s="139"/>
      <c r="G958" s="139"/>
      <c r="H958" s="139"/>
      <c r="I958" s="139"/>
      <c r="J958" s="139"/>
      <c r="K958" s="139"/>
      <c r="L958" s="139"/>
      <c r="M958" s="139"/>
      <c r="N958" s="139"/>
      <c r="O958" s="139"/>
      <c r="P958" s="139"/>
      <c r="Q958" s="139"/>
      <c r="R958" s="139"/>
      <c r="S958" s="139"/>
      <c r="T958" s="139"/>
      <c r="U958" s="139"/>
      <c r="V958" s="139"/>
    </row>
    <row r="959" spans="1:22">
      <c r="A959" s="139"/>
      <c r="B959" s="139"/>
      <c r="C959" s="139"/>
      <c r="D959" s="139"/>
      <c r="E959" s="139"/>
      <c r="F959" s="139"/>
      <c r="G959" s="139"/>
      <c r="H959" s="139"/>
      <c r="I959" s="139"/>
      <c r="J959" s="139"/>
      <c r="K959" s="139"/>
      <c r="L959" s="139"/>
      <c r="M959" s="139"/>
      <c r="N959" s="139"/>
      <c r="O959" s="139"/>
      <c r="P959" s="139"/>
      <c r="Q959" s="139"/>
      <c r="R959" s="139"/>
      <c r="S959" s="139"/>
      <c r="T959" s="139"/>
      <c r="U959" s="139"/>
      <c r="V959" s="139"/>
    </row>
    <row r="960" spans="1:22">
      <c r="A960" s="139"/>
      <c r="B960" s="139"/>
      <c r="C960" s="139"/>
      <c r="D960" s="139"/>
      <c r="E960" s="139"/>
      <c r="F960" s="139"/>
      <c r="G960" s="139"/>
      <c r="H960" s="139"/>
      <c r="I960" s="139"/>
      <c r="J960" s="139"/>
      <c r="K960" s="139"/>
      <c r="L960" s="139"/>
      <c r="M960" s="139"/>
      <c r="N960" s="139"/>
      <c r="O960" s="139"/>
      <c r="P960" s="139"/>
      <c r="Q960" s="139"/>
      <c r="R960" s="139"/>
      <c r="S960" s="139"/>
      <c r="T960" s="139"/>
      <c r="U960" s="139"/>
      <c r="V960" s="139"/>
    </row>
    <row r="961" spans="1:22">
      <c r="A961" s="139"/>
      <c r="B961" s="139"/>
      <c r="C961" s="139"/>
      <c r="D961" s="139"/>
      <c r="E961" s="139"/>
      <c r="F961" s="139"/>
      <c r="G961" s="139"/>
      <c r="H961" s="139"/>
      <c r="I961" s="139"/>
      <c r="J961" s="139"/>
      <c r="K961" s="139"/>
      <c r="L961" s="139"/>
      <c r="M961" s="139"/>
      <c r="N961" s="139"/>
      <c r="O961" s="139"/>
      <c r="P961" s="139"/>
      <c r="Q961" s="139"/>
      <c r="R961" s="139"/>
      <c r="S961" s="139"/>
      <c r="T961" s="139"/>
      <c r="U961" s="139"/>
      <c r="V961" s="139"/>
    </row>
    <row r="962" spans="1:22">
      <c r="A962" s="139"/>
      <c r="B962" s="139"/>
      <c r="C962" s="139"/>
      <c r="D962" s="139"/>
      <c r="E962" s="139"/>
      <c r="F962" s="139"/>
      <c r="G962" s="139"/>
      <c r="H962" s="139"/>
      <c r="I962" s="139"/>
      <c r="J962" s="139"/>
      <c r="K962" s="139"/>
      <c r="L962" s="139"/>
      <c r="M962" s="139"/>
      <c r="N962" s="139"/>
      <c r="O962" s="139"/>
      <c r="P962" s="139"/>
      <c r="Q962" s="139"/>
      <c r="R962" s="139"/>
      <c r="S962" s="139"/>
      <c r="T962" s="139"/>
      <c r="U962" s="139"/>
      <c r="V962" s="139"/>
    </row>
    <row r="963" spans="1:22">
      <c r="A963" s="139"/>
      <c r="B963" s="139"/>
      <c r="C963" s="139"/>
      <c r="D963" s="139"/>
      <c r="E963" s="139"/>
      <c r="F963" s="139"/>
      <c r="G963" s="139"/>
      <c r="H963" s="139"/>
      <c r="I963" s="139"/>
      <c r="J963" s="139"/>
      <c r="K963" s="139"/>
      <c r="L963" s="139"/>
      <c r="M963" s="139"/>
      <c r="N963" s="139"/>
      <c r="O963" s="139"/>
      <c r="P963" s="139"/>
      <c r="Q963" s="139"/>
      <c r="R963" s="139"/>
      <c r="S963" s="139"/>
      <c r="T963" s="139"/>
      <c r="U963" s="139"/>
      <c r="V963" s="139"/>
    </row>
    <row r="964" spans="1:22">
      <c r="A964" s="139"/>
      <c r="B964" s="139"/>
      <c r="C964" s="139"/>
      <c r="D964" s="139"/>
      <c r="E964" s="139"/>
      <c r="F964" s="139"/>
      <c r="G964" s="139"/>
      <c r="H964" s="139"/>
      <c r="I964" s="139"/>
      <c r="J964" s="139"/>
      <c r="K964" s="139"/>
      <c r="L964" s="139"/>
      <c r="M964" s="139"/>
      <c r="N964" s="139"/>
      <c r="O964" s="139"/>
      <c r="P964" s="139"/>
      <c r="Q964" s="139"/>
      <c r="R964" s="139"/>
      <c r="S964" s="139"/>
      <c r="T964" s="139"/>
      <c r="U964" s="139"/>
      <c r="V964" s="139"/>
    </row>
    <row r="965" spans="1:22">
      <c r="A965" s="139"/>
      <c r="B965" s="139"/>
      <c r="C965" s="139"/>
      <c r="D965" s="139"/>
      <c r="E965" s="139"/>
      <c r="F965" s="139"/>
      <c r="G965" s="139"/>
      <c r="H965" s="139"/>
      <c r="I965" s="139"/>
      <c r="J965" s="139"/>
      <c r="K965" s="139"/>
      <c r="L965" s="139"/>
      <c r="M965" s="139"/>
      <c r="N965" s="139"/>
      <c r="O965" s="139"/>
      <c r="P965" s="139"/>
      <c r="Q965" s="139"/>
      <c r="R965" s="139"/>
      <c r="S965" s="139"/>
      <c r="T965" s="139"/>
      <c r="U965" s="139"/>
      <c r="V965" s="139"/>
    </row>
    <row r="966" spans="1:22">
      <c r="A966" s="139"/>
      <c r="B966" s="139"/>
      <c r="C966" s="139"/>
      <c r="D966" s="139"/>
      <c r="E966" s="139"/>
      <c r="F966" s="139"/>
      <c r="G966" s="139"/>
      <c r="H966" s="139"/>
      <c r="I966" s="139"/>
      <c r="J966" s="139"/>
      <c r="K966" s="139"/>
      <c r="L966" s="139"/>
      <c r="M966" s="139"/>
      <c r="N966" s="139"/>
      <c r="O966" s="139"/>
      <c r="P966" s="139"/>
      <c r="Q966" s="139"/>
      <c r="R966" s="139"/>
      <c r="S966" s="139"/>
      <c r="T966" s="139"/>
      <c r="U966" s="139"/>
      <c r="V966" s="139"/>
    </row>
    <row r="967" spans="1:22">
      <c r="A967" s="139"/>
      <c r="B967" s="139"/>
      <c r="C967" s="139"/>
      <c r="D967" s="139"/>
      <c r="E967" s="139"/>
      <c r="F967" s="139"/>
      <c r="G967" s="139"/>
      <c r="H967" s="139"/>
      <c r="I967" s="139"/>
      <c r="J967" s="139"/>
      <c r="K967" s="139"/>
      <c r="L967" s="139"/>
      <c r="M967" s="139"/>
      <c r="N967" s="139"/>
      <c r="O967" s="139"/>
      <c r="P967" s="139"/>
      <c r="Q967" s="139"/>
      <c r="R967" s="139"/>
      <c r="S967" s="139"/>
      <c r="T967" s="139"/>
      <c r="U967" s="139"/>
      <c r="V967" s="139"/>
    </row>
    <row r="968" spans="1:22">
      <c r="A968" s="139"/>
      <c r="B968" s="139"/>
      <c r="C968" s="139"/>
      <c r="D968" s="139"/>
      <c r="E968" s="139"/>
      <c r="F968" s="139"/>
      <c r="G968" s="139"/>
      <c r="H968" s="139"/>
      <c r="I968" s="139"/>
      <c r="J968" s="139"/>
      <c r="K968" s="139"/>
      <c r="L968" s="139"/>
      <c r="M968" s="139"/>
      <c r="N968" s="139"/>
      <c r="O968" s="139"/>
      <c r="P968" s="139"/>
      <c r="Q968" s="139"/>
      <c r="R968" s="139"/>
      <c r="S968" s="139"/>
      <c r="T968" s="139"/>
      <c r="U968" s="139"/>
      <c r="V968" s="139"/>
    </row>
    <row r="969" spans="1:22">
      <c r="A969" s="139"/>
      <c r="B969" s="139"/>
      <c r="C969" s="139"/>
      <c r="D969" s="139"/>
      <c r="E969" s="139"/>
      <c r="F969" s="139"/>
      <c r="G969" s="139"/>
      <c r="H969" s="139"/>
      <c r="I969" s="139"/>
      <c r="J969" s="139"/>
      <c r="K969" s="139"/>
      <c r="L969" s="139"/>
      <c r="M969" s="139"/>
      <c r="N969" s="139"/>
      <c r="O969" s="139"/>
      <c r="P969" s="139"/>
      <c r="Q969" s="139"/>
      <c r="R969" s="139"/>
      <c r="S969" s="139"/>
      <c r="T969" s="139"/>
      <c r="U969" s="139"/>
      <c r="V969" s="139"/>
    </row>
    <row r="970" spans="1:22">
      <c r="A970" s="139"/>
      <c r="B970" s="139"/>
      <c r="C970" s="139"/>
      <c r="D970" s="139"/>
      <c r="E970" s="139"/>
      <c r="F970" s="139"/>
      <c r="G970" s="139"/>
      <c r="H970" s="139"/>
      <c r="I970" s="139"/>
      <c r="J970" s="139"/>
      <c r="K970" s="139"/>
      <c r="L970" s="139"/>
      <c r="M970" s="139"/>
      <c r="N970" s="139"/>
      <c r="O970" s="139"/>
      <c r="P970" s="139"/>
      <c r="Q970" s="139"/>
      <c r="R970" s="139"/>
      <c r="S970" s="139"/>
      <c r="T970" s="139"/>
      <c r="U970" s="139"/>
      <c r="V970" s="139"/>
    </row>
    <row r="971" spans="1:22">
      <c r="A971" s="139"/>
      <c r="B971" s="139"/>
      <c r="C971" s="139"/>
      <c r="D971" s="139"/>
      <c r="E971" s="139"/>
      <c r="F971" s="139"/>
      <c r="G971" s="139"/>
      <c r="H971" s="139"/>
      <c r="I971" s="139"/>
      <c r="J971" s="139"/>
      <c r="K971" s="139"/>
      <c r="L971" s="139"/>
      <c r="M971" s="139"/>
      <c r="N971" s="139"/>
      <c r="O971" s="139"/>
      <c r="P971" s="139"/>
      <c r="Q971" s="139"/>
      <c r="R971" s="139"/>
      <c r="S971" s="139"/>
      <c r="T971" s="139"/>
      <c r="U971" s="139"/>
      <c r="V971" s="139"/>
    </row>
    <row r="972" spans="1:22">
      <c r="A972" s="139"/>
      <c r="B972" s="139"/>
      <c r="C972" s="139"/>
      <c r="D972" s="139"/>
      <c r="E972" s="139"/>
      <c r="F972" s="139"/>
      <c r="G972" s="139"/>
      <c r="H972" s="139"/>
      <c r="I972" s="139"/>
      <c r="J972" s="139"/>
      <c r="K972" s="139"/>
      <c r="L972" s="139"/>
      <c r="M972" s="139"/>
      <c r="N972" s="139"/>
      <c r="O972" s="139"/>
      <c r="P972" s="139"/>
      <c r="Q972" s="139"/>
      <c r="R972" s="139"/>
      <c r="S972" s="139"/>
      <c r="T972" s="139"/>
      <c r="U972" s="139"/>
      <c r="V972" s="139"/>
    </row>
    <row r="973" spans="1:22">
      <c r="A973" s="139"/>
      <c r="B973" s="139"/>
      <c r="C973" s="139"/>
      <c r="D973" s="139"/>
      <c r="E973" s="139"/>
      <c r="F973" s="139"/>
      <c r="G973" s="139"/>
      <c r="H973" s="139"/>
      <c r="I973" s="139"/>
      <c r="J973" s="139"/>
      <c r="K973" s="139"/>
      <c r="L973" s="139"/>
      <c r="M973" s="139"/>
      <c r="N973" s="139"/>
      <c r="O973" s="139"/>
      <c r="P973" s="139"/>
      <c r="Q973" s="139"/>
      <c r="R973" s="139"/>
      <c r="S973" s="139"/>
      <c r="T973" s="139"/>
      <c r="U973" s="139"/>
      <c r="V973" s="139"/>
    </row>
    <row r="974" spans="1:22">
      <c r="A974" s="139"/>
      <c r="B974" s="139"/>
      <c r="C974" s="139"/>
      <c r="D974" s="139"/>
      <c r="E974" s="139"/>
      <c r="F974" s="139"/>
      <c r="G974" s="139"/>
      <c r="H974" s="139"/>
      <c r="I974" s="139"/>
      <c r="J974" s="139"/>
      <c r="K974" s="139"/>
      <c r="L974" s="139"/>
      <c r="M974" s="139"/>
      <c r="N974" s="139"/>
      <c r="O974" s="139"/>
      <c r="P974" s="139"/>
      <c r="Q974" s="139"/>
      <c r="R974" s="139"/>
      <c r="S974" s="139"/>
      <c r="T974" s="139"/>
      <c r="U974" s="139"/>
      <c r="V974" s="139"/>
    </row>
    <row r="975" spans="1:22">
      <c r="A975" s="139"/>
      <c r="B975" s="139"/>
      <c r="C975" s="139"/>
      <c r="D975" s="139"/>
      <c r="E975" s="139"/>
      <c r="F975" s="139"/>
      <c r="G975" s="139"/>
      <c r="H975" s="139"/>
      <c r="I975" s="139"/>
      <c r="J975" s="139"/>
      <c r="K975" s="139"/>
      <c r="L975" s="139"/>
      <c r="M975" s="139"/>
      <c r="N975" s="139"/>
      <c r="O975" s="139"/>
      <c r="P975" s="139"/>
      <c r="Q975" s="139"/>
      <c r="R975" s="139"/>
      <c r="S975" s="139"/>
      <c r="T975" s="139"/>
      <c r="U975" s="139"/>
      <c r="V975" s="139"/>
    </row>
    <row r="976" spans="1:22">
      <c r="A976" s="139"/>
      <c r="B976" s="139"/>
      <c r="C976" s="139"/>
      <c r="D976" s="139"/>
      <c r="E976" s="139"/>
      <c r="F976" s="139"/>
      <c r="G976" s="139"/>
      <c r="H976" s="139"/>
      <c r="I976" s="139"/>
      <c r="J976" s="139"/>
      <c r="K976" s="139"/>
      <c r="L976" s="139"/>
      <c r="M976" s="139"/>
      <c r="N976" s="139"/>
      <c r="O976" s="139"/>
      <c r="P976" s="139"/>
      <c r="Q976" s="139"/>
      <c r="R976" s="139"/>
      <c r="S976" s="139"/>
      <c r="T976" s="139"/>
      <c r="U976" s="139"/>
      <c r="V976" s="139"/>
    </row>
    <row r="977" spans="1:22">
      <c r="A977" s="139"/>
      <c r="B977" s="139"/>
      <c r="C977" s="139"/>
      <c r="D977" s="139"/>
      <c r="E977" s="139"/>
      <c r="F977" s="139"/>
      <c r="G977" s="139"/>
      <c r="H977" s="139"/>
      <c r="I977" s="139"/>
      <c r="J977" s="139"/>
      <c r="K977" s="139"/>
      <c r="L977" s="139"/>
      <c r="M977" s="139"/>
      <c r="N977" s="139"/>
      <c r="O977" s="139"/>
      <c r="P977" s="139"/>
      <c r="Q977" s="139"/>
      <c r="R977" s="139"/>
      <c r="S977" s="139"/>
      <c r="T977" s="139"/>
      <c r="U977" s="139"/>
      <c r="V977" s="139"/>
    </row>
    <row r="978" spans="1:22">
      <c r="A978" s="139"/>
      <c r="B978" s="139"/>
      <c r="C978" s="139"/>
      <c r="D978" s="139"/>
      <c r="E978" s="139"/>
      <c r="F978" s="139"/>
      <c r="G978" s="139"/>
      <c r="H978" s="139"/>
      <c r="I978" s="139"/>
      <c r="J978" s="139"/>
      <c r="K978" s="139"/>
      <c r="L978" s="139"/>
      <c r="M978" s="139"/>
      <c r="N978" s="139"/>
      <c r="O978" s="139"/>
      <c r="P978" s="139"/>
      <c r="Q978" s="139"/>
      <c r="R978" s="139"/>
      <c r="S978" s="139"/>
      <c r="T978" s="139"/>
      <c r="U978" s="139"/>
      <c r="V978" s="139"/>
    </row>
    <row r="979" spans="1:22">
      <c r="A979" s="139"/>
      <c r="B979" s="139"/>
      <c r="C979" s="139"/>
      <c r="D979" s="139"/>
      <c r="E979" s="139"/>
      <c r="F979" s="139"/>
      <c r="G979" s="139"/>
      <c r="H979" s="139"/>
      <c r="I979" s="139"/>
      <c r="J979" s="139"/>
      <c r="K979" s="139"/>
      <c r="L979" s="139"/>
      <c r="M979" s="139"/>
      <c r="N979" s="139"/>
      <c r="O979" s="139"/>
      <c r="P979" s="139"/>
      <c r="Q979" s="139"/>
      <c r="R979" s="139"/>
      <c r="S979" s="139"/>
      <c r="T979" s="139"/>
      <c r="U979" s="139"/>
      <c r="V979" s="139"/>
    </row>
    <row r="980" spans="1:22">
      <c r="A980" s="139"/>
      <c r="B980" s="139"/>
      <c r="C980" s="139"/>
      <c r="D980" s="139"/>
      <c r="E980" s="139"/>
      <c r="F980" s="139"/>
      <c r="G980" s="139"/>
      <c r="H980" s="139"/>
      <c r="I980" s="139"/>
      <c r="J980" s="139"/>
      <c r="K980" s="139"/>
      <c r="L980" s="139"/>
      <c r="M980" s="139"/>
      <c r="N980" s="139"/>
      <c r="O980" s="139"/>
      <c r="P980" s="139"/>
      <c r="Q980" s="139"/>
      <c r="R980" s="139"/>
      <c r="S980" s="139"/>
      <c r="T980" s="139"/>
      <c r="U980" s="139"/>
      <c r="V980" s="139"/>
    </row>
    <row r="981" spans="1:22">
      <c r="A981" s="139"/>
      <c r="B981" s="139"/>
      <c r="C981" s="139"/>
      <c r="D981" s="139"/>
      <c r="E981" s="139"/>
      <c r="F981" s="139"/>
      <c r="G981" s="139"/>
      <c r="H981" s="139"/>
      <c r="I981" s="139"/>
      <c r="J981" s="139"/>
      <c r="K981" s="139"/>
      <c r="L981" s="139"/>
      <c r="M981" s="139"/>
      <c r="N981" s="139"/>
      <c r="O981" s="139"/>
      <c r="P981" s="139"/>
      <c r="Q981" s="139"/>
      <c r="R981" s="139"/>
      <c r="S981" s="139"/>
      <c r="T981" s="139"/>
      <c r="U981" s="139"/>
      <c r="V981" s="139"/>
    </row>
    <row r="982" spans="1:22">
      <c r="A982" s="139"/>
      <c r="B982" s="139"/>
      <c r="C982" s="139"/>
      <c r="D982" s="139"/>
      <c r="E982" s="139"/>
      <c r="F982" s="139"/>
      <c r="G982" s="139"/>
      <c r="H982" s="139"/>
      <c r="I982" s="139"/>
      <c r="J982" s="139"/>
      <c r="K982" s="139"/>
      <c r="L982" s="139"/>
      <c r="M982" s="139"/>
      <c r="N982" s="139"/>
      <c r="O982" s="139"/>
      <c r="P982" s="139"/>
      <c r="Q982" s="139"/>
      <c r="R982" s="139"/>
      <c r="S982" s="139"/>
      <c r="T982" s="139"/>
      <c r="U982" s="139"/>
      <c r="V982" s="139"/>
    </row>
    <row r="983" spans="1:22">
      <c r="A983" s="139"/>
      <c r="B983" s="139"/>
      <c r="C983" s="139"/>
      <c r="D983" s="139"/>
      <c r="E983" s="139"/>
      <c r="F983" s="139"/>
      <c r="G983" s="139"/>
      <c r="H983" s="139"/>
      <c r="I983" s="139"/>
      <c r="J983" s="139"/>
      <c r="K983" s="139"/>
      <c r="L983" s="139"/>
      <c r="M983" s="139"/>
      <c r="N983" s="139"/>
      <c r="O983" s="139"/>
      <c r="P983" s="139"/>
      <c r="Q983" s="139"/>
      <c r="R983" s="139"/>
      <c r="S983" s="139"/>
      <c r="T983" s="139"/>
      <c r="U983" s="139"/>
      <c r="V983" s="139"/>
    </row>
    <row r="984" spans="1:22">
      <c r="A984" s="139"/>
      <c r="B984" s="139"/>
      <c r="C984" s="139"/>
      <c r="D984" s="139"/>
      <c r="E984" s="139"/>
      <c r="F984" s="139"/>
      <c r="G984" s="139"/>
      <c r="H984" s="139"/>
      <c r="I984" s="139"/>
      <c r="J984" s="139"/>
      <c r="K984" s="139"/>
      <c r="L984" s="139"/>
      <c r="M984" s="139"/>
      <c r="N984" s="139"/>
      <c r="O984" s="139"/>
      <c r="P984" s="139"/>
      <c r="Q984" s="139"/>
      <c r="R984" s="139"/>
      <c r="S984" s="139"/>
      <c r="T984" s="139"/>
      <c r="U984" s="139"/>
      <c r="V984" s="139"/>
    </row>
    <row r="985" spans="1:22">
      <c r="A985" s="139"/>
      <c r="B985" s="139"/>
      <c r="C985" s="139"/>
      <c r="D985" s="139"/>
      <c r="E985" s="139"/>
      <c r="F985" s="139"/>
      <c r="G985" s="139"/>
      <c r="H985" s="139"/>
      <c r="I985" s="139"/>
      <c r="J985" s="139"/>
      <c r="K985" s="139"/>
      <c r="L985" s="139"/>
      <c r="M985" s="139"/>
      <c r="N985" s="139"/>
      <c r="O985" s="139"/>
      <c r="P985" s="139"/>
      <c r="Q985" s="139"/>
      <c r="R985" s="139"/>
      <c r="S985" s="139"/>
      <c r="T985" s="139"/>
      <c r="U985" s="139"/>
      <c r="V985" s="139"/>
    </row>
    <row r="986" spans="1:22">
      <c r="A986" s="139"/>
      <c r="B986" s="139"/>
      <c r="C986" s="139"/>
      <c r="D986" s="139"/>
      <c r="E986" s="139"/>
      <c r="F986" s="139"/>
      <c r="G986" s="139"/>
      <c r="H986" s="139"/>
      <c r="I986" s="139"/>
      <c r="J986" s="139"/>
      <c r="K986" s="139"/>
      <c r="L986" s="139"/>
      <c r="M986" s="139"/>
      <c r="N986" s="139"/>
      <c r="O986" s="139"/>
      <c r="P986" s="139"/>
      <c r="Q986" s="139"/>
      <c r="R986" s="139"/>
      <c r="S986" s="139"/>
      <c r="T986" s="139"/>
      <c r="U986" s="139"/>
      <c r="V986" s="139"/>
    </row>
    <row r="987" spans="1:22">
      <c r="A987" s="139"/>
      <c r="B987" s="139"/>
      <c r="C987" s="139"/>
      <c r="D987" s="139"/>
      <c r="E987" s="139"/>
      <c r="F987" s="139"/>
      <c r="G987" s="139"/>
      <c r="H987" s="139"/>
      <c r="I987" s="139"/>
      <c r="J987" s="139"/>
      <c r="K987" s="139"/>
      <c r="L987" s="139"/>
      <c r="M987" s="139"/>
      <c r="N987" s="139"/>
      <c r="O987" s="139"/>
      <c r="P987" s="139"/>
      <c r="Q987" s="139"/>
      <c r="R987" s="139"/>
      <c r="S987" s="139"/>
      <c r="T987" s="139"/>
      <c r="U987" s="139"/>
      <c r="V987" s="139"/>
    </row>
    <row r="988" spans="1:22">
      <c r="A988" s="139"/>
      <c r="B988" s="139"/>
      <c r="C988" s="139"/>
      <c r="D988" s="139"/>
      <c r="E988" s="139"/>
      <c r="F988" s="139"/>
      <c r="G988" s="139"/>
      <c r="H988" s="139"/>
      <c r="I988" s="139"/>
      <c r="J988" s="139"/>
      <c r="K988" s="139"/>
      <c r="L988" s="139"/>
      <c r="M988" s="139"/>
      <c r="N988" s="139"/>
      <c r="O988" s="139"/>
      <c r="P988" s="139"/>
      <c r="Q988" s="139"/>
      <c r="R988" s="139"/>
      <c r="S988" s="139"/>
      <c r="T988" s="139"/>
      <c r="U988" s="139"/>
      <c r="V988" s="139"/>
    </row>
    <row r="989" spans="1:22">
      <c r="A989" s="139"/>
      <c r="B989" s="139"/>
      <c r="C989" s="139"/>
      <c r="D989" s="139"/>
      <c r="E989" s="139"/>
      <c r="F989" s="139"/>
      <c r="G989" s="139"/>
      <c r="H989" s="139"/>
      <c r="I989" s="139"/>
      <c r="J989" s="139"/>
      <c r="K989" s="139"/>
      <c r="L989" s="139"/>
      <c r="M989" s="139"/>
      <c r="N989" s="139"/>
      <c r="O989" s="139"/>
      <c r="P989" s="139"/>
      <c r="Q989" s="139"/>
      <c r="R989" s="139"/>
      <c r="S989" s="139"/>
      <c r="T989" s="139"/>
      <c r="U989" s="139"/>
      <c r="V989" s="139"/>
    </row>
    <row r="990" spans="1:22">
      <c r="A990" s="139"/>
      <c r="B990" s="139"/>
      <c r="C990" s="139"/>
      <c r="D990" s="139"/>
      <c r="E990" s="139"/>
      <c r="F990" s="139"/>
      <c r="G990" s="139"/>
      <c r="H990" s="139"/>
      <c r="I990" s="139"/>
      <c r="J990" s="139"/>
      <c r="K990" s="139"/>
      <c r="L990" s="139"/>
      <c r="M990" s="139"/>
      <c r="N990" s="139"/>
      <c r="O990" s="139"/>
      <c r="P990" s="139"/>
      <c r="Q990" s="139"/>
      <c r="R990" s="139"/>
      <c r="S990" s="139"/>
      <c r="T990" s="139"/>
      <c r="U990" s="139"/>
      <c r="V990" s="139"/>
    </row>
    <row r="991" spans="1:22">
      <c r="A991" s="139"/>
      <c r="B991" s="139"/>
      <c r="C991" s="139"/>
      <c r="D991" s="139"/>
      <c r="E991" s="139"/>
      <c r="F991" s="139"/>
      <c r="G991" s="139"/>
      <c r="H991" s="139"/>
      <c r="I991" s="139"/>
      <c r="J991" s="139"/>
      <c r="K991" s="139"/>
      <c r="L991" s="139"/>
      <c r="M991" s="139"/>
      <c r="N991" s="139"/>
      <c r="O991" s="139"/>
      <c r="P991" s="139"/>
      <c r="Q991" s="139"/>
      <c r="R991" s="139"/>
      <c r="S991" s="139"/>
      <c r="T991" s="139"/>
      <c r="U991" s="139"/>
      <c r="V991" s="139"/>
    </row>
    <row r="992" spans="1:22">
      <c r="A992" s="139"/>
      <c r="B992" s="139"/>
      <c r="C992" s="139"/>
      <c r="D992" s="139"/>
      <c r="E992" s="139"/>
      <c r="F992" s="139"/>
      <c r="G992" s="139"/>
      <c r="H992" s="139"/>
      <c r="I992" s="139"/>
      <c r="J992" s="139"/>
      <c r="K992" s="139"/>
      <c r="L992" s="139"/>
      <c r="M992" s="139"/>
      <c r="N992" s="139"/>
      <c r="O992" s="139"/>
      <c r="P992" s="139"/>
      <c r="Q992" s="139"/>
      <c r="R992" s="139"/>
      <c r="S992" s="139"/>
      <c r="T992" s="139"/>
      <c r="U992" s="139"/>
      <c r="V992" s="139"/>
    </row>
    <row r="993" spans="1:22">
      <c r="A993" s="139"/>
      <c r="B993" s="139"/>
      <c r="C993" s="139"/>
      <c r="D993" s="139"/>
      <c r="E993" s="139"/>
      <c r="F993" s="139"/>
      <c r="G993" s="139"/>
      <c r="H993" s="139"/>
      <c r="I993" s="139"/>
      <c r="J993" s="139"/>
      <c r="K993" s="139"/>
      <c r="L993" s="139"/>
      <c r="M993" s="139"/>
      <c r="N993" s="139"/>
      <c r="O993" s="139"/>
      <c r="P993" s="139"/>
      <c r="Q993" s="139"/>
      <c r="R993" s="139"/>
      <c r="S993" s="139"/>
      <c r="T993" s="139"/>
      <c r="U993" s="139"/>
      <c r="V993" s="139"/>
    </row>
    <row r="994" spans="1:22">
      <c r="A994" s="139"/>
      <c r="B994" s="139"/>
      <c r="C994" s="139"/>
      <c r="D994" s="139"/>
      <c r="E994" s="139"/>
      <c r="F994" s="139"/>
      <c r="G994" s="139"/>
      <c r="H994" s="139"/>
      <c r="I994" s="139"/>
      <c r="J994" s="139"/>
      <c r="K994" s="139"/>
      <c r="L994" s="139"/>
      <c r="M994" s="139"/>
      <c r="N994" s="139"/>
      <c r="O994" s="139"/>
      <c r="P994" s="139"/>
      <c r="Q994" s="139"/>
      <c r="R994" s="139"/>
      <c r="S994" s="139"/>
      <c r="T994" s="139"/>
      <c r="U994" s="139"/>
      <c r="V994" s="139"/>
    </row>
    <row r="995" spans="1:22">
      <c r="A995" s="139"/>
      <c r="B995" s="139"/>
      <c r="C995" s="139"/>
      <c r="D995" s="139"/>
      <c r="E995" s="139"/>
      <c r="F995" s="139"/>
      <c r="G995" s="139"/>
      <c r="H995" s="139"/>
      <c r="I995" s="139"/>
      <c r="J995" s="139"/>
      <c r="K995" s="139"/>
      <c r="L995" s="139"/>
      <c r="M995" s="139"/>
      <c r="N995" s="139"/>
      <c r="O995" s="139"/>
      <c r="P995" s="139"/>
      <c r="Q995" s="139"/>
      <c r="R995" s="139"/>
      <c r="S995" s="139"/>
      <c r="T995" s="139"/>
      <c r="U995" s="139"/>
      <c r="V995" s="139"/>
    </row>
    <row r="996" spans="1:22">
      <c r="A996" s="139"/>
      <c r="B996" s="139"/>
      <c r="C996" s="139"/>
      <c r="D996" s="139"/>
      <c r="E996" s="139"/>
      <c r="F996" s="139"/>
      <c r="G996" s="139"/>
      <c r="H996" s="139"/>
      <c r="I996" s="139"/>
      <c r="J996" s="139"/>
      <c r="K996" s="139"/>
      <c r="L996" s="139"/>
      <c r="M996" s="139"/>
      <c r="N996" s="139"/>
      <c r="O996" s="139"/>
      <c r="P996" s="139"/>
      <c r="Q996" s="139"/>
      <c r="R996" s="139"/>
      <c r="S996" s="139"/>
      <c r="T996" s="139"/>
      <c r="U996" s="139"/>
      <c r="V996" s="139"/>
    </row>
    <row r="997" spans="1:22">
      <c r="A997" s="139"/>
      <c r="B997" s="139"/>
      <c r="C997" s="139"/>
      <c r="D997" s="139"/>
      <c r="E997" s="139"/>
      <c r="F997" s="139"/>
      <c r="G997" s="139"/>
      <c r="H997" s="139"/>
      <c r="I997" s="139"/>
      <c r="J997" s="139"/>
      <c r="K997" s="139"/>
      <c r="L997" s="139"/>
      <c r="M997" s="139"/>
      <c r="N997" s="139"/>
      <c r="O997" s="139"/>
      <c r="P997" s="139"/>
      <c r="Q997" s="139"/>
      <c r="R997" s="139"/>
      <c r="S997" s="139"/>
      <c r="T997" s="139"/>
      <c r="U997" s="139"/>
      <c r="V997" s="139"/>
    </row>
    <row r="998" spans="1:22">
      <c r="A998" s="139"/>
      <c r="B998" s="139"/>
      <c r="C998" s="139"/>
      <c r="D998" s="139"/>
      <c r="E998" s="139"/>
      <c r="F998" s="139"/>
      <c r="G998" s="139"/>
      <c r="H998" s="139"/>
      <c r="I998" s="139"/>
      <c r="J998" s="139"/>
      <c r="K998" s="139"/>
      <c r="L998" s="139"/>
      <c r="M998" s="139"/>
      <c r="N998" s="139"/>
      <c r="O998" s="139"/>
      <c r="P998" s="139"/>
      <c r="Q998" s="139"/>
      <c r="R998" s="139"/>
      <c r="S998" s="139"/>
      <c r="T998" s="139"/>
      <c r="U998" s="139"/>
      <c r="V998" s="139"/>
    </row>
    <row r="999" spans="1:22">
      <c r="A999" s="139"/>
      <c r="B999" s="139"/>
      <c r="C999" s="139"/>
      <c r="D999" s="139"/>
      <c r="E999" s="139"/>
      <c r="F999" s="139"/>
      <c r="G999" s="139"/>
      <c r="H999" s="139"/>
      <c r="I999" s="139"/>
      <c r="J999" s="139"/>
      <c r="K999" s="139"/>
      <c r="L999" s="139"/>
      <c r="M999" s="139"/>
      <c r="N999" s="139"/>
      <c r="O999" s="139"/>
      <c r="P999" s="139"/>
      <c r="Q999" s="139"/>
      <c r="R999" s="139"/>
      <c r="S999" s="139"/>
      <c r="T999" s="139"/>
      <c r="U999" s="139"/>
      <c r="V999" s="139"/>
    </row>
    <row r="1000" spans="1:22">
      <c r="A1000" s="139"/>
      <c r="B1000" s="139"/>
      <c r="C1000" s="139"/>
      <c r="D1000" s="139"/>
      <c r="E1000" s="139"/>
      <c r="F1000" s="139"/>
      <c r="G1000" s="139"/>
      <c r="H1000" s="139"/>
      <c r="I1000" s="139"/>
      <c r="J1000" s="139"/>
      <c r="K1000" s="139"/>
      <c r="L1000" s="139"/>
      <c r="M1000" s="139"/>
      <c r="N1000" s="139"/>
      <c r="O1000" s="139"/>
      <c r="P1000" s="139"/>
      <c r="Q1000" s="139"/>
      <c r="R1000" s="139"/>
      <c r="S1000" s="139"/>
      <c r="T1000" s="139"/>
      <c r="U1000" s="139"/>
      <c r="V1000" s="139"/>
    </row>
    <row r="1001" spans="1:22">
      <c r="A1001" s="139"/>
      <c r="B1001" s="139"/>
      <c r="C1001" s="139"/>
      <c r="D1001" s="139"/>
      <c r="E1001" s="139"/>
      <c r="F1001" s="139"/>
      <c r="G1001" s="139"/>
      <c r="H1001" s="139"/>
      <c r="I1001" s="139"/>
      <c r="J1001" s="139"/>
      <c r="K1001" s="139"/>
      <c r="L1001" s="139"/>
      <c r="M1001" s="139"/>
      <c r="N1001" s="139"/>
      <c r="O1001" s="139"/>
      <c r="P1001" s="139"/>
      <c r="Q1001" s="139"/>
      <c r="R1001" s="139"/>
      <c r="S1001" s="139"/>
      <c r="T1001" s="139"/>
      <c r="U1001" s="139"/>
      <c r="V1001" s="139"/>
    </row>
    <row r="1002" spans="1:22">
      <c r="A1002" s="139"/>
      <c r="B1002" s="139"/>
      <c r="C1002" s="139"/>
      <c r="D1002" s="139"/>
      <c r="E1002" s="139"/>
      <c r="F1002" s="139"/>
      <c r="G1002" s="139"/>
      <c r="H1002" s="139"/>
      <c r="I1002" s="139"/>
      <c r="J1002" s="139"/>
      <c r="K1002" s="139"/>
      <c r="L1002" s="139"/>
      <c r="M1002" s="139"/>
      <c r="N1002" s="139"/>
      <c r="O1002" s="139"/>
      <c r="P1002" s="139"/>
      <c r="Q1002" s="139"/>
      <c r="R1002" s="139"/>
      <c r="S1002" s="139"/>
      <c r="T1002" s="139"/>
      <c r="U1002" s="139"/>
      <c r="V1002" s="139"/>
    </row>
    <row r="1003" spans="1:22">
      <c r="A1003" s="139"/>
      <c r="B1003" s="139"/>
      <c r="C1003" s="139"/>
      <c r="D1003" s="139"/>
      <c r="E1003" s="139"/>
      <c r="F1003" s="139"/>
      <c r="G1003" s="139"/>
      <c r="H1003" s="139"/>
      <c r="I1003" s="139"/>
      <c r="J1003" s="139"/>
      <c r="K1003" s="139"/>
      <c r="L1003" s="139"/>
      <c r="M1003" s="139"/>
      <c r="N1003" s="139"/>
      <c r="O1003" s="139"/>
      <c r="P1003" s="139"/>
      <c r="Q1003" s="139"/>
      <c r="R1003" s="139"/>
      <c r="S1003" s="139"/>
      <c r="T1003" s="139"/>
      <c r="U1003" s="139"/>
      <c r="V1003" s="139"/>
    </row>
    <row r="1004" spans="1:22">
      <c r="A1004" s="139"/>
      <c r="B1004" s="139"/>
      <c r="C1004" s="139"/>
      <c r="D1004" s="139"/>
      <c r="E1004" s="139"/>
      <c r="F1004" s="139"/>
      <c r="G1004" s="139"/>
      <c r="H1004" s="139"/>
      <c r="I1004" s="139"/>
      <c r="J1004" s="139"/>
      <c r="K1004" s="139"/>
      <c r="L1004" s="139"/>
      <c r="M1004" s="139"/>
      <c r="N1004" s="139"/>
      <c r="O1004" s="139"/>
      <c r="P1004" s="139"/>
      <c r="Q1004" s="139"/>
      <c r="R1004" s="139"/>
      <c r="S1004" s="139"/>
      <c r="T1004" s="139"/>
      <c r="U1004" s="139"/>
      <c r="V1004" s="139"/>
    </row>
    <row r="1005" spans="1:22">
      <c r="A1005" s="139"/>
      <c r="B1005" s="139"/>
      <c r="C1005" s="139"/>
      <c r="D1005" s="139"/>
      <c r="E1005" s="139"/>
      <c r="F1005" s="139"/>
      <c r="G1005" s="139"/>
      <c r="H1005" s="139"/>
      <c r="I1005" s="139"/>
      <c r="J1005" s="139"/>
      <c r="K1005" s="139"/>
      <c r="L1005" s="139"/>
      <c r="M1005" s="139"/>
      <c r="N1005" s="139"/>
      <c r="O1005" s="139"/>
      <c r="P1005" s="139"/>
      <c r="Q1005" s="139"/>
      <c r="R1005" s="139"/>
      <c r="S1005" s="139"/>
      <c r="T1005" s="139"/>
      <c r="U1005" s="139"/>
      <c r="V1005" s="139"/>
    </row>
    <row r="1006" spans="1:22">
      <c r="A1006" s="139"/>
      <c r="B1006" s="139"/>
      <c r="C1006" s="139"/>
      <c r="D1006" s="139"/>
      <c r="E1006" s="139"/>
      <c r="F1006" s="139"/>
      <c r="G1006" s="139"/>
      <c r="H1006" s="139"/>
      <c r="I1006" s="139"/>
      <c r="J1006" s="139"/>
      <c r="K1006" s="139"/>
      <c r="L1006" s="139"/>
      <c r="M1006" s="139"/>
      <c r="N1006" s="139"/>
      <c r="O1006" s="139"/>
      <c r="P1006" s="139"/>
      <c r="Q1006" s="139"/>
      <c r="R1006" s="139"/>
      <c r="S1006" s="139"/>
      <c r="T1006" s="139"/>
      <c r="U1006" s="139"/>
      <c r="V1006" s="139"/>
    </row>
    <row r="1007" spans="1:22">
      <c r="A1007" s="139"/>
      <c r="B1007" s="139"/>
      <c r="C1007" s="139"/>
      <c r="D1007" s="139"/>
      <c r="E1007" s="139"/>
      <c r="F1007" s="139"/>
      <c r="G1007" s="139"/>
      <c r="H1007" s="139"/>
      <c r="I1007" s="139"/>
      <c r="J1007" s="139"/>
      <c r="K1007" s="139"/>
      <c r="L1007" s="139"/>
      <c r="M1007" s="139"/>
      <c r="N1007" s="139"/>
      <c r="O1007" s="139"/>
      <c r="P1007" s="139"/>
      <c r="Q1007" s="139"/>
      <c r="R1007" s="139"/>
      <c r="S1007" s="139"/>
      <c r="T1007" s="139"/>
      <c r="U1007" s="139"/>
      <c r="V1007" s="139"/>
    </row>
    <row r="1008" spans="1:22">
      <c r="A1008" s="139"/>
      <c r="B1008" s="139"/>
      <c r="C1008" s="139"/>
      <c r="D1008" s="139"/>
      <c r="E1008" s="139"/>
      <c r="F1008" s="139"/>
      <c r="G1008" s="139"/>
      <c r="H1008" s="139"/>
      <c r="I1008" s="139"/>
      <c r="J1008" s="139"/>
      <c r="K1008" s="139"/>
      <c r="L1008" s="139"/>
      <c r="M1008" s="139"/>
      <c r="N1008" s="139"/>
      <c r="O1008" s="139"/>
      <c r="P1008" s="139"/>
      <c r="Q1008" s="139"/>
      <c r="R1008" s="139"/>
      <c r="S1008" s="139"/>
      <c r="T1008" s="139"/>
      <c r="U1008" s="139"/>
      <c r="V1008" s="139"/>
    </row>
    <row r="1009" spans="1:22">
      <c r="A1009" s="139"/>
      <c r="B1009" s="139"/>
      <c r="C1009" s="139"/>
      <c r="D1009" s="139"/>
      <c r="E1009" s="139"/>
      <c r="F1009" s="139"/>
      <c r="G1009" s="139"/>
      <c r="H1009" s="139"/>
      <c r="I1009" s="139"/>
      <c r="J1009" s="139"/>
      <c r="K1009" s="139"/>
      <c r="L1009" s="139"/>
      <c r="M1009" s="139"/>
      <c r="N1009" s="139"/>
      <c r="O1009" s="139"/>
      <c r="P1009" s="139"/>
      <c r="Q1009" s="139"/>
      <c r="R1009" s="139"/>
      <c r="S1009" s="139"/>
      <c r="T1009" s="139"/>
      <c r="U1009" s="139"/>
      <c r="V1009" s="139"/>
    </row>
    <row r="1010" spans="1:22">
      <c r="A1010" s="139"/>
      <c r="B1010" s="139"/>
      <c r="C1010" s="139"/>
      <c r="D1010" s="139"/>
      <c r="E1010" s="139"/>
      <c r="F1010" s="139"/>
      <c r="G1010" s="139"/>
      <c r="H1010" s="139"/>
      <c r="I1010" s="139"/>
      <c r="J1010" s="139"/>
      <c r="K1010" s="139"/>
      <c r="L1010" s="139"/>
      <c r="M1010" s="139"/>
      <c r="N1010" s="139"/>
      <c r="O1010" s="139"/>
      <c r="P1010" s="139"/>
      <c r="Q1010" s="139"/>
      <c r="R1010" s="139"/>
      <c r="S1010" s="139"/>
      <c r="T1010" s="139"/>
      <c r="U1010" s="139"/>
      <c r="V1010" s="139"/>
    </row>
    <row r="1011" spans="1:22">
      <c r="A1011" s="139"/>
      <c r="B1011" s="139"/>
      <c r="C1011" s="139"/>
      <c r="D1011" s="139"/>
      <c r="E1011" s="139"/>
      <c r="F1011" s="139"/>
      <c r="G1011" s="139"/>
      <c r="H1011" s="139"/>
      <c r="I1011" s="139"/>
      <c r="J1011" s="139"/>
      <c r="K1011" s="139"/>
      <c r="L1011" s="139"/>
      <c r="M1011" s="139"/>
      <c r="N1011" s="139"/>
      <c r="O1011" s="139"/>
      <c r="P1011" s="139"/>
      <c r="Q1011" s="139"/>
      <c r="R1011" s="139"/>
      <c r="S1011" s="139"/>
      <c r="T1011" s="139"/>
      <c r="U1011" s="139"/>
      <c r="V1011" s="139"/>
    </row>
    <row r="1012" spans="1:22">
      <c r="A1012" s="139"/>
      <c r="B1012" s="139"/>
      <c r="C1012" s="139"/>
      <c r="D1012" s="139"/>
      <c r="E1012" s="139"/>
      <c r="F1012" s="139"/>
      <c r="G1012" s="139"/>
      <c r="H1012" s="139"/>
      <c r="I1012" s="139"/>
      <c r="J1012" s="139"/>
      <c r="K1012" s="139"/>
      <c r="L1012" s="139"/>
      <c r="M1012" s="139"/>
      <c r="N1012" s="139"/>
      <c r="O1012" s="139"/>
      <c r="P1012" s="139"/>
      <c r="Q1012" s="139"/>
      <c r="R1012" s="139"/>
      <c r="S1012" s="139"/>
      <c r="T1012" s="139"/>
      <c r="U1012" s="139"/>
      <c r="V1012" s="139"/>
    </row>
    <row r="1013" spans="1:22">
      <c r="A1013" s="139"/>
      <c r="B1013" s="139"/>
      <c r="C1013" s="139"/>
      <c r="D1013" s="139"/>
      <c r="E1013" s="139"/>
      <c r="F1013" s="139"/>
      <c r="G1013" s="139"/>
      <c r="H1013" s="139"/>
      <c r="I1013" s="139"/>
      <c r="J1013" s="139"/>
      <c r="K1013" s="139"/>
      <c r="L1013" s="139"/>
      <c r="M1013" s="139"/>
      <c r="N1013" s="139"/>
      <c r="O1013" s="139"/>
      <c r="P1013" s="139"/>
      <c r="Q1013" s="139"/>
      <c r="R1013" s="139"/>
      <c r="S1013" s="139"/>
      <c r="T1013" s="139"/>
      <c r="U1013" s="139"/>
      <c r="V1013" s="139"/>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M40"/>
  <sheetViews>
    <sheetView workbookViewId="0">
      <selection sqref="A1:B1"/>
    </sheetView>
  </sheetViews>
  <sheetFormatPr defaultColWidth="14.42578125" defaultRowHeight="15" customHeight="1"/>
  <cols>
    <col min="4" max="13" width="22.5703125" customWidth="1"/>
  </cols>
  <sheetData>
    <row r="1" spans="1:13">
      <c r="A1" s="629" t="s">
        <v>279</v>
      </c>
      <c r="B1" s="625"/>
      <c r="C1" s="187"/>
      <c r="D1" s="187"/>
      <c r="E1" s="187"/>
      <c r="F1" s="187"/>
      <c r="G1" s="187"/>
      <c r="H1" s="187"/>
      <c r="I1" s="187"/>
      <c r="J1" s="187"/>
      <c r="K1" s="187"/>
      <c r="L1" s="187"/>
      <c r="M1" s="187"/>
    </row>
    <row r="2" spans="1:13">
      <c r="A2" s="187"/>
      <c r="B2" s="187"/>
      <c r="C2" s="187"/>
      <c r="D2" s="132">
        <v>2021</v>
      </c>
      <c r="E2" s="132">
        <v>2022</v>
      </c>
      <c r="F2" s="132">
        <v>2023</v>
      </c>
      <c r="G2" s="132">
        <v>2024</v>
      </c>
      <c r="H2" s="132">
        <v>2025</v>
      </c>
      <c r="I2" s="132">
        <v>2026</v>
      </c>
      <c r="J2" s="132">
        <v>2027</v>
      </c>
      <c r="K2" s="132">
        <v>2028</v>
      </c>
      <c r="L2" s="132">
        <v>2029</v>
      </c>
      <c r="M2" s="132">
        <v>2030</v>
      </c>
    </row>
    <row r="3" spans="1:13">
      <c r="A3" s="188" t="s">
        <v>280</v>
      </c>
      <c r="B3" s="188"/>
      <c r="C3" s="189"/>
      <c r="D3" s="190">
        <f t="shared" ref="D3:F3" si="0">(D7+D14+D21)*D$36+(D8+D15+D22)*D$37+(D9+D16+D23)*D$38+(D10+D17+D24)*D$39</f>
        <v>63360337766688.5</v>
      </c>
      <c r="E3" s="190">
        <f t="shared" si="0"/>
        <v>68604397174711.031</v>
      </c>
      <c r="F3" s="190">
        <f t="shared" si="0"/>
        <v>57187171403712.109</v>
      </c>
      <c r="G3" s="187"/>
      <c r="H3" s="187"/>
      <c r="I3" s="187"/>
      <c r="J3" s="187"/>
      <c r="K3" s="187"/>
      <c r="L3" s="187"/>
      <c r="M3" s="187"/>
    </row>
    <row r="4" spans="1:13">
      <c r="A4" s="188"/>
      <c r="B4" s="188"/>
      <c r="C4" s="189"/>
      <c r="D4" s="187"/>
      <c r="E4" s="187"/>
      <c r="F4" s="187"/>
      <c r="G4" s="187"/>
      <c r="H4" s="187"/>
      <c r="I4" s="187"/>
      <c r="J4" s="187"/>
      <c r="K4" s="187"/>
      <c r="L4" s="187"/>
      <c r="M4" s="187"/>
    </row>
    <row r="5" spans="1:13">
      <c r="A5" s="630" t="s">
        <v>281</v>
      </c>
      <c r="B5" s="625"/>
      <c r="C5" s="189"/>
      <c r="D5" s="187"/>
      <c r="E5" s="187"/>
      <c r="F5" s="187"/>
      <c r="G5" s="187"/>
      <c r="H5" s="187"/>
      <c r="I5" s="187"/>
      <c r="J5" s="187"/>
      <c r="K5" s="187"/>
      <c r="L5" s="187"/>
      <c r="M5" s="187"/>
    </row>
    <row r="6" spans="1:13">
      <c r="A6" s="188" t="s">
        <v>282</v>
      </c>
      <c r="B6" s="189"/>
      <c r="C6" s="189" t="s">
        <v>283</v>
      </c>
      <c r="D6" s="187"/>
      <c r="E6" s="187"/>
      <c r="F6" s="187"/>
      <c r="G6" s="187"/>
      <c r="H6" s="187"/>
      <c r="I6" s="187"/>
      <c r="J6" s="187"/>
      <c r="K6" s="187"/>
      <c r="L6" s="187"/>
      <c r="M6" s="187"/>
    </row>
    <row r="7" spans="1:13">
      <c r="A7" s="191" t="s">
        <v>284</v>
      </c>
      <c r="B7" s="192">
        <f>C7/(C7+C8)</f>
        <v>0.80037664783427487</v>
      </c>
      <c r="C7" s="189">
        <v>1.7</v>
      </c>
      <c r="D7" s="187">
        <f>('Base case đã fix'!$K$5+'Base case đã fix'!$K$12)*C7</f>
        <v>7760579.8999999994</v>
      </c>
      <c r="E7" s="187">
        <f>('Base case đã fix'!$P$5+'Base case đã fix'!$P$12)*C7</f>
        <v>8531638.6999999993</v>
      </c>
      <c r="F7" s="187">
        <f>('Base case đã fix'!$U$5+'Base case đã fix'!$U$12)*C7</f>
        <v>7601606.0999999996</v>
      </c>
      <c r="G7" s="187">
        <f>('Base case đã fix'!$Z$5+'Base case đã fix'!$Z$23)*C7</f>
        <v>7012745.3780000014</v>
      </c>
      <c r="H7" s="187"/>
      <c r="I7" s="187"/>
      <c r="J7" s="187"/>
      <c r="K7" s="187"/>
      <c r="L7" s="187"/>
      <c r="M7" s="187"/>
    </row>
    <row r="8" spans="1:13">
      <c r="A8" s="191" t="s">
        <v>285</v>
      </c>
      <c r="B8" s="193">
        <f>1-B7</f>
        <v>0.19962335216572513</v>
      </c>
      <c r="C8" s="189">
        <v>0.42399999999999999</v>
      </c>
      <c r="D8" s="187">
        <f>('Base case đã fix'!$K$5+'Base case đã fix'!$K$12)*C8</f>
        <v>1935579.9279999998</v>
      </c>
      <c r="E8" s="187">
        <f>('Base case đã fix'!$P$5+'Base case đã fix'!$P$12)*C8</f>
        <v>2127891.0639999998</v>
      </c>
      <c r="F8" s="187">
        <f>('Base case đã fix'!$U$5+'Base case đã fix'!$U$12)*C8</f>
        <v>1895929.9919999999</v>
      </c>
      <c r="G8" s="187">
        <f>('Base case đã fix'!$Z$5+'Base case đã fix'!$Z$23)*C8</f>
        <v>1749061.2001600002</v>
      </c>
      <c r="H8" s="187"/>
      <c r="I8" s="187"/>
      <c r="J8" s="187"/>
      <c r="K8" s="187"/>
      <c r="L8" s="187"/>
      <c r="M8" s="187"/>
    </row>
    <row r="9" spans="1:13">
      <c r="A9" s="191" t="s">
        <v>286</v>
      </c>
      <c r="B9" s="189"/>
      <c r="C9" s="189">
        <v>0.18</v>
      </c>
      <c r="D9" s="187">
        <f>('Base case đã fix'!$K$5+'Base case đã fix'!$K$12)*C9</f>
        <v>821708.46</v>
      </c>
      <c r="E9" s="187">
        <f>('Base case đã fix'!$P$5+'Base case đã fix'!$P$12)*C9</f>
        <v>903349.98</v>
      </c>
      <c r="F9" s="187">
        <f>('Base case đã fix'!$U$5+'Base case đã fix'!$U$12)*C9</f>
        <v>804875.94</v>
      </c>
      <c r="G9" s="187">
        <f>('Base case đã fix'!$Z$5+'Base case đã fix'!$Z$23)*C9</f>
        <v>742525.98120000015</v>
      </c>
      <c r="H9" s="187"/>
      <c r="I9" s="187"/>
      <c r="J9" s="187"/>
      <c r="K9" s="187"/>
      <c r="L9" s="187"/>
      <c r="M9" s="187"/>
    </row>
    <row r="10" spans="1:13">
      <c r="A10" s="627" t="s">
        <v>287</v>
      </c>
      <c r="B10" s="625"/>
      <c r="C10" s="189">
        <v>660</v>
      </c>
      <c r="D10" s="187">
        <f>('Base case đã fix'!$K$5+'Base case đã fix'!$K$12)*C10</f>
        <v>3012931020</v>
      </c>
      <c r="E10" s="187">
        <f>('Base case đã fix'!$P$5+'Base case đã fix'!$P$12)*C10</f>
        <v>3312283260</v>
      </c>
      <c r="F10" s="187">
        <f>('Base case đã fix'!$U$5+'Base case đã fix'!$U$12)*C10</f>
        <v>2951211780</v>
      </c>
      <c r="G10" s="187">
        <f>('Base case đã fix'!$Z$5+'Base case đã fix'!$Z$23)*C10</f>
        <v>2722595264.4000006</v>
      </c>
      <c r="H10" s="187"/>
      <c r="I10" s="187"/>
      <c r="J10" s="187"/>
      <c r="K10" s="187"/>
      <c r="L10" s="187"/>
      <c r="M10" s="187"/>
    </row>
    <row r="11" spans="1:13">
      <c r="A11" s="187"/>
      <c r="B11" s="187"/>
      <c r="C11" s="187"/>
      <c r="D11" s="187"/>
      <c r="E11" s="187"/>
      <c r="F11" s="187"/>
      <c r="G11" s="187"/>
      <c r="H11" s="187"/>
      <c r="I11" s="187"/>
      <c r="J11" s="187"/>
      <c r="K11" s="187"/>
      <c r="L11" s="187"/>
      <c r="M11" s="187"/>
    </row>
    <row r="12" spans="1:13">
      <c r="A12" s="630" t="s">
        <v>288</v>
      </c>
      <c r="B12" s="625"/>
      <c r="C12" s="625"/>
      <c r="D12" s="187"/>
      <c r="E12" s="187"/>
      <c r="F12" s="187"/>
      <c r="G12" s="187"/>
      <c r="H12" s="187"/>
      <c r="I12" s="187"/>
      <c r="J12" s="187"/>
      <c r="K12" s="187"/>
      <c r="L12" s="187"/>
      <c r="M12" s="187"/>
    </row>
    <row r="13" spans="1:13">
      <c r="A13" s="189" t="s">
        <v>282</v>
      </c>
      <c r="B13" s="189"/>
      <c r="C13" s="189" t="s">
        <v>289</v>
      </c>
      <c r="D13" s="187"/>
      <c r="E13" s="187"/>
      <c r="F13" s="187"/>
      <c r="G13" s="187"/>
      <c r="H13" s="187"/>
      <c r="I13" s="187"/>
      <c r="J13" s="187"/>
      <c r="K13" s="187"/>
      <c r="L13" s="187"/>
      <c r="M13" s="187"/>
    </row>
    <row r="14" spans="1:13">
      <c r="A14" s="191" t="s">
        <v>284</v>
      </c>
      <c r="B14" s="191"/>
      <c r="C14" s="189">
        <v>1.78</v>
      </c>
      <c r="D14" s="187">
        <f>'Base case đã fix'!$K$12*C14</f>
        <v>1202147.92</v>
      </c>
      <c r="E14" s="187">
        <f>'Base case đã fix'!$P$12*C14</f>
        <v>1333748.6599999999</v>
      </c>
      <c r="F14" s="187">
        <f>'Base case đã fix'!$U$12*C14</f>
        <v>1216950.3999999999</v>
      </c>
      <c r="G14" s="187">
        <f>'Base case đã fix'!$Z$12*C14</f>
        <v>1338645.4400000002</v>
      </c>
      <c r="H14" s="187"/>
      <c r="I14" s="187"/>
      <c r="J14" s="187"/>
      <c r="K14" s="187"/>
      <c r="L14" s="187"/>
      <c r="M14" s="187"/>
    </row>
    <row r="15" spans="1:13">
      <c r="A15" s="191" t="s">
        <v>285</v>
      </c>
      <c r="B15" s="189"/>
      <c r="C15" s="189">
        <v>0.44</v>
      </c>
      <c r="D15" s="187">
        <f>'Base case đã fix'!$K$12*C15</f>
        <v>297160.15999999997</v>
      </c>
      <c r="E15" s="187">
        <f>'Base case đã fix'!$P$12*C15</f>
        <v>329690.68</v>
      </c>
      <c r="F15" s="187">
        <f>'Base case đã fix'!$U$12*C15</f>
        <v>300819.20000000001</v>
      </c>
      <c r="G15" s="187">
        <f>'Base case đã fix'!$Z$12*C15</f>
        <v>330901.12000000005</v>
      </c>
      <c r="H15" s="187"/>
      <c r="I15" s="187"/>
      <c r="J15" s="187"/>
      <c r="K15" s="187"/>
      <c r="L15" s="187"/>
      <c r="M15" s="187"/>
    </row>
    <row r="16" spans="1:13">
      <c r="A16" s="191" t="s">
        <v>286</v>
      </c>
      <c r="B16" s="189"/>
      <c r="C16" s="189">
        <v>0.18</v>
      </c>
      <c r="D16" s="187">
        <f>'Base case đã fix'!$K$12*C16</f>
        <v>121565.51999999999</v>
      </c>
      <c r="E16" s="187">
        <f>'Base case đã fix'!$P$12*C16</f>
        <v>134873.46</v>
      </c>
      <c r="F16" s="187">
        <f>'Base case đã fix'!$U$12*C16</f>
        <v>123062.39999999999</v>
      </c>
      <c r="G16" s="187">
        <f>'Base case đã fix'!$Z$12*C16</f>
        <v>135368.64000000001</v>
      </c>
      <c r="H16" s="187"/>
      <c r="I16" s="187"/>
      <c r="J16" s="187"/>
      <c r="K16" s="187"/>
      <c r="L16" s="187"/>
      <c r="M16" s="187"/>
    </row>
    <row r="17" spans="1:13">
      <c r="A17" s="627" t="s">
        <v>287</v>
      </c>
      <c r="B17" s="625"/>
      <c r="C17" s="189">
        <v>809.7</v>
      </c>
      <c r="D17" s="187">
        <f>'Base case đã fix'!$K$12*C17</f>
        <v>546842230.80000007</v>
      </c>
      <c r="E17" s="187">
        <f>'Base case đã fix'!$P$12*C17</f>
        <v>606705780.89999998</v>
      </c>
      <c r="F17" s="187">
        <f>'Base case đã fix'!$U$12*C17</f>
        <v>553575696</v>
      </c>
      <c r="G17" s="187">
        <f>'Base case đã fix'!$Z$12*C17</f>
        <v>608933265.60000014</v>
      </c>
      <c r="H17" s="187"/>
      <c r="I17" s="187"/>
      <c r="J17" s="187"/>
      <c r="K17" s="187"/>
      <c r="L17" s="187"/>
      <c r="M17" s="187"/>
    </row>
    <row r="18" spans="1:13">
      <c r="A18" s="187"/>
      <c r="B18" s="187"/>
      <c r="C18" s="187"/>
      <c r="D18" s="187"/>
      <c r="E18" s="187"/>
      <c r="F18" s="187"/>
      <c r="G18" s="187"/>
      <c r="H18" s="187"/>
      <c r="I18" s="187"/>
      <c r="J18" s="187"/>
      <c r="K18" s="187"/>
      <c r="L18" s="187"/>
      <c r="M18" s="187"/>
    </row>
    <row r="19" spans="1:13">
      <c r="A19" s="188" t="s">
        <v>290</v>
      </c>
      <c r="B19" s="189"/>
      <c r="C19" s="189"/>
      <c r="D19" s="187"/>
      <c r="E19" s="187"/>
      <c r="F19" s="187"/>
      <c r="G19" s="187"/>
      <c r="H19" s="187"/>
      <c r="I19" s="187"/>
      <c r="J19" s="187"/>
      <c r="K19" s="187"/>
      <c r="L19" s="187"/>
      <c r="M19" s="187"/>
    </row>
    <row r="20" spans="1:13">
      <c r="A20" s="189" t="s">
        <v>282</v>
      </c>
      <c r="B20" s="189"/>
      <c r="C20" s="189" t="s">
        <v>289</v>
      </c>
      <c r="D20" s="187"/>
      <c r="E20" s="187"/>
      <c r="F20" s="187"/>
      <c r="G20" s="187"/>
      <c r="H20" s="187"/>
      <c r="I20" s="187"/>
      <c r="J20" s="187"/>
      <c r="K20" s="187"/>
      <c r="L20" s="187"/>
      <c r="M20" s="187"/>
    </row>
    <row r="21" spans="1:13">
      <c r="A21" s="191" t="s">
        <v>284</v>
      </c>
      <c r="B21" s="191"/>
      <c r="C21" s="189">
        <v>1.37</v>
      </c>
      <c r="D21" s="187">
        <f>'Base case đã fix'!$K$29*C21</f>
        <v>1790.5900000000001</v>
      </c>
      <c r="E21" s="187">
        <f>'Base case đã fix'!$P$29*C21</f>
        <v>395.93</v>
      </c>
      <c r="F21" s="187">
        <f>'Base case đã fix'!$U$29*C21</f>
        <v>191.8</v>
      </c>
      <c r="G21" s="187"/>
      <c r="H21" s="187"/>
      <c r="I21" s="187"/>
      <c r="J21" s="187"/>
      <c r="K21" s="187"/>
      <c r="L21" s="187"/>
      <c r="M21" s="187"/>
    </row>
    <row r="22" spans="1:13">
      <c r="A22" s="191" t="s">
        <v>285</v>
      </c>
      <c r="B22" s="189"/>
      <c r="C22" s="189">
        <v>1.37</v>
      </c>
      <c r="D22" s="187">
        <f>'Base case đã fix'!$K$29*C22</f>
        <v>1790.5900000000001</v>
      </c>
      <c r="E22" s="187">
        <f>'Base case đã fix'!$P$29*C22</f>
        <v>395.93</v>
      </c>
      <c r="F22" s="187">
        <f>'Base case đã fix'!$U$29*C22</f>
        <v>191.8</v>
      </c>
      <c r="G22" s="187"/>
      <c r="H22" s="187"/>
      <c r="I22" s="187"/>
      <c r="J22" s="187"/>
      <c r="K22" s="187"/>
      <c r="L22" s="187"/>
      <c r="M22" s="187"/>
    </row>
    <row r="23" spans="1:13">
      <c r="A23" s="191" t="s">
        <v>286</v>
      </c>
      <c r="B23" s="189"/>
      <c r="C23" s="189">
        <v>0.12</v>
      </c>
      <c r="D23" s="187">
        <f>'Base case đã fix'!$K$29*C23</f>
        <v>156.84</v>
      </c>
      <c r="E23" s="187">
        <f>'Base case đã fix'!$P$29*C23</f>
        <v>34.68</v>
      </c>
      <c r="F23" s="187">
        <f>'Base case đã fix'!$U$29*C23</f>
        <v>16.8</v>
      </c>
      <c r="G23" s="187"/>
      <c r="H23" s="187"/>
      <c r="I23" s="187"/>
      <c r="J23" s="187"/>
      <c r="K23" s="187"/>
      <c r="L23" s="187"/>
      <c r="M23" s="187"/>
    </row>
    <row r="24" spans="1:13">
      <c r="A24" s="627" t="s">
        <v>287</v>
      </c>
      <c r="B24" s="625"/>
      <c r="C24" s="189">
        <v>600</v>
      </c>
      <c r="D24" s="187">
        <f>'Base case đã fix'!$K$29*C24</f>
        <v>784200</v>
      </c>
      <c r="E24" s="187">
        <f>'Base case đã fix'!$P$29*C24</f>
        <v>173400</v>
      </c>
      <c r="F24" s="187">
        <f>'Base case đã fix'!$U$29*C24</f>
        <v>84000</v>
      </c>
      <c r="G24" s="187"/>
      <c r="H24" s="187"/>
      <c r="I24" s="187"/>
      <c r="J24" s="187"/>
      <c r="K24" s="187"/>
      <c r="L24" s="187"/>
      <c r="M24" s="187"/>
    </row>
    <row r="25" spans="1:13">
      <c r="A25" s="187"/>
      <c r="B25" s="187"/>
      <c r="C25" s="187"/>
      <c r="D25" s="187"/>
      <c r="E25" s="187"/>
      <c r="F25" s="187"/>
      <c r="G25" s="187"/>
      <c r="H25" s="187"/>
      <c r="I25" s="187"/>
      <c r="J25" s="187"/>
      <c r="K25" s="187"/>
      <c r="L25" s="187"/>
      <c r="M25" s="187"/>
    </row>
    <row r="26" spans="1:13">
      <c r="A26" s="628" t="s">
        <v>291</v>
      </c>
      <c r="B26" s="625"/>
      <c r="C26" s="187"/>
      <c r="D26" s="187"/>
      <c r="E26" s="187"/>
      <c r="F26" s="187"/>
      <c r="G26" s="187"/>
      <c r="H26" s="187"/>
      <c r="I26" s="187"/>
      <c r="J26" s="187"/>
      <c r="K26" s="187"/>
      <c r="L26" s="187"/>
      <c r="M26" s="187"/>
    </row>
    <row r="27" spans="1:13">
      <c r="A27" s="191" t="s">
        <v>292</v>
      </c>
      <c r="B27" s="191"/>
      <c r="C27" s="187"/>
      <c r="D27" s="187">
        <f>'Base case đã fix'!K42</f>
        <v>156.39000000000001</v>
      </c>
      <c r="E27" s="194">
        <f>'Base case đã fix'!P42</f>
        <v>123.3075</v>
      </c>
      <c r="F27" s="187">
        <f>'Base case đã fix'!U42</f>
        <v>118.435</v>
      </c>
      <c r="G27" s="187"/>
      <c r="H27" s="187"/>
      <c r="I27" s="187"/>
      <c r="J27" s="187"/>
      <c r="K27" s="187"/>
      <c r="L27" s="187"/>
      <c r="M27" s="187"/>
    </row>
    <row r="28" spans="1:13">
      <c r="A28" s="191" t="s">
        <v>293</v>
      </c>
      <c r="B28" s="187"/>
      <c r="C28" s="187"/>
      <c r="D28" s="187">
        <f>'Base case đã fix'!K39</f>
        <v>212.64249999999998</v>
      </c>
      <c r="E28" s="187">
        <f>'Base case đã fix'!P39</f>
        <v>351.34750000000003</v>
      </c>
      <c r="F28" s="187">
        <f>'Base case đã fix'!U39</f>
        <v>292.125</v>
      </c>
      <c r="G28" s="187"/>
      <c r="H28" s="187"/>
      <c r="I28" s="187"/>
      <c r="J28" s="187"/>
      <c r="K28" s="187"/>
      <c r="L28" s="187"/>
      <c r="M28" s="187"/>
    </row>
    <row r="29" spans="1:13">
      <c r="A29" s="191" t="s">
        <v>294</v>
      </c>
      <c r="B29" s="187"/>
      <c r="C29" s="187"/>
      <c r="D29" s="187">
        <v>504</v>
      </c>
      <c r="E29" s="187">
        <v>405</v>
      </c>
      <c r="F29" s="187">
        <v>375.74</v>
      </c>
      <c r="G29" s="187"/>
      <c r="H29" s="187"/>
      <c r="I29" s="187"/>
      <c r="J29" s="187"/>
      <c r="K29" s="187"/>
      <c r="L29" s="187"/>
      <c r="M29" s="187"/>
    </row>
    <row r="30" spans="1:13">
      <c r="A30" s="191" t="s">
        <v>295</v>
      </c>
      <c r="B30" s="191"/>
      <c r="C30" s="187"/>
      <c r="D30" s="187">
        <v>2600</v>
      </c>
      <c r="E30" s="187">
        <v>2600</v>
      </c>
      <c r="F30" s="187">
        <v>2600</v>
      </c>
      <c r="G30" s="187"/>
      <c r="H30" s="187"/>
      <c r="I30" s="187"/>
      <c r="J30" s="187"/>
      <c r="K30" s="187"/>
      <c r="L30" s="187"/>
      <c r="M30" s="187"/>
    </row>
    <row r="31" spans="1:13">
      <c r="A31" s="191" t="s">
        <v>296</v>
      </c>
      <c r="B31" s="191"/>
      <c r="C31" s="187"/>
      <c r="D31" s="187">
        <v>22997</v>
      </c>
      <c r="E31" s="187">
        <v>23360</v>
      </c>
      <c r="F31" s="187">
        <v>23625</v>
      </c>
      <c r="G31" s="187"/>
      <c r="H31" s="187"/>
      <c r="I31" s="187"/>
      <c r="J31" s="187"/>
      <c r="K31" s="187"/>
      <c r="L31" s="187"/>
      <c r="M31" s="187"/>
    </row>
    <row r="35" spans="1:6">
      <c r="A35" s="628" t="s">
        <v>297</v>
      </c>
      <c r="B35" s="625"/>
    </row>
    <row r="36" spans="1:6">
      <c r="A36" s="191" t="s">
        <v>298</v>
      </c>
      <c r="B36" s="191"/>
      <c r="D36" s="4">
        <f t="shared" ref="D36:F36" si="1">D27*D$31</f>
        <v>3596500.8300000005</v>
      </c>
      <c r="E36" s="4">
        <f t="shared" si="1"/>
        <v>2880463.2</v>
      </c>
      <c r="F36" s="4">
        <f t="shared" si="1"/>
        <v>2798026.875</v>
      </c>
    </row>
    <row r="37" spans="1:6">
      <c r="A37" s="191" t="s">
        <v>299</v>
      </c>
      <c r="B37" s="187"/>
      <c r="D37" s="4">
        <f t="shared" ref="D37:F37" si="2">D28*D$31</f>
        <v>4890139.5724999998</v>
      </c>
      <c r="E37" s="4">
        <f t="shared" si="2"/>
        <v>8207477.6000000006</v>
      </c>
      <c r="F37" s="4">
        <f t="shared" si="2"/>
        <v>6901453.125</v>
      </c>
    </row>
    <row r="38" spans="1:6">
      <c r="A38" s="191" t="s">
        <v>300</v>
      </c>
      <c r="B38" s="187"/>
      <c r="D38" s="4">
        <f t="shared" ref="D38:F38" si="3">D29*D$31</f>
        <v>11590488</v>
      </c>
      <c r="E38" s="4">
        <f t="shared" si="3"/>
        <v>9460800</v>
      </c>
      <c r="F38" s="4">
        <f t="shared" si="3"/>
        <v>8876857.5</v>
      </c>
    </row>
    <row r="39" spans="1:6">
      <c r="A39" s="191" t="s">
        <v>295</v>
      </c>
      <c r="B39" s="191"/>
      <c r="D39" s="187">
        <v>2600</v>
      </c>
      <c r="E39" s="187">
        <v>2600</v>
      </c>
      <c r="F39" s="187">
        <v>2600</v>
      </c>
    </row>
    <row r="40" spans="1:6">
      <c r="A40" s="191"/>
      <c r="B40" s="191"/>
    </row>
  </sheetData>
  <mergeCells count="8">
    <mergeCell ref="A24:B24"/>
    <mergeCell ref="A26:B26"/>
    <mergeCell ref="A35:B35"/>
    <mergeCell ref="A1:B1"/>
    <mergeCell ref="A5:B5"/>
    <mergeCell ref="A10:B10"/>
    <mergeCell ref="A12:C12"/>
    <mergeCell ref="A17:B17"/>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Z1000"/>
  <sheetViews>
    <sheetView workbookViewId="0"/>
  </sheetViews>
  <sheetFormatPr defaultColWidth="14.42578125" defaultRowHeight="15" customHeight="1"/>
  <cols>
    <col min="1" max="1" width="45.42578125" customWidth="1"/>
    <col min="2" max="4" width="23.42578125" customWidth="1"/>
    <col min="5" max="9" width="24.5703125" customWidth="1"/>
    <col min="10" max="26" width="8.5703125" customWidth="1"/>
  </cols>
  <sheetData>
    <row r="1" spans="1:26" ht="14.25" customHeight="1">
      <c r="A1" s="4" t="s">
        <v>0</v>
      </c>
      <c r="B1" s="4" t="s">
        <v>1</v>
      </c>
      <c r="C1" s="4" t="s">
        <v>2</v>
      </c>
      <c r="D1" s="4" t="s">
        <v>3</v>
      </c>
      <c r="E1" s="4" t="s">
        <v>4</v>
      </c>
      <c r="F1" s="4" t="s">
        <v>5</v>
      </c>
      <c r="G1" s="4" t="s">
        <v>6</v>
      </c>
      <c r="H1" s="4" t="s">
        <v>7</v>
      </c>
      <c r="I1" s="4" t="s">
        <v>8</v>
      </c>
    </row>
    <row r="2" spans="1:26" ht="14.25" customHeight="1">
      <c r="A2" s="2" t="s">
        <v>56</v>
      </c>
      <c r="B2" s="2"/>
      <c r="C2" s="2"/>
      <c r="D2" s="2"/>
      <c r="E2" s="2"/>
      <c r="F2" s="2"/>
      <c r="G2" s="2"/>
      <c r="H2" s="2"/>
      <c r="I2" s="2"/>
      <c r="J2" s="2"/>
      <c r="K2" s="2"/>
      <c r="L2" s="2"/>
      <c r="M2" s="2"/>
      <c r="N2" s="2"/>
      <c r="O2" s="2"/>
      <c r="P2" s="2"/>
      <c r="Q2" s="2"/>
      <c r="R2" s="2"/>
      <c r="S2" s="2"/>
      <c r="T2" s="2"/>
      <c r="U2" s="2"/>
      <c r="V2" s="2"/>
      <c r="W2" s="2"/>
      <c r="X2" s="2"/>
      <c r="Y2" s="2"/>
      <c r="Z2" s="2"/>
    </row>
    <row r="3" spans="1:26" ht="14.25" customHeight="1">
      <c r="A3" s="195" t="s">
        <v>57</v>
      </c>
      <c r="B3" s="196">
        <v>18182786709294</v>
      </c>
      <c r="C3" s="196">
        <v>33068060366641</v>
      </c>
      <c r="D3" s="196">
        <v>25308725187618</v>
      </c>
      <c r="E3" s="196">
        <v>30436936909894</v>
      </c>
      <c r="F3" s="196">
        <v>56747258197010</v>
      </c>
      <c r="G3" s="196">
        <v>94154859648304</v>
      </c>
      <c r="H3" s="196">
        <v>80514708725456</v>
      </c>
      <c r="I3" s="196">
        <v>82716439173043</v>
      </c>
      <c r="J3" s="196"/>
      <c r="K3" s="195"/>
      <c r="L3" s="195"/>
      <c r="M3" s="195"/>
      <c r="N3" s="195"/>
      <c r="O3" s="195"/>
      <c r="P3" s="195"/>
      <c r="Q3" s="195"/>
      <c r="R3" s="195"/>
      <c r="S3" s="195"/>
      <c r="T3" s="195"/>
      <c r="U3" s="195"/>
      <c r="V3" s="195"/>
      <c r="W3" s="195"/>
      <c r="X3" s="195"/>
      <c r="Y3" s="195"/>
      <c r="Z3" s="195"/>
    </row>
    <row r="4" spans="1:26" ht="14.25" customHeight="1">
      <c r="A4" s="4" t="s">
        <v>58</v>
      </c>
      <c r="B4" s="3">
        <v>4558660713745</v>
      </c>
      <c r="C4" s="3">
        <v>4264641954689</v>
      </c>
      <c r="D4" s="3">
        <v>2515617135457</v>
      </c>
      <c r="E4" s="3">
        <v>4544900252204</v>
      </c>
      <c r="F4" s="3">
        <v>13696099298228</v>
      </c>
      <c r="G4" s="3">
        <v>22471375562130</v>
      </c>
      <c r="H4" s="3">
        <v>8324588920227</v>
      </c>
      <c r="I4" s="3">
        <v>12252001160884</v>
      </c>
      <c r="J4" s="3"/>
    </row>
    <row r="5" spans="1:26" ht="14.25" customHeight="1">
      <c r="A5" s="4" t="s">
        <v>59</v>
      </c>
      <c r="B5" s="3">
        <v>556922713967</v>
      </c>
      <c r="C5" s="3">
        <v>764396954689</v>
      </c>
      <c r="D5" s="3">
        <v>1822302135457</v>
      </c>
      <c r="E5" s="3">
        <v>1678314252204</v>
      </c>
      <c r="F5" s="3">
        <v>2094314298228</v>
      </c>
      <c r="G5" s="3">
        <v>6316299666510</v>
      </c>
      <c r="H5" s="3">
        <v>3458049733104</v>
      </c>
      <c r="I5" s="3">
        <v>3771595160884</v>
      </c>
      <c r="J5" s="3"/>
    </row>
    <row r="6" spans="1:26" ht="14.25" customHeight="1">
      <c r="A6" s="4" t="s">
        <v>60</v>
      </c>
      <c r="B6" s="3">
        <v>4001737999778</v>
      </c>
      <c r="C6" s="3">
        <v>3500245000000</v>
      </c>
      <c r="D6" s="3">
        <v>693315000000</v>
      </c>
      <c r="E6" s="3">
        <v>2866586000000</v>
      </c>
      <c r="F6" s="3">
        <v>11601785000000</v>
      </c>
      <c r="G6" s="3">
        <v>16155075895620</v>
      </c>
      <c r="H6" s="3">
        <v>4866539187123</v>
      </c>
      <c r="I6" s="3">
        <v>8480406000000</v>
      </c>
      <c r="J6" s="3"/>
    </row>
    <row r="7" spans="1:26" ht="14.25" customHeight="1">
      <c r="A7" s="4" t="s">
        <v>61</v>
      </c>
      <c r="B7" s="3">
        <v>693498769815</v>
      </c>
      <c r="C7" s="3">
        <v>9936707080033</v>
      </c>
      <c r="D7" s="3">
        <v>3724562710535</v>
      </c>
      <c r="E7" s="3">
        <v>1374340352910</v>
      </c>
      <c r="F7" s="3">
        <v>8126992675380</v>
      </c>
      <c r="G7" s="3">
        <v>18236152616078</v>
      </c>
      <c r="H7" s="3">
        <v>26268246676354</v>
      </c>
      <c r="I7" s="3">
        <v>22177303502481</v>
      </c>
      <c r="J7" s="3"/>
    </row>
    <row r="8" spans="1:26" ht="14.25" customHeight="1">
      <c r="A8" s="4" t="s">
        <v>62</v>
      </c>
      <c r="B8" s="3"/>
      <c r="C8" s="3"/>
      <c r="D8" s="3"/>
      <c r="E8" s="3"/>
      <c r="F8" s="3"/>
      <c r="G8" s="3"/>
      <c r="H8" s="3"/>
      <c r="I8" s="3"/>
      <c r="J8" s="3"/>
    </row>
    <row r="9" spans="1:26" ht="14.25" customHeight="1">
      <c r="A9" s="4" t="s">
        <v>63</v>
      </c>
      <c r="B9" s="3"/>
      <c r="C9" s="3"/>
      <c r="D9" s="3"/>
      <c r="E9" s="3"/>
      <c r="F9" s="3"/>
      <c r="G9" s="3"/>
      <c r="H9" s="3"/>
      <c r="I9" s="3"/>
      <c r="J9" s="3"/>
    </row>
    <row r="10" spans="1:26" ht="14.25" customHeight="1">
      <c r="A10" s="4" t="s">
        <v>64</v>
      </c>
      <c r="B10" s="3">
        <v>693498769815</v>
      </c>
      <c r="C10" s="3">
        <v>9936707080033</v>
      </c>
      <c r="D10" s="3">
        <v>3724562710535</v>
      </c>
      <c r="E10" s="3">
        <v>1374340352910</v>
      </c>
      <c r="F10" s="3">
        <v>8126992675380</v>
      </c>
      <c r="G10" s="3">
        <v>18236152616078</v>
      </c>
      <c r="H10" s="3">
        <v>26268246676354</v>
      </c>
      <c r="I10" s="3">
        <v>22177303502481</v>
      </c>
      <c r="J10" s="3"/>
    </row>
    <row r="11" spans="1:26" ht="14.25" customHeight="1">
      <c r="A11" s="4" t="s">
        <v>65</v>
      </c>
      <c r="B11" s="3">
        <v>2394830525734</v>
      </c>
      <c r="C11" s="3">
        <v>6555418799648</v>
      </c>
      <c r="D11" s="3">
        <v>3210278608751</v>
      </c>
      <c r="E11" s="3">
        <v>3561397190688</v>
      </c>
      <c r="F11" s="3">
        <v>6124790460291</v>
      </c>
      <c r="G11" s="3">
        <v>7662680796645</v>
      </c>
      <c r="H11" s="3">
        <v>9892867373309</v>
      </c>
      <c r="I11" s="3">
        <v>10702136439996</v>
      </c>
      <c r="J11" s="3"/>
    </row>
    <row r="12" spans="1:26" ht="14.25" customHeight="1">
      <c r="A12" s="2" t="s">
        <v>66</v>
      </c>
      <c r="B12" s="5">
        <v>1546607430306</v>
      </c>
      <c r="C12" s="5">
        <v>1999843596977</v>
      </c>
      <c r="D12" s="5">
        <v>2281760501157</v>
      </c>
      <c r="E12" s="5">
        <v>2699937350329</v>
      </c>
      <c r="F12" s="5">
        <v>3949486943250</v>
      </c>
      <c r="G12" s="5">
        <v>4973095672343</v>
      </c>
      <c r="H12" s="5">
        <v>2958587125337</v>
      </c>
      <c r="I12" s="5">
        <v>5999539831497</v>
      </c>
      <c r="J12" s="5"/>
      <c r="K12" s="2"/>
      <c r="L12" s="2"/>
      <c r="M12" s="2"/>
      <c r="N12" s="2"/>
      <c r="O12" s="2"/>
      <c r="P12" s="2"/>
      <c r="Q12" s="2"/>
      <c r="R12" s="2"/>
      <c r="S12" s="2"/>
      <c r="T12" s="2"/>
      <c r="U12" s="2"/>
      <c r="V12" s="2"/>
      <c r="W12" s="2"/>
      <c r="X12" s="2"/>
      <c r="Y12" s="2"/>
      <c r="Z12" s="2"/>
    </row>
    <row r="13" spans="1:26" ht="14.25" customHeight="1">
      <c r="A13" s="4" t="s">
        <v>67</v>
      </c>
      <c r="B13" s="3">
        <v>705742217537</v>
      </c>
      <c r="C13" s="3">
        <v>4007002903693</v>
      </c>
      <c r="D13" s="3">
        <v>810319171039</v>
      </c>
      <c r="E13" s="3">
        <v>757832561191</v>
      </c>
      <c r="F13" s="3">
        <v>1303037835829</v>
      </c>
      <c r="G13" s="3">
        <v>1722371823278</v>
      </c>
      <c r="H13" s="3">
        <v>5366251939739</v>
      </c>
      <c r="I13" s="3">
        <v>2583940446585</v>
      </c>
      <c r="J13" s="3"/>
    </row>
    <row r="14" spans="1:26" ht="14.25" customHeight="1">
      <c r="A14" s="4" t="s">
        <v>68</v>
      </c>
      <c r="B14" s="3"/>
      <c r="C14" s="3"/>
      <c r="D14" s="3"/>
      <c r="E14" s="3"/>
      <c r="F14" s="3"/>
      <c r="G14" s="3"/>
      <c r="H14" s="3"/>
      <c r="I14" s="3"/>
      <c r="J14" s="3"/>
    </row>
    <row r="15" spans="1:26" ht="14.25" customHeight="1">
      <c r="A15" s="4" t="s">
        <v>69</v>
      </c>
      <c r="B15" s="3"/>
      <c r="C15" s="3"/>
      <c r="D15" s="3"/>
      <c r="E15" s="3"/>
      <c r="F15" s="3"/>
      <c r="G15" s="3"/>
      <c r="H15" s="3"/>
      <c r="I15" s="3"/>
      <c r="J15" s="3"/>
    </row>
    <row r="16" spans="1:26" ht="14.25" customHeight="1">
      <c r="A16" s="4" t="s">
        <v>70</v>
      </c>
      <c r="B16" s="3"/>
      <c r="C16" s="3"/>
      <c r="D16" s="3"/>
      <c r="E16" s="3"/>
      <c r="F16" s="3"/>
      <c r="G16" s="3">
        <v>23521740500</v>
      </c>
      <c r="H16" s="3">
        <v>124200000000</v>
      </c>
      <c r="I16" s="3">
        <v>203600000000</v>
      </c>
      <c r="J16" s="3"/>
    </row>
    <row r="17" spans="1:26" ht="14.25" customHeight="1">
      <c r="A17" s="4" t="s">
        <v>71</v>
      </c>
      <c r="B17" s="3">
        <v>182962827055</v>
      </c>
      <c r="C17" s="3">
        <v>583180931761</v>
      </c>
      <c r="D17" s="3">
        <v>150952350749</v>
      </c>
      <c r="E17" s="3">
        <v>139273246353</v>
      </c>
      <c r="F17" s="3">
        <v>910365502671</v>
      </c>
      <c r="G17" s="3">
        <v>981799066828</v>
      </c>
      <c r="H17" s="3">
        <v>1482978249031</v>
      </c>
      <c r="I17" s="3">
        <v>1961601875298</v>
      </c>
      <c r="J17" s="3"/>
    </row>
    <row r="18" spans="1:26" ht="14.25" customHeight="1">
      <c r="A18" s="4" t="s">
        <v>72</v>
      </c>
      <c r="B18" s="3">
        <v>-41339337971</v>
      </c>
      <c r="C18" s="3">
        <v>-35984891839</v>
      </c>
      <c r="D18" s="3">
        <v>-37693842866</v>
      </c>
      <c r="E18" s="3">
        <v>-37145790132</v>
      </c>
      <c r="F18" s="3">
        <v>-39336197606</v>
      </c>
      <c r="G18" s="3">
        <v>-39275168162</v>
      </c>
      <c r="H18" s="3">
        <v>-41074336139</v>
      </c>
      <c r="I18" s="3">
        <v>-46628415158</v>
      </c>
      <c r="J18" s="3"/>
    </row>
    <row r="19" spans="1:26" ht="14.25" customHeight="1">
      <c r="A19" s="4" t="s">
        <v>73</v>
      </c>
      <c r="B19" s="3">
        <v>857388807</v>
      </c>
      <c r="C19" s="3">
        <v>1376259056</v>
      </c>
      <c r="D19" s="3">
        <v>4940428672</v>
      </c>
      <c r="E19" s="3">
        <v>1499822947</v>
      </c>
      <c r="F19" s="3">
        <v>1236376147</v>
      </c>
      <c r="G19" s="3">
        <v>1167661858</v>
      </c>
      <c r="H19" s="3">
        <v>1924395341</v>
      </c>
      <c r="I19" s="3">
        <v>82701774</v>
      </c>
      <c r="J19" s="3"/>
    </row>
    <row r="20" spans="1:26" ht="14.25" customHeight="1">
      <c r="A20" s="2" t="s">
        <v>53</v>
      </c>
      <c r="B20" s="5">
        <v>10247175680697</v>
      </c>
      <c r="C20" s="5">
        <v>11748873281675</v>
      </c>
      <c r="D20" s="5">
        <v>14115139048908</v>
      </c>
      <c r="E20" s="5">
        <v>19411922748095</v>
      </c>
      <c r="F20" s="5">
        <v>26286822229202</v>
      </c>
      <c r="G20" s="5">
        <v>42134493932210</v>
      </c>
      <c r="H20" s="5">
        <v>34491111096123</v>
      </c>
      <c r="I20" s="5">
        <v>34504487406261</v>
      </c>
      <c r="J20" s="5"/>
      <c r="K20" s="2"/>
      <c r="L20" s="2"/>
      <c r="M20" s="2"/>
      <c r="N20" s="2"/>
      <c r="O20" s="2"/>
      <c r="P20" s="2"/>
      <c r="Q20" s="2"/>
      <c r="R20" s="2"/>
      <c r="S20" s="2"/>
      <c r="T20" s="2"/>
      <c r="U20" s="2"/>
      <c r="V20" s="2"/>
      <c r="W20" s="2"/>
      <c r="X20" s="2"/>
      <c r="Y20" s="2"/>
      <c r="Z20" s="2"/>
    </row>
    <row r="21" spans="1:26" ht="14.25" customHeight="1">
      <c r="A21" s="4" t="s">
        <v>75</v>
      </c>
      <c r="B21" s="3">
        <v>10391475894874</v>
      </c>
      <c r="C21" s="3">
        <v>11893184186263</v>
      </c>
      <c r="D21" s="3">
        <v>14188336169734</v>
      </c>
      <c r="E21" s="3">
        <v>19480666530260</v>
      </c>
      <c r="F21" s="3">
        <v>26373360826788</v>
      </c>
      <c r="G21" s="3">
        <v>42370012405544</v>
      </c>
      <c r="H21" s="3">
        <v>35727277739296</v>
      </c>
      <c r="I21" s="3">
        <v>34628367844950</v>
      </c>
      <c r="J21" s="3"/>
    </row>
    <row r="22" spans="1:26" ht="14.25" customHeight="1">
      <c r="A22" s="4" t="s">
        <v>76</v>
      </c>
      <c r="B22" s="3">
        <v>-144300214177</v>
      </c>
      <c r="C22" s="3">
        <v>-144310904588</v>
      </c>
      <c r="D22" s="3">
        <v>-73197120826</v>
      </c>
      <c r="E22" s="3">
        <v>-68743782165</v>
      </c>
      <c r="F22" s="3">
        <v>-86538597586</v>
      </c>
      <c r="G22" s="3">
        <v>-235518473334</v>
      </c>
      <c r="H22" s="3">
        <v>-1236166643173</v>
      </c>
      <c r="I22" s="3">
        <v>-123880438689</v>
      </c>
      <c r="J22" s="3"/>
    </row>
    <row r="23" spans="1:26" ht="14.25" customHeight="1">
      <c r="A23" s="4" t="s">
        <v>77</v>
      </c>
      <c r="B23" s="3">
        <v>288621019303</v>
      </c>
      <c r="C23" s="3">
        <v>562419250596</v>
      </c>
      <c r="D23" s="3">
        <v>1743127683967</v>
      </c>
      <c r="E23" s="3">
        <v>1544376365997</v>
      </c>
      <c r="F23" s="3">
        <v>2512553533909</v>
      </c>
      <c r="G23" s="3">
        <v>3650156741241</v>
      </c>
      <c r="H23" s="3">
        <v>1537894659443</v>
      </c>
      <c r="I23" s="3">
        <v>3080510663421</v>
      </c>
      <c r="J23" s="3"/>
    </row>
    <row r="24" spans="1:26" ht="14.25" customHeight="1">
      <c r="A24" s="4" t="s">
        <v>78</v>
      </c>
      <c r="B24" s="3">
        <v>24180135532</v>
      </c>
      <c r="C24" s="3">
        <v>118434339660</v>
      </c>
      <c r="D24" s="3">
        <v>122420331320</v>
      </c>
      <c r="E24" s="3">
        <v>118551289085</v>
      </c>
      <c r="F24" s="3">
        <v>141398046799</v>
      </c>
      <c r="G24" s="3">
        <v>296697348350</v>
      </c>
      <c r="H24" s="3">
        <v>320077470557</v>
      </c>
      <c r="I24" s="3">
        <v>330834978197</v>
      </c>
      <c r="J24" s="3"/>
    </row>
    <row r="25" spans="1:26" ht="14.25" customHeight="1">
      <c r="A25" s="4" t="s">
        <v>79</v>
      </c>
      <c r="B25" s="3">
        <v>255637124321</v>
      </c>
      <c r="C25" s="3">
        <v>421916425069</v>
      </c>
      <c r="D25" s="3">
        <v>1601957215751</v>
      </c>
      <c r="E25" s="3">
        <v>1400159900793</v>
      </c>
      <c r="F25" s="3">
        <v>2357338685110</v>
      </c>
      <c r="G25" s="3">
        <v>3335690250424</v>
      </c>
      <c r="H25" s="3">
        <v>1117646951943</v>
      </c>
      <c r="I25" s="3">
        <v>2737971196700</v>
      </c>
      <c r="J25" s="3"/>
    </row>
    <row r="26" spans="1:26" ht="14.25" customHeight="1">
      <c r="A26" s="4" t="s">
        <v>80</v>
      </c>
      <c r="B26" s="3">
        <v>8803759450</v>
      </c>
      <c r="C26" s="3">
        <v>22068485867</v>
      </c>
      <c r="D26" s="3">
        <v>18750136896</v>
      </c>
      <c r="E26" s="3">
        <v>25665176119</v>
      </c>
      <c r="F26" s="3">
        <v>13816802000</v>
      </c>
      <c r="G26" s="3">
        <v>17769142467</v>
      </c>
      <c r="H26" s="3">
        <v>100170236943</v>
      </c>
      <c r="I26" s="3">
        <v>11704488524</v>
      </c>
      <c r="J26" s="3"/>
    </row>
    <row r="27" spans="1:26" ht="14.25" customHeight="1">
      <c r="A27" s="4" t="s">
        <v>81</v>
      </c>
      <c r="B27" s="3"/>
      <c r="C27" s="3"/>
      <c r="D27" s="3"/>
      <c r="E27" s="3"/>
      <c r="F27" s="3"/>
      <c r="G27" s="3"/>
      <c r="H27" s="3"/>
      <c r="I27" s="3"/>
      <c r="J27" s="3"/>
    </row>
    <row r="28" spans="1:26" ht="14.25" customHeight="1">
      <c r="A28" s="4" t="s">
        <v>82</v>
      </c>
      <c r="B28" s="3"/>
      <c r="C28" s="3"/>
      <c r="D28" s="3"/>
      <c r="E28" s="3"/>
      <c r="F28" s="3"/>
      <c r="G28" s="3"/>
      <c r="H28" s="3"/>
      <c r="I28" s="3"/>
      <c r="J28" s="3"/>
    </row>
    <row r="29" spans="1:26" ht="14.25" customHeight="1">
      <c r="A29" s="195" t="s">
        <v>83</v>
      </c>
      <c r="B29" s="196">
        <v>15043765608591</v>
      </c>
      <c r="C29" s="196">
        <v>19954124411610</v>
      </c>
      <c r="D29" s="196">
        <v>52914282483307</v>
      </c>
      <c r="E29" s="196">
        <v>71339093190006</v>
      </c>
      <c r="F29" s="196">
        <v>74764176191827</v>
      </c>
      <c r="G29" s="196">
        <v>84081562709945</v>
      </c>
      <c r="H29" s="196">
        <v>89820810782676</v>
      </c>
      <c r="I29" s="196">
        <v>105066147390758</v>
      </c>
      <c r="J29" s="196"/>
      <c r="K29" s="195"/>
      <c r="L29" s="195"/>
      <c r="M29" s="195"/>
      <c r="N29" s="195"/>
      <c r="O29" s="195"/>
      <c r="P29" s="195"/>
      <c r="Q29" s="195"/>
      <c r="R29" s="195"/>
      <c r="S29" s="195"/>
      <c r="T29" s="195"/>
      <c r="U29" s="195"/>
      <c r="V29" s="195"/>
      <c r="W29" s="195"/>
      <c r="X29" s="195"/>
      <c r="Y29" s="195"/>
      <c r="Z29" s="195"/>
    </row>
    <row r="30" spans="1:26" ht="14.25" customHeight="1">
      <c r="A30" s="4" t="s">
        <v>84</v>
      </c>
      <c r="B30" s="3">
        <v>18173189031</v>
      </c>
      <c r="C30" s="3">
        <v>21810530536</v>
      </c>
      <c r="D30" s="3">
        <v>22301804672</v>
      </c>
      <c r="E30" s="3">
        <v>27717594984</v>
      </c>
      <c r="F30" s="3">
        <v>305165547431</v>
      </c>
      <c r="G30" s="3">
        <v>809234947969</v>
      </c>
      <c r="H30" s="3">
        <v>894484456379</v>
      </c>
      <c r="I30" s="3">
        <v>1880922130348</v>
      </c>
      <c r="J30" s="3"/>
    </row>
    <row r="31" spans="1:26" ht="14.25" customHeight="1">
      <c r="A31" s="4" t="s">
        <v>85</v>
      </c>
      <c r="B31" s="3"/>
      <c r="C31" s="3"/>
      <c r="D31" s="3"/>
      <c r="E31" s="3"/>
      <c r="F31" s="3"/>
      <c r="G31" s="3"/>
      <c r="H31" s="3"/>
      <c r="I31" s="3"/>
      <c r="J31" s="3"/>
    </row>
    <row r="32" spans="1:26" ht="14.25" customHeight="1">
      <c r="A32" s="4" t="s">
        <v>86</v>
      </c>
      <c r="B32" s="3"/>
      <c r="C32" s="3"/>
      <c r="D32" s="3"/>
      <c r="E32" s="3"/>
      <c r="F32" s="3"/>
      <c r="G32" s="3"/>
      <c r="H32" s="3"/>
      <c r="I32" s="3">
        <v>1004491555731</v>
      </c>
      <c r="J32" s="3"/>
    </row>
    <row r="33" spans="1:26" ht="14.25" customHeight="1">
      <c r="A33" s="4" t="s">
        <v>87</v>
      </c>
      <c r="B33" s="3"/>
      <c r="C33" s="3"/>
      <c r="D33" s="3"/>
      <c r="E33" s="3"/>
      <c r="F33" s="3"/>
      <c r="G33" s="3"/>
      <c r="H33" s="3"/>
      <c r="I33" s="3"/>
      <c r="J33" s="3"/>
    </row>
    <row r="34" spans="1:26" ht="14.25" customHeight="1">
      <c r="A34" s="4" t="s">
        <v>88</v>
      </c>
      <c r="B34" s="3"/>
      <c r="C34" s="3"/>
      <c r="D34" s="3"/>
      <c r="E34" s="3"/>
      <c r="F34" s="3"/>
      <c r="G34" s="3"/>
      <c r="H34" s="3"/>
      <c r="I34" s="3"/>
      <c r="J34" s="3"/>
    </row>
    <row r="35" spans="1:26" ht="14.25" customHeight="1">
      <c r="A35" s="4" t="s">
        <v>89</v>
      </c>
      <c r="B35" s="3">
        <v>2500000000</v>
      </c>
      <c r="C35" s="3"/>
      <c r="D35" s="3"/>
      <c r="E35" s="3">
        <v>4910346000</v>
      </c>
      <c r="F35" s="3">
        <v>96007238800</v>
      </c>
      <c r="G35" s="3">
        <v>118401369280</v>
      </c>
      <c r="H35" s="3">
        <v>101693561714</v>
      </c>
      <c r="I35" s="3">
        <v>95351026613</v>
      </c>
      <c r="J35" s="3"/>
    </row>
    <row r="36" spans="1:26" ht="14.25" customHeight="1">
      <c r="A36" s="4" t="s">
        <v>90</v>
      </c>
      <c r="B36" s="3">
        <v>15673189031</v>
      </c>
      <c r="C36" s="3">
        <v>21810530536</v>
      </c>
      <c r="D36" s="3">
        <v>22301804672</v>
      </c>
      <c r="E36" s="3">
        <v>22807248984</v>
      </c>
      <c r="F36" s="3">
        <v>209158308631</v>
      </c>
      <c r="G36" s="3">
        <v>690833578689</v>
      </c>
      <c r="H36" s="3">
        <v>792790894665</v>
      </c>
      <c r="I36" s="3">
        <v>781079548004</v>
      </c>
      <c r="J36" s="3"/>
    </row>
    <row r="37" spans="1:26" ht="14.25" customHeight="1">
      <c r="A37" s="4" t="s">
        <v>91</v>
      </c>
      <c r="B37" s="3"/>
      <c r="C37" s="3"/>
      <c r="D37" s="3"/>
      <c r="E37" s="3"/>
      <c r="F37" s="3"/>
      <c r="G37" s="3"/>
      <c r="H37" s="3"/>
      <c r="I37" s="3"/>
      <c r="J37" s="3"/>
    </row>
    <row r="38" spans="1:26" ht="14.25" customHeight="1">
      <c r="A38" s="2" t="s">
        <v>92</v>
      </c>
      <c r="B38" s="5">
        <v>12670459873438</v>
      </c>
      <c r="C38" s="5">
        <v>13197796695351</v>
      </c>
      <c r="D38" s="5">
        <v>12782560625001</v>
      </c>
      <c r="E38" s="5">
        <v>31249493917960</v>
      </c>
      <c r="F38" s="5">
        <v>65561657180137</v>
      </c>
      <c r="G38" s="5">
        <v>69280841784004</v>
      </c>
      <c r="H38" s="5">
        <v>70832915657865</v>
      </c>
      <c r="I38" s="5">
        <v>71998370737871</v>
      </c>
      <c r="J38" s="5"/>
      <c r="K38" s="2"/>
      <c r="L38" s="2"/>
      <c r="M38" s="2"/>
      <c r="N38" s="2"/>
      <c r="O38" s="2"/>
      <c r="P38" s="2"/>
      <c r="Q38" s="2"/>
      <c r="R38" s="2"/>
      <c r="S38" s="2"/>
      <c r="T38" s="2"/>
      <c r="U38" s="2"/>
      <c r="V38" s="2"/>
      <c r="W38" s="2"/>
      <c r="X38" s="2"/>
      <c r="Y38" s="2"/>
      <c r="Z38" s="2"/>
    </row>
    <row r="39" spans="1:26" ht="14.25" customHeight="1">
      <c r="A39" s="4" t="s">
        <v>93</v>
      </c>
      <c r="B39" s="3">
        <v>12487811189623</v>
      </c>
      <c r="C39" s="3">
        <v>13012259134112</v>
      </c>
      <c r="D39" s="3">
        <v>12565363529879</v>
      </c>
      <c r="E39" s="3">
        <v>30980122434704</v>
      </c>
      <c r="F39" s="3">
        <v>65307819877543</v>
      </c>
      <c r="G39" s="3">
        <v>68744125939109</v>
      </c>
      <c r="H39" s="3">
        <v>70199153681536</v>
      </c>
      <c r="I39" s="3">
        <v>71787251586301</v>
      </c>
      <c r="J39" s="3"/>
    </row>
    <row r="40" spans="1:26" ht="14.25" customHeight="1">
      <c r="A40" s="4" t="s">
        <v>94</v>
      </c>
      <c r="B40" s="3">
        <v>18855209473822</v>
      </c>
      <c r="C40" s="3">
        <v>21244526727212</v>
      </c>
      <c r="D40" s="3">
        <v>22992663946845</v>
      </c>
      <c r="E40" s="3">
        <v>43804940121895</v>
      </c>
      <c r="F40" s="3">
        <v>82616601097978</v>
      </c>
      <c r="G40" s="3">
        <v>91026106008677</v>
      </c>
      <c r="H40" s="3">
        <v>98976369133844</v>
      </c>
      <c r="I40" s="3">
        <v>106923132503430</v>
      </c>
      <c r="J40" s="3"/>
    </row>
    <row r="41" spans="1:26" ht="14.25" customHeight="1">
      <c r="A41" s="4" t="s">
        <v>95</v>
      </c>
      <c r="B41" s="3">
        <v>-6367398284199</v>
      </c>
      <c r="C41" s="3">
        <v>-8232267593100</v>
      </c>
      <c r="D41" s="3">
        <v>-10427300416966</v>
      </c>
      <c r="E41" s="3">
        <v>-12824817687191</v>
      </c>
      <c r="F41" s="3">
        <v>-17308781220435</v>
      </c>
      <c r="G41" s="3">
        <v>-22281980069568</v>
      </c>
      <c r="H41" s="3">
        <v>-28777215452308</v>
      </c>
      <c r="I41" s="3">
        <v>-35135880917129</v>
      </c>
      <c r="J41" s="3"/>
    </row>
    <row r="42" spans="1:26" ht="14.25" customHeight="1">
      <c r="A42" s="4" t="s">
        <v>96</v>
      </c>
      <c r="B42" s="3"/>
      <c r="C42" s="3"/>
      <c r="D42" s="3"/>
      <c r="E42" s="3"/>
      <c r="F42" s="3"/>
      <c r="G42" s="3"/>
      <c r="H42" s="3"/>
      <c r="I42" s="3"/>
      <c r="J42" s="3"/>
    </row>
    <row r="43" spans="1:26" ht="14.25" customHeight="1">
      <c r="A43" s="4" t="s">
        <v>94</v>
      </c>
      <c r="B43" s="3"/>
      <c r="C43" s="3"/>
      <c r="D43" s="3"/>
      <c r="E43" s="3"/>
      <c r="F43" s="3"/>
      <c r="G43" s="3"/>
      <c r="H43" s="3"/>
      <c r="I43" s="3"/>
      <c r="J43" s="3"/>
    </row>
    <row r="44" spans="1:26" ht="14.25" customHeight="1">
      <c r="A44" s="4" t="s">
        <v>95</v>
      </c>
      <c r="B44" s="3"/>
      <c r="C44" s="3"/>
      <c r="D44" s="3"/>
      <c r="E44" s="3"/>
      <c r="F44" s="3"/>
      <c r="G44" s="3"/>
      <c r="H44" s="3"/>
      <c r="I44" s="3"/>
      <c r="J44" s="3"/>
    </row>
    <row r="45" spans="1:26" ht="14.25" customHeight="1">
      <c r="A45" s="4" t="s">
        <v>97</v>
      </c>
      <c r="B45" s="3">
        <v>182648683815</v>
      </c>
      <c r="C45" s="3">
        <v>185537561239</v>
      </c>
      <c r="D45" s="3">
        <v>217197095122</v>
      </c>
      <c r="E45" s="3">
        <v>269371483256</v>
      </c>
      <c r="F45" s="3">
        <v>253837302594</v>
      </c>
      <c r="G45" s="3">
        <v>536715844895</v>
      </c>
      <c r="H45" s="3">
        <v>633761976329</v>
      </c>
      <c r="I45" s="3">
        <v>211119151570</v>
      </c>
      <c r="J45" s="3"/>
    </row>
    <row r="46" spans="1:26" ht="14.25" customHeight="1">
      <c r="A46" s="4" t="s">
        <v>94</v>
      </c>
      <c r="B46" s="3">
        <v>215970717186</v>
      </c>
      <c r="C46" s="3">
        <v>225393363897</v>
      </c>
      <c r="D46" s="3">
        <v>268391812870</v>
      </c>
      <c r="E46" s="3">
        <v>339570963463</v>
      </c>
      <c r="F46" s="3">
        <v>342995279178</v>
      </c>
      <c r="G46" s="3">
        <v>618321659402</v>
      </c>
      <c r="H46" s="3">
        <v>744538077973</v>
      </c>
      <c r="I46" s="3">
        <v>357031331749</v>
      </c>
      <c r="J46" s="3"/>
    </row>
    <row r="47" spans="1:26" ht="14.25" customHeight="1">
      <c r="A47" s="4" t="s">
        <v>95</v>
      </c>
      <c r="B47" s="3">
        <v>-33322033371</v>
      </c>
      <c r="C47" s="3">
        <v>-39855802658</v>
      </c>
      <c r="D47" s="3">
        <v>-51194717748</v>
      </c>
      <c r="E47" s="3">
        <v>-70199480207</v>
      </c>
      <c r="F47" s="3">
        <v>-89157976584</v>
      </c>
      <c r="G47" s="3">
        <v>-81605814507</v>
      </c>
      <c r="H47" s="3">
        <v>-110776101644</v>
      </c>
      <c r="I47" s="3">
        <v>-145912180179</v>
      </c>
      <c r="J47" s="3"/>
    </row>
    <row r="48" spans="1:26" ht="14.25" customHeight="1">
      <c r="A48" s="4" t="s">
        <v>98</v>
      </c>
      <c r="B48" s="3">
        <v>202756917580</v>
      </c>
      <c r="C48" s="3">
        <v>191191085236</v>
      </c>
      <c r="D48" s="3">
        <v>179740530488</v>
      </c>
      <c r="E48" s="3">
        <v>576616510917</v>
      </c>
      <c r="F48" s="3">
        <v>564296973801</v>
      </c>
      <c r="G48" s="3">
        <v>548210755123</v>
      </c>
      <c r="H48" s="3">
        <v>629111776960</v>
      </c>
      <c r="I48" s="3">
        <v>593920277320</v>
      </c>
      <c r="J48" s="3"/>
    </row>
    <row r="49" spans="1:10" ht="14.25" customHeight="1">
      <c r="A49" s="4" t="s">
        <v>94</v>
      </c>
      <c r="B49" s="3">
        <v>245628493960</v>
      </c>
      <c r="C49" s="3">
        <v>246141517543</v>
      </c>
      <c r="D49" s="3">
        <v>246767060543</v>
      </c>
      <c r="E49" s="3">
        <v>663239742390</v>
      </c>
      <c r="F49" s="3">
        <v>681931844756</v>
      </c>
      <c r="G49" s="3">
        <v>698820145314</v>
      </c>
      <c r="H49" s="3">
        <v>859667015615</v>
      </c>
      <c r="I49" s="3">
        <v>859667015615</v>
      </c>
      <c r="J49" s="3"/>
    </row>
    <row r="50" spans="1:10" ht="14.25" customHeight="1">
      <c r="A50" s="4" t="s">
        <v>95</v>
      </c>
      <c r="B50" s="3">
        <v>-42871576380</v>
      </c>
      <c r="C50" s="3">
        <v>-54950432307</v>
      </c>
      <c r="D50" s="3">
        <v>-67026530055</v>
      </c>
      <c r="E50" s="3">
        <v>-86623231473</v>
      </c>
      <c r="F50" s="3">
        <v>-117634870955</v>
      </c>
      <c r="G50" s="3">
        <v>-150609390191</v>
      </c>
      <c r="H50" s="3">
        <v>-230555238655</v>
      </c>
      <c r="I50" s="3">
        <v>-265746738295</v>
      </c>
      <c r="J50" s="3"/>
    </row>
    <row r="51" spans="1:10" ht="14.25" customHeight="1">
      <c r="A51" s="4" t="s">
        <v>99</v>
      </c>
      <c r="B51" s="3">
        <v>1154980172259</v>
      </c>
      <c r="C51" s="3">
        <v>5468751412626</v>
      </c>
      <c r="D51" s="3">
        <v>38107320507117</v>
      </c>
      <c r="E51" s="3">
        <v>37435320467014</v>
      </c>
      <c r="F51" s="3">
        <v>6247213506994</v>
      </c>
      <c r="G51" s="3">
        <v>9698699397713</v>
      </c>
      <c r="H51" s="3">
        <v>13363274912355</v>
      </c>
      <c r="I51" s="3">
        <v>26098929377501</v>
      </c>
      <c r="J51" s="3"/>
    </row>
    <row r="52" spans="1:10" ht="14.25" customHeight="1">
      <c r="A52" s="4" t="s">
        <v>100</v>
      </c>
      <c r="B52" s="3">
        <v>47019409284</v>
      </c>
      <c r="C52" s="3">
        <v>742673512829</v>
      </c>
      <c r="D52" s="3">
        <v>910420483699</v>
      </c>
      <c r="E52" s="3">
        <v>750146398723</v>
      </c>
      <c r="F52" s="3">
        <v>918470731946</v>
      </c>
      <c r="G52" s="3">
        <v>1409414047105</v>
      </c>
      <c r="H52" s="3">
        <v>28953988212</v>
      </c>
      <c r="I52" s="3">
        <v>46356652469</v>
      </c>
      <c r="J52" s="3"/>
    </row>
    <row r="53" spans="1:10" ht="14.25" customHeight="1">
      <c r="A53" s="4" t="s">
        <v>101</v>
      </c>
      <c r="B53" s="3">
        <v>1107960762975</v>
      </c>
      <c r="C53" s="3">
        <v>4726077899797</v>
      </c>
      <c r="D53" s="3">
        <v>37196900023418</v>
      </c>
      <c r="E53" s="3">
        <v>36685174068291</v>
      </c>
      <c r="F53" s="3">
        <v>5328742775048</v>
      </c>
      <c r="G53" s="3">
        <v>8289285350608</v>
      </c>
      <c r="H53" s="3">
        <v>13334320924143</v>
      </c>
      <c r="I53" s="3">
        <v>26052572725032</v>
      </c>
      <c r="J53" s="3"/>
    </row>
    <row r="54" spans="1:10" ht="14.25" customHeight="1">
      <c r="A54" s="4" t="s">
        <v>102</v>
      </c>
      <c r="B54" s="3">
        <v>78864136876</v>
      </c>
      <c r="C54" s="3">
        <v>16951738400</v>
      </c>
      <c r="D54" s="3">
        <v>66584926457</v>
      </c>
      <c r="E54" s="3">
        <v>45794216642</v>
      </c>
      <c r="F54" s="3">
        <v>171085206311</v>
      </c>
      <c r="G54" s="3">
        <v>6715955617</v>
      </c>
      <c r="H54" s="3">
        <v>700000000</v>
      </c>
      <c r="I54" s="3">
        <v>40000000000</v>
      </c>
      <c r="J54" s="3"/>
    </row>
    <row r="55" spans="1:10" ht="14.25" customHeight="1">
      <c r="A55" s="4" t="s">
        <v>103</v>
      </c>
      <c r="B55" s="3"/>
      <c r="C55" s="3"/>
      <c r="D55" s="3"/>
      <c r="E55" s="3"/>
      <c r="F55" s="3"/>
      <c r="G55" s="3"/>
      <c r="H55" s="3"/>
      <c r="I55" s="3"/>
      <c r="J55" s="3"/>
    </row>
    <row r="56" spans="1:10" ht="14.25" customHeight="1">
      <c r="A56" s="4" t="s">
        <v>104</v>
      </c>
      <c r="B56" s="3">
        <v>3271387743</v>
      </c>
      <c r="C56" s="3"/>
      <c r="D56" s="3"/>
      <c r="E56" s="3">
        <v>-1431313615</v>
      </c>
      <c r="F56" s="3">
        <v>385206311</v>
      </c>
      <c r="G56" s="3">
        <v>6015955617</v>
      </c>
      <c r="H56" s="3"/>
      <c r="I56" s="3"/>
      <c r="J56" s="3"/>
    </row>
    <row r="57" spans="1:10" ht="14.25" customHeight="1">
      <c r="A57" s="4" t="s">
        <v>105</v>
      </c>
      <c r="B57" s="3">
        <v>15702128365</v>
      </c>
      <c r="C57" s="3">
        <v>15700000000</v>
      </c>
      <c r="D57" s="3">
        <v>700000000</v>
      </c>
      <c r="E57" s="3">
        <v>700000000</v>
      </c>
      <c r="F57" s="3">
        <v>700000000</v>
      </c>
      <c r="G57" s="3">
        <v>700000000</v>
      </c>
      <c r="H57" s="3">
        <v>700000000</v>
      </c>
      <c r="I57" s="3"/>
      <c r="J57" s="3"/>
    </row>
    <row r="58" spans="1:10" ht="14.25" customHeight="1">
      <c r="A58" s="4" t="s">
        <v>106</v>
      </c>
      <c r="B58" s="3"/>
      <c r="C58" s="3"/>
      <c r="D58" s="3"/>
      <c r="E58" s="3"/>
      <c r="F58" s="3"/>
      <c r="G58" s="3"/>
      <c r="H58" s="3"/>
      <c r="I58" s="3"/>
      <c r="J58" s="3"/>
    </row>
    <row r="59" spans="1:10" ht="14.25" customHeight="1">
      <c r="A59" s="4" t="s">
        <v>107</v>
      </c>
      <c r="B59" s="3">
        <v>59890620768</v>
      </c>
      <c r="C59" s="3">
        <v>1251738400</v>
      </c>
      <c r="D59" s="3">
        <v>65884926457</v>
      </c>
      <c r="E59" s="3">
        <v>46525530257</v>
      </c>
      <c r="F59" s="3">
        <v>170000000000</v>
      </c>
      <c r="G59" s="3"/>
      <c r="H59" s="3"/>
      <c r="I59" s="3">
        <v>40000000000</v>
      </c>
      <c r="J59" s="3"/>
    </row>
    <row r="60" spans="1:10" ht="14.25" customHeight="1">
      <c r="A60" s="4" t="s">
        <v>108</v>
      </c>
      <c r="B60" s="3">
        <v>918531319407</v>
      </c>
      <c r="C60" s="3">
        <v>1057622949461</v>
      </c>
      <c r="D60" s="3">
        <v>1755774089572</v>
      </c>
      <c r="E60" s="3">
        <v>2004150482489</v>
      </c>
      <c r="F60" s="3">
        <v>1914757777153</v>
      </c>
      <c r="G60" s="3">
        <v>3737859869519</v>
      </c>
      <c r="H60" s="3">
        <v>4100323979117</v>
      </c>
      <c r="I60" s="3">
        <v>4454004867718</v>
      </c>
      <c r="J60" s="3"/>
    </row>
    <row r="61" spans="1:10" ht="14.25" customHeight="1">
      <c r="A61" s="4" t="s">
        <v>109</v>
      </c>
      <c r="B61" s="3">
        <v>716374249275</v>
      </c>
      <c r="C61" s="3">
        <v>832464153214</v>
      </c>
      <c r="D61" s="3">
        <v>1461311868435</v>
      </c>
      <c r="E61" s="3">
        <v>1650738623090</v>
      </c>
      <c r="F61" s="3">
        <v>1646094518464</v>
      </c>
      <c r="G61" s="3">
        <v>3171382188206</v>
      </c>
      <c r="H61" s="3">
        <v>3929243956403</v>
      </c>
      <c r="I61" s="3">
        <v>4215007972679</v>
      </c>
      <c r="J61" s="3"/>
    </row>
    <row r="62" spans="1:10" ht="14.25" customHeight="1">
      <c r="A62" s="4" t="s">
        <v>110</v>
      </c>
      <c r="B62" s="3">
        <v>127323104169</v>
      </c>
      <c r="C62" s="3">
        <v>170753319290</v>
      </c>
      <c r="D62" s="3">
        <v>206227896900</v>
      </c>
      <c r="E62" s="3">
        <v>292226687882</v>
      </c>
      <c r="F62" s="3">
        <v>225553308024</v>
      </c>
      <c r="G62" s="3">
        <v>529355730648</v>
      </c>
      <c r="H62" s="3">
        <v>83071062718</v>
      </c>
      <c r="I62" s="3">
        <v>163087876347</v>
      </c>
      <c r="J62" s="3"/>
    </row>
    <row r="63" spans="1:10" ht="14.25" customHeight="1">
      <c r="A63" s="4" t="s">
        <v>111</v>
      </c>
      <c r="B63" s="3"/>
      <c r="C63" s="3"/>
      <c r="D63" s="3"/>
      <c r="E63" s="3"/>
      <c r="F63" s="3"/>
      <c r="G63" s="3"/>
      <c r="H63" s="3"/>
      <c r="I63" s="3"/>
      <c r="J63" s="3"/>
    </row>
    <row r="64" spans="1:10" ht="14.25" customHeight="1">
      <c r="A64" s="4" t="s">
        <v>112</v>
      </c>
      <c r="B64" s="3"/>
      <c r="C64" s="3"/>
      <c r="D64" s="3"/>
      <c r="E64" s="3"/>
      <c r="F64" s="3"/>
      <c r="G64" s="3"/>
      <c r="H64" s="3"/>
      <c r="I64" s="3"/>
      <c r="J64" s="3"/>
    </row>
    <row r="65" spans="1:26" ht="14.25" customHeight="1">
      <c r="A65" s="4" t="s">
        <v>113</v>
      </c>
      <c r="B65" s="3">
        <v>74833965963</v>
      </c>
      <c r="C65" s="3">
        <v>54405476957</v>
      </c>
      <c r="D65" s="3">
        <v>88234324237</v>
      </c>
      <c r="E65" s="3">
        <v>61185171517</v>
      </c>
      <c r="F65" s="3">
        <v>43109950665</v>
      </c>
      <c r="G65" s="3">
        <v>37121950665</v>
      </c>
      <c r="H65" s="3">
        <v>88008959996</v>
      </c>
      <c r="I65" s="3">
        <v>75909018692</v>
      </c>
      <c r="J65" s="3"/>
    </row>
    <row r="66" spans="1:26" ht="14.25" customHeight="1">
      <c r="A66" s="195" t="s">
        <v>114</v>
      </c>
      <c r="B66" s="196">
        <v>33226552317885</v>
      </c>
      <c r="C66" s="196">
        <v>53022184778251</v>
      </c>
      <c r="D66" s="196">
        <v>78223007670925</v>
      </c>
      <c r="E66" s="196">
        <v>101776030099900</v>
      </c>
      <c r="F66" s="196">
        <v>131511434388837</v>
      </c>
      <c r="G66" s="196">
        <v>178236422358249</v>
      </c>
      <c r="H66" s="196">
        <v>170335519508132</v>
      </c>
      <c r="I66" s="196">
        <v>187782586563801</v>
      </c>
      <c r="J66" s="196"/>
      <c r="K66" s="195"/>
      <c r="L66" s="195"/>
      <c r="M66" s="195"/>
      <c r="N66" s="195"/>
      <c r="O66" s="195"/>
      <c r="P66" s="195"/>
      <c r="Q66" s="195"/>
      <c r="R66" s="195"/>
      <c r="S66" s="195"/>
      <c r="T66" s="195"/>
      <c r="U66" s="195"/>
      <c r="V66" s="195"/>
      <c r="W66" s="195"/>
      <c r="X66" s="195"/>
      <c r="Y66" s="195"/>
      <c r="Z66" s="195"/>
    </row>
    <row r="67" spans="1:26" ht="14.25" customHeight="1">
      <c r="A67" s="4" t="s">
        <v>115</v>
      </c>
      <c r="B67" s="3"/>
      <c r="C67" s="3"/>
      <c r="D67" s="3"/>
      <c r="E67" s="3"/>
      <c r="F67" s="3"/>
      <c r="G67" s="3"/>
      <c r="H67" s="3"/>
      <c r="I67" s="3"/>
      <c r="J67" s="3"/>
    </row>
    <row r="68" spans="1:26" ht="14.25" customHeight="1">
      <c r="A68" s="2" t="s">
        <v>116</v>
      </c>
      <c r="B68" s="5">
        <v>13376291239921</v>
      </c>
      <c r="C68" s="5">
        <v>20624604566341</v>
      </c>
      <c r="D68" s="5">
        <v>37600057830115</v>
      </c>
      <c r="E68" s="5">
        <v>53989393956205</v>
      </c>
      <c r="F68" s="5">
        <v>72291648082726</v>
      </c>
      <c r="G68" s="5">
        <v>87455796846810</v>
      </c>
      <c r="H68" s="5">
        <v>74222579892349</v>
      </c>
      <c r="I68" s="5">
        <v>84946167324422</v>
      </c>
      <c r="J68" s="5"/>
      <c r="K68" s="2"/>
      <c r="L68" s="2"/>
      <c r="M68" s="2"/>
      <c r="N68" s="2"/>
      <c r="O68" s="2"/>
      <c r="P68" s="2"/>
      <c r="Q68" s="2"/>
      <c r="R68" s="2"/>
      <c r="S68" s="2"/>
      <c r="T68" s="2"/>
      <c r="U68" s="2"/>
      <c r="V68" s="2"/>
      <c r="W68" s="2"/>
      <c r="X68" s="2"/>
      <c r="Y68" s="2"/>
      <c r="Z68" s="2"/>
    </row>
    <row r="69" spans="1:26" ht="14.25" customHeight="1">
      <c r="A69" s="2" t="s">
        <v>117</v>
      </c>
      <c r="B69" s="5">
        <v>11985020235150</v>
      </c>
      <c r="C69" s="5">
        <v>18519722634329</v>
      </c>
      <c r="D69" s="5">
        <v>22636149492136</v>
      </c>
      <c r="E69" s="5">
        <v>26984198187977</v>
      </c>
      <c r="F69" s="5">
        <v>51975217447498</v>
      </c>
      <c r="G69" s="5">
        <v>73459315876441</v>
      </c>
      <c r="H69" s="5">
        <v>62385390680685</v>
      </c>
      <c r="I69" s="5">
        <v>71513492904733</v>
      </c>
      <c r="J69" s="5"/>
      <c r="K69" s="2"/>
      <c r="L69" s="2"/>
      <c r="M69" s="2"/>
      <c r="N69" s="2"/>
      <c r="O69" s="2"/>
      <c r="P69" s="2"/>
      <c r="Q69" s="2"/>
      <c r="R69" s="2"/>
      <c r="S69" s="2"/>
      <c r="T69" s="2"/>
      <c r="U69" s="2"/>
      <c r="V69" s="2"/>
      <c r="W69" s="2"/>
      <c r="X69" s="2"/>
      <c r="Y69" s="2"/>
      <c r="Z69" s="2"/>
    </row>
    <row r="70" spans="1:26" ht="14.25" customHeight="1">
      <c r="A70" s="4" t="s">
        <v>118</v>
      </c>
      <c r="B70" s="3">
        <v>3733634506722</v>
      </c>
      <c r="C70" s="3">
        <v>4226437580299</v>
      </c>
      <c r="D70" s="3">
        <v>8706913341857</v>
      </c>
      <c r="E70" s="3">
        <v>7507198913115</v>
      </c>
      <c r="F70" s="3">
        <v>10915752723952</v>
      </c>
      <c r="G70" s="3">
        <v>23729142569420</v>
      </c>
      <c r="H70" s="3">
        <v>11107160795326</v>
      </c>
      <c r="I70" s="3">
        <v>12387496434147</v>
      </c>
      <c r="J70" s="3"/>
    </row>
    <row r="71" spans="1:26" ht="14.25" customHeight="1">
      <c r="A71" s="4" t="s">
        <v>120</v>
      </c>
      <c r="B71" s="3">
        <v>1036123955455</v>
      </c>
      <c r="C71" s="3">
        <v>824276288448</v>
      </c>
      <c r="D71" s="3">
        <v>361444408581</v>
      </c>
      <c r="E71" s="3">
        <v>408691837688</v>
      </c>
      <c r="F71" s="3">
        <v>1257272765123</v>
      </c>
      <c r="G71" s="3">
        <v>788002603134</v>
      </c>
      <c r="H71" s="3">
        <v>860793139245</v>
      </c>
      <c r="I71" s="3">
        <v>741733890580</v>
      </c>
      <c r="J71" s="3"/>
    </row>
    <row r="72" spans="1:26" ht="14.25" customHeight="1">
      <c r="A72" s="4" t="s">
        <v>121</v>
      </c>
      <c r="B72" s="3">
        <v>744422755457</v>
      </c>
      <c r="C72" s="3">
        <v>378251543847</v>
      </c>
      <c r="D72" s="3">
        <v>481510200714</v>
      </c>
      <c r="E72" s="3">
        <v>478426384718</v>
      </c>
      <c r="F72" s="3">
        <v>548579261453</v>
      </c>
      <c r="G72" s="3">
        <v>796022241121</v>
      </c>
      <c r="H72" s="3">
        <v>648407591981</v>
      </c>
      <c r="I72" s="3">
        <v>945404457633</v>
      </c>
      <c r="J72" s="3"/>
    </row>
    <row r="73" spans="1:26" ht="14.25" customHeight="1">
      <c r="A73" s="4" t="s">
        <v>122</v>
      </c>
      <c r="B73" s="3">
        <v>262345657297</v>
      </c>
      <c r="C73" s="3">
        <v>294643257677</v>
      </c>
      <c r="D73" s="3">
        <v>252288255386</v>
      </c>
      <c r="E73" s="3">
        <v>247936926136</v>
      </c>
      <c r="F73" s="3">
        <v>313099678402</v>
      </c>
      <c r="G73" s="3">
        <v>816457005628</v>
      </c>
      <c r="H73" s="3">
        <v>306208839467</v>
      </c>
      <c r="I73" s="3">
        <v>403391467732</v>
      </c>
      <c r="J73" s="3"/>
    </row>
    <row r="74" spans="1:26" ht="14.25" customHeight="1">
      <c r="A74" s="4" t="s">
        <v>123</v>
      </c>
      <c r="B74" s="3">
        <v>159606432529</v>
      </c>
      <c r="C74" s="3">
        <v>308755056470</v>
      </c>
      <c r="D74" s="3">
        <v>261634131158</v>
      </c>
      <c r="E74" s="3">
        <v>429777297411</v>
      </c>
      <c r="F74" s="3">
        <v>640129684182</v>
      </c>
      <c r="G74" s="3">
        <v>772615123352</v>
      </c>
      <c r="H74" s="3">
        <v>460508546638</v>
      </c>
      <c r="I74" s="3">
        <v>477102216071</v>
      </c>
      <c r="J74" s="3"/>
    </row>
    <row r="75" spans="1:26" ht="14.25" customHeight="1">
      <c r="A75" s="4" t="s">
        <v>124</v>
      </c>
      <c r="B75" s="3"/>
      <c r="C75" s="3"/>
      <c r="D75" s="3"/>
      <c r="E75" s="3"/>
      <c r="F75" s="3"/>
      <c r="G75" s="3"/>
      <c r="H75" s="3"/>
      <c r="I75" s="3"/>
      <c r="J75" s="3"/>
    </row>
    <row r="76" spans="1:26" ht="14.25" customHeight="1">
      <c r="A76" s="4" t="s">
        <v>125</v>
      </c>
      <c r="B76" s="3"/>
      <c r="C76" s="3"/>
      <c r="D76" s="3"/>
      <c r="E76" s="3"/>
      <c r="F76" s="3"/>
      <c r="G76" s="3"/>
      <c r="H76" s="3"/>
      <c r="I76" s="3"/>
      <c r="J76" s="3"/>
    </row>
    <row r="77" spans="1:26" ht="14.25" customHeight="1">
      <c r="A77" s="4" t="s">
        <v>126</v>
      </c>
      <c r="B77" s="3">
        <v>5433344113</v>
      </c>
      <c r="C77" s="3">
        <v>2863469241</v>
      </c>
      <c r="D77" s="3">
        <v>9929720982</v>
      </c>
      <c r="E77" s="3">
        <v>27406111996</v>
      </c>
      <c r="F77" s="3">
        <v>34564307818</v>
      </c>
      <c r="G77" s="3">
        <v>16951911160</v>
      </c>
      <c r="H77" s="3">
        <v>16974936888</v>
      </c>
      <c r="I77" s="3">
        <v>9979596501</v>
      </c>
      <c r="J77" s="3"/>
    </row>
    <row r="78" spans="1:26" ht="14.25" customHeight="1">
      <c r="A78" s="4" t="s">
        <v>127</v>
      </c>
      <c r="B78" s="3">
        <v>140603236406</v>
      </c>
      <c r="C78" s="3">
        <v>442135349194</v>
      </c>
      <c r="D78" s="3">
        <v>300069780261</v>
      </c>
      <c r="E78" s="3">
        <v>237391747239</v>
      </c>
      <c r="F78" s="3">
        <v>328061400351</v>
      </c>
      <c r="G78" s="3">
        <v>1047158508079</v>
      </c>
      <c r="H78" s="3">
        <v>418512269668</v>
      </c>
      <c r="I78" s="3">
        <v>182970590524</v>
      </c>
      <c r="J78" s="3"/>
    </row>
    <row r="79" spans="1:26" ht="14.25" customHeight="1">
      <c r="A79" s="4" t="s">
        <v>128</v>
      </c>
      <c r="B79" s="3">
        <v>5488170638894</v>
      </c>
      <c r="C79" s="3">
        <v>11328518776500</v>
      </c>
      <c r="D79" s="3">
        <v>11494717393327</v>
      </c>
      <c r="E79" s="3">
        <v>16837653470387</v>
      </c>
      <c r="F79" s="3">
        <v>36798465672104</v>
      </c>
      <c r="G79" s="3">
        <v>43747643082356</v>
      </c>
      <c r="H79" s="3">
        <v>46748670400471</v>
      </c>
      <c r="I79" s="3">
        <v>54981883180636</v>
      </c>
      <c r="J79" s="3"/>
    </row>
    <row r="80" spans="1:26" ht="14.25" customHeight="1">
      <c r="A80" s="4" t="s">
        <v>129</v>
      </c>
      <c r="B80" s="3">
        <v>14918462172</v>
      </c>
      <c r="C80" s="3">
        <v>8150637096</v>
      </c>
      <c r="D80" s="3">
        <v>6238723132</v>
      </c>
      <c r="E80" s="3">
        <v>3111122885</v>
      </c>
      <c r="F80" s="3">
        <v>5846534626</v>
      </c>
      <c r="G80" s="3">
        <v>4755735476</v>
      </c>
      <c r="H80" s="3">
        <v>5198833687</v>
      </c>
      <c r="I80" s="3">
        <v>8054106025</v>
      </c>
      <c r="J80" s="3"/>
    </row>
    <row r="81" spans="1:26" ht="14.25" customHeight="1">
      <c r="A81" s="4" t="s">
        <v>130</v>
      </c>
      <c r="B81" s="3">
        <v>399761246105</v>
      </c>
      <c r="C81" s="3">
        <v>705690675557</v>
      </c>
      <c r="D81" s="3">
        <v>761403536738</v>
      </c>
      <c r="E81" s="3">
        <v>806604376402</v>
      </c>
      <c r="F81" s="3">
        <v>1133445419487</v>
      </c>
      <c r="G81" s="3">
        <v>1740567096715</v>
      </c>
      <c r="H81" s="3">
        <v>1812955327314</v>
      </c>
      <c r="I81" s="3">
        <v>1375476964884</v>
      </c>
      <c r="J81" s="3"/>
    </row>
    <row r="82" spans="1:26" ht="14.25" customHeight="1">
      <c r="A82" s="4" t="s">
        <v>131</v>
      </c>
      <c r="B82" s="3"/>
      <c r="C82" s="3"/>
      <c r="D82" s="3"/>
      <c r="E82" s="3"/>
      <c r="F82" s="3"/>
      <c r="G82" s="3"/>
      <c r="H82" s="3"/>
      <c r="I82" s="3"/>
      <c r="J82" s="3"/>
    </row>
    <row r="83" spans="1:26" ht="14.25" customHeight="1">
      <c r="A83" s="4" t="s">
        <v>132</v>
      </c>
      <c r="B83" s="3"/>
      <c r="C83" s="3"/>
      <c r="D83" s="3"/>
      <c r="E83" s="3"/>
      <c r="F83" s="3"/>
      <c r="G83" s="3"/>
      <c r="H83" s="3"/>
      <c r="I83" s="3"/>
      <c r="J83" s="3"/>
    </row>
    <row r="84" spans="1:26" ht="14.25" customHeight="1">
      <c r="A84" s="2" t="s">
        <v>133</v>
      </c>
      <c r="B84" s="5">
        <v>1391271004771</v>
      </c>
      <c r="C84" s="5">
        <v>2104881932012</v>
      </c>
      <c r="D84" s="5">
        <v>14963908337979</v>
      </c>
      <c r="E84" s="5">
        <v>27005195768228</v>
      </c>
      <c r="F84" s="5">
        <v>20316430635228</v>
      </c>
      <c r="G84" s="5">
        <v>13996480970369</v>
      </c>
      <c r="H84" s="5">
        <v>11837189211664</v>
      </c>
      <c r="I84" s="5">
        <v>13432674419689</v>
      </c>
      <c r="J84" s="5"/>
      <c r="K84" s="2"/>
      <c r="L84" s="2"/>
      <c r="M84" s="2"/>
      <c r="N84" s="2"/>
      <c r="O84" s="2"/>
      <c r="P84" s="2"/>
      <c r="Q84" s="2"/>
      <c r="R84" s="2"/>
      <c r="S84" s="2"/>
      <c r="T84" s="2"/>
      <c r="U84" s="2"/>
      <c r="V84" s="2"/>
      <c r="W84" s="2"/>
      <c r="X84" s="2"/>
      <c r="Y84" s="2"/>
      <c r="Z84" s="2"/>
    </row>
    <row r="85" spans="1:26" ht="14.25" customHeight="1">
      <c r="A85" s="4" t="s">
        <v>134</v>
      </c>
      <c r="B85" s="3"/>
      <c r="C85" s="3"/>
      <c r="D85" s="3">
        <v>1647091707192</v>
      </c>
      <c r="E85" s="3">
        <v>6652492138554</v>
      </c>
      <c r="F85" s="3">
        <v>2637987658239</v>
      </c>
      <c r="G85" s="3"/>
      <c r="H85" s="3"/>
      <c r="I85" s="3">
        <v>2324285289468</v>
      </c>
      <c r="J85" s="3"/>
    </row>
    <row r="86" spans="1:26" ht="14.25" customHeight="1">
      <c r="A86" s="4" t="s">
        <v>135</v>
      </c>
      <c r="B86" s="3"/>
      <c r="C86" s="3"/>
      <c r="D86" s="3"/>
      <c r="E86" s="3"/>
      <c r="F86" s="3"/>
      <c r="G86" s="3"/>
      <c r="H86" s="3"/>
      <c r="I86" s="3"/>
      <c r="J86" s="3"/>
    </row>
    <row r="87" spans="1:26" ht="14.25" customHeight="1">
      <c r="A87" s="4" t="s">
        <v>136</v>
      </c>
      <c r="B87" s="3">
        <v>280768142325</v>
      </c>
      <c r="C87" s="3">
        <v>386454362041</v>
      </c>
      <c r="D87" s="3">
        <v>451100573027</v>
      </c>
      <c r="E87" s="3">
        <v>427328992030</v>
      </c>
      <c r="F87" s="3">
        <v>223664493846</v>
      </c>
      <c r="G87" s="3">
        <v>410407940262</v>
      </c>
      <c r="H87" s="3">
        <v>531620146455</v>
      </c>
      <c r="I87" s="3">
        <v>610552512045</v>
      </c>
      <c r="J87" s="3"/>
    </row>
    <row r="88" spans="1:26" ht="14.25" customHeight="1">
      <c r="A88" s="4" t="s">
        <v>137</v>
      </c>
      <c r="B88" s="3"/>
      <c r="C88" s="3"/>
      <c r="D88" s="3"/>
      <c r="E88" s="3"/>
      <c r="F88" s="3"/>
      <c r="G88" s="3"/>
      <c r="H88" s="3"/>
      <c r="I88" s="3"/>
      <c r="J88" s="3"/>
    </row>
    <row r="89" spans="1:26" ht="14.25" customHeight="1">
      <c r="A89" s="4" t="s">
        <v>138</v>
      </c>
      <c r="B89" s="3"/>
      <c r="C89" s="3"/>
      <c r="D89" s="3"/>
      <c r="E89" s="3"/>
      <c r="F89" s="3"/>
      <c r="G89" s="3"/>
      <c r="H89" s="3"/>
      <c r="I89" s="3"/>
      <c r="J89" s="3"/>
    </row>
    <row r="90" spans="1:26" ht="14.25" customHeight="1">
      <c r="A90" s="4" t="s">
        <v>139</v>
      </c>
      <c r="B90" s="3"/>
      <c r="C90" s="3"/>
      <c r="D90" s="3"/>
      <c r="E90" s="3">
        <v>3369818100</v>
      </c>
      <c r="F90" s="3">
        <v>16127650192</v>
      </c>
      <c r="G90" s="3">
        <v>8803217550</v>
      </c>
      <c r="H90" s="3">
        <v>4109316288</v>
      </c>
      <c r="I90" s="3">
        <v>174647128</v>
      </c>
      <c r="J90" s="3"/>
    </row>
    <row r="91" spans="1:26" ht="14.25" customHeight="1">
      <c r="A91" s="4" t="s">
        <v>140</v>
      </c>
      <c r="B91" s="3">
        <v>118559169199</v>
      </c>
      <c r="C91" s="3">
        <v>46659980472</v>
      </c>
      <c r="D91" s="3">
        <v>36480820999</v>
      </c>
      <c r="E91" s="3">
        <v>58387110781</v>
      </c>
      <c r="F91" s="3">
        <v>68736086170</v>
      </c>
      <c r="G91" s="3">
        <v>63027061241</v>
      </c>
      <c r="H91" s="3">
        <v>61033120562</v>
      </c>
      <c r="I91" s="3">
        <v>13361520783</v>
      </c>
      <c r="J91" s="3"/>
    </row>
    <row r="92" spans="1:26" ht="14.25" customHeight="1">
      <c r="A92" s="4" t="s">
        <v>141</v>
      </c>
      <c r="B92" s="3">
        <v>972200000000</v>
      </c>
      <c r="C92" s="3">
        <v>1651494675275</v>
      </c>
      <c r="D92" s="3">
        <v>12810996979972</v>
      </c>
      <c r="E92" s="3">
        <v>19842099219720</v>
      </c>
      <c r="F92" s="3">
        <v>17343247551512</v>
      </c>
      <c r="G92" s="3">
        <v>13464931998700</v>
      </c>
      <c r="H92" s="3">
        <v>11151651204402</v>
      </c>
      <c r="I92" s="3">
        <v>10399119292481</v>
      </c>
      <c r="J92" s="3"/>
    </row>
    <row r="93" spans="1:26" ht="14.25" customHeight="1">
      <c r="A93" s="4" t="s">
        <v>142</v>
      </c>
      <c r="B93" s="3"/>
      <c r="C93" s="3"/>
      <c r="D93" s="3"/>
      <c r="E93" s="3"/>
      <c r="F93" s="3"/>
      <c r="G93" s="3"/>
      <c r="H93" s="3"/>
      <c r="I93" s="3"/>
      <c r="J93" s="3"/>
    </row>
    <row r="94" spans="1:26" ht="14.25" customHeight="1">
      <c r="A94" s="4" t="s">
        <v>143</v>
      </c>
      <c r="B94" s="3"/>
      <c r="C94" s="3"/>
      <c r="D94" s="3"/>
      <c r="E94" s="3"/>
      <c r="F94" s="3"/>
      <c r="G94" s="3"/>
      <c r="H94" s="3"/>
      <c r="I94" s="3"/>
      <c r="J94" s="3"/>
    </row>
    <row r="95" spans="1:26" ht="14.25" customHeight="1">
      <c r="A95" s="4" t="s">
        <v>144</v>
      </c>
      <c r="B95" s="3">
        <v>908757131</v>
      </c>
      <c r="C95" s="3">
        <v>323343866</v>
      </c>
      <c r="D95" s="3"/>
      <c r="E95" s="3">
        <v>1104751459</v>
      </c>
      <c r="F95" s="3">
        <v>666262529</v>
      </c>
      <c r="G95" s="3"/>
      <c r="H95" s="3">
        <v>31207164756</v>
      </c>
      <c r="I95" s="3">
        <v>30012518415</v>
      </c>
      <c r="J95" s="3"/>
    </row>
    <row r="96" spans="1:26" ht="14.25" customHeight="1">
      <c r="A96" s="4" t="s">
        <v>145</v>
      </c>
      <c r="B96" s="3">
        <v>18834936116</v>
      </c>
      <c r="C96" s="3">
        <v>19949570358</v>
      </c>
      <c r="D96" s="3">
        <v>18238256789</v>
      </c>
      <c r="E96" s="3">
        <v>20413737584</v>
      </c>
      <c r="F96" s="3">
        <v>26000932740</v>
      </c>
      <c r="G96" s="3">
        <v>49310752616</v>
      </c>
      <c r="H96" s="3">
        <v>57568259201</v>
      </c>
      <c r="I96" s="3">
        <v>55168639369</v>
      </c>
      <c r="J96" s="3"/>
    </row>
    <row r="97" spans="1:26" ht="14.25" customHeight="1">
      <c r="A97" s="4" t="s">
        <v>146</v>
      </c>
      <c r="B97" s="3"/>
      <c r="C97" s="3"/>
      <c r="D97" s="3"/>
      <c r="E97" s="3"/>
      <c r="F97" s="3"/>
      <c r="G97" s="3"/>
      <c r="H97" s="3"/>
      <c r="I97" s="3"/>
      <c r="J97" s="3"/>
    </row>
    <row r="98" spans="1:26" ht="14.25" customHeight="1">
      <c r="A98" s="2" t="s">
        <v>147</v>
      </c>
      <c r="B98" s="5">
        <v>19850261077964</v>
      </c>
      <c r="C98" s="5">
        <v>32397580211910</v>
      </c>
      <c r="D98" s="5">
        <v>40622949840810</v>
      </c>
      <c r="E98" s="5">
        <v>47786636143695</v>
      </c>
      <c r="F98" s="5">
        <v>59219786306111</v>
      </c>
      <c r="G98" s="5">
        <v>90780625511439</v>
      </c>
      <c r="H98" s="5">
        <v>96112939615783</v>
      </c>
      <c r="I98" s="5">
        <v>102836419239379</v>
      </c>
      <c r="J98" s="5"/>
      <c r="K98" s="2"/>
      <c r="L98" s="2"/>
      <c r="M98" s="2"/>
      <c r="N98" s="2"/>
      <c r="O98" s="2"/>
      <c r="P98" s="2"/>
      <c r="Q98" s="2"/>
      <c r="R98" s="2"/>
      <c r="S98" s="2"/>
      <c r="T98" s="2"/>
      <c r="U98" s="2"/>
      <c r="V98" s="2"/>
      <c r="W98" s="2"/>
      <c r="X98" s="2"/>
      <c r="Y98" s="2"/>
      <c r="Z98" s="2"/>
    </row>
    <row r="99" spans="1:26" ht="14.25" customHeight="1">
      <c r="A99" s="4" t="s">
        <v>148</v>
      </c>
      <c r="B99" s="3">
        <v>19850261077964</v>
      </c>
      <c r="C99" s="3">
        <v>32397580211910</v>
      </c>
      <c r="D99" s="3">
        <v>40622949840810</v>
      </c>
      <c r="E99" s="3">
        <v>47786636143695</v>
      </c>
      <c r="F99" s="3">
        <v>59219786306111</v>
      </c>
      <c r="G99" s="3">
        <v>90780625511439</v>
      </c>
      <c r="H99" s="3">
        <v>96112939615783</v>
      </c>
      <c r="I99" s="3">
        <v>102836419239379</v>
      </c>
      <c r="J99" s="3"/>
    </row>
    <row r="100" spans="1:26" ht="14.25" customHeight="1">
      <c r="A100" s="4" t="s">
        <v>149</v>
      </c>
      <c r="B100" s="3">
        <v>8428749560000</v>
      </c>
      <c r="C100" s="3">
        <v>15170790000000</v>
      </c>
      <c r="D100" s="3">
        <v>21239071660000</v>
      </c>
      <c r="E100" s="3">
        <v>27610741150000</v>
      </c>
      <c r="F100" s="3">
        <v>33132826590000</v>
      </c>
      <c r="G100" s="3">
        <v>44729227060000</v>
      </c>
      <c r="H100" s="3">
        <v>58147857000000</v>
      </c>
      <c r="I100" s="3">
        <v>58147857000000</v>
      </c>
      <c r="J100" s="3"/>
    </row>
    <row r="101" spans="1:26" ht="14.25" customHeight="1">
      <c r="A101" s="4" t="s">
        <v>150</v>
      </c>
      <c r="B101" s="3">
        <v>8428749560000</v>
      </c>
      <c r="C101" s="3">
        <v>15170790000000</v>
      </c>
      <c r="D101" s="3">
        <v>21239071660000</v>
      </c>
      <c r="E101" s="3">
        <v>27610741150000</v>
      </c>
      <c r="F101" s="3">
        <v>33132826590000</v>
      </c>
      <c r="G101" s="3">
        <v>44729227060000</v>
      </c>
      <c r="H101" s="3">
        <v>58147857000000</v>
      </c>
      <c r="I101" s="3">
        <v>58147857000000</v>
      </c>
      <c r="J101" s="3"/>
    </row>
    <row r="102" spans="1:26" ht="14.25" customHeight="1">
      <c r="A102" s="4" t="s">
        <v>151</v>
      </c>
      <c r="B102" s="3"/>
      <c r="C102" s="3"/>
      <c r="D102" s="3"/>
      <c r="E102" s="3"/>
      <c r="F102" s="3"/>
      <c r="G102" s="3"/>
      <c r="H102" s="3"/>
      <c r="I102" s="3"/>
      <c r="J102" s="3"/>
    </row>
    <row r="103" spans="1:26" ht="14.25" customHeight="1">
      <c r="A103" s="4" t="s">
        <v>152</v>
      </c>
      <c r="B103" s="3">
        <v>674149437068</v>
      </c>
      <c r="C103" s="3">
        <v>3202198967068</v>
      </c>
      <c r="D103" s="3">
        <v>3211560416270</v>
      </c>
      <c r="E103" s="3">
        <v>3211560416270</v>
      </c>
      <c r="F103" s="3">
        <v>3211560416270</v>
      </c>
      <c r="G103" s="3">
        <v>3211560416270</v>
      </c>
      <c r="H103" s="3">
        <v>3211560416270</v>
      </c>
      <c r="I103" s="3">
        <v>3211560416270</v>
      </c>
      <c r="J103" s="3"/>
    </row>
    <row r="104" spans="1:26" ht="14.25" customHeight="1">
      <c r="A104" s="4" t="s">
        <v>153</v>
      </c>
      <c r="B104" s="3"/>
      <c r="C104" s="3"/>
      <c r="D104" s="3"/>
      <c r="E104" s="3"/>
      <c r="F104" s="3"/>
      <c r="G104" s="3"/>
      <c r="H104" s="3"/>
      <c r="I104" s="3"/>
      <c r="J104" s="3"/>
    </row>
    <row r="105" spans="1:26" ht="14.25" customHeight="1">
      <c r="A105" s="4" t="s">
        <v>154</v>
      </c>
      <c r="B105" s="3"/>
      <c r="C105" s="3"/>
      <c r="D105" s="3"/>
      <c r="E105" s="3"/>
      <c r="F105" s="3"/>
      <c r="G105" s="3"/>
      <c r="H105" s="3"/>
      <c r="I105" s="3"/>
      <c r="J105" s="3"/>
    </row>
    <row r="106" spans="1:26" ht="14.25" customHeight="1">
      <c r="A106" s="4" t="s">
        <v>155</v>
      </c>
      <c r="B106" s="3"/>
      <c r="C106" s="3">
        <v>-1693270000</v>
      </c>
      <c r="D106" s="3"/>
      <c r="E106" s="3"/>
      <c r="F106" s="3"/>
      <c r="G106" s="3"/>
      <c r="H106" s="3"/>
      <c r="I106" s="3"/>
      <c r="J106" s="3"/>
    </row>
    <row r="107" spans="1:26" ht="14.25" customHeight="1">
      <c r="A107" s="4" t="s">
        <v>156</v>
      </c>
      <c r="B107" s="3"/>
      <c r="C107" s="3"/>
      <c r="D107" s="3"/>
      <c r="E107" s="3"/>
      <c r="F107" s="3"/>
      <c r="G107" s="3"/>
      <c r="H107" s="3"/>
      <c r="I107" s="3"/>
      <c r="J107" s="3"/>
    </row>
    <row r="108" spans="1:26" ht="14.25" customHeight="1">
      <c r="A108" s="4" t="s">
        <v>157</v>
      </c>
      <c r="B108" s="3"/>
      <c r="C108" s="3"/>
      <c r="D108" s="3">
        <v>276819257</v>
      </c>
      <c r="E108" s="3">
        <v>565534994</v>
      </c>
      <c r="F108" s="3">
        <v>5568369072</v>
      </c>
      <c r="G108" s="3">
        <v>-1925960852</v>
      </c>
      <c r="H108" s="3">
        <v>-20652355005</v>
      </c>
      <c r="I108" s="3"/>
      <c r="J108" s="3"/>
    </row>
    <row r="109" spans="1:26" ht="14.25" customHeight="1">
      <c r="A109" s="4" t="s">
        <v>158</v>
      </c>
      <c r="B109" s="3">
        <v>1156415747213</v>
      </c>
      <c r="C109" s="3">
        <v>518641612156</v>
      </c>
      <c r="D109" s="3">
        <v>918641612156</v>
      </c>
      <c r="E109" s="3">
        <v>923641612156</v>
      </c>
      <c r="F109" s="3">
        <v>928641612156</v>
      </c>
      <c r="G109" s="3">
        <v>923549304122</v>
      </c>
      <c r="H109" s="3">
        <v>834782434216</v>
      </c>
      <c r="I109" s="3">
        <v>818200313964</v>
      </c>
      <c r="J109" s="3"/>
    </row>
    <row r="110" spans="1:26" ht="14.25" customHeight="1">
      <c r="A110" s="4" t="s">
        <v>159</v>
      </c>
      <c r="B110" s="3"/>
      <c r="C110" s="3"/>
      <c r="D110" s="3"/>
      <c r="E110" s="3"/>
      <c r="F110" s="3"/>
      <c r="G110" s="3"/>
      <c r="H110" s="3"/>
      <c r="I110" s="3"/>
      <c r="J110" s="3"/>
    </row>
    <row r="111" spans="1:26" ht="14.25" customHeight="1">
      <c r="A111" s="4" t="s">
        <v>160</v>
      </c>
      <c r="B111" s="3"/>
      <c r="C111" s="3"/>
      <c r="D111" s="3"/>
      <c r="E111" s="3"/>
      <c r="F111" s="3"/>
      <c r="G111" s="3"/>
      <c r="H111" s="3"/>
      <c r="I111" s="3"/>
      <c r="J111" s="3"/>
    </row>
    <row r="112" spans="1:26" ht="14.25" customHeight="1">
      <c r="A112" s="4" t="s">
        <v>161</v>
      </c>
      <c r="B112" s="3">
        <v>9486351633348</v>
      </c>
      <c r="C112" s="3">
        <v>13397029077196</v>
      </c>
      <c r="D112" s="3">
        <v>15126437863905</v>
      </c>
      <c r="E112" s="3">
        <v>15876913750948</v>
      </c>
      <c r="F112" s="3">
        <v>21792442633285</v>
      </c>
      <c r="G112" s="3">
        <v>41763425970912</v>
      </c>
      <c r="H112" s="3">
        <v>33833829973987</v>
      </c>
      <c r="I112" s="3">
        <v>40593031662654</v>
      </c>
      <c r="J112" s="3"/>
    </row>
    <row r="113" spans="1:10" ht="14.25" customHeight="1">
      <c r="A113" s="4" t="s">
        <v>162</v>
      </c>
      <c r="B113" s="3">
        <v>3317122322348</v>
      </c>
      <c r="C113" s="3">
        <v>8006672113847</v>
      </c>
      <c r="D113" s="3">
        <v>8573014210414</v>
      </c>
      <c r="E113" s="3">
        <v>7527442867874</v>
      </c>
      <c r="F113" s="3">
        <v>13450300052812</v>
      </c>
      <c r="G113" s="3">
        <v>34478143197460</v>
      </c>
      <c r="H113" s="3">
        <v>25350319419956</v>
      </c>
      <c r="I113" s="3">
        <v>33796166741483</v>
      </c>
      <c r="J113" s="3"/>
    </row>
    <row r="114" spans="1:10" ht="14.25" customHeight="1">
      <c r="A114" s="4" t="s">
        <v>163</v>
      </c>
      <c r="B114" s="3">
        <v>6169229311000</v>
      </c>
      <c r="C114" s="3">
        <v>5390356963349</v>
      </c>
      <c r="D114" s="3">
        <v>6553423653491</v>
      </c>
      <c r="E114" s="3">
        <v>8349470883074</v>
      </c>
      <c r="F114" s="3">
        <v>8342142580473</v>
      </c>
      <c r="G114" s="3">
        <v>7285282773452</v>
      </c>
      <c r="H114" s="3">
        <v>8483510554031</v>
      </c>
      <c r="I114" s="3">
        <v>6796864921171</v>
      </c>
      <c r="J114" s="3"/>
    </row>
    <row r="115" spans="1:10" ht="14.25" customHeight="1">
      <c r="A115" s="4" t="s">
        <v>164</v>
      </c>
      <c r="B115" s="3"/>
      <c r="C115" s="3"/>
      <c r="D115" s="3"/>
      <c r="E115" s="3"/>
      <c r="F115" s="3"/>
      <c r="G115" s="3"/>
      <c r="H115" s="3"/>
      <c r="I115" s="3"/>
      <c r="J115" s="3"/>
    </row>
    <row r="116" spans="1:10" ht="14.25" customHeight="1">
      <c r="A116" s="4" t="s">
        <v>165</v>
      </c>
      <c r="B116" s="3">
        <v>104594700335</v>
      </c>
      <c r="C116" s="3">
        <v>110613825490</v>
      </c>
      <c r="D116" s="3">
        <v>126961469222</v>
      </c>
      <c r="E116" s="3">
        <v>163213679327</v>
      </c>
      <c r="F116" s="3">
        <v>148746685328</v>
      </c>
      <c r="G116" s="3">
        <v>154788720987</v>
      </c>
      <c r="H116" s="3">
        <v>105562146315</v>
      </c>
      <c r="I116" s="3">
        <v>65769846491</v>
      </c>
      <c r="J116" s="3"/>
    </row>
    <row r="117" spans="1:10" ht="14.25" customHeight="1">
      <c r="A117" s="4" t="s">
        <v>166</v>
      </c>
      <c r="B117" s="3"/>
      <c r="C117" s="3"/>
      <c r="D117" s="3"/>
      <c r="E117" s="3"/>
      <c r="F117" s="3"/>
      <c r="G117" s="3"/>
      <c r="H117" s="3"/>
      <c r="I117" s="3"/>
      <c r="J117" s="3"/>
    </row>
    <row r="118" spans="1:10" ht="14.25" customHeight="1">
      <c r="A118" s="4" t="s">
        <v>167</v>
      </c>
      <c r="B118" s="3"/>
      <c r="C118" s="3"/>
      <c r="D118" s="3"/>
      <c r="E118" s="3"/>
      <c r="F118" s="3"/>
      <c r="G118" s="3"/>
      <c r="H118" s="3"/>
      <c r="I118" s="3"/>
      <c r="J118" s="3"/>
    </row>
    <row r="119" spans="1:10" ht="14.25" customHeight="1">
      <c r="A119" s="4" t="s">
        <v>168</v>
      </c>
      <c r="B119" s="3"/>
      <c r="C119" s="3"/>
      <c r="D119" s="3"/>
      <c r="E119" s="3"/>
      <c r="F119" s="3"/>
      <c r="G119" s="3"/>
      <c r="H119" s="3"/>
      <c r="I119" s="3"/>
      <c r="J119" s="3"/>
    </row>
    <row r="120" spans="1:10" ht="14.25" customHeight="1">
      <c r="A120" s="4" t="s">
        <v>169</v>
      </c>
      <c r="B120" s="3">
        <v>33226552317885</v>
      </c>
      <c r="C120" s="3">
        <v>53022184778251</v>
      </c>
      <c r="D120" s="3">
        <v>78223007670925</v>
      </c>
      <c r="E120" s="3">
        <v>101776030099900</v>
      </c>
      <c r="F120" s="3">
        <v>131511434388837</v>
      </c>
      <c r="G120" s="3">
        <v>178236422358249</v>
      </c>
      <c r="H120" s="3">
        <v>170335519508132</v>
      </c>
      <c r="I120" s="3">
        <v>187782586563801</v>
      </c>
      <c r="J120" s="3"/>
    </row>
    <row r="121" spans="1:10" ht="14.25" customHeight="1"/>
    <row r="122" spans="1:10" ht="14.25" customHeight="1"/>
    <row r="123" spans="1:10" ht="14.25" customHeight="1"/>
    <row r="124" spans="1:10" ht="14.25" customHeight="1"/>
    <row r="125" spans="1:10" ht="14.25" customHeight="1"/>
    <row r="126" spans="1:10" ht="14.25" customHeight="1"/>
    <row r="127" spans="1:10" ht="14.25" customHeight="1"/>
    <row r="128" spans="1:10"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ageMargins left="0.7" right="0.7" top="0.75" bottom="0.75" header="0" footer="0"/>
  <pageSetup orientation="landscape"/>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Z1002"/>
  <sheetViews>
    <sheetView workbookViewId="0">
      <pane ySplit="9" topLeftCell="A10" activePane="bottomLeft" state="frozen"/>
      <selection pane="bottomLeft" activeCell="B11" sqref="B11"/>
    </sheetView>
  </sheetViews>
  <sheetFormatPr defaultColWidth="14.42578125" defaultRowHeight="15" customHeight="1"/>
  <sheetData>
    <row r="1" spans="1:26" hidden="1">
      <c r="A1" s="197"/>
      <c r="B1" s="197"/>
      <c r="C1" s="197"/>
      <c r="D1" s="197"/>
      <c r="E1" s="197"/>
      <c r="F1" s="197"/>
      <c r="G1" s="197"/>
      <c r="H1" s="197"/>
      <c r="I1" s="197"/>
      <c r="J1" s="197"/>
      <c r="K1" s="197"/>
      <c r="L1" s="197"/>
      <c r="M1" s="197"/>
      <c r="N1" s="197"/>
      <c r="O1" s="197"/>
      <c r="P1" s="197"/>
      <c r="Q1" s="197"/>
      <c r="R1" s="197"/>
      <c r="S1" s="197"/>
      <c r="T1" s="198"/>
      <c r="U1" s="197"/>
      <c r="V1" s="197"/>
      <c r="W1" s="197"/>
      <c r="X1" s="197"/>
      <c r="Y1" s="197"/>
      <c r="Z1" s="197"/>
    </row>
    <row r="2" spans="1:26" hidden="1">
      <c r="A2" s="197"/>
      <c r="B2" s="197"/>
      <c r="C2" s="197"/>
      <c r="D2" s="197"/>
      <c r="E2" s="197"/>
      <c r="F2" s="197"/>
      <c r="G2" s="197"/>
      <c r="H2" s="197"/>
      <c r="I2" s="197"/>
      <c r="J2" s="197"/>
      <c r="K2" s="197"/>
      <c r="L2" s="197"/>
      <c r="M2" s="197"/>
      <c r="N2" s="197"/>
      <c r="O2" s="197"/>
      <c r="P2" s="197"/>
      <c r="Q2" s="197"/>
      <c r="R2" s="197"/>
      <c r="S2" s="197"/>
      <c r="T2" s="198"/>
      <c r="U2" s="197"/>
      <c r="V2" s="197"/>
      <c r="W2" s="197"/>
      <c r="X2" s="197"/>
      <c r="Y2" s="197"/>
      <c r="Z2" s="197"/>
    </row>
    <row r="3" spans="1:26" hidden="1">
      <c r="A3" s="197"/>
      <c r="B3" s="197"/>
      <c r="C3" s="197"/>
      <c r="D3" s="197"/>
      <c r="E3" s="197"/>
      <c r="F3" s="197"/>
      <c r="G3" s="197"/>
      <c r="H3" s="197"/>
      <c r="I3" s="199"/>
      <c r="J3" s="199"/>
      <c r="K3" s="199"/>
      <c r="L3" s="199"/>
      <c r="M3" s="199"/>
      <c r="N3" s="199"/>
      <c r="O3" s="197"/>
      <c r="P3" s="197"/>
      <c r="Q3" s="197"/>
      <c r="R3" s="197"/>
      <c r="S3" s="197"/>
      <c r="T3" s="198"/>
      <c r="U3" s="197"/>
      <c r="V3" s="197"/>
      <c r="W3" s="197"/>
      <c r="X3" s="197"/>
      <c r="Y3" s="197"/>
      <c r="Z3" s="197"/>
    </row>
    <row r="4" spans="1:26" hidden="1">
      <c r="A4" s="197"/>
      <c r="B4" s="197"/>
      <c r="C4" s="197"/>
      <c r="D4" s="197"/>
      <c r="E4" s="197"/>
      <c r="F4" s="197"/>
      <c r="G4" s="197"/>
      <c r="H4" s="197"/>
      <c r="I4" s="200" t="s">
        <v>541</v>
      </c>
      <c r="J4" s="197"/>
      <c r="K4" s="197"/>
      <c r="L4" s="197"/>
      <c r="M4" s="197"/>
      <c r="N4" s="197"/>
      <c r="O4" s="197"/>
      <c r="P4" s="197"/>
      <c r="Q4" s="197"/>
      <c r="R4" s="197"/>
      <c r="S4" s="197"/>
      <c r="T4" s="198"/>
      <c r="U4" s="197"/>
      <c r="V4" s="197"/>
      <c r="W4" s="197"/>
      <c r="X4" s="197"/>
      <c r="Y4" s="197"/>
      <c r="Z4" s="197"/>
    </row>
    <row r="5" spans="1:26" hidden="1">
      <c r="A5" s="197"/>
      <c r="B5" s="197"/>
      <c r="C5" s="197"/>
      <c r="D5" s="197"/>
      <c r="E5" s="197"/>
      <c r="F5" s="197"/>
      <c r="G5" s="197"/>
      <c r="H5" s="197"/>
      <c r="I5" s="197"/>
      <c r="J5" s="197"/>
      <c r="K5" s="197"/>
      <c r="L5" s="199"/>
      <c r="M5" s="197"/>
      <c r="N5" s="197"/>
      <c r="O5" s="197"/>
      <c r="P5" s="197"/>
      <c r="Q5" s="197"/>
      <c r="R5" s="197"/>
      <c r="S5" s="197"/>
      <c r="T5" s="198"/>
      <c r="U5" s="197"/>
      <c r="V5" s="197"/>
      <c r="W5" s="197"/>
      <c r="X5" s="197"/>
      <c r="Y5" s="197"/>
      <c r="Z5" s="197"/>
    </row>
    <row r="6" spans="1:26">
      <c r="A6" s="197"/>
      <c r="B6" s="201" t="s">
        <v>301</v>
      </c>
      <c r="C6" s="197"/>
      <c r="D6" s="197"/>
      <c r="E6" s="197"/>
      <c r="F6" s="197"/>
      <c r="G6" s="197"/>
      <c r="H6" s="197"/>
      <c r="I6" s="197"/>
      <c r="J6" s="197"/>
      <c r="K6" s="197"/>
      <c r="L6" s="197"/>
      <c r="M6" s="197"/>
      <c r="N6" s="197"/>
      <c r="O6" s="197"/>
      <c r="P6" s="197"/>
      <c r="Q6" s="197"/>
      <c r="R6" s="197"/>
      <c r="S6" s="197"/>
      <c r="T6" s="198"/>
      <c r="U6" s="197"/>
      <c r="V6" s="197"/>
      <c r="W6" s="197"/>
      <c r="X6" s="197"/>
      <c r="Y6" s="197"/>
      <c r="Z6" s="197"/>
    </row>
    <row r="7" spans="1:26">
      <c r="A7" s="197"/>
      <c r="B7" s="202" t="e">
        <f>ticker</f>
        <v>#NAME?</v>
      </c>
      <c r="C7" s="197"/>
      <c r="D7" s="197"/>
      <c r="E7" s="197"/>
      <c r="F7" s="197"/>
      <c r="G7" s="197"/>
      <c r="H7" s="197"/>
      <c r="I7" s="197"/>
      <c r="J7" s="197"/>
      <c r="K7" s="197"/>
      <c r="L7" s="197"/>
      <c r="M7" s="197"/>
      <c r="N7" s="197"/>
      <c r="O7" s="197"/>
      <c r="P7" s="197"/>
      <c r="Q7" s="197"/>
      <c r="R7" s="197"/>
      <c r="S7" s="197"/>
      <c r="T7" s="198"/>
      <c r="U7" s="197"/>
      <c r="V7" s="197"/>
      <c r="W7" s="197"/>
      <c r="X7" s="197"/>
      <c r="Y7" s="197"/>
      <c r="Z7" s="197"/>
    </row>
    <row r="8" spans="1:26">
      <c r="A8" s="197"/>
      <c r="B8" s="197"/>
      <c r="C8" s="197"/>
      <c r="D8" s="197"/>
      <c r="E8" s="631" t="s">
        <v>302</v>
      </c>
      <c r="F8" s="625"/>
      <c r="G8" s="625"/>
      <c r="H8" s="625"/>
      <c r="I8" s="203" t="s">
        <v>303</v>
      </c>
      <c r="J8" s="203" t="s">
        <v>304</v>
      </c>
      <c r="K8" s="203" t="s">
        <v>305</v>
      </c>
      <c r="L8" s="203" t="s">
        <v>306</v>
      </c>
      <c r="M8" s="203" t="s">
        <v>307</v>
      </c>
      <c r="N8" s="203" t="s">
        <v>308</v>
      </c>
      <c r="O8" s="203" t="s">
        <v>309</v>
      </c>
      <c r="P8" s="203" t="s">
        <v>310</v>
      </c>
      <c r="Q8" s="203" t="s">
        <v>311</v>
      </c>
      <c r="R8" s="203" t="s">
        <v>312</v>
      </c>
      <c r="S8" s="197"/>
      <c r="T8" s="198"/>
      <c r="U8" s="197"/>
      <c r="V8" s="197"/>
      <c r="W8" s="197"/>
      <c r="X8" s="197"/>
      <c r="Y8" s="197"/>
      <c r="Z8" s="197"/>
    </row>
    <row r="9" spans="1:26">
      <c r="A9" s="197"/>
      <c r="B9" s="202" t="s">
        <v>313</v>
      </c>
      <c r="C9" s="204"/>
      <c r="D9" s="205">
        <v>2019</v>
      </c>
      <c r="E9" s="205">
        <v>2020</v>
      </c>
      <c r="F9" s="205">
        <v>2021</v>
      </c>
      <c r="G9" s="205">
        <v>2022</v>
      </c>
      <c r="H9" s="205">
        <v>2023</v>
      </c>
      <c r="I9" s="206">
        <f t="shared" ref="I9:R9" si="0">H9+1</f>
        <v>2024</v>
      </c>
      <c r="J9" s="206">
        <f t="shared" si="0"/>
        <v>2025</v>
      </c>
      <c r="K9" s="206">
        <f t="shared" si="0"/>
        <v>2026</v>
      </c>
      <c r="L9" s="206">
        <f t="shared" si="0"/>
        <v>2027</v>
      </c>
      <c r="M9" s="206">
        <f t="shared" si="0"/>
        <v>2028</v>
      </c>
      <c r="N9" s="206">
        <f t="shared" si="0"/>
        <v>2029</v>
      </c>
      <c r="O9" s="206">
        <f t="shared" si="0"/>
        <v>2030</v>
      </c>
      <c r="P9" s="206">
        <f t="shared" si="0"/>
        <v>2031</v>
      </c>
      <c r="Q9" s="206">
        <f t="shared" si="0"/>
        <v>2032</v>
      </c>
      <c r="R9" s="206">
        <f t="shared" si="0"/>
        <v>2033</v>
      </c>
      <c r="S9" s="207"/>
      <c r="T9" s="208" t="s">
        <v>314</v>
      </c>
      <c r="U9" s="197"/>
      <c r="V9" s="197"/>
      <c r="W9" s="197"/>
      <c r="X9" s="197"/>
      <c r="Y9" s="197"/>
      <c r="Z9" s="197"/>
    </row>
    <row r="10" spans="1:26">
      <c r="A10" s="197"/>
      <c r="B10" s="197"/>
      <c r="C10" s="209"/>
      <c r="D10" s="209"/>
      <c r="E10" s="209"/>
      <c r="F10" s="209"/>
      <c r="G10" s="209"/>
      <c r="H10" s="209"/>
      <c r="I10" s="210"/>
      <c r="J10" s="210"/>
      <c r="K10" s="210"/>
      <c r="L10" s="210"/>
      <c r="M10" s="210"/>
      <c r="N10" s="210"/>
      <c r="O10" s="210"/>
      <c r="P10" s="210"/>
      <c r="Q10" s="210"/>
      <c r="R10" s="210"/>
      <c r="S10" s="210"/>
      <c r="T10" s="211" t="s">
        <v>315</v>
      </c>
      <c r="U10" s="197"/>
      <c r="V10" s="197"/>
      <c r="W10" s="197"/>
      <c r="X10" s="197"/>
      <c r="Y10" s="197"/>
      <c r="Z10" s="197"/>
    </row>
    <row r="11" spans="1:26">
      <c r="A11" s="212" t="s">
        <v>316</v>
      </c>
      <c r="B11" s="213" t="s">
        <v>317</v>
      </c>
      <c r="C11" s="214"/>
      <c r="D11" s="215" t="s">
        <v>540</v>
      </c>
      <c r="E11" s="215" t="s">
        <v>540</v>
      </c>
      <c r="F11" s="215" t="s">
        <v>540</v>
      </c>
      <c r="G11" s="215" t="s">
        <v>540</v>
      </c>
      <c r="H11" s="215" t="s">
        <v>540</v>
      </c>
      <c r="I11" s="216" t="s">
        <v>541</v>
      </c>
      <c r="J11" s="216" t="s">
        <v>541</v>
      </c>
      <c r="K11" s="216" t="s">
        <v>541</v>
      </c>
      <c r="L11" s="216" t="s">
        <v>541</v>
      </c>
      <c r="M11" s="216" t="s">
        <v>541</v>
      </c>
      <c r="N11" s="216" t="s">
        <v>541</v>
      </c>
      <c r="O11" s="216" t="s">
        <v>541</v>
      </c>
      <c r="P11" s="216" t="s">
        <v>541</v>
      </c>
      <c r="Q11" s="216" t="s">
        <v>541</v>
      </c>
      <c r="R11" s="216" t="s">
        <v>541</v>
      </c>
      <c r="S11" s="217"/>
      <c r="T11" s="218" t="e">
        <f>'[3]1'!H121*(1-'[4]5'!H90/'[5]Middle Statement'!H29)</f>
        <v>#REF!</v>
      </c>
      <c r="U11" s="197"/>
      <c r="V11" s="197"/>
      <c r="W11" s="197"/>
      <c r="X11" s="197"/>
      <c r="Y11" s="197"/>
      <c r="Z11" s="197"/>
    </row>
    <row r="12" spans="1:26">
      <c r="A12" s="197"/>
      <c r="B12" s="219" t="s">
        <v>318</v>
      </c>
      <c r="C12" s="214"/>
      <c r="D12" s="214"/>
      <c r="E12" s="220" t="e">
        <f t="shared" ref="E12:R12" si="1">E11/D11-1</f>
        <v>#VALUE!</v>
      </c>
      <c r="F12" s="220" t="e">
        <f t="shared" si="1"/>
        <v>#VALUE!</v>
      </c>
      <c r="G12" s="220" t="e">
        <f t="shared" si="1"/>
        <v>#VALUE!</v>
      </c>
      <c r="H12" s="220" t="e">
        <f t="shared" si="1"/>
        <v>#VALUE!</v>
      </c>
      <c r="I12" s="221" t="e">
        <f t="shared" si="1"/>
        <v>#VALUE!</v>
      </c>
      <c r="J12" s="221" t="e">
        <f t="shared" si="1"/>
        <v>#VALUE!</v>
      </c>
      <c r="K12" s="221" t="e">
        <f t="shared" si="1"/>
        <v>#VALUE!</v>
      </c>
      <c r="L12" s="221" t="e">
        <f t="shared" si="1"/>
        <v>#VALUE!</v>
      </c>
      <c r="M12" s="221" t="e">
        <f t="shared" si="1"/>
        <v>#VALUE!</v>
      </c>
      <c r="N12" s="221" t="e">
        <f t="shared" si="1"/>
        <v>#VALUE!</v>
      </c>
      <c r="O12" s="221" t="e">
        <f t="shared" si="1"/>
        <v>#VALUE!</v>
      </c>
      <c r="P12" s="221" t="e">
        <f t="shared" si="1"/>
        <v>#VALUE!</v>
      </c>
      <c r="Q12" s="221" t="e">
        <f t="shared" si="1"/>
        <v>#VALUE!</v>
      </c>
      <c r="R12" s="221" t="e">
        <f t="shared" si="1"/>
        <v>#VALUE!</v>
      </c>
      <c r="S12" s="217"/>
      <c r="T12" s="211" t="s">
        <v>319</v>
      </c>
      <c r="U12" s="197"/>
      <c r="V12" s="197"/>
      <c r="W12" s="197"/>
      <c r="X12" s="197"/>
      <c r="Y12" s="197"/>
      <c r="Z12" s="197"/>
    </row>
    <row r="13" spans="1:26">
      <c r="A13" s="197"/>
      <c r="B13" s="222"/>
      <c r="C13" s="214"/>
      <c r="D13" s="214"/>
      <c r="E13" s="214"/>
      <c r="F13" s="214"/>
      <c r="G13" s="214"/>
      <c r="H13" s="214"/>
      <c r="I13" s="217"/>
      <c r="J13" s="217"/>
      <c r="K13" s="217"/>
      <c r="L13" s="217"/>
      <c r="M13" s="217"/>
      <c r="N13" s="217"/>
      <c r="O13" s="217"/>
      <c r="P13" s="217"/>
      <c r="Q13" s="217"/>
      <c r="R13" s="217"/>
      <c r="S13" s="217"/>
      <c r="T13" s="218" t="e">
        <f>('[3]1'!H124*(1-'[4]5'!H90/'[5]Middle Statement'!H29))/(1-('[3]1'!H124*(1-'[4]5'!H90/'[5]Middle Statement'!H29)))</f>
        <v>#REF!</v>
      </c>
      <c r="U13" s="197"/>
      <c r="V13" s="197"/>
      <c r="W13" s="197"/>
      <c r="X13" s="197"/>
      <c r="Y13" s="197"/>
      <c r="Z13" s="197"/>
    </row>
    <row r="14" spans="1:26">
      <c r="A14" s="223"/>
      <c r="B14" s="224" t="s">
        <v>320</v>
      </c>
      <c r="C14" s="214"/>
      <c r="D14" s="225">
        <v>14344766</v>
      </c>
      <c r="E14" s="225">
        <v>19794973</v>
      </c>
      <c r="F14" s="225">
        <v>21892049</v>
      </c>
      <c r="G14" s="225">
        <v>28854965</v>
      </c>
      <c r="H14" s="225">
        <f>13103507+16697599+10658086</f>
        <v>40459192</v>
      </c>
      <c r="I14" s="226" t="e">
        <f t="shared" ref="I14:J14" si="2">I89+I115+I125</f>
        <v>#VALUE!</v>
      </c>
      <c r="J14" s="226" t="e">
        <f t="shared" si="2"/>
        <v>#REF!</v>
      </c>
      <c r="K14" s="226" t="e">
        <f t="shared" ref="K14:N14" si="3">K89+K115+J125</f>
        <v>#VALUE!</v>
      </c>
      <c r="L14" s="226">
        <f t="shared" si="3"/>
        <v>126166175</v>
      </c>
      <c r="M14" s="226">
        <f t="shared" si="3"/>
        <v>130678613.25</v>
      </c>
      <c r="N14" s="226">
        <f t="shared" si="3"/>
        <v>133292185.51499999</v>
      </c>
      <c r="O14" s="226">
        <f t="shared" ref="O14:R14" si="4">O89+O115+O125</f>
        <v>0</v>
      </c>
      <c r="P14" s="226">
        <f t="shared" si="4"/>
        <v>0</v>
      </c>
      <c r="Q14" s="226">
        <f t="shared" si="4"/>
        <v>0</v>
      </c>
      <c r="R14" s="226">
        <f t="shared" si="4"/>
        <v>0</v>
      </c>
      <c r="S14" s="227"/>
      <c r="T14" s="198"/>
      <c r="U14" s="197"/>
      <c r="V14" s="197"/>
      <c r="W14" s="197"/>
      <c r="X14" s="197"/>
      <c r="Y14" s="197"/>
      <c r="Z14" s="197"/>
    </row>
    <row r="15" spans="1:26">
      <c r="A15" s="197"/>
      <c r="B15" s="219" t="s">
        <v>318</v>
      </c>
      <c r="C15" s="214"/>
      <c r="D15" s="214"/>
      <c r="E15" s="220">
        <f t="shared" ref="E15:H15" si="5">E14/D14-1</f>
        <v>0.37994394610549942</v>
      </c>
      <c r="F15" s="220">
        <f t="shared" si="5"/>
        <v>0.10593982623770182</v>
      </c>
      <c r="G15" s="220">
        <f t="shared" si="5"/>
        <v>0.31805684337724616</v>
      </c>
      <c r="H15" s="228">
        <f t="shared" si="5"/>
        <v>0.40215702912826257</v>
      </c>
      <c r="I15" s="229"/>
      <c r="J15" s="229"/>
      <c r="K15" s="229"/>
      <c r="L15" s="229"/>
      <c r="M15" s="229"/>
      <c r="N15" s="229"/>
      <c r="O15" s="229"/>
      <c r="P15" s="229"/>
      <c r="Q15" s="229"/>
      <c r="R15" s="230"/>
      <c r="S15" s="212" t="s">
        <v>316</v>
      </c>
      <c r="T15" s="198"/>
      <c r="U15" s="197"/>
      <c r="V15" s="197"/>
      <c r="W15" s="197"/>
      <c r="X15" s="197"/>
      <c r="Y15" s="197"/>
      <c r="Z15" s="197"/>
    </row>
    <row r="16" spans="1:26">
      <c r="A16" s="197"/>
      <c r="B16" s="222"/>
      <c r="C16" s="214"/>
      <c r="D16" s="214"/>
      <c r="E16" s="231"/>
      <c r="F16" s="231"/>
      <c r="G16" s="231"/>
      <c r="H16" s="231"/>
      <c r="I16" s="198"/>
      <c r="J16" s="198"/>
      <c r="K16" s="198"/>
      <c r="L16" s="198"/>
      <c r="M16" s="198"/>
      <c r="N16" s="198"/>
      <c r="O16" s="198"/>
      <c r="P16" s="198"/>
      <c r="Q16" s="198"/>
      <c r="R16" s="198"/>
      <c r="S16" s="198"/>
      <c r="T16" s="198"/>
      <c r="U16" s="197"/>
      <c r="V16" s="197"/>
      <c r="W16" s="197"/>
      <c r="X16" s="197"/>
      <c r="Y16" s="197"/>
      <c r="Z16" s="197"/>
    </row>
    <row r="17" spans="1:26">
      <c r="A17" s="223"/>
      <c r="B17" s="224" t="s">
        <v>321</v>
      </c>
      <c r="C17" s="214"/>
      <c r="D17" s="225">
        <v>1425038</v>
      </c>
      <c r="E17" s="225">
        <v>2968661</v>
      </c>
      <c r="F17" s="225">
        <v>1062606</v>
      </c>
      <c r="G17" s="225">
        <v>435463</v>
      </c>
      <c r="H17" s="225">
        <f>195918-350901+238710</f>
        <v>83727</v>
      </c>
      <c r="I17" s="226" t="e">
        <f t="shared" ref="I17:R17" si="6">I139+I143</f>
        <v>#VALUE!</v>
      </c>
      <c r="J17" s="226" t="e">
        <f t="shared" si="6"/>
        <v>#VALUE!</v>
      </c>
      <c r="K17" s="226" t="e">
        <f t="shared" si="6"/>
        <v>#VALUE!</v>
      </c>
      <c r="L17" s="226" t="e">
        <f t="shared" si="6"/>
        <v>#VALUE!</v>
      </c>
      <c r="M17" s="226" t="e">
        <f t="shared" si="6"/>
        <v>#VALUE!</v>
      </c>
      <c r="N17" s="226" t="e">
        <f t="shared" si="6"/>
        <v>#VALUE!</v>
      </c>
      <c r="O17" s="226">
        <f t="shared" si="6"/>
        <v>0</v>
      </c>
      <c r="P17" s="226">
        <f t="shared" si="6"/>
        <v>0</v>
      </c>
      <c r="Q17" s="226">
        <f t="shared" si="6"/>
        <v>0</v>
      </c>
      <c r="R17" s="226">
        <f t="shared" si="6"/>
        <v>0</v>
      </c>
      <c r="S17" s="227"/>
      <c r="T17" s="198"/>
      <c r="U17" s="197"/>
      <c r="V17" s="197"/>
      <c r="W17" s="197"/>
      <c r="X17" s="197"/>
      <c r="Y17" s="197"/>
      <c r="Z17" s="197"/>
    </row>
    <row r="18" spans="1:26">
      <c r="A18" s="197"/>
      <c r="B18" s="232" t="s">
        <v>318</v>
      </c>
      <c r="C18" s="214"/>
      <c r="D18" s="214"/>
      <c r="E18" s="220">
        <f t="shared" ref="E18:H18" si="7">E17/D17-1</f>
        <v>1.0832153247843217</v>
      </c>
      <c r="F18" s="220">
        <f t="shared" si="7"/>
        <v>-0.64205882719515639</v>
      </c>
      <c r="G18" s="220">
        <f t="shared" si="7"/>
        <v>-0.59019335482765956</v>
      </c>
      <c r="H18" s="233">
        <f t="shared" si="7"/>
        <v>-0.80772878522400293</v>
      </c>
      <c r="I18" s="229"/>
      <c r="J18" s="229"/>
      <c r="K18" s="229"/>
      <c r="L18" s="229"/>
      <c r="M18" s="229"/>
      <c r="N18" s="229"/>
      <c r="O18" s="229"/>
      <c r="P18" s="229"/>
      <c r="Q18" s="229"/>
      <c r="R18" s="230"/>
      <c r="S18" s="212" t="s">
        <v>316</v>
      </c>
      <c r="T18" s="198"/>
      <c r="U18" s="197"/>
      <c r="V18" s="197"/>
      <c r="W18" s="197"/>
      <c r="X18" s="197"/>
      <c r="Y18" s="197"/>
      <c r="Z18" s="197"/>
    </row>
    <row r="19" spans="1:26">
      <c r="A19" s="197"/>
      <c r="B19" s="222"/>
      <c r="C19" s="214"/>
      <c r="D19" s="214"/>
      <c r="E19" s="231"/>
      <c r="F19" s="231"/>
      <c r="G19" s="231"/>
      <c r="H19" s="231"/>
      <c r="I19" s="198"/>
      <c r="J19" s="198"/>
      <c r="K19" s="198"/>
      <c r="L19" s="198"/>
      <c r="M19" s="198"/>
      <c r="N19" s="198"/>
      <c r="O19" s="198"/>
      <c r="P19" s="198"/>
      <c r="Q19" s="198"/>
      <c r="R19" s="198"/>
      <c r="S19" s="198"/>
      <c r="T19" s="198"/>
      <c r="U19" s="197"/>
      <c r="V19" s="197"/>
      <c r="W19" s="197"/>
      <c r="X19" s="197"/>
      <c r="Y19" s="197"/>
      <c r="Z19" s="197"/>
    </row>
    <row r="20" spans="1:26">
      <c r="A20" s="223"/>
      <c r="B20" s="224" t="s">
        <v>322</v>
      </c>
      <c r="C20" s="214"/>
      <c r="D20" s="225">
        <v>0</v>
      </c>
      <c r="E20" s="225">
        <v>0</v>
      </c>
      <c r="F20" s="225">
        <v>1331968</v>
      </c>
      <c r="G20" s="225">
        <v>1394967</v>
      </c>
      <c r="H20" s="225">
        <f>605814+799059+1084193</f>
        <v>2489066</v>
      </c>
      <c r="I20" s="226">
        <f t="shared" ref="I20:R20" si="8">I155</f>
        <v>6200000</v>
      </c>
      <c r="J20" s="226">
        <f t="shared" si="8"/>
        <v>11660000</v>
      </c>
      <c r="K20" s="226">
        <f t="shared" si="8"/>
        <v>16400000</v>
      </c>
      <c r="L20" s="226">
        <f t="shared" si="8"/>
        <v>16400000</v>
      </c>
      <c r="M20" s="226">
        <f t="shared" si="8"/>
        <v>16400000</v>
      </c>
      <c r="N20" s="226">
        <f t="shared" si="8"/>
        <v>16400000</v>
      </c>
      <c r="O20" s="234">
        <f t="shared" si="8"/>
        <v>0</v>
      </c>
      <c r="P20" s="234">
        <f t="shared" si="8"/>
        <v>0</v>
      </c>
      <c r="Q20" s="234">
        <f t="shared" si="8"/>
        <v>0</v>
      </c>
      <c r="R20" s="234">
        <f t="shared" si="8"/>
        <v>0</v>
      </c>
      <c r="S20" s="227"/>
      <c r="T20" s="198"/>
      <c r="U20" s="197"/>
      <c r="V20" s="197"/>
      <c r="W20" s="197"/>
      <c r="X20" s="197"/>
      <c r="Y20" s="197"/>
      <c r="Z20" s="197"/>
    </row>
    <row r="21" spans="1:26">
      <c r="A21" s="197"/>
      <c r="B21" s="232" t="s">
        <v>318</v>
      </c>
      <c r="C21" s="214"/>
      <c r="D21" s="214"/>
      <c r="E21" s="220" t="e">
        <f t="shared" ref="E21:H21" si="9">E20/D20-1</f>
        <v>#DIV/0!</v>
      </c>
      <c r="F21" s="220" t="e">
        <f t="shared" si="9"/>
        <v>#DIV/0!</v>
      </c>
      <c r="G21" s="220">
        <f t="shared" si="9"/>
        <v>4.7297682827215137E-2</v>
      </c>
      <c r="H21" s="233">
        <f t="shared" si="9"/>
        <v>0.78431891220365779</v>
      </c>
      <c r="I21" s="229"/>
      <c r="J21" s="229"/>
      <c r="K21" s="229"/>
      <c r="L21" s="229"/>
      <c r="M21" s="229"/>
      <c r="N21" s="229"/>
      <c r="O21" s="229"/>
      <c r="P21" s="229"/>
      <c r="Q21" s="229"/>
      <c r="R21" s="230"/>
      <c r="S21" s="212" t="s">
        <v>316</v>
      </c>
      <c r="T21" s="198"/>
      <c r="U21" s="197"/>
      <c r="V21" s="197"/>
      <c r="W21" s="197"/>
      <c r="X21" s="197"/>
      <c r="Y21" s="197"/>
      <c r="Z21" s="197"/>
    </row>
    <row r="22" spans="1:26">
      <c r="A22" s="197"/>
      <c r="B22" s="222"/>
      <c r="C22" s="214"/>
      <c r="D22" s="214"/>
      <c r="E22" s="231"/>
      <c r="F22" s="231"/>
      <c r="G22" s="231"/>
      <c r="H22" s="231"/>
      <c r="I22" s="198"/>
      <c r="J22" s="198"/>
      <c r="K22" s="198"/>
      <c r="L22" s="198"/>
      <c r="M22" s="198"/>
      <c r="N22" s="198"/>
      <c r="O22" s="198"/>
      <c r="P22" s="198"/>
      <c r="Q22" s="198"/>
      <c r="R22" s="198"/>
      <c r="S22" s="198"/>
      <c r="T22" s="198"/>
      <c r="U22" s="197"/>
      <c r="V22" s="197"/>
      <c r="W22" s="197"/>
      <c r="X22" s="197"/>
      <c r="Y22" s="197"/>
      <c r="Z22" s="197"/>
    </row>
    <row r="23" spans="1:26">
      <c r="A23" s="223"/>
      <c r="B23" s="224" t="s">
        <v>323</v>
      </c>
      <c r="C23" s="214"/>
      <c r="D23" s="225" t="e">
        <f t="shared" ref="D23:H23" si="10">D11-D14-D17-D20</f>
        <v>#VALUE!</v>
      </c>
      <c r="E23" s="225" t="e">
        <f t="shared" si="10"/>
        <v>#VALUE!</v>
      </c>
      <c r="F23" s="225" t="e">
        <f t="shared" si="10"/>
        <v>#VALUE!</v>
      </c>
      <c r="G23" s="225" t="e">
        <f t="shared" si="10"/>
        <v>#VALUE!</v>
      </c>
      <c r="H23" s="225" t="e">
        <f t="shared" si="10"/>
        <v>#VALUE!</v>
      </c>
      <c r="I23" s="226">
        <f t="shared" ref="I23:R23" si="11">I171</f>
        <v>2784003.5120000001</v>
      </c>
      <c r="J23" s="226" t="str">
        <f t="shared" si="11"/>
        <v>#ERROR!</v>
      </c>
      <c r="K23" s="226" t="str">
        <f t="shared" si="11"/>
        <v>#ERROR!</v>
      </c>
      <c r="L23" s="226" t="str">
        <f t="shared" si="11"/>
        <v>#ERROR!</v>
      </c>
      <c r="M23" s="226" t="str">
        <f t="shared" si="11"/>
        <v>#ERROR!</v>
      </c>
      <c r="N23" s="226" t="str">
        <f t="shared" si="11"/>
        <v>#ERROR!</v>
      </c>
      <c r="O23" s="234">
        <f t="shared" si="11"/>
        <v>0</v>
      </c>
      <c r="P23" s="234">
        <f t="shared" si="11"/>
        <v>0</v>
      </c>
      <c r="Q23" s="234">
        <f t="shared" si="11"/>
        <v>0</v>
      </c>
      <c r="R23" s="234">
        <f t="shared" si="11"/>
        <v>0</v>
      </c>
      <c r="S23" s="227"/>
      <c r="T23" s="198"/>
      <c r="U23" s="197"/>
      <c r="V23" s="197"/>
      <c r="W23" s="197"/>
      <c r="X23" s="197"/>
      <c r="Y23" s="197"/>
      <c r="Z23" s="197"/>
    </row>
    <row r="24" spans="1:26">
      <c r="A24" s="197"/>
      <c r="B24" s="232" t="s">
        <v>318</v>
      </c>
      <c r="C24" s="214"/>
      <c r="D24" s="214"/>
      <c r="E24" s="220" t="e">
        <f t="shared" ref="E24:H24" si="12">E23/D23-1</f>
        <v>#VALUE!</v>
      </c>
      <c r="F24" s="220" t="e">
        <f t="shared" si="12"/>
        <v>#VALUE!</v>
      </c>
      <c r="G24" s="220" t="e">
        <f t="shared" si="12"/>
        <v>#VALUE!</v>
      </c>
      <c r="H24" s="233" t="e">
        <f t="shared" si="12"/>
        <v>#VALUE!</v>
      </c>
      <c r="I24" s="229"/>
      <c r="J24" s="229"/>
      <c r="K24" s="229"/>
      <c r="L24" s="229"/>
      <c r="M24" s="229"/>
      <c r="N24" s="229"/>
      <c r="O24" s="229"/>
      <c r="P24" s="229"/>
      <c r="Q24" s="229"/>
      <c r="R24" s="230"/>
      <c r="S24" s="212" t="s">
        <v>316</v>
      </c>
      <c r="T24" s="198"/>
      <c r="U24" s="197"/>
      <c r="V24" s="197"/>
      <c r="W24" s="197"/>
      <c r="X24" s="197"/>
      <c r="Y24" s="197"/>
      <c r="Z24" s="197"/>
    </row>
    <row r="25" spans="1:26">
      <c r="A25" s="197"/>
      <c r="B25" s="222"/>
      <c r="C25" s="214"/>
      <c r="D25" s="214"/>
      <c r="E25" s="231"/>
      <c r="F25" s="231"/>
      <c r="G25" s="231"/>
      <c r="H25" s="231"/>
      <c r="I25" s="198"/>
      <c r="J25" s="198"/>
      <c r="K25" s="198"/>
      <c r="L25" s="198"/>
      <c r="M25" s="198"/>
      <c r="N25" s="198"/>
      <c r="O25" s="198"/>
      <c r="P25" s="198"/>
      <c r="Q25" s="198"/>
      <c r="R25" s="198"/>
      <c r="S25" s="198"/>
      <c r="T25" s="198"/>
      <c r="U25" s="197"/>
      <c r="V25" s="197"/>
      <c r="W25" s="197"/>
      <c r="X25" s="197"/>
      <c r="Y25" s="197"/>
      <c r="Z25" s="197"/>
    </row>
    <row r="26" spans="1:26">
      <c r="A26" s="223"/>
      <c r="B26" s="235"/>
      <c r="C26" s="214"/>
      <c r="D26" s="214"/>
      <c r="E26" s="214"/>
      <c r="F26" s="214"/>
      <c r="G26" s="214"/>
      <c r="H26" s="214"/>
      <c r="I26" s="226">
        <f t="shared" ref="I26:R26" si="13">H26*(1+I27)</f>
        <v>0</v>
      </c>
      <c r="J26" s="226">
        <f t="shared" si="13"/>
        <v>0</v>
      </c>
      <c r="K26" s="226">
        <f t="shared" si="13"/>
        <v>0</v>
      </c>
      <c r="L26" s="226">
        <f t="shared" si="13"/>
        <v>0</v>
      </c>
      <c r="M26" s="226">
        <f t="shared" si="13"/>
        <v>0</v>
      </c>
      <c r="N26" s="226">
        <f t="shared" si="13"/>
        <v>0</v>
      </c>
      <c r="O26" s="226">
        <f t="shared" si="13"/>
        <v>0</v>
      </c>
      <c r="P26" s="226">
        <f t="shared" si="13"/>
        <v>0</v>
      </c>
      <c r="Q26" s="226">
        <f t="shared" si="13"/>
        <v>0</v>
      </c>
      <c r="R26" s="226">
        <f t="shared" si="13"/>
        <v>0</v>
      </c>
      <c r="S26" s="227"/>
      <c r="T26" s="198"/>
      <c r="U26" s="197"/>
      <c r="V26" s="197"/>
      <c r="W26" s="197"/>
      <c r="X26" s="197"/>
      <c r="Y26" s="197"/>
      <c r="Z26" s="197"/>
    </row>
    <row r="27" spans="1:26">
      <c r="A27" s="197"/>
      <c r="B27" s="232" t="s">
        <v>318</v>
      </c>
      <c r="C27" s="214"/>
      <c r="D27" s="214"/>
      <c r="E27" s="220" t="e">
        <f t="shared" ref="E27:H27" si="14">E26/D26-1</f>
        <v>#DIV/0!</v>
      </c>
      <c r="F27" s="220" t="e">
        <f t="shared" si="14"/>
        <v>#DIV/0!</v>
      </c>
      <c r="G27" s="220" t="e">
        <f t="shared" si="14"/>
        <v>#DIV/0!</v>
      </c>
      <c r="H27" s="233" t="e">
        <f t="shared" si="14"/>
        <v>#DIV/0!</v>
      </c>
      <c r="I27" s="229"/>
      <c r="J27" s="229"/>
      <c r="K27" s="229"/>
      <c r="L27" s="229"/>
      <c r="M27" s="229"/>
      <c r="N27" s="229"/>
      <c r="O27" s="229"/>
      <c r="P27" s="229"/>
      <c r="Q27" s="229"/>
      <c r="R27" s="230"/>
      <c r="S27" s="212" t="s">
        <v>316</v>
      </c>
      <c r="T27" s="198"/>
      <c r="U27" s="197"/>
      <c r="V27" s="197"/>
      <c r="W27" s="197"/>
      <c r="X27" s="197"/>
      <c r="Y27" s="197"/>
      <c r="Z27" s="197"/>
    </row>
    <row r="28" spans="1:26">
      <c r="A28" s="197"/>
      <c r="B28" s="222"/>
      <c r="C28" s="214"/>
      <c r="D28" s="214"/>
      <c r="E28" s="231"/>
      <c r="F28" s="231"/>
      <c r="G28" s="231"/>
      <c r="H28" s="231"/>
      <c r="I28" s="198"/>
      <c r="J28" s="198"/>
      <c r="K28" s="198"/>
      <c r="L28" s="198"/>
      <c r="M28" s="198"/>
      <c r="N28" s="198"/>
      <c r="O28" s="198"/>
      <c r="P28" s="198"/>
      <c r="Q28" s="198"/>
      <c r="R28" s="198"/>
      <c r="S28" s="198"/>
      <c r="T28" s="198"/>
      <c r="U28" s="197"/>
      <c r="V28" s="197"/>
      <c r="W28" s="197"/>
      <c r="X28" s="197"/>
      <c r="Y28" s="197"/>
      <c r="Z28" s="197"/>
    </row>
    <row r="29" spans="1:26">
      <c r="A29" s="223"/>
      <c r="B29" s="235"/>
      <c r="C29" s="214"/>
      <c r="D29" s="214"/>
      <c r="E29" s="214"/>
      <c r="F29" s="214"/>
      <c r="G29" s="214"/>
      <c r="H29" s="214"/>
      <c r="I29" s="226">
        <f t="shared" ref="I29:R29" si="15">H29*(1+I30)</f>
        <v>0</v>
      </c>
      <c r="J29" s="226">
        <f t="shared" si="15"/>
        <v>0</v>
      </c>
      <c r="K29" s="226">
        <f t="shared" si="15"/>
        <v>0</v>
      </c>
      <c r="L29" s="226">
        <f t="shared" si="15"/>
        <v>0</v>
      </c>
      <c r="M29" s="226">
        <f t="shared" si="15"/>
        <v>0</v>
      </c>
      <c r="N29" s="226">
        <f t="shared" si="15"/>
        <v>0</v>
      </c>
      <c r="O29" s="226">
        <f t="shared" si="15"/>
        <v>0</v>
      </c>
      <c r="P29" s="226">
        <f t="shared" si="15"/>
        <v>0</v>
      </c>
      <c r="Q29" s="226">
        <f t="shared" si="15"/>
        <v>0</v>
      </c>
      <c r="R29" s="226">
        <f t="shared" si="15"/>
        <v>0</v>
      </c>
      <c r="S29" s="227"/>
      <c r="T29" s="198"/>
      <c r="U29" s="197"/>
      <c r="V29" s="197"/>
      <c r="W29" s="197"/>
      <c r="X29" s="197"/>
      <c r="Y29" s="197"/>
      <c r="Z29" s="197"/>
    </row>
    <row r="30" spans="1:26">
      <c r="A30" s="197"/>
      <c r="B30" s="232" t="s">
        <v>318</v>
      </c>
      <c r="C30" s="214"/>
      <c r="D30" s="214"/>
      <c r="E30" s="220" t="e">
        <f t="shared" ref="E30:H30" si="16">E29/D29-1</f>
        <v>#DIV/0!</v>
      </c>
      <c r="F30" s="220" t="e">
        <f t="shared" si="16"/>
        <v>#DIV/0!</v>
      </c>
      <c r="G30" s="220" t="e">
        <f t="shared" si="16"/>
        <v>#DIV/0!</v>
      </c>
      <c r="H30" s="233" t="e">
        <f t="shared" si="16"/>
        <v>#DIV/0!</v>
      </c>
      <c r="I30" s="229"/>
      <c r="J30" s="229"/>
      <c r="K30" s="229"/>
      <c r="L30" s="229"/>
      <c r="M30" s="229"/>
      <c r="N30" s="229"/>
      <c r="O30" s="229"/>
      <c r="P30" s="229"/>
      <c r="Q30" s="229"/>
      <c r="R30" s="230"/>
      <c r="S30" s="212" t="s">
        <v>316</v>
      </c>
      <c r="T30" s="198"/>
      <c r="U30" s="197"/>
      <c r="V30" s="197"/>
      <c r="W30" s="197"/>
      <c r="X30" s="197"/>
      <c r="Y30" s="197"/>
      <c r="Z30" s="197"/>
    </row>
    <row r="31" spans="1:26">
      <c r="A31" s="197"/>
      <c r="B31" s="222"/>
      <c r="C31" s="214"/>
      <c r="D31" s="214"/>
      <c r="E31" s="231"/>
      <c r="F31" s="231"/>
      <c r="G31" s="231"/>
      <c r="H31" s="231"/>
      <c r="I31" s="198"/>
      <c r="J31" s="198"/>
      <c r="K31" s="198"/>
      <c r="L31" s="198"/>
      <c r="M31" s="198"/>
      <c r="N31" s="198"/>
      <c r="O31" s="198"/>
      <c r="P31" s="198"/>
      <c r="Q31" s="198"/>
      <c r="R31" s="198"/>
      <c r="S31" s="198"/>
      <c r="T31" s="198"/>
      <c r="U31" s="197"/>
      <c r="V31" s="197"/>
      <c r="W31" s="197"/>
      <c r="X31" s="197"/>
      <c r="Y31" s="197"/>
      <c r="Z31" s="197"/>
    </row>
    <row r="32" spans="1:26">
      <c r="A32" s="223"/>
      <c r="B32" s="235"/>
      <c r="C32" s="214"/>
      <c r="D32" s="214"/>
      <c r="E32" s="214"/>
      <c r="F32" s="214"/>
      <c r="G32" s="214"/>
      <c r="H32" s="214"/>
      <c r="I32" s="234"/>
      <c r="J32" s="234"/>
      <c r="K32" s="234"/>
      <c r="L32" s="234"/>
      <c r="M32" s="234"/>
      <c r="N32" s="234"/>
      <c r="O32" s="234"/>
      <c r="P32" s="234"/>
      <c r="Q32" s="234"/>
      <c r="R32" s="234"/>
      <c r="S32" s="227"/>
      <c r="T32" s="198"/>
      <c r="U32" s="197"/>
      <c r="V32" s="197"/>
      <c r="W32" s="197"/>
      <c r="X32" s="197"/>
      <c r="Y32" s="197"/>
      <c r="Z32" s="197"/>
    </row>
    <row r="33" spans="1:26">
      <c r="A33" s="197"/>
      <c r="B33" s="232" t="s">
        <v>318</v>
      </c>
      <c r="C33" s="214"/>
      <c r="D33" s="214"/>
      <c r="E33" s="220" t="e">
        <f t="shared" ref="E33:H33" si="17">E32/D32-1</f>
        <v>#DIV/0!</v>
      </c>
      <c r="F33" s="220" t="e">
        <f t="shared" si="17"/>
        <v>#DIV/0!</v>
      </c>
      <c r="G33" s="220" t="e">
        <f t="shared" si="17"/>
        <v>#DIV/0!</v>
      </c>
      <c r="H33" s="233" t="e">
        <f t="shared" si="17"/>
        <v>#DIV/0!</v>
      </c>
      <c r="I33" s="229"/>
      <c r="J33" s="229"/>
      <c r="K33" s="229"/>
      <c r="L33" s="229"/>
      <c r="M33" s="229"/>
      <c r="N33" s="229"/>
      <c r="O33" s="229"/>
      <c r="P33" s="229"/>
      <c r="Q33" s="229"/>
      <c r="R33" s="230"/>
      <c r="S33" s="212" t="s">
        <v>316</v>
      </c>
      <c r="T33" s="198"/>
      <c r="U33" s="197"/>
      <c r="V33" s="197"/>
      <c r="W33" s="197"/>
      <c r="X33" s="197"/>
      <c r="Y33" s="197"/>
      <c r="Z33" s="197"/>
    </row>
    <row r="34" spans="1:26">
      <c r="A34" s="197"/>
      <c r="B34" s="222"/>
      <c r="C34" s="236"/>
      <c r="D34" s="236"/>
      <c r="E34" s="236"/>
      <c r="F34" s="236"/>
      <c r="G34" s="236"/>
      <c r="H34" s="236"/>
      <c r="I34" s="234"/>
      <c r="J34" s="234"/>
      <c r="K34" s="234"/>
      <c r="L34" s="234"/>
      <c r="M34" s="234"/>
      <c r="N34" s="234"/>
      <c r="O34" s="234"/>
      <c r="P34" s="234"/>
      <c r="Q34" s="234"/>
      <c r="R34" s="234"/>
      <c r="S34" s="227"/>
      <c r="T34" s="198"/>
      <c r="U34" s="197"/>
      <c r="V34" s="197"/>
      <c r="W34" s="197"/>
      <c r="X34" s="197"/>
      <c r="Y34" s="197"/>
      <c r="Z34" s="197"/>
    </row>
    <row r="35" spans="1:26">
      <c r="A35" s="197"/>
      <c r="B35" s="237"/>
      <c r="C35" s="214"/>
      <c r="D35" s="214"/>
      <c r="E35" s="214"/>
      <c r="F35" s="214"/>
      <c r="G35" s="214"/>
      <c r="H35" s="214"/>
      <c r="I35" s="227"/>
      <c r="J35" s="227"/>
      <c r="K35" s="227"/>
      <c r="L35" s="227"/>
      <c r="M35" s="227"/>
      <c r="N35" s="227"/>
      <c r="O35" s="227"/>
      <c r="P35" s="227"/>
      <c r="Q35" s="227"/>
      <c r="R35" s="227"/>
      <c r="S35" s="227"/>
      <c r="T35" s="198"/>
      <c r="U35" s="197"/>
      <c r="V35" s="197"/>
      <c r="W35" s="197"/>
      <c r="X35" s="197"/>
      <c r="Y35" s="197"/>
      <c r="Z35" s="197"/>
    </row>
    <row r="36" spans="1:26">
      <c r="A36" s="212" t="s">
        <v>316</v>
      </c>
      <c r="B36" s="213" t="s">
        <v>324</v>
      </c>
      <c r="C36" s="214"/>
      <c r="D36" s="215" t="s">
        <v>540</v>
      </c>
      <c r="E36" s="215" t="s">
        <v>540</v>
      </c>
      <c r="F36" s="215" t="s">
        <v>540</v>
      </c>
      <c r="G36" s="215" t="s">
        <v>540</v>
      </c>
      <c r="H36" s="215" t="s">
        <v>540</v>
      </c>
      <c r="I36" s="216" t="s">
        <v>541</v>
      </c>
      <c r="J36" s="216" t="s">
        <v>541</v>
      </c>
      <c r="K36" s="216" t="s">
        <v>541</v>
      </c>
      <c r="L36" s="216" t="s">
        <v>541</v>
      </c>
      <c r="M36" s="216" t="s">
        <v>541</v>
      </c>
      <c r="N36" s="216" t="s">
        <v>541</v>
      </c>
      <c r="O36" s="216" t="s">
        <v>541</v>
      </c>
      <c r="P36" s="216" t="s">
        <v>541</v>
      </c>
      <c r="Q36" s="216" t="s">
        <v>541</v>
      </c>
      <c r="R36" s="216" t="s">
        <v>541</v>
      </c>
      <c r="S36" s="217"/>
      <c r="T36" s="198"/>
      <c r="U36" s="197"/>
      <c r="V36" s="197"/>
      <c r="W36" s="197"/>
      <c r="X36" s="197"/>
      <c r="Y36" s="197"/>
      <c r="Z36" s="197"/>
    </row>
    <row r="37" spans="1:26">
      <c r="A37" s="197"/>
      <c r="B37" s="219" t="s">
        <v>325</v>
      </c>
      <c r="C37" s="214"/>
      <c r="D37" s="220" t="e">
        <f t="shared" ref="D37:R37" si="18">D36/D11</f>
        <v>#VALUE!</v>
      </c>
      <c r="E37" s="220" t="e">
        <f t="shared" si="18"/>
        <v>#VALUE!</v>
      </c>
      <c r="F37" s="220" t="e">
        <f t="shared" si="18"/>
        <v>#VALUE!</v>
      </c>
      <c r="G37" s="220" t="e">
        <f t="shared" si="18"/>
        <v>#VALUE!</v>
      </c>
      <c r="H37" s="220" t="e">
        <f t="shared" si="18"/>
        <v>#VALUE!</v>
      </c>
      <c r="I37" s="221" t="e">
        <f t="shared" si="18"/>
        <v>#VALUE!</v>
      </c>
      <c r="J37" s="221" t="e">
        <f t="shared" si="18"/>
        <v>#VALUE!</v>
      </c>
      <c r="K37" s="221" t="e">
        <f t="shared" si="18"/>
        <v>#VALUE!</v>
      </c>
      <c r="L37" s="221" t="e">
        <f t="shared" si="18"/>
        <v>#VALUE!</v>
      </c>
      <c r="M37" s="221" t="e">
        <f t="shared" si="18"/>
        <v>#VALUE!</v>
      </c>
      <c r="N37" s="221" t="e">
        <f t="shared" si="18"/>
        <v>#VALUE!</v>
      </c>
      <c r="O37" s="221" t="e">
        <f t="shared" si="18"/>
        <v>#VALUE!</v>
      </c>
      <c r="P37" s="221" t="e">
        <f t="shared" si="18"/>
        <v>#VALUE!</v>
      </c>
      <c r="Q37" s="221" t="e">
        <f t="shared" si="18"/>
        <v>#VALUE!</v>
      </c>
      <c r="R37" s="221" t="e">
        <f t="shared" si="18"/>
        <v>#VALUE!</v>
      </c>
      <c r="S37" s="217"/>
      <c r="T37" s="198"/>
      <c r="U37" s="197"/>
      <c r="V37" s="197"/>
      <c r="W37" s="197"/>
      <c r="X37" s="197"/>
      <c r="Y37" s="197"/>
      <c r="Z37" s="197"/>
    </row>
    <row r="38" spans="1:26">
      <c r="A38" s="197"/>
      <c r="B38" s="237"/>
      <c r="C38" s="214"/>
      <c r="D38" s="214"/>
      <c r="E38" s="214"/>
      <c r="F38" s="214"/>
      <c r="G38" s="214"/>
      <c r="H38" s="214"/>
      <c r="I38" s="217"/>
      <c r="J38" s="217"/>
      <c r="K38" s="217"/>
      <c r="L38" s="217"/>
      <c r="M38" s="217"/>
      <c r="N38" s="217"/>
      <c r="O38" s="217"/>
      <c r="P38" s="217"/>
      <c r="Q38" s="217"/>
      <c r="R38" s="217"/>
      <c r="S38" s="217"/>
      <c r="T38" s="198"/>
      <c r="U38" s="197"/>
      <c r="V38" s="197"/>
      <c r="W38" s="197"/>
      <c r="X38" s="197"/>
      <c r="Y38" s="197"/>
      <c r="Z38" s="197"/>
    </row>
    <row r="39" spans="1:26">
      <c r="A39" s="197"/>
      <c r="B39" s="232" t="str">
        <f>B14</f>
        <v>Thép</v>
      </c>
      <c r="C39" s="214"/>
      <c r="D39" s="214"/>
      <c r="E39" s="214"/>
      <c r="F39" s="214"/>
      <c r="G39" s="214"/>
      <c r="H39" s="214"/>
      <c r="I39" s="238" t="e">
        <f t="shared" ref="I39:J39" ca="1" si="19">I298+I328+I356</f>
        <v>#VALUE!</v>
      </c>
      <c r="J39" s="238" t="e">
        <f t="shared" ca="1" si="19"/>
        <v>#VALUE!</v>
      </c>
      <c r="K39" s="238" t="e">
        <f t="shared" ref="K39:N39" ca="1" si="20">K298+K328+J356</f>
        <v>#VALUE!</v>
      </c>
      <c r="L39" s="238" t="e">
        <f t="shared" ca="1" si="20"/>
        <v>#VALUE!</v>
      </c>
      <c r="M39" s="238" t="e">
        <f t="shared" ca="1" si="20"/>
        <v>#VALUE!</v>
      </c>
      <c r="N39" s="238" t="e">
        <f t="shared" ca="1" si="20"/>
        <v>#VALUE!</v>
      </c>
      <c r="O39" s="239">
        <f t="shared" ref="O39:R39" si="21">O298+O328+O356</f>
        <v>0</v>
      </c>
      <c r="P39" s="239">
        <f t="shared" si="21"/>
        <v>0</v>
      </c>
      <c r="Q39" s="239">
        <f t="shared" si="21"/>
        <v>0</v>
      </c>
      <c r="R39" s="239">
        <f t="shared" si="21"/>
        <v>0</v>
      </c>
      <c r="S39" s="217"/>
      <c r="T39" s="198"/>
      <c r="U39" s="197"/>
      <c r="V39" s="197"/>
      <c r="W39" s="197"/>
      <c r="X39" s="197"/>
      <c r="Y39" s="197"/>
      <c r="Z39" s="197"/>
    </row>
    <row r="40" spans="1:26">
      <c r="A40" s="197"/>
      <c r="B40" s="219" t="s">
        <v>325</v>
      </c>
      <c r="C40" s="214"/>
      <c r="D40" s="220">
        <f t="shared" ref="D40:H40" si="22">D39/D14</f>
        <v>0</v>
      </c>
      <c r="E40" s="220">
        <f t="shared" si="22"/>
        <v>0</v>
      </c>
      <c r="F40" s="220">
        <f t="shared" si="22"/>
        <v>0</v>
      </c>
      <c r="G40" s="220">
        <f t="shared" si="22"/>
        <v>0</v>
      </c>
      <c r="H40" s="233">
        <f t="shared" si="22"/>
        <v>0</v>
      </c>
      <c r="I40" s="229"/>
      <c r="J40" s="229"/>
      <c r="K40" s="229"/>
      <c r="L40" s="229"/>
      <c r="M40" s="229"/>
      <c r="N40" s="229"/>
      <c r="O40" s="229"/>
      <c r="P40" s="229"/>
      <c r="Q40" s="229"/>
      <c r="R40" s="230"/>
      <c r="S40" s="212" t="s">
        <v>316</v>
      </c>
      <c r="T40" s="198"/>
      <c r="U40" s="197"/>
      <c r="V40" s="197"/>
      <c r="W40" s="197"/>
      <c r="X40" s="197"/>
      <c r="Y40" s="197"/>
      <c r="Z40" s="197"/>
    </row>
    <row r="41" spans="1:26">
      <c r="A41" s="197"/>
      <c r="B41" s="197"/>
      <c r="C41" s="214"/>
      <c r="D41" s="214"/>
      <c r="E41" s="214"/>
      <c r="F41" s="214"/>
      <c r="G41" s="214"/>
      <c r="H41" s="214"/>
      <c r="I41" s="217"/>
      <c r="J41" s="217"/>
      <c r="K41" s="217"/>
      <c r="L41" s="217"/>
      <c r="M41" s="217"/>
      <c r="N41" s="217"/>
      <c r="O41" s="217"/>
      <c r="P41" s="217"/>
      <c r="Q41" s="217"/>
      <c r="R41" s="217"/>
      <c r="S41" s="217"/>
      <c r="T41" s="198"/>
      <c r="U41" s="197"/>
      <c r="V41" s="197"/>
      <c r="W41" s="197"/>
      <c r="X41" s="197"/>
      <c r="Y41" s="197"/>
      <c r="Z41" s="197"/>
    </row>
    <row r="42" spans="1:26">
      <c r="A42" s="197"/>
      <c r="B42" s="232" t="str">
        <f>B17</f>
        <v>BĐS</v>
      </c>
      <c r="C42" s="214"/>
      <c r="D42" s="214"/>
      <c r="E42" s="214"/>
      <c r="F42" s="214"/>
      <c r="G42" s="214"/>
      <c r="H42" s="214"/>
      <c r="I42" s="239" t="e">
        <f t="shared" ref="I42:R42" si="23">I17-I67</f>
        <v>#VALUE!</v>
      </c>
      <c r="J42" s="239" t="e">
        <f t="shared" si="23"/>
        <v>#VALUE!</v>
      </c>
      <c r="K42" s="239" t="e">
        <f t="shared" si="23"/>
        <v>#VALUE!</v>
      </c>
      <c r="L42" s="239" t="e">
        <f t="shared" si="23"/>
        <v>#VALUE!</v>
      </c>
      <c r="M42" s="239" t="e">
        <f t="shared" si="23"/>
        <v>#VALUE!</v>
      </c>
      <c r="N42" s="239" t="e">
        <f t="shared" si="23"/>
        <v>#VALUE!</v>
      </c>
      <c r="O42" s="239">
        <f t="shared" si="23"/>
        <v>0</v>
      </c>
      <c r="P42" s="239">
        <f t="shared" si="23"/>
        <v>0</v>
      </c>
      <c r="Q42" s="239">
        <f t="shared" si="23"/>
        <v>0</v>
      </c>
      <c r="R42" s="239">
        <f t="shared" si="23"/>
        <v>0</v>
      </c>
      <c r="S42" s="217"/>
      <c r="T42" s="198"/>
      <c r="U42" s="197"/>
      <c r="V42" s="197"/>
      <c r="W42" s="197"/>
      <c r="X42" s="197"/>
      <c r="Y42" s="197"/>
      <c r="Z42" s="197"/>
    </row>
    <row r="43" spans="1:26">
      <c r="A43" s="197"/>
      <c r="B43" s="219" t="s">
        <v>325</v>
      </c>
      <c r="C43" s="214"/>
      <c r="D43" s="220">
        <f t="shared" ref="D43:H43" si="24">D42/D17</f>
        <v>0</v>
      </c>
      <c r="E43" s="220">
        <f t="shared" si="24"/>
        <v>0</v>
      </c>
      <c r="F43" s="220">
        <f t="shared" si="24"/>
        <v>0</v>
      </c>
      <c r="G43" s="220">
        <f t="shared" si="24"/>
        <v>0</v>
      </c>
      <c r="H43" s="233">
        <f t="shared" si="24"/>
        <v>0</v>
      </c>
      <c r="I43" s="229"/>
      <c r="J43" s="229"/>
      <c r="K43" s="229"/>
      <c r="L43" s="229"/>
      <c r="M43" s="229"/>
      <c r="N43" s="229"/>
      <c r="O43" s="229"/>
      <c r="P43" s="229"/>
      <c r="Q43" s="229"/>
      <c r="R43" s="230"/>
      <c r="S43" s="212" t="s">
        <v>316</v>
      </c>
      <c r="T43" s="198"/>
      <c r="U43" s="197"/>
      <c r="V43" s="197"/>
      <c r="W43" s="197"/>
      <c r="X43" s="197"/>
      <c r="Y43" s="197"/>
      <c r="Z43" s="197"/>
    </row>
    <row r="44" spans="1:26">
      <c r="A44" s="197"/>
      <c r="B44" s="197"/>
      <c r="C44" s="214"/>
      <c r="D44" s="214"/>
      <c r="E44" s="214"/>
      <c r="F44" s="214"/>
      <c r="G44" s="214"/>
      <c r="H44" s="214"/>
      <c r="I44" s="217"/>
      <c r="J44" s="217"/>
      <c r="K44" s="217"/>
      <c r="L44" s="217"/>
      <c r="M44" s="217"/>
      <c r="N44" s="217"/>
      <c r="O44" s="217"/>
      <c r="P44" s="217"/>
      <c r="Q44" s="217"/>
      <c r="R44" s="217"/>
      <c r="S44" s="217"/>
      <c r="T44" s="198"/>
      <c r="U44" s="197"/>
      <c r="V44" s="197"/>
      <c r="W44" s="197"/>
      <c r="X44" s="197"/>
      <c r="Y44" s="197"/>
      <c r="Z44" s="197"/>
    </row>
    <row r="45" spans="1:26">
      <c r="A45" s="197"/>
      <c r="B45" s="232" t="str">
        <f>B20</f>
        <v>Nông nghiệp</v>
      </c>
      <c r="C45" s="214"/>
      <c r="D45" s="214"/>
      <c r="E45" s="214"/>
      <c r="F45" s="214"/>
      <c r="G45" s="214"/>
      <c r="H45" s="214"/>
      <c r="I45" s="239">
        <f t="shared" ref="I45:R45" si="25">I20-I70</f>
        <v>5890000</v>
      </c>
      <c r="J45" s="239">
        <f t="shared" si="25"/>
        <v>10260800</v>
      </c>
      <c r="K45" s="239">
        <f t="shared" si="25"/>
        <v>13120000</v>
      </c>
      <c r="L45" s="239">
        <f t="shared" si="25"/>
        <v>12300000</v>
      </c>
      <c r="M45" s="239">
        <f t="shared" si="25"/>
        <v>12300000</v>
      </c>
      <c r="N45" s="239">
        <f t="shared" si="25"/>
        <v>12300000</v>
      </c>
      <c r="O45" s="239">
        <f t="shared" si="25"/>
        <v>0</v>
      </c>
      <c r="P45" s="239">
        <f t="shared" si="25"/>
        <v>0</v>
      </c>
      <c r="Q45" s="239">
        <f t="shared" si="25"/>
        <v>0</v>
      </c>
      <c r="R45" s="239">
        <f t="shared" si="25"/>
        <v>0</v>
      </c>
      <c r="S45" s="217"/>
      <c r="T45" s="198"/>
      <c r="U45" s="197"/>
      <c r="V45" s="197"/>
      <c r="W45" s="197"/>
      <c r="X45" s="197"/>
      <c r="Y45" s="197"/>
      <c r="Z45" s="197"/>
    </row>
    <row r="46" spans="1:26">
      <c r="A46" s="197"/>
      <c r="B46" s="219" t="s">
        <v>325</v>
      </c>
      <c r="C46" s="214"/>
      <c r="D46" s="220" t="e">
        <f t="shared" ref="D46:H46" si="26">D45/D20</f>
        <v>#DIV/0!</v>
      </c>
      <c r="E46" s="220" t="e">
        <f t="shared" si="26"/>
        <v>#DIV/0!</v>
      </c>
      <c r="F46" s="220">
        <f t="shared" si="26"/>
        <v>0</v>
      </c>
      <c r="G46" s="220">
        <f t="shared" si="26"/>
        <v>0</v>
      </c>
      <c r="H46" s="233">
        <f t="shared" si="26"/>
        <v>0</v>
      </c>
      <c r="I46" s="229"/>
      <c r="J46" s="229"/>
      <c r="K46" s="229"/>
      <c r="L46" s="229"/>
      <c r="M46" s="229"/>
      <c r="N46" s="229"/>
      <c r="O46" s="229"/>
      <c r="P46" s="229"/>
      <c r="Q46" s="229"/>
      <c r="R46" s="230"/>
      <c r="S46" s="212" t="s">
        <v>316</v>
      </c>
      <c r="T46" s="198"/>
      <c r="U46" s="197"/>
      <c r="V46" s="197"/>
      <c r="W46" s="197"/>
      <c r="X46" s="197"/>
      <c r="Y46" s="197"/>
      <c r="Z46" s="197"/>
    </row>
    <row r="47" spans="1:26">
      <c r="A47" s="197"/>
      <c r="B47" s="197"/>
      <c r="C47" s="214"/>
      <c r="D47" s="214"/>
      <c r="E47" s="214"/>
      <c r="F47" s="214"/>
      <c r="G47" s="214"/>
      <c r="H47" s="214"/>
      <c r="I47" s="217"/>
      <c r="J47" s="217"/>
      <c r="K47" s="217"/>
      <c r="L47" s="217"/>
      <c r="M47" s="217"/>
      <c r="N47" s="217"/>
      <c r="O47" s="217"/>
      <c r="P47" s="217"/>
      <c r="Q47" s="217"/>
      <c r="R47" s="217"/>
      <c r="S47" s="217"/>
      <c r="T47" s="198"/>
      <c r="U47" s="197"/>
      <c r="V47" s="197"/>
      <c r="W47" s="197"/>
      <c r="X47" s="197"/>
      <c r="Y47" s="197"/>
      <c r="Z47" s="197"/>
    </row>
    <row r="48" spans="1:26">
      <c r="A48" s="197"/>
      <c r="B48" s="232" t="str">
        <f>B23</f>
        <v>Khác</v>
      </c>
      <c r="C48" s="214"/>
      <c r="D48" s="214"/>
      <c r="E48" s="214"/>
      <c r="F48" s="214"/>
      <c r="G48" s="214"/>
      <c r="H48" s="214"/>
      <c r="I48" s="239">
        <f t="shared" ref="I48:R48" si="27">I23-I73</f>
        <v>2227202.8096000003</v>
      </c>
      <c r="J48" s="239" t="e">
        <f t="shared" si="27"/>
        <v>#VALUE!</v>
      </c>
      <c r="K48" s="239" t="e">
        <f t="shared" si="27"/>
        <v>#VALUE!</v>
      </c>
      <c r="L48" s="239" t="e">
        <f t="shared" si="27"/>
        <v>#VALUE!</v>
      </c>
      <c r="M48" s="239" t="e">
        <f t="shared" si="27"/>
        <v>#VALUE!</v>
      </c>
      <c r="N48" s="239" t="e">
        <f t="shared" si="27"/>
        <v>#VALUE!</v>
      </c>
      <c r="O48" s="239">
        <f t="shared" si="27"/>
        <v>0</v>
      </c>
      <c r="P48" s="239">
        <f t="shared" si="27"/>
        <v>0</v>
      </c>
      <c r="Q48" s="239">
        <f t="shared" si="27"/>
        <v>0</v>
      </c>
      <c r="R48" s="239">
        <f t="shared" si="27"/>
        <v>0</v>
      </c>
      <c r="S48" s="217"/>
      <c r="T48" s="198"/>
      <c r="U48" s="197"/>
      <c r="V48" s="197"/>
      <c r="W48" s="197"/>
      <c r="X48" s="197"/>
      <c r="Y48" s="197"/>
      <c r="Z48" s="197"/>
    </row>
    <row r="49" spans="1:26">
      <c r="A49" s="197"/>
      <c r="B49" s="219" t="s">
        <v>325</v>
      </c>
      <c r="C49" s="214"/>
      <c r="D49" s="220" t="e">
        <f t="shared" ref="D49:H49" si="28">D48/D23</f>
        <v>#VALUE!</v>
      </c>
      <c r="E49" s="220" t="e">
        <f t="shared" si="28"/>
        <v>#VALUE!</v>
      </c>
      <c r="F49" s="220" t="e">
        <f t="shared" si="28"/>
        <v>#VALUE!</v>
      </c>
      <c r="G49" s="220" t="e">
        <f t="shared" si="28"/>
        <v>#VALUE!</v>
      </c>
      <c r="H49" s="233" t="e">
        <f t="shared" si="28"/>
        <v>#VALUE!</v>
      </c>
      <c r="I49" s="229"/>
      <c r="J49" s="229"/>
      <c r="K49" s="229"/>
      <c r="L49" s="229"/>
      <c r="M49" s="229"/>
      <c r="N49" s="229"/>
      <c r="O49" s="229"/>
      <c r="P49" s="229"/>
      <c r="Q49" s="229"/>
      <c r="R49" s="230"/>
      <c r="S49" s="212" t="s">
        <v>316</v>
      </c>
      <c r="T49" s="198"/>
      <c r="U49" s="197"/>
      <c r="V49" s="197"/>
      <c r="W49" s="197"/>
      <c r="X49" s="197"/>
      <c r="Y49" s="197"/>
      <c r="Z49" s="197"/>
    </row>
    <row r="50" spans="1:26">
      <c r="A50" s="197"/>
      <c r="B50" s="197"/>
      <c r="C50" s="214"/>
      <c r="D50" s="214"/>
      <c r="E50" s="214"/>
      <c r="F50" s="214"/>
      <c r="G50" s="214"/>
      <c r="H50" s="214"/>
      <c r="I50" s="217"/>
      <c r="J50" s="217"/>
      <c r="K50" s="217"/>
      <c r="L50" s="217"/>
      <c r="M50" s="217"/>
      <c r="N50" s="217"/>
      <c r="O50" s="217"/>
      <c r="P50" s="217"/>
      <c r="Q50" s="217"/>
      <c r="R50" s="217"/>
      <c r="S50" s="217"/>
      <c r="T50" s="198"/>
      <c r="U50" s="197"/>
      <c r="V50" s="197"/>
      <c r="W50" s="197"/>
      <c r="X50" s="197"/>
      <c r="Y50" s="197"/>
      <c r="Z50" s="197"/>
    </row>
    <row r="51" spans="1:26">
      <c r="A51" s="197"/>
      <c r="B51" s="237">
        <f>B26</f>
        <v>0</v>
      </c>
      <c r="C51" s="214"/>
      <c r="D51" s="214"/>
      <c r="E51" s="214"/>
      <c r="F51" s="214"/>
      <c r="G51" s="214"/>
      <c r="H51" s="214"/>
      <c r="I51" s="239">
        <f t="shared" ref="I51:R51" si="29">I26*I52</f>
        <v>0</v>
      </c>
      <c r="J51" s="239">
        <f t="shared" si="29"/>
        <v>0</v>
      </c>
      <c r="K51" s="239">
        <f t="shared" si="29"/>
        <v>0</v>
      </c>
      <c r="L51" s="239">
        <f t="shared" si="29"/>
        <v>0</v>
      </c>
      <c r="M51" s="239">
        <f t="shared" si="29"/>
        <v>0</v>
      </c>
      <c r="N51" s="239">
        <f t="shared" si="29"/>
        <v>0</v>
      </c>
      <c r="O51" s="239">
        <f t="shared" si="29"/>
        <v>0</v>
      </c>
      <c r="P51" s="239">
        <f t="shared" si="29"/>
        <v>0</v>
      </c>
      <c r="Q51" s="239">
        <f t="shared" si="29"/>
        <v>0</v>
      </c>
      <c r="R51" s="239">
        <f t="shared" si="29"/>
        <v>0</v>
      </c>
      <c r="S51" s="217"/>
      <c r="T51" s="198"/>
      <c r="U51" s="197"/>
      <c r="V51" s="197"/>
      <c r="W51" s="197"/>
      <c r="X51" s="197"/>
      <c r="Y51" s="197"/>
      <c r="Z51" s="197"/>
    </row>
    <row r="52" spans="1:26">
      <c r="A52" s="197"/>
      <c r="B52" s="219" t="s">
        <v>325</v>
      </c>
      <c r="C52" s="214"/>
      <c r="D52" s="220" t="e">
        <f t="shared" ref="D52:H52" si="30">D51/D26</f>
        <v>#DIV/0!</v>
      </c>
      <c r="E52" s="220" t="e">
        <f t="shared" si="30"/>
        <v>#DIV/0!</v>
      </c>
      <c r="F52" s="220" t="e">
        <f t="shared" si="30"/>
        <v>#DIV/0!</v>
      </c>
      <c r="G52" s="220" t="e">
        <f t="shared" si="30"/>
        <v>#DIV/0!</v>
      </c>
      <c r="H52" s="233" t="e">
        <f t="shared" si="30"/>
        <v>#DIV/0!</v>
      </c>
      <c r="I52" s="229"/>
      <c r="J52" s="229"/>
      <c r="K52" s="229"/>
      <c r="L52" s="229"/>
      <c r="M52" s="229"/>
      <c r="N52" s="229"/>
      <c r="O52" s="229"/>
      <c r="P52" s="229"/>
      <c r="Q52" s="229"/>
      <c r="R52" s="230"/>
      <c r="S52" s="212" t="s">
        <v>316</v>
      </c>
      <c r="T52" s="198"/>
      <c r="U52" s="197"/>
      <c r="V52" s="197"/>
      <c r="W52" s="197"/>
      <c r="X52" s="197"/>
      <c r="Y52" s="197"/>
      <c r="Z52" s="197"/>
    </row>
    <row r="53" spans="1:26">
      <c r="A53" s="197"/>
      <c r="B53" s="197"/>
      <c r="C53" s="214"/>
      <c r="D53" s="214"/>
      <c r="E53" s="214"/>
      <c r="F53" s="214"/>
      <c r="G53" s="214"/>
      <c r="H53" s="214"/>
      <c r="I53" s="217"/>
      <c r="J53" s="217"/>
      <c r="K53" s="217"/>
      <c r="L53" s="217"/>
      <c r="M53" s="217"/>
      <c r="N53" s="217"/>
      <c r="O53" s="217"/>
      <c r="P53" s="217"/>
      <c r="Q53" s="217"/>
      <c r="R53" s="217"/>
      <c r="S53" s="217"/>
      <c r="T53" s="198"/>
      <c r="U53" s="197"/>
      <c r="V53" s="197"/>
      <c r="W53" s="197"/>
      <c r="X53" s="197"/>
      <c r="Y53" s="197"/>
      <c r="Z53" s="197"/>
    </row>
    <row r="54" spans="1:26">
      <c r="A54" s="197"/>
      <c r="B54" s="237">
        <f>B29</f>
        <v>0</v>
      </c>
      <c r="C54" s="214"/>
      <c r="D54" s="214"/>
      <c r="E54" s="214"/>
      <c r="F54" s="214"/>
      <c r="G54" s="214"/>
      <c r="H54" s="214"/>
      <c r="I54" s="239">
        <f t="shared" ref="I54:R54" si="31">I29*I55</f>
        <v>0</v>
      </c>
      <c r="J54" s="239">
        <f t="shared" si="31"/>
        <v>0</v>
      </c>
      <c r="K54" s="239">
        <f t="shared" si="31"/>
        <v>0</v>
      </c>
      <c r="L54" s="239">
        <f t="shared" si="31"/>
        <v>0</v>
      </c>
      <c r="M54" s="239">
        <f t="shared" si="31"/>
        <v>0</v>
      </c>
      <c r="N54" s="239">
        <f t="shared" si="31"/>
        <v>0</v>
      </c>
      <c r="O54" s="239">
        <f t="shared" si="31"/>
        <v>0</v>
      </c>
      <c r="P54" s="239">
        <f t="shared" si="31"/>
        <v>0</v>
      </c>
      <c r="Q54" s="239">
        <f t="shared" si="31"/>
        <v>0</v>
      </c>
      <c r="R54" s="239">
        <f t="shared" si="31"/>
        <v>0</v>
      </c>
      <c r="S54" s="217"/>
      <c r="T54" s="198"/>
      <c r="U54" s="197"/>
      <c r="V54" s="197"/>
      <c r="W54" s="197"/>
      <c r="X54" s="197"/>
      <c r="Y54" s="197"/>
      <c r="Z54" s="197"/>
    </row>
    <row r="55" spans="1:26">
      <c r="A55" s="197"/>
      <c r="B55" s="219" t="s">
        <v>325</v>
      </c>
      <c r="C55" s="214"/>
      <c r="D55" s="220" t="e">
        <f t="shared" ref="D55:H55" si="32">D54/D29</f>
        <v>#DIV/0!</v>
      </c>
      <c r="E55" s="220" t="e">
        <f t="shared" si="32"/>
        <v>#DIV/0!</v>
      </c>
      <c r="F55" s="220" t="e">
        <f t="shared" si="32"/>
        <v>#DIV/0!</v>
      </c>
      <c r="G55" s="220" t="e">
        <f t="shared" si="32"/>
        <v>#DIV/0!</v>
      </c>
      <c r="H55" s="233" t="e">
        <f t="shared" si="32"/>
        <v>#DIV/0!</v>
      </c>
      <c r="I55" s="229"/>
      <c r="J55" s="229"/>
      <c r="K55" s="229"/>
      <c r="L55" s="229"/>
      <c r="M55" s="229"/>
      <c r="N55" s="229"/>
      <c r="O55" s="229"/>
      <c r="P55" s="229"/>
      <c r="Q55" s="229"/>
      <c r="R55" s="230"/>
      <c r="S55" s="212" t="s">
        <v>316</v>
      </c>
      <c r="T55" s="198"/>
      <c r="U55" s="197"/>
      <c r="V55" s="197"/>
      <c r="W55" s="197"/>
      <c r="X55" s="197"/>
      <c r="Y55" s="197"/>
      <c r="Z55" s="197"/>
    </row>
    <row r="56" spans="1:26">
      <c r="A56" s="197"/>
      <c r="B56" s="237"/>
      <c r="C56" s="214"/>
      <c r="D56" s="214"/>
      <c r="E56" s="214"/>
      <c r="F56" s="214"/>
      <c r="G56" s="214"/>
      <c r="H56" s="214"/>
      <c r="I56" s="198"/>
      <c r="J56" s="198"/>
      <c r="K56" s="198"/>
      <c r="L56" s="198"/>
      <c r="M56" s="198"/>
      <c r="N56" s="198"/>
      <c r="O56" s="198"/>
      <c r="P56" s="198"/>
      <c r="Q56" s="198"/>
      <c r="R56" s="198"/>
      <c r="S56" s="197"/>
      <c r="T56" s="198"/>
      <c r="U56" s="197"/>
      <c r="V56" s="197"/>
      <c r="W56" s="197"/>
      <c r="X56" s="197"/>
      <c r="Y56" s="197"/>
      <c r="Z56" s="197"/>
    </row>
    <row r="57" spans="1:26">
      <c r="A57" s="197"/>
      <c r="B57" s="237">
        <f>B32</f>
        <v>0</v>
      </c>
      <c r="C57" s="214"/>
      <c r="D57" s="240" t="s">
        <v>541</v>
      </c>
      <c r="E57" s="240" t="s">
        <v>541</v>
      </c>
      <c r="F57" s="240" t="s">
        <v>541</v>
      </c>
      <c r="G57" s="240" t="s">
        <v>541</v>
      </c>
      <c r="H57" s="240" t="s">
        <v>541</v>
      </c>
      <c r="I57" s="239">
        <f t="shared" ref="I57:R57" si="33">I32*I58</f>
        <v>0</v>
      </c>
      <c r="J57" s="239">
        <f t="shared" si="33"/>
        <v>0</v>
      </c>
      <c r="K57" s="239">
        <f t="shared" si="33"/>
        <v>0</v>
      </c>
      <c r="L57" s="239">
        <f t="shared" si="33"/>
        <v>0</v>
      </c>
      <c r="M57" s="239">
        <f t="shared" si="33"/>
        <v>0</v>
      </c>
      <c r="N57" s="239">
        <f t="shared" si="33"/>
        <v>0</v>
      </c>
      <c r="O57" s="239">
        <f t="shared" si="33"/>
        <v>0</v>
      </c>
      <c r="P57" s="239">
        <f t="shared" si="33"/>
        <v>0</v>
      </c>
      <c r="Q57" s="239">
        <f t="shared" si="33"/>
        <v>0</v>
      </c>
      <c r="R57" s="239">
        <f t="shared" si="33"/>
        <v>0</v>
      </c>
      <c r="S57" s="197"/>
      <c r="T57" s="198"/>
      <c r="U57" s="197"/>
      <c r="V57" s="197"/>
      <c r="W57" s="197"/>
      <c r="X57" s="197"/>
      <c r="Y57" s="197"/>
      <c r="Z57" s="197"/>
    </row>
    <row r="58" spans="1:26">
      <c r="A58" s="197"/>
      <c r="B58" s="219" t="s">
        <v>325</v>
      </c>
      <c r="C58" s="214"/>
      <c r="D58" s="220" t="e">
        <f t="shared" ref="D58:H58" si="34">D57/D32</f>
        <v>#VALUE!</v>
      </c>
      <c r="E58" s="220" t="e">
        <f t="shared" si="34"/>
        <v>#VALUE!</v>
      </c>
      <c r="F58" s="220" t="e">
        <f t="shared" si="34"/>
        <v>#VALUE!</v>
      </c>
      <c r="G58" s="220" t="e">
        <f t="shared" si="34"/>
        <v>#VALUE!</v>
      </c>
      <c r="H58" s="233" t="e">
        <f t="shared" si="34"/>
        <v>#VALUE!</v>
      </c>
      <c r="I58" s="229"/>
      <c r="J58" s="229"/>
      <c r="K58" s="229"/>
      <c r="L58" s="229"/>
      <c r="M58" s="229"/>
      <c r="N58" s="229"/>
      <c r="O58" s="229"/>
      <c r="P58" s="229"/>
      <c r="Q58" s="229"/>
      <c r="R58" s="230"/>
      <c r="S58" s="212" t="s">
        <v>316</v>
      </c>
      <c r="T58" s="198"/>
      <c r="U58" s="197"/>
      <c r="V58" s="197"/>
      <c r="W58" s="197"/>
      <c r="X58" s="197"/>
      <c r="Y58" s="197"/>
      <c r="Z58" s="197"/>
    </row>
    <row r="59" spans="1:26">
      <c r="A59" s="197"/>
      <c r="B59" s="222"/>
      <c r="C59" s="236"/>
      <c r="D59" s="236"/>
      <c r="E59" s="236"/>
      <c r="F59" s="236"/>
      <c r="G59" s="236"/>
      <c r="H59" s="236"/>
      <c r="I59" s="241"/>
      <c r="J59" s="241"/>
      <c r="K59" s="241"/>
      <c r="L59" s="241"/>
      <c r="M59" s="241"/>
      <c r="N59" s="241"/>
      <c r="O59" s="241"/>
      <c r="P59" s="241"/>
      <c r="Q59" s="241"/>
      <c r="R59" s="241"/>
      <c r="S59" s="197"/>
      <c r="T59" s="198"/>
      <c r="U59" s="197"/>
      <c r="V59" s="197"/>
      <c r="W59" s="197"/>
      <c r="X59" s="197"/>
      <c r="Y59" s="197"/>
      <c r="Z59" s="197"/>
    </row>
    <row r="60" spans="1:26">
      <c r="A60" s="197"/>
      <c r="B60" s="237"/>
      <c r="C60" s="214"/>
      <c r="D60" s="214"/>
      <c r="E60" s="214"/>
      <c r="F60" s="214"/>
      <c r="G60" s="214"/>
      <c r="H60" s="214"/>
      <c r="I60" s="198"/>
      <c r="J60" s="198"/>
      <c r="K60" s="198"/>
      <c r="L60" s="198"/>
      <c r="M60" s="198"/>
      <c r="N60" s="198"/>
      <c r="O60" s="198"/>
      <c r="P60" s="198"/>
      <c r="Q60" s="198"/>
      <c r="R60" s="198"/>
      <c r="S60" s="197"/>
      <c r="T60" s="198"/>
      <c r="U60" s="197"/>
      <c r="V60" s="197"/>
      <c r="W60" s="197"/>
      <c r="X60" s="197"/>
      <c r="Y60" s="197"/>
      <c r="Z60" s="197"/>
    </row>
    <row r="61" spans="1:26">
      <c r="A61" s="212" t="s">
        <v>316</v>
      </c>
      <c r="B61" s="213" t="s">
        <v>326</v>
      </c>
      <c r="C61" s="214"/>
      <c r="D61" s="215" t="s">
        <v>540</v>
      </c>
      <c r="E61" s="215" t="s">
        <v>540</v>
      </c>
      <c r="F61" s="215" t="s">
        <v>540</v>
      </c>
      <c r="G61" s="215" t="s">
        <v>540</v>
      </c>
      <c r="H61" s="215" t="s">
        <v>540</v>
      </c>
      <c r="I61" s="216" t="s">
        <v>541</v>
      </c>
      <c r="J61" s="216" t="s">
        <v>541</v>
      </c>
      <c r="K61" s="216" t="s">
        <v>541</v>
      </c>
      <c r="L61" s="216" t="s">
        <v>541</v>
      </c>
      <c r="M61" s="216" t="s">
        <v>541</v>
      </c>
      <c r="N61" s="216" t="s">
        <v>541</v>
      </c>
      <c r="O61" s="216" t="s">
        <v>541</v>
      </c>
      <c r="P61" s="216" t="s">
        <v>541</v>
      </c>
      <c r="Q61" s="216" t="s">
        <v>541</v>
      </c>
      <c r="R61" s="216" t="s">
        <v>541</v>
      </c>
      <c r="S61" s="217"/>
      <c r="T61" s="198"/>
      <c r="U61" s="197"/>
      <c r="V61" s="197"/>
      <c r="W61" s="197"/>
      <c r="X61" s="197"/>
      <c r="Y61" s="197"/>
      <c r="Z61" s="197"/>
    </row>
    <row r="62" spans="1:26">
      <c r="A62" s="197"/>
      <c r="B62" s="219" t="s">
        <v>325</v>
      </c>
      <c r="C62" s="214"/>
      <c r="D62" s="220" t="e">
        <f t="shared" ref="D62:R62" si="35">D61/D11</f>
        <v>#VALUE!</v>
      </c>
      <c r="E62" s="220" t="e">
        <f t="shared" si="35"/>
        <v>#VALUE!</v>
      </c>
      <c r="F62" s="220" t="e">
        <f t="shared" si="35"/>
        <v>#VALUE!</v>
      </c>
      <c r="G62" s="220" t="e">
        <f t="shared" si="35"/>
        <v>#VALUE!</v>
      </c>
      <c r="H62" s="220" t="e">
        <f t="shared" si="35"/>
        <v>#VALUE!</v>
      </c>
      <c r="I62" s="221" t="e">
        <f t="shared" si="35"/>
        <v>#VALUE!</v>
      </c>
      <c r="J62" s="221" t="e">
        <f t="shared" si="35"/>
        <v>#VALUE!</v>
      </c>
      <c r="K62" s="221" t="e">
        <f t="shared" si="35"/>
        <v>#VALUE!</v>
      </c>
      <c r="L62" s="221" t="e">
        <f t="shared" si="35"/>
        <v>#VALUE!</v>
      </c>
      <c r="M62" s="221" t="e">
        <f t="shared" si="35"/>
        <v>#VALUE!</v>
      </c>
      <c r="N62" s="221" t="e">
        <f t="shared" si="35"/>
        <v>#VALUE!</v>
      </c>
      <c r="O62" s="221" t="e">
        <f t="shared" si="35"/>
        <v>#VALUE!</v>
      </c>
      <c r="P62" s="221" t="e">
        <f t="shared" si="35"/>
        <v>#VALUE!</v>
      </c>
      <c r="Q62" s="221" t="e">
        <f t="shared" si="35"/>
        <v>#VALUE!</v>
      </c>
      <c r="R62" s="221" t="e">
        <f t="shared" si="35"/>
        <v>#VALUE!</v>
      </c>
      <c r="S62" s="217"/>
      <c r="T62" s="198"/>
      <c r="U62" s="197"/>
      <c r="V62" s="197"/>
      <c r="W62" s="197"/>
      <c r="X62" s="197"/>
      <c r="Y62" s="197"/>
      <c r="Z62" s="197"/>
    </row>
    <row r="63" spans="1:26">
      <c r="A63" s="197"/>
      <c r="B63" s="237"/>
      <c r="C63" s="214"/>
      <c r="D63" s="214"/>
      <c r="E63" s="214"/>
      <c r="F63" s="214"/>
      <c r="G63" s="214"/>
      <c r="H63" s="214"/>
      <c r="I63" s="217"/>
      <c r="J63" s="217"/>
      <c r="K63" s="217"/>
      <c r="L63" s="217"/>
      <c r="M63" s="217"/>
      <c r="N63" s="217"/>
      <c r="O63" s="217"/>
      <c r="P63" s="217"/>
      <c r="Q63" s="217"/>
      <c r="R63" s="217"/>
      <c r="S63" s="217"/>
      <c r="T63" s="198"/>
      <c r="U63" s="197"/>
      <c r="V63" s="197"/>
      <c r="W63" s="197"/>
      <c r="X63" s="197"/>
      <c r="Y63" s="197"/>
      <c r="Z63" s="197"/>
    </row>
    <row r="64" spans="1:26">
      <c r="A64" s="197"/>
      <c r="B64" s="232" t="str">
        <f>B39</f>
        <v>Thép</v>
      </c>
      <c r="C64" s="214"/>
      <c r="D64" s="214"/>
      <c r="E64" s="214"/>
      <c r="F64" s="214"/>
      <c r="G64" s="214"/>
      <c r="H64" s="214"/>
      <c r="I64" s="238" t="e">
        <f t="shared" ref="I64:R64" ca="1" si="36">I14-I39</f>
        <v>#VALUE!</v>
      </c>
      <c r="J64" s="238" t="e">
        <f t="shared" ca="1" si="36"/>
        <v>#REF!</v>
      </c>
      <c r="K64" s="238" t="e">
        <f t="shared" ca="1" si="36"/>
        <v>#VALUE!</v>
      </c>
      <c r="L64" s="238" t="e">
        <f t="shared" ca="1" si="36"/>
        <v>#VALUE!</v>
      </c>
      <c r="M64" s="238" t="e">
        <f t="shared" ca="1" si="36"/>
        <v>#VALUE!</v>
      </c>
      <c r="N64" s="238" t="e">
        <f t="shared" ca="1" si="36"/>
        <v>#VALUE!</v>
      </c>
      <c r="O64" s="239">
        <f t="shared" si="36"/>
        <v>0</v>
      </c>
      <c r="P64" s="239">
        <f t="shared" si="36"/>
        <v>0</v>
      </c>
      <c r="Q64" s="239">
        <f t="shared" si="36"/>
        <v>0</v>
      </c>
      <c r="R64" s="239">
        <f t="shared" si="36"/>
        <v>0</v>
      </c>
      <c r="S64" s="217"/>
      <c r="T64" s="198"/>
      <c r="U64" s="197"/>
      <c r="V64" s="197"/>
      <c r="W64" s="197"/>
      <c r="X64" s="197"/>
      <c r="Y64" s="197"/>
      <c r="Z64" s="197"/>
    </row>
    <row r="65" spans="1:26">
      <c r="A65" s="197"/>
      <c r="B65" s="219" t="s">
        <v>325</v>
      </c>
      <c r="C65" s="214"/>
      <c r="D65" s="220">
        <f t="shared" ref="D65:N65" si="37">D64/D14</f>
        <v>0</v>
      </c>
      <c r="E65" s="220">
        <f t="shared" si="37"/>
        <v>0</v>
      </c>
      <c r="F65" s="220">
        <f t="shared" si="37"/>
        <v>0</v>
      </c>
      <c r="G65" s="220">
        <f t="shared" si="37"/>
        <v>0</v>
      </c>
      <c r="H65" s="233">
        <f t="shared" si="37"/>
        <v>0</v>
      </c>
      <c r="I65" s="242" t="e">
        <f t="shared" ca="1" si="37"/>
        <v>#VALUE!</v>
      </c>
      <c r="J65" s="242" t="e">
        <f t="shared" ca="1" si="37"/>
        <v>#REF!</v>
      </c>
      <c r="K65" s="242" t="e">
        <f t="shared" ca="1" si="37"/>
        <v>#VALUE!</v>
      </c>
      <c r="L65" s="242" t="e">
        <f t="shared" ca="1" si="37"/>
        <v>#VALUE!</v>
      </c>
      <c r="M65" s="242" t="e">
        <f t="shared" ca="1" si="37"/>
        <v>#VALUE!</v>
      </c>
      <c r="N65" s="242" t="e">
        <f t="shared" ca="1" si="37"/>
        <v>#VALUE!</v>
      </c>
      <c r="O65" s="229"/>
      <c r="P65" s="229"/>
      <c r="Q65" s="229"/>
      <c r="R65" s="230"/>
      <c r="S65" s="212" t="s">
        <v>316</v>
      </c>
      <c r="T65" s="198"/>
      <c r="U65" s="197"/>
      <c r="V65" s="197"/>
      <c r="W65" s="197"/>
      <c r="X65" s="197"/>
      <c r="Y65" s="197"/>
      <c r="Z65" s="197"/>
    </row>
    <row r="66" spans="1:26">
      <c r="A66" s="197"/>
      <c r="B66" s="197"/>
      <c r="C66" s="214"/>
      <c r="D66" s="214"/>
      <c r="E66" s="214"/>
      <c r="F66" s="214"/>
      <c r="G66" s="214"/>
      <c r="H66" s="214"/>
      <c r="I66" s="217"/>
      <c r="J66" s="217"/>
      <c r="K66" s="217"/>
      <c r="L66" s="217"/>
      <c r="M66" s="217"/>
      <c r="N66" s="217"/>
      <c r="O66" s="217"/>
      <c r="P66" s="217"/>
      <c r="Q66" s="217"/>
      <c r="R66" s="217"/>
      <c r="S66" s="217"/>
      <c r="T66" s="198"/>
      <c r="U66" s="197"/>
      <c r="V66" s="197"/>
      <c r="W66" s="197"/>
      <c r="X66" s="197"/>
      <c r="Y66" s="197"/>
      <c r="Z66" s="197"/>
    </row>
    <row r="67" spans="1:26">
      <c r="A67" s="197"/>
      <c r="B67" s="232" t="str">
        <f>B42</f>
        <v>BĐS</v>
      </c>
      <c r="C67" s="214"/>
      <c r="D67" s="214"/>
      <c r="E67" s="214"/>
      <c r="F67" s="214"/>
      <c r="G67" s="214"/>
      <c r="H67" s="214"/>
      <c r="I67" s="239">
        <f t="shared" ref="I67:R67" si="38">I152</f>
        <v>337500</v>
      </c>
      <c r="J67" s="239">
        <f t="shared" si="38"/>
        <v>250750</v>
      </c>
      <c r="K67" s="239">
        <f t="shared" si="38"/>
        <v>196125</v>
      </c>
      <c r="L67" s="239">
        <f t="shared" si="38"/>
        <v>120000</v>
      </c>
      <c r="M67" s="239">
        <f t="shared" si="38"/>
        <v>120000</v>
      </c>
      <c r="N67" s="239">
        <f t="shared" si="38"/>
        <v>120000</v>
      </c>
      <c r="O67" s="243">
        <f t="shared" si="38"/>
        <v>0</v>
      </c>
      <c r="P67" s="243">
        <f t="shared" si="38"/>
        <v>0</v>
      </c>
      <c r="Q67" s="243">
        <f t="shared" si="38"/>
        <v>0</v>
      </c>
      <c r="R67" s="243">
        <f t="shared" si="38"/>
        <v>0</v>
      </c>
      <c r="S67" s="217"/>
      <c r="T67" s="198"/>
      <c r="U67" s="197"/>
      <c r="V67" s="197"/>
      <c r="W67" s="197"/>
      <c r="X67" s="197"/>
      <c r="Y67" s="197"/>
      <c r="Z67" s="197"/>
    </row>
    <row r="68" spans="1:26">
      <c r="A68" s="197"/>
      <c r="B68" s="219" t="s">
        <v>325</v>
      </c>
      <c r="C68" s="214"/>
      <c r="D68" s="220">
        <f t="shared" ref="D68:N68" si="39">D67/D17</f>
        <v>0</v>
      </c>
      <c r="E68" s="220">
        <f t="shared" si="39"/>
        <v>0</v>
      </c>
      <c r="F68" s="220">
        <f t="shared" si="39"/>
        <v>0</v>
      </c>
      <c r="G68" s="220">
        <f t="shared" si="39"/>
        <v>0</v>
      </c>
      <c r="H68" s="233">
        <f t="shared" si="39"/>
        <v>0</v>
      </c>
      <c r="I68" s="242" t="e">
        <f t="shared" si="39"/>
        <v>#VALUE!</v>
      </c>
      <c r="J68" s="242" t="e">
        <f t="shared" si="39"/>
        <v>#VALUE!</v>
      </c>
      <c r="K68" s="242" t="e">
        <f t="shared" si="39"/>
        <v>#VALUE!</v>
      </c>
      <c r="L68" s="242" t="e">
        <f t="shared" si="39"/>
        <v>#VALUE!</v>
      </c>
      <c r="M68" s="242" t="e">
        <f t="shared" si="39"/>
        <v>#VALUE!</v>
      </c>
      <c r="N68" s="242" t="e">
        <f t="shared" si="39"/>
        <v>#VALUE!</v>
      </c>
      <c r="O68" s="229"/>
      <c r="P68" s="229"/>
      <c r="Q68" s="229"/>
      <c r="R68" s="230"/>
      <c r="S68" s="212" t="s">
        <v>316</v>
      </c>
      <c r="T68" s="198"/>
      <c r="U68" s="197"/>
      <c r="V68" s="197"/>
      <c r="W68" s="197"/>
      <c r="X68" s="197"/>
      <c r="Y68" s="197"/>
      <c r="Z68" s="197"/>
    </row>
    <row r="69" spans="1:26">
      <c r="A69" s="197"/>
      <c r="B69" s="197"/>
      <c r="C69" s="214"/>
      <c r="D69" s="214"/>
      <c r="E69" s="214"/>
      <c r="F69" s="214"/>
      <c r="G69" s="214"/>
      <c r="H69" s="214"/>
      <c r="I69" s="217"/>
      <c r="J69" s="217"/>
      <c r="K69" s="217"/>
      <c r="L69" s="217"/>
      <c r="M69" s="217"/>
      <c r="N69" s="217"/>
      <c r="O69" s="217"/>
      <c r="P69" s="217"/>
      <c r="Q69" s="217"/>
      <c r="R69" s="217"/>
      <c r="S69" s="217"/>
      <c r="T69" s="198"/>
      <c r="U69" s="197"/>
      <c r="V69" s="197"/>
      <c r="W69" s="197"/>
      <c r="X69" s="197"/>
      <c r="Y69" s="197"/>
      <c r="Z69" s="197"/>
    </row>
    <row r="70" spans="1:26">
      <c r="A70" s="197"/>
      <c r="B70" s="232" t="str">
        <f>B45</f>
        <v>Nông nghiệp</v>
      </c>
      <c r="C70" s="214"/>
      <c r="D70" s="214"/>
      <c r="E70" s="214"/>
      <c r="F70" s="214"/>
      <c r="G70" s="214"/>
      <c r="H70" s="214"/>
      <c r="I70" s="239">
        <f t="shared" ref="I70:R70" si="40">I167</f>
        <v>310000</v>
      </c>
      <c r="J70" s="239">
        <f t="shared" si="40"/>
        <v>1399200</v>
      </c>
      <c r="K70" s="239">
        <f t="shared" si="40"/>
        <v>3280000</v>
      </c>
      <c r="L70" s="239">
        <f t="shared" si="40"/>
        <v>4100000</v>
      </c>
      <c r="M70" s="239">
        <f t="shared" si="40"/>
        <v>4100000</v>
      </c>
      <c r="N70" s="239">
        <f t="shared" si="40"/>
        <v>4100000</v>
      </c>
      <c r="O70" s="243">
        <f t="shared" si="40"/>
        <v>0</v>
      </c>
      <c r="P70" s="243">
        <f t="shared" si="40"/>
        <v>0</v>
      </c>
      <c r="Q70" s="243">
        <f t="shared" si="40"/>
        <v>0</v>
      </c>
      <c r="R70" s="243">
        <f t="shared" si="40"/>
        <v>0</v>
      </c>
      <c r="S70" s="217"/>
      <c r="T70" s="198"/>
      <c r="U70" s="197"/>
      <c r="V70" s="197"/>
      <c r="W70" s="197"/>
      <c r="X70" s="197"/>
      <c r="Y70" s="197"/>
      <c r="Z70" s="197"/>
    </row>
    <row r="71" spans="1:26">
      <c r="A71" s="197"/>
      <c r="B71" s="219" t="s">
        <v>325</v>
      </c>
      <c r="C71" s="214"/>
      <c r="D71" s="220" t="e">
        <f t="shared" ref="D71:N71" si="41">D70/D20</f>
        <v>#DIV/0!</v>
      </c>
      <c r="E71" s="220" t="e">
        <f t="shared" si="41"/>
        <v>#DIV/0!</v>
      </c>
      <c r="F71" s="220">
        <f t="shared" si="41"/>
        <v>0</v>
      </c>
      <c r="G71" s="220">
        <f t="shared" si="41"/>
        <v>0</v>
      </c>
      <c r="H71" s="233">
        <f t="shared" si="41"/>
        <v>0</v>
      </c>
      <c r="I71" s="242">
        <f t="shared" si="41"/>
        <v>0.05</v>
      </c>
      <c r="J71" s="242">
        <f t="shared" si="41"/>
        <v>0.12</v>
      </c>
      <c r="K71" s="242">
        <f t="shared" si="41"/>
        <v>0.2</v>
      </c>
      <c r="L71" s="242">
        <f t="shared" si="41"/>
        <v>0.25</v>
      </c>
      <c r="M71" s="242">
        <f t="shared" si="41"/>
        <v>0.25</v>
      </c>
      <c r="N71" s="242">
        <f t="shared" si="41"/>
        <v>0.25</v>
      </c>
      <c r="O71" s="229"/>
      <c r="P71" s="229"/>
      <c r="Q71" s="229"/>
      <c r="R71" s="230"/>
      <c r="S71" s="212" t="s">
        <v>316</v>
      </c>
      <c r="T71" s="198"/>
      <c r="U71" s="197"/>
      <c r="V71" s="197"/>
      <c r="W71" s="197"/>
      <c r="X71" s="197"/>
      <c r="Y71" s="197"/>
      <c r="Z71" s="197"/>
    </row>
    <row r="72" spans="1:26">
      <c r="A72" s="197"/>
      <c r="B72" s="197"/>
      <c r="C72" s="214"/>
      <c r="D72" s="214"/>
      <c r="E72" s="214"/>
      <c r="F72" s="214"/>
      <c r="G72" s="214"/>
      <c r="H72" s="214"/>
      <c r="I72" s="217"/>
      <c r="J72" s="217"/>
      <c r="K72" s="217"/>
      <c r="L72" s="217"/>
      <c r="M72" s="217"/>
      <c r="N72" s="217"/>
      <c r="O72" s="217"/>
      <c r="P72" s="217"/>
      <c r="Q72" s="217"/>
      <c r="R72" s="217"/>
      <c r="S72" s="217"/>
      <c r="T72" s="198"/>
      <c r="U72" s="197"/>
      <c r="V72" s="197"/>
      <c r="W72" s="197"/>
      <c r="X72" s="197"/>
      <c r="Y72" s="197"/>
      <c r="Z72" s="197"/>
    </row>
    <row r="73" spans="1:26">
      <c r="A73" s="197"/>
      <c r="B73" s="232" t="str">
        <f>B48</f>
        <v>Khác</v>
      </c>
      <c r="C73" s="214"/>
      <c r="D73" s="214"/>
      <c r="E73" s="214"/>
      <c r="F73" s="214"/>
      <c r="G73" s="214"/>
      <c r="H73" s="214"/>
      <c r="I73" s="239">
        <f t="shared" ref="I73:R73" si="42">I173</f>
        <v>556800.70240000007</v>
      </c>
      <c r="J73" s="239" t="e">
        <f t="shared" si="42"/>
        <v>#VALUE!</v>
      </c>
      <c r="K73" s="239" t="e">
        <f t="shared" si="42"/>
        <v>#VALUE!</v>
      </c>
      <c r="L73" s="239" t="e">
        <f t="shared" si="42"/>
        <v>#VALUE!</v>
      </c>
      <c r="M73" s="239" t="e">
        <f t="shared" si="42"/>
        <v>#VALUE!</v>
      </c>
      <c r="N73" s="239" t="e">
        <f t="shared" si="42"/>
        <v>#VALUE!</v>
      </c>
      <c r="O73" s="243">
        <f t="shared" si="42"/>
        <v>0</v>
      </c>
      <c r="P73" s="243">
        <f t="shared" si="42"/>
        <v>0</v>
      </c>
      <c r="Q73" s="243">
        <f t="shared" si="42"/>
        <v>0</v>
      </c>
      <c r="R73" s="243">
        <f t="shared" si="42"/>
        <v>0</v>
      </c>
      <c r="S73" s="217"/>
      <c r="T73" s="198"/>
      <c r="U73" s="197"/>
      <c r="V73" s="197"/>
      <c r="W73" s="197"/>
      <c r="X73" s="197"/>
      <c r="Y73" s="197"/>
      <c r="Z73" s="197"/>
    </row>
    <row r="74" spans="1:26">
      <c r="A74" s="197"/>
      <c r="B74" s="219" t="s">
        <v>325</v>
      </c>
      <c r="C74" s="214"/>
      <c r="D74" s="220" t="e">
        <f t="shared" ref="D74:N74" si="43">D73/D23</f>
        <v>#VALUE!</v>
      </c>
      <c r="E74" s="220" t="e">
        <f t="shared" si="43"/>
        <v>#VALUE!</v>
      </c>
      <c r="F74" s="220" t="e">
        <f t="shared" si="43"/>
        <v>#VALUE!</v>
      </c>
      <c r="G74" s="220" t="e">
        <f t="shared" si="43"/>
        <v>#VALUE!</v>
      </c>
      <c r="H74" s="233" t="e">
        <f t="shared" si="43"/>
        <v>#VALUE!</v>
      </c>
      <c r="I74" s="242">
        <f t="shared" si="43"/>
        <v>0.2</v>
      </c>
      <c r="J74" s="242" t="e">
        <f t="shared" si="43"/>
        <v>#VALUE!</v>
      </c>
      <c r="K74" s="242" t="e">
        <f t="shared" si="43"/>
        <v>#VALUE!</v>
      </c>
      <c r="L74" s="242" t="e">
        <f t="shared" si="43"/>
        <v>#VALUE!</v>
      </c>
      <c r="M74" s="242" t="e">
        <f t="shared" si="43"/>
        <v>#VALUE!</v>
      </c>
      <c r="N74" s="242" t="e">
        <f t="shared" si="43"/>
        <v>#VALUE!</v>
      </c>
      <c r="O74" s="229"/>
      <c r="P74" s="229"/>
      <c r="Q74" s="229"/>
      <c r="R74" s="230"/>
      <c r="S74" s="212" t="s">
        <v>316</v>
      </c>
      <c r="T74" s="198"/>
      <c r="U74" s="197"/>
      <c r="V74" s="197"/>
      <c r="W74" s="197"/>
      <c r="X74" s="197"/>
      <c r="Y74" s="197"/>
      <c r="Z74" s="197"/>
    </row>
    <row r="75" spans="1:26">
      <c r="A75" s="197"/>
      <c r="B75" s="197"/>
      <c r="C75" s="214"/>
      <c r="D75" s="214"/>
      <c r="E75" s="214"/>
      <c r="F75" s="214"/>
      <c r="G75" s="214"/>
      <c r="H75" s="214"/>
      <c r="I75" s="217"/>
      <c r="J75" s="217"/>
      <c r="K75" s="217"/>
      <c r="L75" s="217"/>
      <c r="M75" s="217"/>
      <c r="N75" s="217"/>
      <c r="O75" s="217"/>
      <c r="P75" s="217"/>
      <c r="Q75" s="217"/>
      <c r="R75" s="217"/>
      <c r="S75" s="217"/>
      <c r="T75" s="198"/>
      <c r="U75" s="197"/>
      <c r="V75" s="197"/>
      <c r="W75" s="197"/>
      <c r="X75" s="197"/>
      <c r="Y75" s="197"/>
      <c r="Z75" s="197"/>
    </row>
    <row r="76" spans="1:26">
      <c r="A76" s="197"/>
      <c r="B76" s="237">
        <f>B51</f>
        <v>0</v>
      </c>
      <c r="C76" s="214"/>
      <c r="D76" s="214"/>
      <c r="E76" s="214"/>
      <c r="F76" s="214"/>
      <c r="G76" s="214"/>
      <c r="H76" s="214"/>
      <c r="I76" s="239">
        <f t="shared" ref="I76:R76" si="44">I26*I77</f>
        <v>0</v>
      </c>
      <c r="J76" s="239">
        <f t="shared" si="44"/>
        <v>0</v>
      </c>
      <c r="K76" s="239">
        <f t="shared" si="44"/>
        <v>0</v>
      </c>
      <c r="L76" s="239">
        <f t="shared" si="44"/>
        <v>0</v>
      </c>
      <c r="M76" s="239">
        <f t="shared" si="44"/>
        <v>0</v>
      </c>
      <c r="N76" s="239">
        <f t="shared" si="44"/>
        <v>0</v>
      </c>
      <c r="O76" s="239">
        <f t="shared" si="44"/>
        <v>0</v>
      </c>
      <c r="P76" s="239">
        <f t="shared" si="44"/>
        <v>0</v>
      </c>
      <c r="Q76" s="239">
        <f t="shared" si="44"/>
        <v>0</v>
      </c>
      <c r="R76" s="239">
        <f t="shared" si="44"/>
        <v>0</v>
      </c>
      <c r="S76" s="217"/>
      <c r="T76" s="198"/>
      <c r="U76" s="197"/>
      <c r="V76" s="197"/>
      <c r="W76" s="197"/>
      <c r="X76" s="197"/>
      <c r="Y76" s="197"/>
      <c r="Z76" s="197"/>
    </row>
    <row r="77" spans="1:26">
      <c r="A77" s="197"/>
      <c r="B77" s="219" t="s">
        <v>325</v>
      </c>
      <c r="C77" s="214"/>
      <c r="D77" s="220" t="e">
        <f t="shared" ref="D77:H77" si="45">D76/D26</f>
        <v>#DIV/0!</v>
      </c>
      <c r="E77" s="220" t="e">
        <f t="shared" si="45"/>
        <v>#DIV/0!</v>
      </c>
      <c r="F77" s="220" t="e">
        <f t="shared" si="45"/>
        <v>#DIV/0!</v>
      </c>
      <c r="G77" s="220" t="e">
        <f t="shared" si="45"/>
        <v>#DIV/0!</v>
      </c>
      <c r="H77" s="233" t="e">
        <f t="shared" si="45"/>
        <v>#DIV/0!</v>
      </c>
      <c r="I77" s="229"/>
      <c r="J77" s="229"/>
      <c r="K77" s="229"/>
      <c r="L77" s="229"/>
      <c r="M77" s="229"/>
      <c r="N77" s="229"/>
      <c r="O77" s="229"/>
      <c r="P77" s="229"/>
      <c r="Q77" s="229"/>
      <c r="R77" s="230"/>
      <c r="S77" s="212" t="s">
        <v>316</v>
      </c>
      <c r="T77" s="198"/>
      <c r="U77" s="197"/>
      <c r="V77" s="197"/>
      <c r="W77" s="197"/>
      <c r="X77" s="197"/>
      <c r="Y77" s="197"/>
      <c r="Z77" s="197"/>
    </row>
    <row r="78" spans="1:26">
      <c r="A78" s="197"/>
      <c r="B78" s="197"/>
      <c r="C78" s="214"/>
      <c r="D78" s="214"/>
      <c r="E78" s="214"/>
      <c r="F78" s="214"/>
      <c r="G78" s="214"/>
      <c r="H78" s="214"/>
      <c r="I78" s="217"/>
      <c r="J78" s="217"/>
      <c r="K78" s="217"/>
      <c r="L78" s="217"/>
      <c r="M78" s="217"/>
      <c r="N78" s="217"/>
      <c r="O78" s="217"/>
      <c r="P78" s="217"/>
      <c r="Q78" s="217"/>
      <c r="R78" s="217"/>
      <c r="S78" s="217"/>
      <c r="T78" s="198"/>
      <c r="U78" s="197"/>
      <c r="V78" s="197"/>
      <c r="W78" s="197"/>
      <c r="X78" s="197"/>
      <c r="Y78" s="197"/>
      <c r="Z78" s="197"/>
    </row>
    <row r="79" spans="1:26">
      <c r="A79" s="197"/>
      <c r="B79" s="237">
        <f>B54</f>
        <v>0</v>
      </c>
      <c r="C79" s="214"/>
      <c r="D79" s="214"/>
      <c r="E79" s="214"/>
      <c r="F79" s="214"/>
      <c r="G79" s="214"/>
      <c r="H79" s="214"/>
      <c r="I79" s="239">
        <f t="shared" ref="I79:R79" si="46">I29*I80</f>
        <v>0</v>
      </c>
      <c r="J79" s="239">
        <f t="shared" si="46"/>
        <v>0</v>
      </c>
      <c r="K79" s="239">
        <f t="shared" si="46"/>
        <v>0</v>
      </c>
      <c r="L79" s="239">
        <f t="shared" si="46"/>
        <v>0</v>
      </c>
      <c r="M79" s="239">
        <f t="shared" si="46"/>
        <v>0</v>
      </c>
      <c r="N79" s="239">
        <f t="shared" si="46"/>
        <v>0</v>
      </c>
      <c r="O79" s="239">
        <f t="shared" si="46"/>
        <v>0</v>
      </c>
      <c r="P79" s="239">
        <f t="shared" si="46"/>
        <v>0</v>
      </c>
      <c r="Q79" s="239">
        <f t="shared" si="46"/>
        <v>0</v>
      </c>
      <c r="R79" s="239">
        <f t="shared" si="46"/>
        <v>0</v>
      </c>
      <c r="S79" s="217"/>
      <c r="T79" s="198"/>
      <c r="U79" s="197"/>
      <c r="V79" s="197"/>
      <c r="W79" s="197"/>
      <c r="X79" s="197"/>
      <c r="Y79" s="197"/>
      <c r="Z79" s="197"/>
    </row>
    <row r="80" spans="1:26">
      <c r="A80" s="197"/>
      <c r="B80" s="219" t="s">
        <v>325</v>
      </c>
      <c r="C80" s="214"/>
      <c r="D80" s="220" t="e">
        <f t="shared" ref="D80:H80" si="47">D79/D29</f>
        <v>#DIV/0!</v>
      </c>
      <c r="E80" s="220" t="e">
        <f t="shared" si="47"/>
        <v>#DIV/0!</v>
      </c>
      <c r="F80" s="220" t="e">
        <f t="shared" si="47"/>
        <v>#DIV/0!</v>
      </c>
      <c r="G80" s="220" t="e">
        <f t="shared" si="47"/>
        <v>#DIV/0!</v>
      </c>
      <c r="H80" s="233" t="e">
        <f t="shared" si="47"/>
        <v>#DIV/0!</v>
      </c>
      <c r="I80" s="229"/>
      <c r="J80" s="229"/>
      <c r="K80" s="229"/>
      <c r="L80" s="229"/>
      <c r="M80" s="229"/>
      <c r="N80" s="229"/>
      <c r="O80" s="229"/>
      <c r="P80" s="229"/>
      <c r="Q80" s="229"/>
      <c r="R80" s="230"/>
      <c r="S80" s="212" t="s">
        <v>316</v>
      </c>
      <c r="T80" s="198"/>
      <c r="U80" s="197"/>
      <c r="V80" s="197"/>
      <c r="W80" s="197"/>
      <c r="X80" s="197"/>
      <c r="Y80" s="197"/>
      <c r="Z80" s="197"/>
    </row>
    <row r="81" spans="1:26">
      <c r="A81" s="197"/>
      <c r="B81" s="237"/>
      <c r="C81" s="214"/>
      <c r="D81" s="214"/>
      <c r="E81" s="214"/>
      <c r="F81" s="214"/>
      <c r="G81" s="214"/>
      <c r="H81" s="214"/>
      <c r="I81" s="198"/>
      <c r="J81" s="198"/>
      <c r="K81" s="198"/>
      <c r="L81" s="198"/>
      <c r="M81" s="198"/>
      <c r="N81" s="198"/>
      <c r="O81" s="198"/>
      <c r="P81" s="198"/>
      <c r="Q81" s="198"/>
      <c r="R81" s="198"/>
      <c r="S81" s="197"/>
      <c r="T81" s="198"/>
      <c r="U81" s="197"/>
      <c r="V81" s="197"/>
      <c r="W81" s="197"/>
      <c r="X81" s="197"/>
      <c r="Y81" s="197"/>
      <c r="Z81" s="197"/>
    </row>
    <row r="82" spans="1:26">
      <c r="A82" s="197"/>
      <c r="B82" s="237">
        <f>B57</f>
        <v>0</v>
      </c>
      <c r="C82" s="214"/>
      <c r="D82" s="214"/>
      <c r="E82" s="214"/>
      <c r="F82" s="214"/>
      <c r="G82" s="214"/>
      <c r="H82" s="214"/>
      <c r="I82" s="239">
        <f t="shared" ref="I82:R82" si="48">I32*I83</f>
        <v>0</v>
      </c>
      <c r="J82" s="239">
        <f t="shared" si="48"/>
        <v>0</v>
      </c>
      <c r="K82" s="239">
        <f t="shared" si="48"/>
        <v>0</v>
      </c>
      <c r="L82" s="239">
        <f t="shared" si="48"/>
        <v>0</v>
      </c>
      <c r="M82" s="239">
        <f t="shared" si="48"/>
        <v>0</v>
      </c>
      <c r="N82" s="239">
        <f t="shared" si="48"/>
        <v>0</v>
      </c>
      <c r="O82" s="239">
        <f t="shared" si="48"/>
        <v>0</v>
      </c>
      <c r="P82" s="239">
        <f t="shared" si="48"/>
        <v>0</v>
      </c>
      <c r="Q82" s="239">
        <f t="shared" si="48"/>
        <v>0</v>
      </c>
      <c r="R82" s="239">
        <f t="shared" si="48"/>
        <v>0</v>
      </c>
      <c r="S82" s="197"/>
      <c r="T82" s="198"/>
      <c r="U82" s="197"/>
      <c r="V82" s="197"/>
      <c r="W82" s="197"/>
      <c r="X82" s="197"/>
      <c r="Y82" s="197"/>
      <c r="Z82" s="197"/>
    </row>
    <row r="83" spans="1:26">
      <c r="A83" s="197"/>
      <c r="B83" s="219" t="s">
        <v>325</v>
      </c>
      <c r="C83" s="214"/>
      <c r="D83" s="220" t="e">
        <f t="shared" ref="D83:H83" si="49">D82/D32</f>
        <v>#DIV/0!</v>
      </c>
      <c r="E83" s="220" t="e">
        <f t="shared" si="49"/>
        <v>#DIV/0!</v>
      </c>
      <c r="F83" s="220" t="e">
        <f t="shared" si="49"/>
        <v>#DIV/0!</v>
      </c>
      <c r="G83" s="220" t="e">
        <f t="shared" si="49"/>
        <v>#DIV/0!</v>
      </c>
      <c r="H83" s="233" t="e">
        <f t="shared" si="49"/>
        <v>#DIV/0!</v>
      </c>
      <c r="I83" s="229"/>
      <c r="J83" s="229"/>
      <c r="K83" s="229"/>
      <c r="L83" s="229"/>
      <c r="M83" s="229"/>
      <c r="N83" s="229"/>
      <c r="O83" s="229"/>
      <c r="P83" s="229"/>
      <c r="Q83" s="229"/>
      <c r="R83" s="230"/>
      <c r="S83" s="212" t="s">
        <v>316</v>
      </c>
      <c r="T83" s="198"/>
      <c r="U83" s="197"/>
      <c r="V83" s="197"/>
      <c r="W83" s="197"/>
      <c r="X83" s="197"/>
      <c r="Y83" s="197"/>
      <c r="Z83" s="197"/>
    </row>
    <row r="84" spans="1:26">
      <c r="A84" s="197"/>
      <c r="B84" s="244"/>
      <c r="C84" s="236"/>
      <c r="D84" s="236"/>
      <c r="E84" s="236"/>
      <c r="F84" s="236"/>
      <c r="G84" s="236"/>
      <c r="H84" s="236"/>
      <c r="I84" s="241"/>
      <c r="J84" s="241"/>
      <c r="K84" s="241"/>
      <c r="L84" s="241"/>
      <c r="M84" s="241"/>
      <c r="N84" s="241"/>
      <c r="O84" s="241"/>
      <c r="P84" s="241"/>
      <c r="Q84" s="241"/>
      <c r="R84" s="241"/>
      <c r="S84" s="198"/>
      <c r="T84" s="198"/>
      <c r="U84" s="197"/>
      <c r="V84" s="197"/>
      <c r="W84" s="197"/>
      <c r="X84" s="197"/>
      <c r="Y84" s="197"/>
      <c r="Z84" s="197"/>
    </row>
    <row r="85" spans="1:26">
      <c r="A85" s="197"/>
      <c r="B85" s="197"/>
      <c r="C85" s="197"/>
      <c r="D85" s="197"/>
      <c r="E85" s="197"/>
      <c r="F85" s="197"/>
      <c r="G85" s="197"/>
      <c r="H85" s="197"/>
      <c r="I85" s="197"/>
      <c r="J85" s="197"/>
      <c r="K85" s="197"/>
      <c r="L85" s="197"/>
      <c r="M85" s="197"/>
      <c r="N85" s="197"/>
      <c r="O85" s="197"/>
      <c r="P85" s="197"/>
      <c r="Q85" s="197"/>
      <c r="R85" s="197"/>
      <c r="S85" s="197"/>
      <c r="T85" s="198"/>
      <c r="U85" s="197"/>
      <c r="V85" s="197"/>
      <c r="W85" s="197"/>
      <c r="X85" s="197"/>
      <c r="Y85" s="197"/>
      <c r="Z85" s="197"/>
    </row>
    <row r="86" spans="1:26">
      <c r="A86" s="197"/>
      <c r="B86" s="197"/>
      <c r="C86" s="197"/>
      <c r="D86" s="197"/>
      <c r="E86" s="197"/>
      <c r="F86" s="197"/>
      <c r="G86" s="197"/>
      <c r="H86" s="197"/>
      <c r="I86" s="197"/>
      <c r="J86" s="197"/>
      <c r="K86" s="197"/>
      <c r="L86" s="197"/>
      <c r="M86" s="197"/>
      <c r="N86" s="197"/>
      <c r="O86" s="197"/>
      <c r="P86" s="197"/>
      <c r="Q86" s="197"/>
      <c r="R86" s="197"/>
      <c r="S86" s="197"/>
      <c r="T86" s="198"/>
      <c r="U86" s="197"/>
      <c r="V86" s="197"/>
      <c r="W86" s="197"/>
      <c r="X86" s="197"/>
      <c r="Y86" s="197"/>
      <c r="Z86" s="197"/>
    </row>
    <row r="87" spans="1:26">
      <c r="A87" s="212" t="s">
        <v>316</v>
      </c>
      <c r="B87" s="245" t="s">
        <v>327</v>
      </c>
      <c r="C87" s="197"/>
      <c r="D87" s="197"/>
      <c r="E87" s="197"/>
      <c r="F87" s="197"/>
      <c r="G87" s="197"/>
      <c r="H87" s="197"/>
      <c r="I87" s="197"/>
      <c r="J87" s="197"/>
      <c r="K87" s="197"/>
      <c r="L87" s="197"/>
      <c r="M87" s="197"/>
      <c r="N87" s="197"/>
      <c r="O87" s="197"/>
      <c r="P87" s="197"/>
      <c r="Q87" s="197"/>
      <c r="R87" s="197"/>
      <c r="S87" s="197"/>
      <c r="T87" s="198"/>
      <c r="U87" s="197"/>
      <c r="V87" s="197"/>
      <c r="W87" s="197"/>
      <c r="X87" s="197"/>
      <c r="Y87" s="197"/>
      <c r="Z87" s="197"/>
    </row>
    <row r="88" spans="1:26">
      <c r="A88" s="197"/>
      <c r="B88" s="246" t="s">
        <v>328</v>
      </c>
      <c r="C88" s="197"/>
      <c r="D88" s="247"/>
      <c r="E88" s="247"/>
      <c r="F88" s="247"/>
      <c r="G88" s="247"/>
      <c r="H88" s="247"/>
      <c r="I88" s="248"/>
      <c r="J88" s="248"/>
      <c r="K88" s="248"/>
      <c r="L88" s="248"/>
      <c r="M88" s="248"/>
      <c r="N88" s="248"/>
      <c r="O88" s="197"/>
      <c r="P88" s="197"/>
      <c r="Q88" s="197"/>
      <c r="R88" s="197"/>
      <c r="S88" s="197"/>
      <c r="T88" s="198"/>
      <c r="U88" s="197"/>
      <c r="V88" s="197"/>
      <c r="W88" s="197"/>
      <c r="X88" s="197"/>
      <c r="Y88" s="197"/>
      <c r="Z88" s="197"/>
    </row>
    <row r="89" spans="1:26">
      <c r="A89" s="197"/>
      <c r="B89" s="249" t="s">
        <v>329</v>
      </c>
      <c r="C89" s="197"/>
      <c r="D89" s="250"/>
      <c r="E89" s="251">
        <f t="shared" ref="E89:H89" si="50">E91*E102</f>
        <v>8877300</v>
      </c>
      <c r="F89" s="251">
        <f t="shared" si="50"/>
        <v>13013000</v>
      </c>
      <c r="G89" s="251">
        <f t="shared" si="50"/>
        <v>14106599.999999998</v>
      </c>
      <c r="H89" s="251">
        <f t="shared" si="50"/>
        <v>27344562</v>
      </c>
      <c r="I89" s="252">
        <f t="shared" ref="I89:N89" si="51">I90*I102</f>
        <v>40825000</v>
      </c>
      <c r="J89" s="252" t="e">
        <f t="shared" si="51"/>
        <v>#REF!</v>
      </c>
      <c r="K89" s="252">
        <f t="shared" si="51"/>
        <v>91223749.999999985</v>
      </c>
      <c r="L89" s="252">
        <f t="shared" si="51"/>
        <v>98619975</v>
      </c>
      <c r="M89" s="252">
        <f t="shared" si="51"/>
        <v>102581489.25</v>
      </c>
      <c r="N89" s="252">
        <f t="shared" si="51"/>
        <v>104633119.035</v>
      </c>
      <c r="O89" s="197"/>
      <c r="P89" s="197"/>
      <c r="Q89" s="197"/>
      <c r="R89" s="197"/>
      <c r="S89" s="197"/>
      <c r="T89" s="198"/>
      <c r="U89" s="197"/>
      <c r="V89" s="197"/>
      <c r="W89" s="197"/>
      <c r="X89" s="197"/>
      <c r="Y89" s="197"/>
      <c r="Z89" s="197"/>
    </row>
    <row r="90" spans="1:26">
      <c r="A90" s="197"/>
      <c r="B90" s="253" t="s">
        <v>330</v>
      </c>
      <c r="C90" s="197"/>
      <c r="D90" s="227"/>
      <c r="E90" s="254">
        <f t="shared" ref="E90:N90" si="52">SUM(E91:E94)</f>
        <v>699000</v>
      </c>
      <c r="F90" s="254">
        <f t="shared" si="52"/>
        <v>1001000</v>
      </c>
      <c r="G90" s="254">
        <f t="shared" si="52"/>
        <v>1383000</v>
      </c>
      <c r="H90" s="254">
        <f t="shared" si="52"/>
        <v>2377788</v>
      </c>
      <c r="I90" s="254">
        <f t="shared" si="52"/>
        <v>3550000</v>
      </c>
      <c r="J90" s="254" t="e">
        <f t="shared" si="52"/>
        <v>#REF!</v>
      </c>
      <c r="K90" s="254">
        <f t="shared" si="52"/>
        <v>8350000</v>
      </c>
      <c r="L90" s="254">
        <f t="shared" si="52"/>
        <v>8850000</v>
      </c>
      <c r="M90" s="254">
        <f t="shared" si="52"/>
        <v>9025000</v>
      </c>
      <c r="N90" s="254">
        <f t="shared" si="52"/>
        <v>9025000</v>
      </c>
      <c r="O90" s="197"/>
      <c r="P90" s="197"/>
      <c r="Q90" s="197"/>
      <c r="R90" s="197"/>
      <c r="S90" s="197"/>
      <c r="T90" s="198"/>
      <c r="U90" s="197"/>
      <c r="V90" s="197"/>
      <c r="W90" s="197"/>
      <c r="X90" s="197"/>
      <c r="Y90" s="197"/>
      <c r="Z90" s="197"/>
    </row>
    <row r="91" spans="1:26">
      <c r="A91" s="197"/>
      <c r="B91" s="253" t="s">
        <v>331</v>
      </c>
      <c r="C91" s="197"/>
      <c r="D91" s="227"/>
      <c r="E91" s="255">
        <v>699000</v>
      </c>
      <c r="F91" s="255">
        <v>1001000</v>
      </c>
      <c r="G91" s="255">
        <v>1383000</v>
      </c>
      <c r="H91" s="255">
        <v>2377788</v>
      </c>
      <c r="I91" s="256">
        <f t="shared" ref="I91:N91" si="53">I106*I111</f>
        <v>2400000</v>
      </c>
      <c r="J91" s="256">
        <f t="shared" si="53"/>
        <v>2200000</v>
      </c>
      <c r="K91" s="256">
        <f t="shared" si="53"/>
        <v>2200000</v>
      </c>
      <c r="L91" s="256">
        <f t="shared" si="53"/>
        <v>2200000</v>
      </c>
      <c r="M91" s="256">
        <f t="shared" si="53"/>
        <v>2200000</v>
      </c>
      <c r="N91" s="256">
        <f t="shared" si="53"/>
        <v>2200000</v>
      </c>
      <c r="O91" s="197"/>
      <c r="P91" s="197"/>
      <c r="Q91" s="197"/>
      <c r="R91" s="197"/>
      <c r="S91" s="197"/>
      <c r="T91" s="198"/>
      <c r="U91" s="197"/>
      <c r="V91" s="197"/>
      <c r="W91" s="197"/>
      <c r="X91" s="197"/>
      <c r="Y91" s="197"/>
      <c r="Z91" s="197"/>
    </row>
    <row r="92" spans="1:26">
      <c r="A92" s="197"/>
      <c r="B92" s="253" t="s">
        <v>332</v>
      </c>
      <c r="C92" s="197"/>
      <c r="D92" s="227"/>
      <c r="E92" s="227"/>
      <c r="F92" s="227"/>
      <c r="G92" s="227"/>
      <c r="H92" s="227"/>
      <c r="I92" s="256">
        <f t="shared" ref="I92:R92" si="54">I107*I112</f>
        <v>750000</v>
      </c>
      <c r="J92" s="256">
        <f t="shared" si="54"/>
        <v>3000000</v>
      </c>
      <c r="K92" s="256">
        <f t="shared" si="54"/>
        <v>3000000</v>
      </c>
      <c r="L92" s="256">
        <f t="shared" si="54"/>
        <v>3150000</v>
      </c>
      <c r="M92" s="256">
        <f t="shared" si="54"/>
        <v>3150000</v>
      </c>
      <c r="N92" s="256">
        <f t="shared" si="54"/>
        <v>3150000</v>
      </c>
      <c r="O92" s="254">
        <f t="shared" si="54"/>
        <v>0</v>
      </c>
      <c r="P92" s="254">
        <f t="shared" si="54"/>
        <v>0</v>
      </c>
      <c r="Q92" s="254">
        <f t="shared" si="54"/>
        <v>0</v>
      </c>
      <c r="R92" s="254">
        <f t="shared" si="54"/>
        <v>0</v>
      </c>
      <c r="S92" s="197"/>
      <c r="T92" s="198"/>
      <c r="U92" s="197"/>
      <c r="V92" s="197"/>
      <c r="W92" s="197"/>
      <c r="X92" s="197"/>
      <c r="Y92" s="197"/>
      <c r="Z92" s="197"/>
    </row>
    <row r="93" spans="1:26">
      <c r="A93" s="197"/>
      <c r="B93" s="253" t="s">
        <v>333</v>
      </c>
      <c r="C93" s="197"/>
      <c r="D93" s="227"/>
      <c r="E93" s="227"/>
      <c r="F93" s="227"/>
      <c r="G93" s="227"/>
      <c r="H93" s="227"/>
      <c r="I93" s="256">
        <f t="shared" ref="I93:R93" si="55">I108*I113</f>
        <v>0</v>
      </c>
      <c r="J93" s="256" t="e">
        <f t="shared" si="55"/>
        <v>#REF!</v>
      </c>
      <c r="K93" s="256">
        <f t="shared" si="55"/>
        <v>3150000</v>
      </c>
      <c r="L93" s="256">
        <f t="shared" si="55"/>
        <v>3500000</v>
      </c>
      <c r="M93" s="256">
        <f t="shared" si="55"/>
        <v>3675000</v>
      </c>
      <c r="N93" s="256">
        <f t="shared" si="55"/>
        <v>3675000</v>
      </c>
      <c r="O93" s="254">
        <f t="shared" si="55"/>
        <v>0</v>
      </c>
      <c r="P93" s="254">
        <f t="shared" si="55"/>
        <v>0</v>
      </c>
      <c r="Q93" s="254">
        <f t="shared" si="55"/>
        <v>0</v>
      </c>
      <c r="R93" s="254">
        <f t="shared" si="55"/>
        <v>0</v>
      </c>
      <c r="S93" s="197"/>
      <c r="T93" s="198"/>
      <c r="U93" s="197"/>
      <c r="V93" s="197"/>
      <c r="W93" s="197"/>
      <c r="X93" s="197"/>
      <c r="Y93" s="197"/>
      <c r="Z93" s="197"/>
    </row>
    <row r="94" spans="1:26">
      <c r="A94" s="197"/>
      <c r="B94" s="253" t="s">
        <v>334</v>
      </c>
      <c r="C94" s="197"/>
      <c r="D94" s="197"/>
      <c r="E94" s="197"/>
      <c r="F94" s="197"/>
      <c r="G94" s="197"/>
      <c r="H94" s="197"/>
      <c r="I94" s="254">
        <v>400000</v>
      </c>
      <c r="J94" s="197"/>
      <c r="K94" s="197"/>
      <c r="L94" s="197"/>
      <c r="M94" s="197"/>
      <c r="N94" s="197"/>
      <c r="O94" s="197"/>
      <c r="P94" s="197"/>
      <c r="Q94" s="197"/>
      <c r="R94" s="197"/>
      <c r="S94" s="197"/>
      <c r="T94" s="198"/>
      <c r="U94" s="197"/>
      <c r="V94" s="197"/>
      <c r="W94" s="197"/>
      <c r="X94" s="197"/>
      <c r="Y94" s="197"/>
      <c r="Z94" s="197"/>
    </row>
    <row r="95" spans="1:26">
      <c r="A95" s="197"/>
      <c r="B95" s="227"/>
      <c r="C95" s="197"/>
      <c r="D95" s="197"/>
      <c r="E95" s="197"/>
      <c r="F95" s="197"/>
      <c r="G95" s="197"/>
      <c r="H95" s="197"/>
      <c r="I95" s="227"/>
      <c r="J95" s="197"/>
      <c r="K95" s="197"/>
      <c r="L95" s="197"/>
      <c r="M95" s="197"/>
      <c r="N95" s="197"/>
      <c r="O95" s="197"/>
      <c r="P95" s="197"/>
      <c r="Q95" s="197"/>
      <c r="R95" s="197"/>
      <c r="S95" s="197"/>
      <c r="T95" s="198"/>
      <c r="U95" s="197"/>
      <c r="V95" s="197"/>
      <c r="W95" s="197"/>
      <c r="X95" s="197"/>
      <c r="Y95" s="197"/>
      <c r="Z95" s="197"/>
    </row>
    <row r="96" spans="1:26">
      <c r="A96" s="197"/>
      <c r="B96" s="257" t="s">
        <v>335</v>
      </c>
      <c r="C96" s="197"/>
      <c r="D96" s="197"/>
      <c r="E96" s="197"/>
      <c r="F96" s="197"/>
      <c r="G96" s="197"/>
      <c r="H96" s="197"/>
      <c r="I96" s="258">
        <f t="shared" ref="I96:R96" si="56">I91+I92</f>
        <v>3150000</v>
      </c>
      <c r="J96" s="258">
        <f t="shared" si="56"/>
        <v>5200000</v>
      </c>
      <c r="K96" s="258">
        <f t="shared" si="56"/>
        <v>5200000</v>
      </c>
      <c r="L96" s="258">
        <f t="shared" si="56"/>
        <v>5350000</v>
      </c>
      <c r="M96" s="258">
        <f t="shared" si="56"/>
        <v>5350000</v>
      </c>
      <c r="N96" s="258">
        <f t="shared" si="56"/>
        <v>5350000</v>
      </c>
      <c r="O96" s="258">
        <f t="shared" si="56"/>
        <v>0</v>
      </c>
      <c r="P96" s="258">
        <f t="shared" si="56"/>
        <v>0</v>
      </c>
      <c r="Q96" s="258">
        <f t="shared" si="56"/>
        <v>0</v>
      </c>
      <c r="R96" s="258">
        <f t="shared" si="56"/>
        <v>0</v>
      </c>
      <c r="S96" s="197"/>
      <c r="T96" s="198"/>
      <c r="U96" s="197"/>
      <c r="V96" s="197"/>
      <c r="W96" s="197"/>
      <c r="X96" s="197"/>
      <c r="Y96" s="197"/>
      <c r="Z96" s="197"/>
    </row>
    <row r="97" spans="1:26">
      <c r="A97" s="197"/>
      <c r="B97" s="253" t="s">
        <v>329</v>
      </c>
      <c r="C97" s="197"/>
      <c r="D97" s="197"/>
      <c r="E97" s="197"/>
      <c r="F97" s="197"/>
      <c r="G97" s="197"/>
      <c r="H97" s="197"/>
      <c r="I97" s="227"/>
      <c r="J97" s="254">
        <f t="shared" ref="J97:N97" si="57">J96-J98</f>
        <v>3400000</v>
      </c>
      <c r="K97" s="254">
        <f t="shared" si="57"/>
        <v>4200000</v>
      </c>
      <c r="L97" s="254">
        <f t="shared" si="57"/>
        <v>4850000</v>
      </c>
      <c r="M97" s="254">
        <f t="shared" si="57"/>
        <v>4850000</v>
      </c>
      <c r="N97" s="254">
        <f t="shared" si="57"/>
        <v>4850000</v>
      </c>
      <c r="O97" s="197"/>
      <c r="P97" s="197"/>
      <c r="Q97" s="197"/>
      <c r="R97" s="197"/>
      <c r="S97" s="197"/>
      <c r="T97" s="198"/>
      <c r="U97" s="197"/>
      <c r="V97" s="197"/>
      <c r="W97" s="197"/>
      <c r="X97" s="197"/>
      <c r="Y97" s="197"/>
      <c r="Z97" s="197"/>
    </row>
    <row r="98" spans="1:26">
      <c r="A98" s="197"/>
      <c r="B98" s="253" t="s">
        <v>336</v>
      </c>
      <c r="C98" s="197"/>
      <c r="D98" s="197"/>
      <c r="E98" s="197"/>
      <c r="F98" s="197"/>
      <c r="G98" s="197"/>
      <c r="H98" s="197"/>
      <c r="I98" s="227"/>
      <c r="J98" s="255">
        <v>1800000</v>
      </c>
      <c r="K98" s="255">
        <v>1000000</v>
      </c>
      <c r="L98" s="255">
        <v>500000</v>
      </c>
      <c r="M98" s="255">
        <v>500000</v>
      </c>
      <c r="N98" s="255">
        <v>500000</v>
      </c>
      <c r="O98" s="197"/>
      <c r="P98" s="197"/>
      <c r="Q98" s="197"/>
      <c r="R98" s="197"/>
      <c r="S98" s="197"/>
      <c r="T98" s="198"/>
      <c r="U98" s="197"/>
      <c r="V98" s="197"/>
      <c r="W98" s="197"/>
      <c r="X98" s="197"/>
      <c r="Y98" s="197"/>
      <c r="Z98" s="197"/>
    </row>
    <row r="99" spans="1:26">
      <c r="A99" s="197"/>
      <c r="B99" s="197"/>
      <c r="C99" s="197"/>
      <c r="D99" s="197"/>
      <c r="E99" s="197"/>
      <c r="F99" s="197"/>
      <c r="G99" s="197"/>
      <c r="H99" s="197"/>
      <c r="I99" s="197"/>
      <c r="J99" s="197"/>
      <c r="K99" s="197"/>
      <c r="L99" s="197"/>
      <c r="M99" s="197"/>
      <c r="N99" s="197"/>
      <c r="O99" s="197"/>
      <c r="P99" s="197"/>
      <c r="Q99" s="197"/>
      <c r="R99" s="197"/>
      <c r="S99" s="197"/>
      <c r="T99" s="198"/>
      <c r="U99" s="197"/>
      <c r="V99" s="197"/>
      <c r="W99" s="197"/>
      <c r="X99" s="197"/>
      <c r="Y99" s="197"/>
      <c r="Z99" s="197"/>
    </row>
    <row r="100" spans="1:26">
      <c r="A100" s="197"/>
      <c r="B100" s="259" t="s">
        <v>337</v>
      </c>
      <c r="C100" s="197"/>
      <c r="D100" s="197"/>
      <c r="E100" s="197"/>
      <c r="F100" s="197"/>
      <c r="G100" s="197"/>
      <c r="H100" s="197"/>
      <c r="I100" s="254">
        <f t="shared" ref="I100:N100" si="58">I93</f>
        <v>0</v>
      </c>
      <c r="J100" s="254" t="e">
        <f t="shared" si="58"/>
        <v>#REF!</v>
      </c>
      <c r="K100" s="254">
        <f t="shared" si="58"/>
        <v>3150000</v>
      </c>
      <c r="L100" s="254">
        <f t="shared" si="58"/>
        <v>3500000</v>
      </c>
      <c r="M100" s="254">
        <f t="shared" si="58"/>
        <v>3675000</v>
      </c>
      <c r="N100" s="254">
        <f t="shared" si="58"/>
        <v>3675000</v>
      </c>
      <c r="O100" s="197"/>
      <c r="P100" s="197"/>
      <c r="Q100" s="197"/>
      <c r="R100" s="197"/>
      <c r="S100" s="197"/>
      <c r="T100" s="198"/>
      <c r="U100" s="197"/>
      <c r="V100" s="197"/>
      <c r="W100" s="197"/>
      <c r="X100" s="197"/>
      <c r="Y100" s="197"/>
      <c r="Z100" s="197"/>
    </row>
    <row r="101" spans="1:26">
      <c r="A101" s="197"/>
      <c r="B101" s="197"/>
      <c r="C101" s="197"/>
      <c r="D101" s="197"/>
      <c r="E101" s="197"/>
      <c r="F101" s="197"/>
      <c r="G101" s="197"/>
      <c r="H101" s="197"/>
      <c r="I101" s="197"/>
      <c r="J101" s="197"/>
      <c r="K101" s="197"/>
      <c r="L101" s="197"/>
      <c r="M101" s="197"/>
      <c r="N101" s="197"/>
      <c r="O101" s="197"/>
      <c r="P101" s="197"/>
      <c r="Q101" s="197"/>
      <c r="R101" s="197"/>
      <c r="S101" s="197"/>
      <c r="T101" s="198"/>
      <c r="U101" s="197"/>
      <c r="V101" s="197"/>
      <c r="W101" s="197"/>
      <c r="X101" s="197"/>
      <c r="Y101" s="197"/>
      <c r="Z101" s="197"/>
    </row>
    <row r="102" spans="1:26">
      <c r="A102" s="197"/>
      <c r="B102" s="253" t="s">
        <v>338</v>
      </c>
      <c r="C102" s="197"/>
      <c r="D102" s="227"/>
      <c r="E102" s="260">
        <v>12.7</v>
      </c>
      <c r="F102" s="260">
        <v>13</v>
      </c>
      <c r="G102" s="260">
        <v>10.199999999999999</v>
      </c>
      <c r="H102" s="260">
        <v>11.5</v>
      </c>
      <c r="I102" s="260">
        <v>11.5</v>
      </c>
      <c r="J102" s="260">
        <f t="shared" ref="J102:N102" si="59">I102*(1+J103)</f>
        <v>10.924999999999999</v>
      </c>
      <c r="K102" s="260">
        <f t="shared" si="59"/>
        <v>10.924999999999999</v>
      </c>
      <c r="L102" s="260">
        <f t="shared" si="59"/>
        <v>11.1435</v>
      </c>
      <c r="M102" s="260">
        <f t="shared" si="59"/>
        <v>11.36637</v>
      </c>
      <c r="N102" s="260">
        <f t="shared" si="59"/>
        <v>11.5936974</v>
      </c>
      <c r="O102" s="197"/>
      <c r="P102" s="197"/>
      <c r="Q102" s="197"/>
      <c r="R102" s="197"/>
      <c r="S102" s="197"/>
      <c r="T102" s="198"/>
      <c r="U102" s="197"/>
      <c r="V102" s="197"/>
      <c r="W102" s="197"/>
      <c r="X102" s="197"/>
      <c r="Y102" s="197"/>
      <c r="Z102" s="197"/>
    </row>
    <row r="103" spans="1:26">
      <c r="A103" s="197"/>
      <c r="B103" s="253" t="s">
        <v>339</v>
      </c>
      <c r="C103" s="197"/>
      <c r="D103" s="227"/>
      <c r="E103" s="227"/>
      <c r="F103" s="227"/>
      <c r="G103" s="227"/>
      <c r="H103" s="227"/>
      <c r="I103" s="199"/>
      <c r="J103" s="261">
        <v>-0.05</v>
      </c>
      <c r="K103" s="261">
        <v>0</v>
      </c>
      <c r="L103" s="261">
        <v>0.02</v>
      </c>
      <c r="M103" s="261">
        <v>0.02</v>
      </c>
      <c r="N103" s="261">
        <v>0.02</v>
      </c>
      <c r="O103" s="197"/>
      <c r="P103" s="197"/>
      <c r="Q103" s="197"/>
      <c r="R103" s="197"/>
      <c r="S103" s="197"/>
      <c r="T103" s="198"/>
      <c r="U103" s="197"/>
      <c r="V103" s="197"/>
      <c r="W103" s="197"/>
      <c r="X103" s="197"/>
      <c r="Y103" s="197"/>
      <c r="Z103" s="197"/>
    </row>
    <row r="104" spans="1:26">
      <c r="A104" s="197"/>
      <c r="B104" s="227"/>
      <c r="C104" s="197"/>
      <c r="D104" s="227"/>
      <c r="E104" s="227"/>
      <c r="F104" s="227"/>
      <c r="G104" s="227"/>
      <c r="H104" s="227"/>
      <c r="I104" s="199"/>
      <c r="J104" s="199"/>
      <c r="K104" s="197"/>
      <c r="L104" s="199"/>
      <c r="M104" s="199"/>
      <c r="N104" s="199"/>
      <c r="O104" s="197"/>
      <c r="P104" s="197"/>
      <c r="Q104" s="197"/>
      <c r="R104" s="197"/>
      <c r="S104" s="197"/>
      <c r="T104" s="198"/>
      <c r="U104" s="197"/>
      <c r="V104" s="197"/>
      <c r="W104" s="197"/>
      <c r="X104" s="197"/>
      <c r="Y104" s="197"/>
      <c r="Z104" s="197"/>
    </row>
    <row r="105" spans="1:26">
      <c r="A105" s="197"/>
      <c r="B105" s="257" t="s">
        <v>340</v>
      </c>
      <c r="C105" s="197"/>
      <c r="D105" s="199"/>
      <c r="E105" s="199"/>
      <c r="F105" s="198"/>
      <c r="G105" s="198"/>
      <c r="H105" s="198"/>
      <c r="I105" s="262"/>
      <c r="J105" s="262"/>
      <c r="K105" s="262"/>
      <c r="L105" s="199"/>
      <c r="M105" s="262"/>
      <c r="N105" s="262"/>
      <c r="O105" s="197"/>
      <c r="P105" s="197"/>
      <c r="Q105" s="197"/>
      <c r="R105" s="197"/>
      <c r="S105" s="197"/>
      <c r="T105" s="198"/>
      <c r="U105" s="197"/>
      <c r="V105" s="197"/>
      <c r="W105" s="197"/>
      <c r="X105" s="197"/>
      <c r="Y105" s="197"/>
      <c r="Z105" s="197"/>
    </row>
    <row r="106" spans="1:26">
      <c r="A106" s="197"/>
      <c r="B106" s="253" t="s">
        <v>341</v>
      </c>
      <c r="C106" s="197"/>
      <c r="D106" s="227"/>
      <c r="E106" s="227"/>
      <c r="F106" s="227"/>
      <c r="G106" s="254">
        <v>2000000</v>
      </c>
      <c r="H106" s="254">
        <v>2000000</v>
      </c>
      <c r="I106" s="254">
        <v>2000000</v>
      </c>
      <c r="J106" s="254">
        <v>2000000</v>
      </c>
      <c r="K106" s="254">
        <v>2000000</v>
      </c>
      <c r="L106" s="254">
        <v>2000000</v>
      </c>
      <c r="M106" s="254">
        <v>2000000</v>
      </c>
      <c r="N106" s="254">
        <v>2000000</v>
      </c>
      <c r="O106" s="197"/>
      <c r="P106" s="197"/>
      <c r="Q106" s="197"/>
      <c r="R106" s="197"/>
      <c r="S106" s="197"/>
      <c r="T106" s="198"/>
      <c r="U106" s="197"/>
      <c r="V106" s="197"/>
      <c r="W106" s="197"/>
      <c r="X106" s="197"/>
      <c r="Y106" s="197"/>
      <c r="Z106" s="197"/>
    </row>
    <row r="107" spans="1:26">
      <c r="A107" s="197"/>
      <c r="B107" s="253" t="s">
        <v>342</v>
      </c>
      <c r="C107" s="197"/>
      <c r="D107" s="199"/>
      <c r="E107" s="199"/>
      <c r="F107" s="198"/>
      <c r="G107" s="198"/>
      <c r="H107" s="198"/>
      <c r="I107" s="254">
        <v>3000000</v>
      </c>
      <c r="J107" s="254">
        <v>3000000</v>
      </c>
      <c r="K107" s="254">
        <v>3000000</v>
      </c>
      <c r="L107" s="254">
        <v>3000000</v>
      </c>
      <c r="M107" s="254">
        <v>3000000</v>
      </c>
      <c r="N107" s="254">
        <v>3000000</v>
      </c>
      <c r="O107" s="197"/>
      <c r="P107" s="197"/>
      <c r="Q107" s="197"/>
      <c r="R107" s="197"/>
      <c r="S107" s="197"/>
      <c r="T107" s="263" t="s">
        <v>343</v>
      </c>
      <c r="U107" s="197"/>
      <c r="V107" s="197"/>
      <c r="W107" s="197"/>
      <c r="X107" s="197"/>
      <c r="Y107" s="197"/>
      <c r="Z107" s="197"/>
    </row>
    <row r="108" spans="1:26">
      <c r="A108" s="197"/>
      <c r="B108" s="253" t="s">
        <v>344</v>
      </c>
      <c r="C108" s="197"/>
      <c r="D108" s="199"/>
      <c r="E108" s="199"/>
      <c r="F108" s="198"/>
      <c r="G108" s="198"/>
      <c r="H108" s="198"/>
      <c r="I108" s="227"/>
      <c r="J108" s="254">
        <v>3500000</v>
      </c>
      <c r="K108" s="254">
        <v>3500000</v>
      </c>
      <c r="L108" s="254">
        <v>3500000</v>
      </c>
      <c r="M108" s="254">
        <v>3500000</v>
      </c>
      <c r="N108" s="254">
        <v>3500000</v>
      </c>
      <c r="O108" s="254">
        <v>3500000</v>
      </c>
      <c r="P108" s="254">
        <v>3500000</v>
      </c>
      <c r="Q108" s="254">
        <v>3500000</v>
      </c>
      <c r="R108" s="254">
        <v>3500000</v>
      </c>
      <c r="S108" s="197"/>
      <c r="T108" s="198"/>
      <c r="U108" s="197"/>
      <c r="V108" s="197"/>
      <c r="W108" s="197"/>
      <c r="X108" s="197"/>
      <c r="Y108" s="197"/>
      <c r="Z108" s="197"/>
    </row>
    <row r="109" spans="1:26">
      <c r="A109" s="197"/>
      <c r="B109" s="253" t="s">
        <v>345</v>
      </c>
      <c r="C109" s="197"/>
      <c r="D109" s="199"/>
      <c r="E109" s="199"/>
      <c r="F109" s="198"/>
      <c r="G109" s="198"/>
      <c r="H109" s="198"/>
      <c r="I109" s="254">
        <f t="shared" ref="I109:N109" si="60">I106+I107+I108</f>
        <v>5000000</v>
      </c>
      <c r="J109" s="254">
        <f t="shared" si="60"/>
        <v>8500000</v>
      </c>
      <c r="K109" s="254">
        <f t="shared" si="60"/>
        <v>8500000</v>
      </c>
      <c r="L109" s="254">
        <f t="shared" si="60"/>
        <v>8500000</v>
      </c>
      <c r="M109" s="254">
        <f t="shared" si="60"/>
        <v>8500000</v>
      </c>
      <c r="N109" s="254">
        <f t="shared" si="60"/>
        <v>8500000</v>
      </c>
      <c r="O109" s="197"/>
      <c r="P109" s="197"/>
      <c r="Q109" s="197"/>
      <c r="R109" s="197"/>
      <c r="S109" s="197"/>
      <c r="T109" s="198"/>
      <c r="U109" s="197"/>
      <c r="V109" s="197"/>
      <c r="W109" s="197"/>
      <c r="X109" s="197"/>
      <c r="Y109" s="197"/>
      <c r="Z109" s="197"/>
    </row>
    <row r="110" spans="1:26">
      <c r="A110" s="197"/>
      <c r="B110" s="257" t="s">
        <v>346</v>
      </c>
      <c r="C110" s="197"/>
      <c r="D110" s="199"/>
      <c r="E110" s="199"/>
      <c r="F110" s="198"/>
      <c r="G110" s="198"/>
      <c r="H110" s="198"/>
      <c r="I110" s="197"/>
      <c r="J110" s="197"/>
      <c r="K110" s="197"/>
      <c r="L110" s="197"/>
      <c r="M110" s="197"/>
      <c r="N110" s="197"/>
      <c r="O110" s="197"/>
      <c r="P110" s="197"/>
      <c r="Q110" s="197"/>
      <c r="R110" s="197"/>
      <c r="S110" s="197"/>
      <c r="T110" s="263" t="s">
        <v>347</v>
      </c>
      <c r="U110" s="197"/>
      <c r="V110" s="197"/>
      <c r="W110" s="197"/>
      <c r="X110" s="197"/>
      <c r="Y110" s="197"/>
      <c r="Z110" s="197"/>
    </row>
    <row r="111" spans="1:26">
      <c r="A111" s="197"/>
      <c r="B111" s="253" t="s">
        <v>331</v>
      </c>
      <c r="C111" s="197"/>
      <c r="D111" s="227"/>
      <c r="E111" s="227"/>
      <c r="F111" s="227"/>
      <c r="G111" s="227"/>
      <c r="H111" s="227"/>
      <c r="I111" s="264">
        <v>1.2</v>
      </c>
      <c r="J111" s="264">
        <v>1.1000000000000001</v>
      </c>
      <c r="K111" s="264">
        <v>1.1000000000000001</v>
      </c>
      <c r="L111" s="264">
        <v>1.1000000000000001</v>
      </c>
      <c r="M111" s="264">
        <v>1.1000000000000001</v>
      </c>
      <c r="N111" s="264">
        <v>1.1000000000000001</v>
      </c>
      <c r="O111" s="264">
        <v>1.1000000000000001</v>
      </c>
      <c r="P111" s="264">
        <v>1.1000000000000001</v>
      </c>
      <c r="Q111" s="264">
        <v>1.1000000000000001</v>
      </c>
      <c r="R111" s="264">
        <v>1.1000000000000001</v>
      </c>
      <c r="S111" s="197"/>
      <c r="T111" s="198"/>
      <c r="U111" s="197"/>
      <c r="V111" s="197"/>
      <c r="W111" s="197"/>
      <c r="X111" s="197"/>
      <c r="Y111" s="197"/>
      <c r="Z111" s="197"/>
    </row>
    <row r="112" spans="1:26">
      <c r="A112" s="197"/>
      <c r="B112" s="253" t="s">
        <v>332</v>
      </c>
      <c r="C112" s="197"/>
      <c r="D112" s="197"/>
      <c r="E112" s="197"/>
      <c r="F112" s="197"/>
      <c r="G112" s="197"/>
      <c r="H112" s="197"/>
      <c r="I112" s="264">
        <v>0.25</v>
      </c>
      <c r="J112" s="264">
        <v>1</v>
      </c>
      <c r="K112" s="264">
        <v>1</v>
      </c>
      <c r="L112" s="264">
        <v>1.05</v>
      </c>
      <c r="M112" s="264">
        <v>1.05</v>
      </c>
      <c r="N112" s="264">
        <v>1.05</v>
      </c>
      <c r="O112" s="264">
        <v>1</v>
      </c>
      <c r="P112" s="264">
        <v>1</v>
      </c>
      <c r="Q112" s="264">
        <v>1</v>
      </c>
      <c r="R112" s="264">
        <v>1</v>
      </c>
      <c r="S112" s="197"/>
      <c r="T112" s="198"/>
      <c r="U112" s="197"/>
      <c r="V112" s="197"/>
      <c r="W112" s="197"/>
      <c r="X112" s="197"/>
      <c r="Y112" s="197"/>
      <c r="Z112" s="197"/>
    </row>
    <row r="113" spans="1:26">
      <c r="A113" s="197"/>
      <c r="B113" s="253" t="s">
        <v>333</v>
      </c>
      <c r="C113" s="197"/>
      <c r="D113" s="227"/>
      <c r="E113" s="227"/>
      <c r="F113" s="227"/>
      <c r="G113" s="227"/>
      <c r="H113" s="227"/>
      <c r="I113" s="264">
        <v>0</v>
      </c>
      <c r="J113" s="264" t="e">
        <f>'[6]Dung Quất'!P10</f>
        <v>#REF!</v>
      </c>
      <c r="K113" s="264">
        <v>0.9</v>
      </c>
      <c r="L113" s="264">
        <v>1</v>
      </c>
      <c r="M113" s="264">
        <v>1.05</v>
      </c>
      <c r="N113" s="264">
        <v>1.05</v>
      </c>
      <c r="O113" s="197"/>
      <c r="P113" s="197"/>
      <c r="Q113" s="197"/>
      <c r="R113" s="197"/>
      <c r="S113" s="197"/>
      <c r="T113" s="198"/>
      <c r="U113" s="197"/>
      <c r="V113" s="197"/>
      <c r="W113" s="197"/>
      <c r="X113" s="197"/>
      <c r="Y113" s="197"/>
      <c r="Z113" s="197"/>
    </row>
    <row r="114" spans="1:26">
      <c r="A114" s="197"/>
      <c r="B114" s="197"/>
      <c r="C114" s="197"/>
      <c r="D114" s="197"/>
      <c r="E114" s="197"/>
      <c r="F114" s="197"/>
      <c r="G114" s="197"/>
      <c r="H114" s="197"/>
      <c r="I114" s="197"/>
      <c r="J114" s="197"/>
      <c r="K114" s="197"/>
      <c r="L114" s="197"/>
      <c r="M114" s="197"/>
      <c r="N114" s="197"/>
      <c r="O114" s="197"/>
      <c r="P114" s="197"/>
      <c r="Q114" s="197"/>
      <c r="R114" s="197"/>
      <c r="S114" s="197"/>
      <c r="T114" s="198"/>
      <c r="U114" s="197"/>
      <c r="V114" s="197"/>
      <c r="W114" s="197"/>
      <c r="X114" s="197"/>
      <c r="Y114" s="197"/>
      <c r="Z114" s="197"/>
    </row>
    <row r="115" spans="1:26">
      <c r="A115" s="197"/>
      <c r="B115" s="249" t="s">
        <v>348</v>
      </c>
      <c r="C115" s="197"/>
      <c r="D115" s="250"/>
      <c r="E115" s="250"/>
      <c r="F115" s="250"/>
      <c r="G115" s="250"/>
      <c r="H115" s="251">
        <f t="shared" ref="H115:N115" si="61">H116*H117</f>
        <v>9005500</v>
      </c>
      <c r="I115" s="252" t="e">
        <f t="shared" si="61"/>
        <v>#VALUE!</v>
      </c>
      <c r="J115" s="252" t="e">
        <f t="shared" si="61"/>
        <v>#VALUE!</v>
      </c>
      <c r="K115" s="252" t="e">
        <f t="shared" si="61"/>
        <v>#VALUE!</v>
      </c>
      <c r="L115" s="252">
        <f t="shared" si="61"/>
        <v>19186199.999999996</v>
      </c>
      <c r="M115" s="252">
        <f t="shared" si="61"/>
        <v>19569923.999999996</v>
      </c>
      <c r="N115" s="252">
        <f t="shared" si="61"/>
        <v>19961322.479999993</v>
      </c>
      <c r="O115" s="197"/>
      <c r="P115" s="197"/>
      <c r="Q115" s="197"/>
      <c r="R115" s="197"/>
      <c r="S115" s="197"/>
      <c r="T115" s="198"/>
      <c r="U115" s="197"/>
      <c r="V115" s="197"/>
      <c r="W115" s="197"/>
      <c r="X115" s="197"/>
      <c r="Y115" s="197"/>
      <c r="Z115" s="197"/>
    </row>
    <row r="116" spans="1:26">
      <c r="A116" s="197"/>
      <c r="B116" s="253" t="s">
        <v>330</v>
      </c>
      <c r="C116" s="197"/>
      <c r="D116" s="227"/>
      <c r="E116" s="254">
        <v>218000</v>
      </c>
      <c r="F116" s="254">
        <v>305000</v>
      </c>
      <c r="G116" s="254">
        <v>413000</v>
      </c>
      <c r="H116" s="254">
        <v>581000</v>
      </c>
      <c r="I116" s="254" t="s">
        <v>541</v>
      </c>
      <c r="J116" s="254" t="s">
        <v>541</v>
      </c>
      <c r="K116" s="254" t="s">
        <v>541</v>
      </c>
      <c r="L116" s="254">
        <v>1100000</v>
      </c>
      <c r="M116" s="254">
        <v>1100000</v>
      </c>
      <c r="N116" s="254">
        <v>1100000</v>
      </c>
      <c r="O116" s="197"/>
      <c r="P116" s="197"/>
      <c r="Q116" s="197"/>
      <c r="R116" s="197"/>
      <c r="S116" s="197"/>
      <c r="T116" s="263" t="s">
        <v>349</v>
      </c>
      <c r="U116" s="197"/>
      <c r="V116" s="197"/>
      <c r="W116" s="197"/>
      <c r="X116" s="197"/>
      <c r="Y116" s="197"/>
      <c r="Z116" s="197"/>
    </row>
    <row r="117" spans="1:26">
      <c r="A117" s="197"/>
      <c r="B117" s="253" t="s">
        <v>338</v>
      </c>
      <c r="C117" s="197"/>
      <c r="D117" s="227"/>
      <c r="E117" s="254">
        <v>19.899999999999999</v>
      </c>
      <c r="F117" s="254">
        <v>15</v>
      </c>
      <c r="G117" s="254">
        <v>14</v>
      </c>
      <c r="H117" s="254">
        <v>15.5</v>
      </c>
      <c r="I117" s="254">
        <v>18</v>
      </c>
      <c r="J117" s="260">
        <f t="shared" ref="J117:N117" si="62">I117*J102/I102</f>
        <v>17.099999999999998</v>
      </c>
      <c r="K117" s="260">
        <f t="shared" si="62"/>
        <v>17.099999999999998</v>
      </c>
      <c r="L117" s="260">
        <f t="shared" si="62"/>
        <v>17.441999999999997</v>
      </c>
      <c r="M117" s="260">
        <f t="shared" si="62"/>
        <v>17.790839999999996</v>
      </c>
      <c r="N117" s="260">
        <f t="shared" si="62"/>
        <v>18.146656799999995</v>
      </c>
      <c r="O117" s="197"/>
      <c r="P117" s="197"/>
      <c r="Q117" s="197"/>
      <c r="R117" s="197"/>
      <c r="S117" s="197"/>
      <c r="T117" s="198"/>
      <c r="U117" s="197"/>
      <c r="V117" s="197"/>
      <c r="W117" s="197"/>
      <c r="X117" s="197"/>
      <c r="Y117" s="197"/>
      <c r="Z117" s="197"/>
    </row>
    <row r="118" spans="1:26">
      <c r="A118" s="197"/>
      <c r="B118" s="253" t="s">
        <v>350</v>
      </c>
      <c r="C118" s="197"/>
      <c r="D118" s="227"/>
      <c r="E118" s="227"/>
      <c r="F118" s="227"/>
      <c r="G118" s="227"/>
      <c r="H118" s="227"/>
      <c r="I118" s="265" t="e">
        <f t="shared" ref="I118:N118" si="63">I203/H203</f>
        <v>#VALUE!</v>
      </c>
      <c r="J118" s="265" t="e">
        <f t="shared" si="63"/>
        <v>#VALUE!</v>
      </c>
      <c r="K118" s="265" t="e">
        <f t="shared" si="63"/>
        <v>#VALUE!</v>
      </c>
      <c r="L118" s="265" t="e">
        <f t="shared" si="63"/>
        <v>#VALUE!</v>
      </c>
      <c r="M118" s="265" t="e">
        <f t="shared" si="63"/>
        <v>#VALUE!</v>
      </c>
      <c r="N118" s="265" t="e">
        <f t="shared" si="63"/>
        <v>#VALUE!</v>
      </c>
      <c r="O118" s="197"/>
      <c r="P118" s="197"/>
      <c r="Q118" s="197"/>
      <c r="R118" s="197"/>
      <c r="S118" s="197"/>
      <c r="T118" s="198"/>
      <c r="U118" s="197"/>
      <c r="V118" s="197"/>
      <c r="W118" s="197"/>
      <c r="X118" s="197"/>
      <c r="Y118" s="197"/>
      <c r="Z118" s="197"/>
    </row>
    <row r="119" spans="1:26">
      <c r="A119" s="197"/>
      <c r="B119" s="234"/>
      <c r="C119" s="197"/>
      <c r="D119" s="234"/>
      <c r="E119" s="234"/>
      <c r="F119" s="234"/>
      <c r="G119" s="234"/>
      <c r="H119" s="234"/>
      <c r="I119" s="241"/>
      <c r="J119" s="241"/>
      <c r="K119" s="241"/>
      <c r="L119" s="241"/>
      <c r="M119" s="241"/>
      <c r="N119" s="241"/>
      <c r="O119" s="197"/>
      <c r="P119" s="197"/>
      <c r="Q119" s="197"/>
      <c r="R119" s="197"/>
      <c r="S119" s="197"/>
      <c r="T119" s="198"/>
      <c r="U119" s="197"/>
      <c r="V119" s="197"/>
      <c r="W119" s="197"/>
      <c r="X119" s="197"/>
      <c r="Y119" s="197"/>
      <c r="Z119" s="197"/>
    </row>
    <row r="120" spans="1:26">
      <c r="A120" s="197"/>
      <c r="B120" s="227"/>
      <c r="C120" s="197"/>
      <c r="D120" s="197"/>
      <c r="E120" s="227"/>
      <c r="F120" s="227"/>
      <c r="G120" s="227"/>
      <c r="H120" s="227"/>
      <c r="I120" s="262"/>
      <c r="J120" s="262"/>
      <c r="K120" s="262"/>
      <c r="L120" s="262"/>
      <c r="M120" s="262"/>
      <c r="N120" s="262"/>
      <c r="O120" s="197"/>
      <c r="P120" s="197"/>
      <c r="Q120" s="197"/>
      <c r="R120" s="197"/>
      <c r="S120" s="197"/>
      <c r="T120" s="198"/>
      <c r="U120" s="197"/>
      <c r="V120" s="197"/>
      <c r="W120" s="197"/>
      <c r="X120" s="197"/>
      <c r="Y120" s="197"/>
      <c r="Z120" s="197"/>
    </row>
    <row r="121" spans="1:26">
      <c r="A121" s="197"/>
      <c r="B121" s="257" t="s">
        <v>351</v>
      </c>
      <c r="C121" s="197"/>
      <c r="D121" s="197"/>
      <c r="E121" s="227"/>
      <c r="F121" s="227"/>
      <c r="G121" s="227"/>
      <c r="H121" s="227"/>
      <c r="I121" s="262"/>
      <c r="J121" s="262"/>
      <c r="K121" s="262"/>
      <c r="L121" s="262"/>
      <c r="M121" s="262"/>
      <c r="N121" s="262"/>
      <c r="O121" s="197"/>
      <c r="P121" s="197"/>
      <c r="Q121" s="197"/>
      <c r="R121" s="197"/>
      <c r="S121" s="197"/>
      <c r="T121" s="198"/>
      <c r="U121" s="197"/>
      <c r="V121" s="197"/>
      <c r="W121" s="197"/>
      <c r="X121" s="197"/>
      <c r="Y121" s="197"/>
      <c r="Z121" s="197"/>
    </row>
    <row r="122" spans="1:26">
      <c r="A122" s="197"/>
      <c r="B122" s="253" t="s">
        <v>352</v>
      </c>
      <c r="C122" s="197"/>
      <c r="D122" s="197"/>
      <c r="E122" s="227"/>
      <c r="F122" s="227"/>
      <c r="G122" s="227"/>
      <c r="H122" s="227"/>
      <c r="I122" s="262"/>
      <c r="J122" s="262"/>
      <c r="K122" s="262"/>
      <c r="L122" s="262"/>
      <c r="M122" s="262"/>
      <c r="N122" s="262"/>
      <c r="O122" s="197"/>
      <c r="P122" s="197"/>
      <c r="Q122" s="197"/>
      <c r="R122" s="197"/>
      <c r="S122" s="197"/>
      <c r="T122" s="198"/>
      <c r="U122" s="197"/>
      <c r="V122" s="197"/>
      <c r="W122" s="197"/>
      <c r="X122" s="197"/>
      <c r="Y122" s="197"/>
      <c r="Z122" s="197"/>
    </row>
    <row r="123" spans="1:26">
      <c r="A123" s="197"/>
      <c r="B123" s="253" t="s">
        <v>353</v>
      </c>
      <c r="C123" s="197"/>
      <c r="D123" s="197"/>
      <c r="E123" s="227"/>
      <c r="F123" s="227"/>
      <c r="G123" s="227"/>
      <c r="H123" s="227"/>
      <c r="I123" s="262"/>
      <c r="J123" s="262"/>
      <c r="K123" s="262"/>
      <c r="L123" s="262"/>
      <c r="M123" s="262"/>
      <c r="N123" s="262"/>
      <c r="O123" s="197"/>
      <c r="P123" s="197"/>
      <c r="Q123" s="197"/>
      <c r="R123" s="197"/>
      <c r="S123" s="197"/>
      <c r="T123" s="198"/>
      <c r="U123" s="197"/>
      <c r="V123" s="197"/>
      <c r="W123" s="197"/>
      <c r="X123" s="197"/>
      <c r="Y123" s="197"/>
      <c r="Z123" s="197"/>
    </row>
    <row r="124" spans="1:26">
      <c r="A124" s="197"/>
      <c r="B124" s="234"/>
      <c r="C124" s="197"/>
      <c r="D124" s="244"/>
      <c r="E124" s="234"/>
      <c r="F124" s="234"/>
      <c r="G124" s="234"/>
      <c r="H124" s="234"/>
      <c r="I124" s="234"/>
      <c r="J124" s="234"/>
      <c r="K124" s="234"/>
      <c r="L124" s="234"/>
      <c r="M124" s="234"/>
      <c r="N124" s="234"/>
      <c r="O124" s="197"/>
      <c r="P124" s="197"/>
      <c r="Q124" s="197"/>
      <c r="R124" s="197"/>
      <c r="S124" s="197"/>
      <c r="T124" s="198"/>
      <c r="U124" s="197"/>
      <c r="V124" s="197"/>
      <c r="W124" s="197"/>
      <c r="X124" s="197"/>
      <c r="Y124" s="197"/>
      <c r="Z124" s="197"/>
    </row>
    <row r="125" spans="1:26">
      <c r="A125" s="197"/>
      <c r="B125" s="249" t="s">
        <v>354</v>
      </c>
      <c r="C125" s="197"/>
      <c r="D125" s="250"/>
      <c r="E125" s="250"/>
      <c r="F125" s="250"/>
      <c r="G125" s="250"/>
      <c r="H125" s="250"/>
      <c r="I125" s="252">
        <f t="shared" ref="I125:N125" si="64">I126*I127</f>
        <v>4400000</v>
      </c>
      <c r="J125" s="252">
        <f t="shared" si="64"/>
        <v>5225000</v>
      </c>
      <c r="K125" s="252">
        <f t="shared" si="64"/>
        <v>8359999.9999999991</v>
      </c>
      <c r="L125" s="252">
        <f t="shared" si="64"/>
        <v>8527200</v>
      </c>
      <c r="M125" s="252">
        <f t="shared" si="64"/>
        <v>8697743.9999999981</v>
      </c>
      <c r="N125" s="252">
        <f t="shared" si="64"/>
        <v>8871698.879999999</v>
      </c>
      <c r="O125" s="197"/>
      <c r="P125" s="197"/>
      <c r="Q125" s="197"/>
      <c r="R125" s="197"/>
      <c r="S125" s="197"/>
      <c r="T125" s="198"/>
      <c r="U125" s="197"/>
      <c r="V125" s="197"/>
      <c r="W125" s="197"/>
      <c r="X125" s="197"/>
      <c r="Y125" s="197"/>
      <c r="Z125" s="197"/>
    </row>
    <row r="126" spans="1:26">
      <c r="A126" s="197"/>
      <c r="B126" s="253" t="s">
        <v>330</v>
      </c>
      <c r="C126" s="197"/>
      <c r="D126" s="197"/>
      <c r="E126" s="197"/>
      <c r="F126" s="199"/>
      <c r="G126" s="227"/>
      <c r="H126" s="227"/>
      <c r="I126" s="254">
        <v>200000</v>
      </c>
      <c r="J126" s="254">
        <v>250000</v>
      </c>
      <c r="K126" s="254">
        <v>400000</v>
      </c>
      <c r="L126" s="254">
        <v>400000</v>
      </c>
      <c r="M126" s="254">
        <v>400000</v>
      </c>
      <c r="N126" s="254">
        <v>400000</v>
      </c>
      <c r="O126" s="197"/>
      <c r="P126" s="197"/>
      <c r="Q126" s="197"/>
      <c r="R126" s="197"/>
      <c r="S126" s="197"/>
      <c r="T126" s="198"/>
      <c r="U126" s="197"/>
      <c r="V126" s="197"/>
      <c r="W126" s="197"/>
      <c r="X126" s="197"/>
      <c r="Y126" s="197"/>
      <c r="Z126" s="197"/>
    </row>
    <row r="127" spans="1:26">
      <c r="A127" s="197"/>
      <c r="B127" s="253" t="s">
        <v>338</v>
      </c>
      <c r="C127" s="197"/>
      <c r="D127" s="197"/>
      <c r="E127" s="227"/>
      <c r="F127" s="227"/>
      <c r="G127" s="227"/>
      <c r="H127" s="227"/>
      <c r="I127" s="266">
        <v>22</v>
      </c>
      <c r="J127" s="260">
        <f t="shared" ref="J127:N127" si="65">I127*J102/I102</f>
        <v>20.9</v>
      </c>
      <c r="K127" s="260">
        <f t="shared" si="65"/>
        <v>20.9</v>
      </c>
      <c r="L127" s="260">
        <f t="shared" si="65"/>
        <v>21.317999999999998</v>
      </c>
      <c r="M127" s="260">
        <f t="shared" si="65"/>
        <v>21.744359999999997</v>
      </c>
      <c r="N127" s="260">
        <f t="shared" si="65"/>
        <v>22.179247199999995</v>
      </c>
      <c r="O127" s="197"/>
      <c r="P127" s="197"/>
      <c r="Q127" s="197"/>
      <c r="R127" s="197"/>
      <c r="S127" s="197"/>
      <c r="T127" s="198"/>
      <c r="U127" s="197"/>
      <c r="V127" s="197"/>
      <c r="W127" s="197"/>
      <c r="X127" s="197"/>
      <c r="Y127" s="197"/>
      <c r="Z127" s="197"/>
    </row>
    <row r="128" spans="1:26">
      <c r="A128" s="197"/>
      <c r="B128" s="227"/>
      <c r="C128" s="197"/>
      <c r="D128" s="197"/>
      <c r="E128" s="227"/>
      <c r="F128" s="227"/>
      <c r="G128" s="227"/>
      <c r="H128" s="227"/>
      <c r="I128" s="227"/>
      <c r="J128" s="265">
        <f t="shared" ref="J128:M128" si="66">J347/I347</f>
        <v>0.84210526315789469</v>
      </c>
      <c r="K128" s="265">
        <f t="shared" si="66"/>
        <v>0.9375</v>
      </c>
      <c r="L128" s="265">
        <f t="shared" si="66"/>
        <v>0.88888888888888884</v>
      </c>
      <c r="M128" s="265">
        <f t="shared" si="66"/>
        <v>1.05</v>
      </c>
      <c r="N128" s="265">
        <v>1</v>
      </c>
      <c r="O128" s="197"/>
      <c r="P128" s="197"/>
      <c r="Q128" s="197"/>
      <c r="R128" s="197"/>
      <c r="S128" s="197"/>
      <c r="T128" s="198"/>
      <c r="U128" s="197"/>
      <c r="V128" s="197"/>
      <c r="W128" s="197"/>
      <c r="X128" s="197"/>
      <c r="Y128" s="197"/>
      <c r="Z128" s="197"/>
    </row>
    <row r="129" spans="1:26">
      <c r="A129" s="197"/>
      <c r="B129" s="227"/>
      <c r="C129" s="197"/>
      <c r="D129" s="197"/>
      <c r="E129" s="227"/>
      <c r="F129" s="227"/>
      <c r="G129" s="227"/>
      <c r="H129" s="227"/>
      <c r="I129" s="227"/>
      <c r="J129" s="227"/>
      <c r="K129" s="227"/>
      <c r="L129" s="227"/>
      <c r="M129" s="227"/>
      <c r="N129" s="227"/>
      <c r="O129" s="197"/>
      <c r="P129" s="197"/>
      <c r="Q129" s="197"/>
      <c r="R129" s="197"/>
      <c r="S129" s="197"/>
      <c r="T129" s="198"/>
      <c r="U129" s="197"/>
      <c r="V129" s="197"/>
      <c r="W129" s="197"/>
      <c r="X129" s="197"/>
      <c r="Y129" s="197"/>
      <c r="Z129" s="197"/>
    </row>
    <row r="130" spans="1:26">
      <c r="A130" s="197"/>
      <c r="B130" s="249" t="s">
        <v>337</v>
      </c>
      <c r="C130" s="197"/>
      <c r="D130" s="250"/>
      <c r="E130" s="250"/>
      <c r="F130" s="250"/>
      <c r="G130" s="250"/>
      <c r="H130" s="250"/>
      <c r="I130" s="252">
        <f t="shared" ref="I130:N130" si="67">I131*I132</f>
        <v>4400000</v>
      </c>
      <c r="J130" s="252">
        <f t="shared" si="67"/>
        <v>5500000</v>
      </c>
      <c r="K130" s="252">
        <f t="shared" si="67"/>
        <v>8800000</v>
      </c>
      <c r="L130" s="252">
        <f t="shared" si="67"/>
        <v>8800000</v>
      </c>
      <c r="M130" s="252">
        <f t="shared" si="67"/>
        <v>8800000</v>
      </c>
      <c r="N130" s="252">
        <f t="shared" si="67"/>
        <v>8800000</v>
      </c>
      <c r="O130" s="197"/>
      <c r="P130" s="197"/>
      <c r="Q130" s="197"/>
      <c r="R130" s="197"/>
      <c r="S130" s="197"/>
      <c r="T130" s="198"/>
      <c r="U130" s="197"/>
      <c r="V130" s="197"/>
      <c r="W130" s="197"/>
      <c r="X130" s="197"/>
      <c r="Y130" s="197"/>
      <c r="Z130" s="197"/>
    </row>
    <row r="131" spans="1:26">
      <c r="A131" s="197"/>
      <c r="B131" s="253" t="s">
        <v>330</v>
      </c>
      <c r="C131" s="197"/>
      <c r="D131" s="197"/>
      <c r="E131" s="197"/>
      <c r="F131" s="199"/>
      <c r="G131" s="227"/>
      <c r="H131" s="227"/>
      <c r="I131" s="254">
        <v>200000</v>
      </c>
      <c r="J131" s="254">
        <v>250000</v>
      </c>
      <c r="K131" s="254">
        <v>400000</v>
      </c>
      <c r="L131" s="254">
        <v>400000</v>
      </c>
      <c r="M131" s="254">
        <v>400000</v>
      </c>
      <c r="N131" s="254">
        <v>400000</v>
      </c>
      <c r="O131" s="197"/>
      <c r="P131" s="197"/>
      <c r="Q131" s="197"/>
      <c r="R131" s="197"/>
      <c r="S131" s="197"/>
      <c r="T131" s="198"/>
      <c r="U131" s="197"/>
      <c r="V131" s="197"/>
      <c r="W131" s="197"/>
      <c r="X131" s="197"/>
      <c r="Y131" s="197"/>
      <c r="Z131" s="197"/>
    </row>
    <row r="132" spans="1:26">
      <c r="A132" s="197"/>
      <c r="B132" s="253" t="s">
        <v>338</v>
      </c>
      <c r="C132" s="197"/>
      <c r="D132" s="197"/>
      <c r="E132" s="227"/>
      <c r="F132" s="227"/>
      <c r="G132" s="227"/>
      <c r="H132" s="227"/>
      <c r="I132" s="266">
        <v>22</v>
      </c>
      <c r="J132" s="260">
        <f t="shared" ref="J132:N132" si="68">I132*J107/I107</f>
        <v>22</v>
      </c>
      <c r="K132" s="260">
        <f t="shared" si="68"/>
        <v>22</v>
      </c>
      <c r="L132" s="260">
        <f t="shared" si="68"/>
        <v>22</v>
      </c>
      <c r="M132" s="260">
        <f t="shared" si="68"/>
        <v>22</v>
      </c>
      <c r="N132" s="260">
        <f t="shared" si="68"/>
        <v>22</v>
      </c>
      <c r="O132" s="197"/>
      <c r="P132" s="197"/>
      <c r="Q132" s="197"/>
      <c r="R132" s="197"/>
      <c r="S132" s="197"/>
      <c r="T132" s="198"/>
      <c r="U132" s="197"/>
      <c r="V132" s="197"/>
      <c r="W132" s="197"/>
      <c r="X132" s="197"/>
      <c r="Y132" s="197"/>
      <c r="Z132" s="197"/>
    </row>
    <row r="133" spans="1:26">
      <c r="A133" s="197"/>
      <c r="B133" s="249" t="s">
        <v>355</v>
      </c>
      <c r="C133" s="197"/>
      <c r="D133" s="250"/>
      <c r="E133" s="250"/>
      <c r="F133" s="250"/>
      <c r="G133" s="250"/>
      <c r="H133" s="251">
        <f>H89+H115</f>
        <v>36350062</v>
      </c>
      <c r="I133" s="252" t="e">
        <f t="shared" ref="I133:N133" si="69">I89+I115+I125</f>
        <v>#VALUE!</v>
      </c>
      <c r="J133" s="252" t="e">
        <f t="shared" si="69"/>
        <v>#REF!</v>
      </c>
      <c r="K133" s="252" t="e">
        <f t="shared" si="69"/>
        <v>#VALUE!</v>
      </c>
      <c r="L133" s="252">
        <f t="shared" si="69"/>
        <v>126333375</v>
      </c>
      <c r="M133" s="252">
        <f t="shared" si="69"/>
        <v>130849157.25</v>
      </c>
      <c r="N133" s="252">
        <f t="shared" si="69"/>
        <v>133466140.39499998</v>
      </c>
      <c r="O133" s="197"/>
      <c r="P133" s="197"/>
      <c r="Q133" s="197"/>
      <c r="R133" s="197"/>
      <c r="S133" s="197"/>
      <c r="T133" s="198"/>
      <c r="U133" s="197"/>
      <c r="V133" s="197"/>
      <c r="W133" s="197"/>
      <c r="X133" s="197"/>
      <c r="Y133" s="197"/>
      <c r="Z133" s="197"/>
    </row>
    <row r="134" spans="1:26">
      <c r="A134" s="197"/>
      <c r="B134" s="259" t="s">
        <v>356</v>
      </c>
      <c r="C134" s="197"/>
      <c r="D134" s="197"/>
      <c r="E134" s="197"/>
      <c r="F134" s="197"/>
      <c r="G134" s="198"/>
      <c r="H134" s="198"/>
      <c r="I134" s="227"/>
      <c r="J134" s="227"/>
      <c r="K134" s="227"/>
      <c r="L134" s="227"/>
      <c r="M134" s="227"/>
      <c r="N134" s="227"/>
      <c r="O134" s="197"/>
      <c r="P134" s="197"/>
      <c r="Q134" s="197"/>
      <c r="R134" s="197"/>
      <c r="S134" s="197"/>
      <c r="T134" s="198"/>
      <c r="U134" s="197"/>
      <c r="V134" s="197"/>
      <c r="W134" s="197"/>
      <c r="X134" s="197"/>
      <c r="Y134" s="197"/>
      <c r="Z134" s="197"/>
    </row>
    <row r="135" spans="1:26">
      <c r="A135" s="197"/>
      <c r="B135" s="259" t="s">
        <v>326</v>
      </c>
      <c r="C135" s="197"/>
      <c r="D135" s="197"/>
      <c r="E135" s="197"/>
      <c r="F135" s="197"/>
      <c r="G135" s="198"/>
      <c r="H135" s="198"/>
      <c r="I135" s="198"/>
      <c r="J135" s="198"/>
      <c r="K135" s="198"/>
      <c r="L135" s="198"/>
      <c r="M135" s="198"/>
      <c r="N135" s="198"/>
      <c r="O135" s="197"/>
      <c r="P135" s="197"/>
      <c r="Q135" s="197"/>
      <c r="R135" s="197"/>
      <c r="S135" s="197"/>
      <c r="T135" s="198"/>
      <c r="U135" s="197"/>
      <c r="V135" s="197"/>
      <c r="W135" s="197"/>
      <c r="X135" s="197"/>
      <c r="Y135" s="197"/>
      <c r="Z135" s="197"/>
    </row>
    <row r="136" spans="1:26">
      <c r="A136" s="197"/>
      <c r="B136" s="211" t="s">
        <v>357</v>
      </c>
      <c r="C136" s="197"/>
      <c r="D136" s="197"/>
      <c r="E136" s="197"/>
      <c r="F136" s="197"/>
      <c r="G136" s="198"/>
      <c r="H136" s="198"/>
      <c r="I136" s="227"/>
      <c r="J136" s="227"/>
      <c r="K136" s="227"/>
      <c r="L136" s="227"/>
      <c r="M136" s="227"/>
      <c r="N136" s="227"/>
      <c r="O136" s="197"/>
      <c r="P136" s="197"/>
      <c r="Q136" s="197"/>
      <c r="R136" s="197"/>
      <c r="S136" s="197"/>
      <c r="T136" s="198"/>
      <c r="U136" s="197"/>
      <c r="V136" s="197"/>
      <c r="W136" s="197"/>
      <c r="X136" s="197"/>
      <c r="Y136" s="197"/>
      <c r="Z136" s="197"/>
    </row>
    <row r="137" spans="1:26">
      <c r="A137" s="197"/>
      <c r="B137" s="267"/>
      <c r="C137" s="197"/>
      <c r="D137" s="197"/>
      <c r="E137" s="197"/>
      <c r="F137" s="197"/>
      <c r="G137" s="198"/>
      <c r="H137" s="198"/>
      <c r="I137" s="198"/>
      <c r="J137" s="198"/>
      <c r="K137" s="198"/>
      <c r="L137" s="198"/>
      <c r="M137" s="198"/>
      <c r="N137" s="198"/>
      <c r="O137" s="197"/>
      <c r="P137" s="197"/>
      <c r="Q137" s="197"/>
      <c r="R137" s="197"/>
      <c r="S137" s="197"/>
      <c r="T137" s="198"/>
      <c r="U137" s="197"/>
      <c r="V137" s="197"/>
      <c r="W137" s="197"/>
      <c r="X137" s="197"/>
      <c r="Y137" s="197"/>
      <c r="Z137" s="197"/>
    </row>
    <row r="138" spans="1:26">
      <c r="A138" s="197"/>
      <c r="B138" s="268" t="s">
        <v>358</v>
      </c>
      <c r="C138" s="197"/>
      <c r="D138" s="269" t="s">
        <v>359</v>
      </c>
      <c r="E138" s="270"/>
      <c r="F138" s="270"/>
      <c r="G138" s="270"/>
      <c r="H138" s="270"/>
      <c r="I138" s="271"/>
      <c r="J138" s="271"/>
      <c r="K138" s="271"/>
      <c r="L138" s="271"/>
      <c r="M138" s="271"/>
      <c r="N138" s="271"/>
      <c r="O138" s="197"/>
      <c r="P138" s="197"/>
      <c r="Q138" s="197"/>
      <c r="R138" s="197"/>
      <c r="S138" s="197"/>
      <c r="T138" s="198"/>
      <c r="U138" s="197"/>
      <c r="V138" s="197"/>
      <c r="W138" s="197"/>
      <c r="X138" s="197"/>
      <c r="Y138" s="197"/>
      <c r="Z138" s="197"/>
    </row>
    <row r="139" spans="1:26">
      <c r="A139" s="197"/>
      <c r="B139" s="249" t="s">
        <v>360</v>
      </c>
      <c r="C139" s="197"/>
      <c r="D139" s="250"/>
      <c r="E139" s="250"/>
      <c r="F139" s="250"/>
      <c r="G139" s="250"/>
      <c r="H139" s="250"/>
      <c r="I139" s="252" t="s">
        <v>541</v>
      </c>
      <c r="J139" s="252" t="s">
        <v>541</v>
      </c>
      <c r="K139" s="252" t="s">
        <v>541</v>
      </c>
      <c r="L139" s="252" t="s">
        <v>541</v>
      </c>
      <c r="M139" s="252" t="s">
        <v>541</v>
      </c>
      <c r="N139" s="252" t="s">
        <v>541</v>
      </c>
      <c r="O139" s="197"/>
      <c r="P139" s="197"/>
      <c r="Q139" s="197"/>
      <c r="R139" s="197"/>
      <c r="S139" s="197"/>
      <c r="T139" s="198"/>
      <c r="U139" s="197"/>
      <c r="V139" s="197"/>
      <c r="W139" s="197"/>
      <c r="X139" s="197"/>
      <c r="Y139" s="197"/>
      <c r="Z139" s="197"/>
    </row>
    <row r="140" spans="1:26">
      <c r="A140" s="197"/>
      <c r="B140" s="259" t="s">
        <v>361</v>
      </c>
      <c r="C140" s="197"/>
      <c r="D140" s="254">
        <v>4000</v>
      </c>
      <c r="E140" s="197"/>
      <c r="F140" s="197"/>
      <c r="G140" s="198"/>
      <c r="H140" s="198"/>
      <c r="I140" s="272">
        <v>0</v>
      </c>
      <c r="J140" s="272">
        <v>0</v>
      </c>
      <c r="K140" s="272">
        <v>0</v>
      </c>
      <c r="L140" s="272">
        <v>0</v>
      </c>
      <c r="M140" s="272">
        <v>0</v>
      </c>
      <c r="N140" s="272">
        <v>0</v>
      </c>
      <c r="O140" s="197"/>
      <c r="P140" s="197"/>
      <c r="Q140" s="197"/>
      <c r="R140" s="197"/>
      <c r="S140" s="197"/>
      <c r="T140" s="198"/>
      <c r="U140" s="197"/>
      <c r="V140" s="197"/>
      <c r="W140" s="197"/>
      <c r="X140" s="197"/>
      <c r="Y140" s="197"/>
      <c r="Z140" s="197"/>
    </row>
    <row r="141" spans="1:26">
      <c r="A141" s="197"/>
      <c r="B141" s="259" t="s">
        <v>362</v>
      </c>
      <c r="C141" s="197"/>
      <c r="D141" s="254">
        <v>3500</v>
      </c>
      <c r="E141" s="197"/>
      <c r="F141" s="197"/>
      <c r="G141" s="198"/>
      <c r="H141" s="198"/>
      <c r="I141" s="272">
        <v>130</v>
      </c>
      <c r="J141" s="272">
        <v>130</v>
      </c>
      <c r="K141" s="272">
        <v>70</v>
      </c>
      <c r="L141" s="273"/>
      <c r="M141" s="273"/>
      <c r="N141" s="273"/>
      <c r="O141" s="197"/>
      <c r="P141" s="197"/>
      <c r="Q141" s="197"/>
      <c r="R141" s="197"/>
      <c r="S141" s="197"/>
      <c r="T141" s="198"/>
      <c r="U141" s="197"/>
      <c r="V141" s="197"/>
      <c r="W141" s="197"/>
      <c r="X141" s="197"/>
      <c r="Y141" s="197"/>
      <c r="Z141" s="197"/>
    </row>
    <row r="142" spans="1:26">
      <c r="A142" s="197"/>
      <c r="B142" s="274" t="s">
        <v>363</v>
      </c>
      <c r="C142" s="197"/>
      <c r="D142" s="226">
        <v>2125</v>
      </c>
      <c r="E142" s="244"/>
      <c r="F142" s="244"/>
      <c r="G142" s="241"/>
      <c r="H142" s="241"/>
      <c r="I142" s="275">
        <v>150</v>
      </c>
      <c r="J142" s="275">
        <v>40</v>
      </c>
      <c r="K142" s="275">
        <v>35</v>
      </c>
      <c r="L142" s="276"/>
      <c r="M142" s="276"/>
      <c r="N142" s="276"/>
      <c r="O142" s="197"/>
      <c r="P142" s="197"/>
      <c r="Q142" s="197"/>
      <c r="R142" s="197"/>
      <c r="S142" s="197"/>
      <c r="T142" s="198"/>
      <c r="U142" s="197"/>
      <c r="V142" s="197"/>
      <c r="W142" s="197"/>
      <c r="X142" s="197"/>
      <c r="Y142" s="197"/>
      <c r="Z142" s="197"/>
    </row>
    <row r="143" spans="1:26">
      <c r="A143" s="197"/>
      <c r="B143" s="249" t="s">
        <v>364</v>
      </c>
      <c r="C143" s="197"/>
      <c r="D143" s="250"/>
      <c r="E143" s="250"/>
      <c r="F143" s="250"/>
      <c r="G143" s="250"/>
      <c r="H143" s="250"/>
      <c r="I143" s="252">
        <f t="shared" ref="I143:N143" si="70">SUM(I144:I145)</f>
        <v>400000</v>
      </c>
      <c r="J143" s="252">
        <f t="shared" si="70"/>
        <v>400000</v>
      </c>
      <c r="K143" s="252">
        <f t="shared" si="70"/>
        <v>400000</v>
      </c>
      <c r="L143" s="252">
        <f t="shared" si="70"/>
        <v>400000</v>
      </c>
      <c r="M143" s="252">
        <f t="shared" si="70"/>
        <v>400000</v>
      </c>
      <c r="N143" s="252">
        <f t="shared" si="70"/>
        <v>400000</v>
      </c>
      <c r="O143" s="197"/>
      <c r="P143" s="197"/>
      <c r="Q143" s="197"/>
      <c r="R143" s="197"/>
      <c r="S143" s="197"/>
      <c r="T143" s="198"/>
      <c r="U143" s="197"/>
      <c r="V143" s="197"/>
      <c r="W143" s="197"/>
      <c r="X143" s="197"/>
      <c r="Y143" s="197"/>
      <c r="Z143" s="197"/>
    </row>
    <row r="144" spans="1:26">
      <c r="A144" s="197"/>
      <c r="B144" s="259" t="s">
        <v>365</v>
      </c>
      <c r="C144" s="197"/>
      <c r="D144" s="227"/>
      <c r="E144" s="197"/>
      <c r="F144" s="197"/>
      <c r="G144" s="198"/>
      <c r="H144" s="254">
        <v>435462.94008199999</v>
      </c>
      <c r="I144" s="254">
        <v>400000</v>
      </c>
      <c r="J144" s="254">
        <v>400000</v>
      </c>
      <c r="K144" s="254">
        <v>400000</v>
      </c>
      <c r="L144" s="254">
        <v>400000</v>
      </c>
      <c r="M144" s="254">
        <v>400000</v>
      </c>
      <c r="N144" s="254">
        <v>400000</v>
      </c>
      <c r="O144" s="197"/>
      <c r="P144" s="197"/>
      <c r="Q144" s="197"/>
      <c r="R144" s="197"/>
      <c r="S144" s="197"/>
      <c r="T144" s="198"/>
      <c r="U144" s="197"/>
      <c r="V144" s="197"/>
      <c r="W144" s="197"/>
      <c r="X144" s="197"/>
      <c r="Y144" s="197"/>
      <c r="Z144" s="197"/>
    </row>
    <row r="145" spans="1:26">
      <c r="A145" s="197"/>
      <c r="B145" s="244"/>
      <c r="C145" s="197"/>
      <c r="D145" s="244"/>
      <c r="E145" s="244"/>
      <c r="F145" s="244"/>
      <c r="G145" s="244"/>
      <c r="H145" s="244"/>
      <c r="I145" s="244"/>
      <c r="J145" s="244"/>
      <c r="K145" s="244"/>
      <c r="L145" s="244"/>
      <c r="M145" s="244"/>
      <c r="N145" s="244"/>
      <c r="O145" s="197"/>
      <c r="P145" s="197"/>
      <c r="Q145" s="197"/>
      <c r="R145" s="197"/>
      <c r="S145" s="197"/>
      <c r="T145" s="198"/>
      <c r="U145" s="197"/>
      <c r="V145" s="197"/>
      <c r="W145" s="197"/>
      <c r="X145" s="197"/>
      <c r="Y145" s="197"/>
      <c r="Z145" s="197"/>
    </row>
    <row r="146" spans="1:26">
      <c r="A146" s="197"/>
      <c r="B146" s="249" t="s">
        <v>366</v>
      </c>
      <c r="C146" s="197"/>
      <c r="D146" s="250"/>
      <c r="E146" s="250"/>
      <c r="F146" s="250"/>
      <c r="G146" s="250"/>
      <c r="H146" s="250"/>
      <c r="I146" s="252" t="e">
        <f t="shared" ref="I146:N146" si="71">I139+I143</f>
        <v>#VALUE!</v>
      </c>
      <c r="J146" s="252" t="e">
        <f t="shared" si="71"/>
        <v>#VALUE!</v>
      </c>
      <c r="K146" s="252" t="e">
        <f t="shared" si="71"/>
        <v>#VALUE!</v>
      </c>
      <c r="L146" s="252" t="e">
        <f t="shared" si="71"/>
        <v>#VALUE!</v>
      </c>
      <c r="M146" s="252" t="e">
        <f t="shared" si="71"/>
        <v>#VALUE!</v>
      </c>
      <c r="N146" s="252" t="e">
        <f t="shared" si="71"/>
        <v>#VALUE!</v>
      </c>
      <c r="O146" s="197"/>
      <c r="P146" s="197"/>
      <c r="Q146" s="197"/>
      <c r="R146" s="197"/>
      <c r="S146" s="197"/>
      <c r="T146" s="198"/>
      <c r="U146" s="197"/>
      <c r="V146" s="197"/>
      <c r="W146" s="197"/>
      <c r="X146" s="197"/>
      <c r="Y146" s="197"/>
      <c r="Z146" s="197"/>
    </row>
    <row r="147" spans="1:26">
      <c r="A147" s="197"/>
      <c r="B147" s="197"/>
      <c r="C147" s="197"/>
      <c r="D147" s="197"/>
      <c r="E147" s="197"/>
      <c r="F147" s="197"/>
      <c r="G147" s="197"/>
      <c r="H147" s="197"/>
      <c r="I147" s="197"/>
      <c r="J147" s="197"/>
      <c r="K147" s="197"/>
      <c r="L147" s="197"/>
      <c r="M147" s="197"/>
      <c r="N147" s="197"/>
      <c r="O147" s="197"/>
      <c r="P147" s="197"/>
      <c r="Q147" s="197"/>
      <c r="R147" s="197"/>
      <c r="S147" s="197"/>
      <c r="T147" s="198"/>
      <c r="U147" s="197"/>
      <c r="V147" s="197"/>
      <c r="W147" s="197"/>
      <c r="X147" s="197"/>
      <c r="Y147" s="197"/>
      <c r="Z147" s="197"/>
    </row>
    <row r="148" spans="1:26">
      <c r="A148" s="197"/>
      <c r="B148" s="259" t="s">
        <v>367</v>
      </c>
      <c r="C148" s="197"/>
      <c r="D148" s="197"/>
      <c r="E148" s="197"/>
      <c r="F148" s="197"/>
      <c r="G148" s="198"/>
      <c r="H148" s="198"/>
      <c r="I148" s="198"/>
      <c r="J148" s="198"/>
      <c r="K148" s="198"/>
      <c r="L148" s="198"/>
      <c r="M148" s="198"/>
      <c r="N148" s="198"/>
      <c r="O148" s="197"/>
      <c r="P148" s="197"/>
      <c r="Q148" s="197"/>
      <c r="R148" s="197"/>
      <c r="S148" s="197"/>
      <c r="T148" s="198"/>
      <c r="U148" s="197"/>
      <c r="V148" s="197"/>
      <c r="W148" s="197"/>
      <c r="X148" s="197"/>
      <c r="Y148" s="197"/>
      <c r="Z148" s="197"/>
    </row>
    <row r="149" spans="1:26">
      <c r="A149" s="197"/>
      <c r="B149" s="259" t="s">
        <v>368</v>
      </c>
      <c r="C149" s="197"/>
      <c r="D149" s="197"/>
      <c r="E149" s="197"/>
      <c r="F149" s="197"/>
      <c r="G149" s="198"/>
      <c r="H149" s="198"/>
      <c r="I149" s="218">
        <v>0.25</v>
      </c>
      <c r="J149" s="218">
        <v>0.25</v>
      </c>
      <c r="K149" s="218">
        <v>0.25</v>
      </c>
      <c r="L149" s="198"/>
      <c r="M149" s="198"/>
      <c r="N149" s="198"/>
      <c r="O149" s="197"/>
      <c r="P149" s="197"/>
      <c r="Q149" s="197"/>
      <c r="R149" s="197"/>
      <c r="S149" s="197"/>
      <c r="T149" s="198"/>
      <c r="U149" s="197"/>
      <c r="V149" s="197"/>
      <c r="W149" s="197"/>
      <c r="X149" s="197"/>
      <c r="Y149" s="197"/>
      <c r="Z149" s="197"/>
    </row>
    <row r="150" spans="1:26">
      <c r="A150" s="197"/>
      <c r="B150" s="259" t="s">
        <v>369</v>
      </c>
      <c r="C150" s="197"/>
      <c r="D150" s="197"/>
      <c r="E150" s="197"/>
      <c r="F150" s="197"/>
      <c r="G150" s="198"/>
      <c r="H150" s="198"/>
      <c r="I150" s="218">
        <v>0.2</v>
      </c>
      <c r="J150" s="218">
        <v>0.2</v>
      </c>
      <c r="K150" s="218">
        <v>0.2</v>
      </c>
      <c r="L150" s="198"/>
      <c r="M150" s="198"/>
      <c r="N150" s="198"/>
      <c r="O150" s="197"/>
      <c r="P150" s="197"/>
      <c r="Q150" s="197"/>
      <c r="R150" s="197"/>
      <c r="S150" s="197"/>
      <c r="T150" s="198"/>
      <c r="U150" s="197"/>
      <c r="V150" s="197"/>
      <c r="W150" s="197"/>
      <c r="X150" s="197"/>
      <c r="Y150" s="197"/>
      <c r="Z150" s="197"/>
    </row>
    <row r="151" spans="1:26">
      <c r="A151" s="197"/>
      <c r="B151" s="274" t="s">
        <v>370</v>
      </c>
      <c r="C151" s="197"/>
      <c r="D151" s="244"/>
      <c r="E151" s="244"/>
      <c r="F151" s="244"/>
      <c r="G151" s="244"/>
      <c r="H151" s="244"/>
      <c r="I151" s="277">
        <v>0.4</v>
      </c>
      <c r="J151" s="277">
        <v>0.3</v>
      </c>
      <c r="K151" s="277">
        <v>0.3</v>
      </c>
      <c r="L151" s="277">
        <v>0.3</v>
      </c>
      <c r="M151" s="277">
        <v>0.3</v>
      </c>
      <c r="N151" s="277">
        <v>0.3</v>
      </c>
      <c r="O151" s="197"/>
      <c r="P151" s="197"/>
      <c r="Q151" s="197"/>
      <c r="R151" s="197"/>
      <c r="S151" s="197"/>
      <c r="T151" s="198"/>
      <c r="U151" s="197"/>
      <c r="V151" s="197"/>
      <c r="W151" s="197"/>
      <c r="X151" s="197"/>
      <c r="Y151" s="197"/>
      <c r="Z151" s="197"/>
    </row>
    <row r="152" spans="1:26">
      <c r="A152" s="197"/>
      <c r="B152" s="250"/>
      <c r="C152" s="197"/>
      <c r="D152" s="250"/>
      <c r="E152" s="250"/>
      <c r="F152" s="250"/>
      <c r="G152" s="250"/>
      <c r="H152" s="250"/>
      <c r="I152" s="252">
        <f t="shared" ref="I152:N152" si="72">I140*$D$140*I148+I141*$D$141*I149+I142*$D$142*I150+I144*I151</f>
        <v>337500</v>
      </c>
      <c r="J152" s="252">
        <f t="shared" si="72"/>
        <v>250750</v>
      </c>
      <c r="K152" s="252">
        <f t="shared" si="72"/>
        <v>196125</v>
      </c>
      <c r="L152" s="252">
        <f t="shared" si="72"/>
        <v>120000</v>
      </c>
      <c r="M152" s="252">
        <f t="shared" si="72"/>
        <v>120000</v>
      </c>
      <c r="N152" s="252">
        <f t="shared" si="72"/>
        <v>120000</v>
      </c>
      <c r="O152" s="197"/>
      <c r="P152" s="197"/>
      <c r="Q152" s="197"/>
      <c r="R152" s="197"/>
      <c r="S152" s="197"/>
      <c r="T152" s="198"/>
      <c r="U152" s="197"/>
      <c r="V152" s="197"/>
      <c r="W152" s="197"/>
      <c r="X152" s="197"/>
      <c r="Y152" s="197"/>
      <c r="Z152" s="197"/>
    </row>
    <row r="153" spans="1:26">
      <c r="A153" s="197"/>
      <c r="B153" s="267"/>
      <c r="C153" s="197"/>
      <c r="D153" s="197"/>
      <c r="E153" s="197"/>
      <c r="F153" s="197"/>
      <c r="G153" s="198"/>
      <c r="H153" s="198"/>
      <c r="I153" s="198"/>
      <c r="J153" s="198"/>
      <c r="K153" s="198"/>
      <c r="L153" s="198"/>
      <c r="M153" s="198"/>
      <c r="N153" s="198"/>
      <c r="O153" s="197"/>
      <c r="P153" s="197"/>
      <c r="Q153" s="197"/>
      <c r="R153" s="197"/>
      <c r="S153" s="197"/>
      <c r="T153" s="198"/>
      <c r="U153" s="197"/>
      <c r="V153" s="197"/>
      <c r="W153" s="197"/>
      <c r="X153" s="197"/>
      <c r="Y153" s="197"/>
      <c r="Z153" s="197"/>
    </row>
    <row r="154" spans="1:26">
      <c r="A154" s="197"/>
      <c r="B154" s="268" t="s">
        <v>371</v>
      </c>
      <c r="C154" s="197"/>
      <c r="D154" s="269" t="s">
        <v>372</v>
      </c>
      <c r="E154" s="270"/>
      <c r="F154" s="270"/>
      <c r="G154" s="270"/>
      <c r="H154" s="270"/>
      <c r="I154" s="271"/>
      <c r="J154" s="271"/>
      <c r="K154" s="271"/>
      <c r="L154" s="271"/>
      <c r="M154" s="271"/>
      <c r="N154" s="271"/>
      <c r="O154" s="197"/>
      <c r="P154" s="197"/>
      <c r="Q154" s="197"/>
      <c r="R154" s="197"/>
      <c r="S154" s="197"/>
      <c r="T154" s="198"/>
      <c r="U154" s="197"/>
      <c r="V154" s="197"/>
      <c r="W154" s="197"/>
      <c r="X154" s="197"/>
      <c r="Y154" s="197"/>
      <c r="Z154" s="197"/>
    </row>
    <row r="155" spans="1:26">
      <c r="A155" s="197"/>
      <c r="B155" s="249" t="s">
        <v>373</v>
      </c>
      <c r="C155" s="197"/>
      <c r="D155" s="250"/>
      <c r="E155" s="250"/>
      <c r="F155" s="250"/>
      <c r="G155" s="250"/>
      <c r="H155" s="251">
        <f t="shared" ref="H155:N155" si="73">H156+H162</f>
        <v>0</v>
      </c>
      <c r="I155" s="252">
        <f t="shared" si="73"/>
        <v>6200000</v>
      </c>
      <c r="J155" s="252">
        <f t="shared" si="73"/>
        <v>11660000</v>
      </c>
      <c r="K155" s="252">
        <f t="shared" si="73"/>
        <v>16400000</v>
      </c>
      <c r="L155" s="252">
        <f t="shared" si="73"/>
        <v>16400000</v>
      </c>
      <c r="M155" s="252">
        <f t="shared" si="73"/>
        <v>16400000</v>
      </c>
      <c r="N155" s="252">
        <f t="shared" si="73"/>
        <v>16400000</v>
      </c>
      <c r="O155" s="197"/>
      <c r="P155" s="197"/>
      <c r="Q155" s="197"/>
      <c r="R155" s="197"/>
      <c r="S155" s="197"/>
      <c r="T155" s="198"/>
      <c r="U155" s="197"/>
      <c r="V155" s="197"/>
      <c r="W155" s="197"/>
      <c r="X155" s="197"/>
      <c r="Y155" s="197"/>
      <c r="Z155" s="197"/>
    </row>
    <row r="156" spans="1:26">
      <c r="A156" s="197"/>
      <c r="B156" s="211" t="s">
        <v>374</v>
      </c>
      <c r="C156" s="197"/>
      <c r="D156" s="258">
        <v>8</v>
      </c>
      <c r="E156" s="197"/>
      <c r="F156" s="197"/>
      <c r="G156" s="198"/>
      <c r="H156" s="227"/>
      <c r="I156" s="258">
        <f t="shared" ref="I156:N156" si="74">$D156*I158*I157</f>
        <v>4200000</v>
      </c>
      <c r="J156" s="258">
        <f t="shared" si="74"/>
        <v>6660000</v>
      </c>
      <c r="K156" s="258">
        <f t="shared" si="74"/>
        <v>8400000</v>
      </c>
      <c r="L156" s="258">
        <f t="shared" si="74"/>
        <v>8400000</v>
      </c>
      <c r="M156" s="258">
        <f t="shared" si="74"/>
        <v>8400000</v>
      </c>
      <c r="N156" s="258">
        <f t="shared" si="74"/>
        <v>8400000</v>
      </c>
      <c r="O156" s="197"/>
      <c r="P156" s="197"/>
      <c r="Q156" s="197"/>
      <c r="R156" s="197"/>
      <c r="S156" s="197"/>
      <c r="T156" s="198"/>
      <c r="U156" s="197"/>
      <c r="V156" s="197"/>
      <c r="W156" s="197"/>
      <c r="X156" s="197"/>
      <c r="Y156" s="197"/>
      <c r="Z156" s="197"/>
    </row>
    <row r="157" spans="1:26">
      <c r="A157" s="197"/>
      <c r="B157" s="259" t="s">
        <v>375</v>
      </c>
      <c r="C157" s="197"/>
      <c r="D157" s="227"/>
      <c r="E157" s="197"/>
      <c r="F157" s="197"/>
      <c r="G157" s="198"/>
      <c r="H157" s="227"/>
      <c r="I157" s="264">
        <v>0.7</v>
      </c>
      <c r="J157" s="264">
        <v>0.9</v>
      </c>
      <c r="K157" s="264">
        <v>1</v>
      </c>
      <c r="L157" s="264">
        <v>1</v>
      </c>
      <c r="M157" s="264">
        <v>1</v>
      </c>
      <c r="N157" s="264">
        <v>1</v>
      </c>
      <c r="O157" s="197"/>
      <c r="P157" s="197"/>
      <c r="Q157" s="197"/>
      <c r="R157" s="197"/>
      <c r="S157" s="197"/>
      <c r="T157" s="198"/>
      <c r="U157" s="197"/>
      <c r="V157" s="197"/>
      <c r="W157" s="197"/>
      <c r="X157" s="197"/>
      <c r="Y157" s="197"/>
      <c r="Z157" s="197"/>
    </row>
    <row r="158" spans="1:26">
      <c r="A158" s="197"/>
      <c r="B158" s="259" t="s">
        <v>376</v>
      </c>
      <c r="C158" s="197"/>
      <c r="D158" s="227"/>
      <c r="E158" s="197"/>
      <c r="F158" s="197"/>
      <c r="G158" s="198"/>
      <c r="H158" s="227"/>
      <c r="I158" s="254">
        <v>750000</v>
      </c>
      <c r="J158" s="254">
        <v>925000</v>
      </c>
      <c r="K158" s="254">
        <v>1050000</v>
      </c>
      <c r="L158" s="254">
        <f t="shared" ref="L158:N158" si="75">SUM(L159:L161)</f>
        <v>1050000</v>
      </c>
      <c r="M158" s="254">
        <f t="shared" si="75"/>
        <v>1050000</v>
      </c>
      <c r="N158" s="254">
        <f t="shared" si="75"/>
        <v>1050000</v>
      </c>
      <c r="O158" s="197"/>
      <c r="P158" s="197"/>
      <c r="Q158" s="197"/>
      <c r="R158" s="197"/>
      <c r="S158" s="197"/>
      <c r="T158" s="198"/>
      <c r="U158" s="197"/>
      <c r="V158" s="197"/>
      <c r="W158" s="197"/>
      <c r="X158" s="197"/>
      <c r="Y158" s="197"/>
      <c r="Z158" s="197"/>
    </row>
    <row r="159" spans="1:26">
      <c r="A159" s="197"/>
      <c r="B159" s="259" t="s">
        <v>377</v>
      </c>
      <c r="C159" s="197"/>
      <c r="D159" s="227"/>
      <c r="E159" s="197"/>
      <c r="F159" s="197"/>
      <c r="G159" s="198"/>
      <c r="H159" s="227"/>
      <c r="I159" s="254">
        <v>250000</v>
      </c>
      <c r="J159" s="254">
        <v>325000</v>
      </c>
      <c r="K159" s="254">
        <v>350000</v>
      </c>
      <c r="L159" s="254">
        <v>350000</v>
      </c>
      <c r="M159" s="254">
        <v>350000</v>
      </c>
      <c r="N159" s="254">
        <v>350000</v>
      </c>
      <c r="O159" s="197"/>
      <c r="P159" s="197"/>
      <c r="Q159" s="197"/>
      <c r="R159" s="197"/>
      <c r="S159" s="197"/>
      <c r="T159" s="198"/>
      <c r="U159" s="197"/>
      <c r="V159" s="197"/>
      <c r="W159" s="197"/>
      <c r="X159" s="197"/>
      <c r="Y159" s="197"/>
      <c r="Z159" s="197"/>
    </row>
    <row r="160" spans="1:26">
      <c r="A160" s="197"/>
      <c r="B160" s="259" t="s">
        <v>378</v>
      </c>
      <c r="C160" s="197"/>
      <c r="D160" s="227"/>
      <c r="E160" s="197"/>
      <c r="F160" s="197"/>
      <c r="G160" s="198"/>
      <c r="H160" s="227"/>
      <c r="I160" s="254">
        <v>250000</v>
      </c>
      <c r="J160" s="254">
        <v>300000</v>
      </c>
      <c r="K160" s="254">
        <v>350000</v>
      </c>
      <c r="L160" s="254">
        <v>350000</v>
      </c>
      <c r="M160" s="254">
        <v>350000</v>
      </c>
      <c r="N160" s="254">
        <v>350000</v>
      </c>
      <c r="O160" s="197"/>
      <c r="P160" s="197"/>
      <c r="Q160" s="197"/>
      <c r="R160" s="197"/>
      <c r="S160" s="197"/>
      <c r="T160" s="198"/>
      <c r="U160" s="197"/>
      <c r="V160" s="197"/>
      <c r="W160" s="197"/>
      <c r="X160" s="197"/>
      <c r="Y160" s="197"/>
      <c r="Z160" s="197"/>
    </row>
    <row r="161" spans="1:26">
      <c r="A161" s="197"/>
      <c r="B161" s="259" t="s">
        <v>379</v>
      </c>
      <c r="C161" s="197"/>
      <c r="D161" s="227"/>
      <c r="E161" s="197"/>
      <c r="F161" s="197"/>
      <c r="G161" s="198"/>
      <c r="H161" s="227"/>
      <c r="I161" s="254">
        <v>250000</v>
      </c>
      <c r="J161" s="254">
        <v>300000</v>
      </c>
      <c r="K161" s="254">
        <v>350000</v>
      </c>
      <c r="L161" s="254">
        <v>350000</v>
      </c>
      <c r="M161" s="254">
        <v>350000</v>
      </c>
      <c r="N161" s="254">
        <v>350000</v>
      </c>
      <c r="O161" s="197"/>
      <c r="P161" s="197"/>
      <c r="Q161" s="197"/>
      <c r="R161" s="197"/>
      <c r="S161" s="197"/>
      <c r="T161" s="198"/>
      <c r="U161" s="197"/>
      <c r="V161" s="197"/>
      <c r="W161" s="197"/>
      <c r="X161" s="197"/>
      <c r="Y161" s="197"/>
      <c r="Z161" s="197"/>
    </row>
    <row r="162" spans="1:26">
      <c r="A162" s="197"/>
      <c r="B162" s="211" t="s">
        <v>380</v>
      </c>
      <c r="C162" s="197"/>
      <c r="D162" s="227"/>
      <c r="E162" s="197"/>
      <c r="F162" s="197"/>
      <c r="G162" s="198"/>
      <c r="H162" s="227"/>
      <c r="I162" s="258">
        <f t="shared" ref="I162:N162" si="76">I163*($D$163+$D$164)</f>
        <v>2000000</v>
      </c>
      <c r="J162" s="258">
        <f t="shared" si="76"/>
        <v>5000000</v>
      </c>
      <c r="K162" s="258">
        <f t="shared" si="76"/>
        <v>8000000</v>
      </c>
      <c r="L162" s="258">
        <f t="shared" si="76"/>
        <v>8000000</v>
      </c>
      <c r="M162" s="258">
        <f t="shared" si="76"/>
        <v>8000000</v>
      </c>
      <c r="N162" s="258">
        <f t="shared" si="76"/>
        <v>8000000</v>
      </c>
      <c r="O162" s="197"/>
      <c r="P162" s="197"/>
      <c r="Q162" s="197"/>
      <c r="R162" s="197"/>
      <c r="S162" s="197"/>
      <c r="T162" s="198"/>
      <c r="U162" s="197"/>
      <c r="V162" s="197"/>
      <c r="W162" s="197"/>
      <c r="X162" s="197"/>
      <c r="Y162" s="197"/>
      <c r="Z162" s="197"/>
    </row>
    <row r="163" spans="1:26">
      <c r="A163" s="197"/>
      <c r="B163" s="259" t="s">
        <v>381</v>
      </c>
      <c r="C163" s="197"/>
      <c r="D163" s="254">
        <v>150</v>
      </c>
      <c r="E163" s="197"/>
      <c r="F163" s="197"/>
      <c r="G163" s="198"/>
      <c r="H163" s="227"/>
      <c r="I163" s="254">
        <v>10000</v>
      </c>
      <c r="J163" s="254">
        <v>25000</v>
      </c>
      <c r="K163" s="254">
        <v>40000</v>
      </c>
      <c r="L163" s="254">
        <v>40000</v>
      </c>
      <c r="M163" s="254">
        <v>40000</v>
      </c>
      <c r="N163" s="254">
        <v>40000</v>
      </c>
      <c r="O163" s="197"/>
      <c r="P163" s="197"/>
      <c r="Q163" s="197"/>
      <c r="R163" s="197"/>
      <c r="S163" s="197"/>
      <c r="T163" s="198"/>
      <c r="U163" s="197"/>
      <c r="V163" s="197"/>
      <c r="W163" s="197"/>
      <c r="X163" s="197"/>
      <c r="Y163" s="197"/>
      <c r="Z163" s="197"/>
    </row>
    <row r="164" spans="1:26">
      <c r="A164" s="197"/>
      <c r="B164" s="259" t="s">
        <v>382</v>
      </c>
      <c r="C164" s="197"/>
      <c r="D164" s="254">
        <v>50</v>
      </c>
      <c r="E164" s="197"/>
      <c r="F164" s="197"/>
      <c r="G164" s="198"/>
      <c r="H164" s="227"/>
      <c r="I164" s="254">
        <v>10000</v>
      </c>
      <c r="J164" s="254">
        <v>25000</v>
      </c>
      <c r="K164" s="254">
        <v>40000</v>
      </c>
      <c r="L164" s="254">
        <v>40000</v>
      </c>
      <c r="M164" s="254">
        <v>40000</v>
      </c>
      <c r="N164" s="254">
        <v>40000</v>
      </c>
      <c r="O164" s="197"/>
      <c r="P164" s="197"/>
      <c r="Q164" s="197"/>
      <c r="R164" s="197"/>
      <c r="S164" s="197"/>
      <c r="T164" s="198"/>
      <c r="U164" s="197"/>
      <c r="V164" s="197"/>
      <c r="W164" s="197"/>
      <c r="X164" s="197"/>
      <c r="Y164" s="197"/>
      <c r="Z164" s="197"/>
    </row>
    <row r="165" spans="1:26">
      <c r="A165" s="197"/>
      <c r="B165" s="197"/>
      <c r="C165" s="197"/>
      <c r="D165" s="227"/>
      <c r="E165" s="197"/>
      <c r="F165" s="197"/>
      <c r="G165" s="198"/>
      <c r="H165" s="227"/>
      <c r="I165" s="227"/>
      <c r="J165" s="227"/>
      <c r="K165" s="227"/>
      <c r="L165" s="227"/>
      <c r="M165" s="227"/>
      <c r="N165" s="227"/>
      <c r="O165" s="197"/>
      <c r="P165" s="197"/>
      <c r="Q165" s="197"/>
      <c r="R165" s="197"/>
      <c r="S165" s="197"/>
      <c r="T165" s="198"/>
      <c r="U165" s="197"/>
      <c r="V165" s="197"/>
      <c r="W165" s="197"/>
      <c r="X165" s="197"/>
      <c r="Y165" s="197"/>
      <c r="Z165" s="197"/>
    </row>
    <row r="166" spans="1:26">
      <c r="A166" s="197"/>
      <c r="B166" s="274" t="s">
        <v>383</v>
      </c>
      <c r="C166" s="197"/>
      <c r="D166" s="244"/>
      <c r="E166" s="244"/>
      <c r="F166" s="244"/>
      <c r="G166" s="241"/>
      <c r="H166" s="241"/>
      <c r="I166" s="277">
        <v>0.05</v>
      </c>
      <c r="J166" s="277">
        <v>0.12</v>
      </c>
      <c r="K166" s="277">
        <v>0.2</v>
      </c>
      <c r="L166" s="277">
        <v>0.25</v>
      </c>
      <c r="M166" s="277">
        <v>0.25</v>
      </c>
      <c r="N166" s="277">
        <v>0.25</v>
      </c>
      <c r="O166" s="197"/>
      <c r="P166" s="197"/>
      <c r="Q166" s="197"/>
      <c r="R166" s="197"/>
      <c r="S166" s="197"/>
      <c r="T166" s="198"/>
      <c r="U166" s="197"/>
      <c r="V166" s="197"/>
      <c r="W166" s="197"/>
      <c r="X166" s="197"/>
      <c r="Y166" s="197"/>
      <c r="Z166" s="197"/>
    </row>
    <row r="167" spans="1:26">
      <c r="A167" s="197"/>
      <c r="B167" s="249" t="s">
        <v>384</v>
      </c>
      <c r="C167" s="197"/>
      <c r="D167" s="250"/>
      <c r="E167" s="250"/>
      <c r="F167" s="250"/>
      <c r="G167" s="250"/>
      <c r="H167" s="250"/>
      <c r="I167" s="252">
        <f t="shared" ref="I167:N167" si="77">I166*I155</f>
        <v>310000</v>
      </c>
      <c r="J167" s="252">
        <f t="shared" si="77"/>
        <v>1399200</v>
      </c>
      <c r="K167" s="252">
        <f t="shared" si="77"/>
        <v>3280000</v>
      </c>
      <c r="L167" s="252">
        <f t="shared" si="77"/>
        <v>4100000</v>
      </c>
      <c r="M167" s="252">
        <f t="shared" si="77"/>
        <v>4100000</v>
      </c>
      <c r="N167" s="252">
        <f t="shared" si="77"/>
        <v>4100000</v>
      </c>
      <c r="O167" s="197"/>
      <c r="P167" s="197"/>
      <c r="Q167" s="197"/>
      <c r="R167" s="197"/>
      <c r="S167" s="197"/>
      <c r="T167" s="198"/>
      <c r="U167" s="197"/>
      <c r="V167" s="197"/>
      <c r="W167" s="197"/>
      <c r="X167" s="197"/>
      <c r="Y167" s="197"/>
      <c r="Z167" s="197"/>
    </row>
    <row r="168" spans="1:26">
      <c r="A168" s="197"/>
      <c r="B168" s="197"/>
      <c r="C168" s="197"/>
      <c r="D168" s="197"/>
      <c r="E168" s="197"/>
      <c r="F168" s="197"/>
      <c r="G168" s="198"/>
      <c r="H168" s="198"/>
      <c r="I168" s="198"/>
      <c r="J168" s="198"/>
      <c r="K168" s="198"/>
      <c r="L168" s="198"/>
      <c r="M168" s="198"/>
      <c r="N168" s="198"/>
      <c r="O168" s="197"/>
      <c r="P168" s="197"/>
      <c r="Q168" s="197"/>
      <c r="R168" s="197"/>
      <c r="S168" s="197"/>
      <c r="T168" s="198"/>
      <c r="U168" s="197"/>
      <c r="V168" s="197"/>
      <c r="W168" s="197"/>
      <c r="X168" s="197"/>
      <c r="Y168" s="197"/>
      <c r="Z168" s="197"/>
    </row>
    <row r="169" spans="1:26">
      <c r="A169" s="197"/>
      <c r="B169" s="267"/>
      <c r="C169" s="197"/>
      <c r="D169" s="197"/>
      <c r="E169" s="197"/>
      <c r="F169" s="197"/>
      <c r="G169" s="198"/>
      <c r="H169" s="198"/>
      <c r="I169" s="198"/>
      <c r="J169" s="198"/>
      <c r="K169" s="198"/>
      <c r="L169" s="198"/>
      <c r="M169" s="198"/>
      <c r="N169" s="198"/>
      <c r="O169" s="197"/>
      <c r="P169" s="197"/>
      <c r="Q169" s="197"/>
      <c r="R169" s="197"/>
      <c r="S169" s="197"/>
      <c r="T169" s="198"/>
      <c r="U169" s="197"/>
      <c r="V169" s="197"/>
      <c r="W169" s="197"/>
      <c r="X169" s="197"/>
      <c r="Y169" s="197"/>
      <c r="Z169" s="197"/>
    </row>
    <row r="170" spans="1:26">
      <c r="A170" s="197"/>
      <c r="B170" s="268" t="s">
        <v>385</v>
      </c>
      <c r="C170" s="197"/>
      <c r="D170" s="270"/>
      <c r="E170" s="270"/>
      <c r="F170" s="270"/>
      <c r="G170" s="270"/>
      <c r="H170" s="270"/>
      <c r="I170" s="271"/>
      <c r="J170" s="271"/>
      <c r="K170" s="271"/>
      <c r="L170" s="271"/>
      <c r="M170" s="271"/>
      <c r="N170" s="271"/>
      <c r="O170" s="197"/>
      <c r="P170" s="197"/>
      <c r="Q170" s="197"/>
      <c r="R170" s="197"/>
      <c r="S170" s="197"/>
      <c r="T170" s="198"/>
      <c r="U170" s="197"/>
      <c r="V170" s="197"/>
      <c r="W170" s="197"/>
      <c r="X170" s="197"/>
      <c r="Y170" s="197"/>
      <c r="Z170" s="197"/>
    </row>
    <row r="171" spans="1:26">
      <c r="A171" s="197"/>
      <c r="B171" s="249" t="s">
        <v>386</v>
      </c>
      <c r="C171" s="197"/>
      <c r="D171" s="250"/>
      <c r="E171" s="250"/>
      <c r="F171" s="250"/>
      <c r="G171" s="250"/>
      <c r="H171" s="251">
        <v>1392001.7560000001</v>
      </c>
      <c r="I171" s="252">
        <f>H171*2</f>
        <v>2784003.5120000001</v>
      </c>
      <c r="J171" s="252" t="s">
        <v>541</v>
      </c>
      <c r="K171" s="252" t="s">
        <v>541</v>
      </c>
      <c r="L171" s="252" t="s">
        <v>541</v>
      </c>
      <c r="M171" s="252" t="s">
        <v>541</v>
      </c>
      <c r="N171" s="252" t="s">
        <v>541</v>
      </c>
      <c r="O171" s="197"/>
      <c r="P171" s="197"/>
      <c r="Q171" s="197"/>
      <c r="R171" s="197"/>
      <c r="S171" s="197"/>
      <c r="T171" s="198"/>
      <c r="U171" s="197"/>
      <c r="V171" s="197"/>
      <c r="W171" s="197"/>
      <c r="X171" s="197"/>
      <c r="Y171" s="197"/>
      <c r="Z171" s="197"/>
    </row>
    <row r="172" spans="1:26">
      <c r="A172" s="197"/>
      <c r="B172" s="274" t="s">
        <v>357</v>
      </c>
      <c r="C172" s="197"/>
      <c r="D172" s="244"/>
      <c r="E172" s="244"/>
      <c r="F172" s="244"/>
      <c r="G172" s="241"/>
      <c r="H172" s="241"/>
      <c r="I172" s="277">
        <v>0.2</v>
      </c>
      <c r="J172" s="277">
        <v>0.2</v>
      </c>
      <c r="K172" s="277">
        <v>0.2</v>
      </c>
      <c r="L172" s="277">
        <v>0.2</v>
      </c>
      <c r="M172" s="277">
        <v>0.2</v>
      </c>
      <c r="N172" s="277">
        <v>0.2</v>
      </c>
      <c r="O172" s="197"/>
      <c r="P172" s="197"/>
      <c r="Q172" s="197"/>
      <c r="R172" s="197"/>
      <c r="S172" s="197"/>
      <c r="T172" s="198"/>
      <c r="U172" s="197"/>
      <c r="V172" s="197"/>
      <c r="W172" s="197"/>
      <c r="X172" s="197"/>
      <c r="Y172" s="197"/>
      <c r="Z172" s="197"/>
    </row>
    <row r="173" spans="1:26">
      <c r="A173" s="197"/>
      <c r="B173" s="249" t="s">
        <v>387</v>
      </c>
      <c r="C173" s="197"/>
      <c r="D173" s="250"/>
      <c r="E173" s="250"/>
      <c r="F173" s="250"/>
      <c r="G173" s="250"/>
      <c r="H173" s="250"/>
      <c r="I173" s="252">
        <f t="shared" ref="I173:N173" si="78">I171*I172</f>
        <v>556800.70240000007</v>
      </c>
      <c r="J173" s="252" t="e">
        <f t="shared" si="78"/>
        <v>#VALUE!</v>
      </c>
      <c r="K173" s="252" t="e">
        <f t="shared" si="78"/>
        <v>#VALUE!</v>
      </c>
      <c r="L173" s="252" t="e">
        <f t="shared" si="78"/>
        <v>#VALUE!</v>
      </c>
      <c r="M173" s="252" t="e">
        <f t="shared" si="78"/>
        <v>#VALUE!</v>
      </c>
      <c r="N173" s="252" t="e">
        <f t="shared" si="78"/>
        <v>#VALUE!</v>
      </c>
      <c r="O173" s="197"/>
      <c r="P173" s="197"/>
      <c r="Q173" s="197"/>
      <c r="R173" s="197"/>
      <c r="S173" s="197"/>
      <c r="T173" s="198"/>
      <c r="U173" s="197"/>
      <c r="V173" s="197"/>
      <c r="W173" s="197"/>
      <c r="X173" s="197"/>
      <c r="Y173" s="197"/>
      <c r="Z173" s="197"/>
    </row>
    <row r="174" spans="1:26">
      <c r="A174" s="197"/>
      <c r="B174" s="267"/>
      <c r="C174" s="197"/>
      <c r="D174" s="197"/>
      <c r="E174" s="197"/>
      <c r="F174" s="197"/>
      <c r="G174" s="198"/>
      <c r="H174" s="198"/>
      <c r="I174" s="278"/>
      <c r="J174" s="278"/>
      <c r="K174" s="278"/>
      <c r="L174" s="278"/>
      <c r="M174" s="278"/>
      <c r="N174" s="278"/>
      <c r="O174" s="197"/>
      <c r="P174" s="197"/>
      <c r="Q174" s="197"/>
      <c r="R174" s="197"/>
      <c r="S174" s="197"/>
      <c r="T174" s="198"/>
      <c r="U174" s="197"/>
      <c r="V174" s="197"/>
      <c r="W174" s="197"/>
      <c r="X174" s="197"/>
      <c r="Y174" s="197"/>
      <c r="Z174" s="197"/>
    </row>
    <row r="175" spans="1:26">
      <c r="A175" s="197"/>
      <c r="B175" s="279" t="s">
        <v>388</v>
      </c>
      <c r="C175" s="197"/>
      <c r="D175" s="280" t="s">
        <v>389</v>
      </c>
      <c r="E175" s="197"/>
      <c r="F175" s="197"/>
      <c r="G175" s="198"/>
      <c r="H175" s="198"/>
      <c r="I175" s="198"/>
      <c r="J175" s="198"/>
      <c r="K175" s="198"/>
      <c r="L175" s="198"/>
      <c r="M175" s="198"/>
      <c r="N175" s="198"/>
      <c r="O175" s="197"/>
      <c r="P175" s="197"/>
      <c r="Q175" s="197"/>
      <c r="R175" s="197"/>
      <c r="S175" s="197"/>
      <c r="T175" s="198"/>
      <c r="U175" s="197"/>
      <c r="V175" s="197"/>
      <c r="W175" s="197"/>
      <c r="X175" s="197"/>
      <c r="Y175" s="197"/>
      <c r="Z175" s="197"/>
    </row>
    <row r="176" spans="1:26">
      <c r="A176" s="197"/>
      <c r="B176" s="259" t="s">
        <v>390</v>
      </c>
      <c r="C176" s="197"/>
      <c r="D176" s="197"/>
      <c r="E176" s="197"/>
      <c r="F176" s="197"/>
      <c r="G176" s="197"/>
      <c r="H176" s="197"/>
      <c r="I176" s="197"/>
      <c r="J176" s="197"/>
      <c r="K176" s="197"/>
      <c r="L176" s="197"/>
      <c r="M176" s="197"/>
      <c r="N176" s="197"/>
      <c r="O176" s="197"/>
      <c r="P176" s="197"/>
      <c r="Q176" s="197"/>
      <c r="R176" s="197"/>
      <c r="S176" s="197"/>
      <c r="T176" s="198"/>
      <c r="U176" s="197"/>
      <c r="V176" s="197"/>
      <c r="W176" s="197"/>
      <c r="X176" s="197"/>
      <c r="Y176" s="197"/>
      <c r="Z176" s="197"/>
    </row>
    <row r="177" spans="1:26">
      <c r="A177" s="197"/>
      <c r="B177" s="259" t="s">
        <v>391</v>
      </c>
      <c r="C177" s="197"/>
      <c r="D177" s="280">
        <v>1.7</v>
      </c>
      <c r="E177" s="197"/>
      <c r="F177" s="197"/>
      <c r="G177" s="198"/>
      <c r="H177" s="254">
        <v>70</v>
      </c>
      <c r="I177" s="281">
        <v>100</v>
      </c>
      <c r="J177" s="281">
        <v>98</v>
      </c>
      <c r="K177" s="281">
        <v>80</v>
      </c>
      <c r="L177" s="281">
        <v>65</v>
      </c>
      <c r="M177" s="281">
        <v>65</v>
      </c>
      <c r="N177" s="281">
        <v>65</v>
      </c>
      <c r="O177" s="197"/>
      <c r="P177" s="197"/>
      <c r="Q177" s="197"/>
      <c r="R177" s="197"/>
      <c r="S177" s="197"/>
      <c r="T177" s="198"/>
      <c r="U177" s="197"/>
      <c r="V177" s="197"/>
      <c r="W177" s="197"/>
      <c r="X177" s="197"/>
      <c r="Y177" s="197"/>
      <c r="Z177" s="197"/>
    </row>
    <row r="178" spans="1:26">
      <c r="A178" s="197"/>
      <c r="B178" s="259" t="s">
        <v>392</v>
      </c>
      <c r="C178" s="197"/>
      <c r="D178" s="280">
        <v>0.4</v>
      </c>
      <c r="E178" s="280">
        <v>40</v>
      </c>
      <c r="F178" s="197"/>
      <c r="G178" s="198"/>
      <c r="H178" s="254">
        <v>180</v>
      </c>
      <c r="I178" s="281">
        <v>250</v>
      </c>
      <c r="J178" s="281">
        <v>220</v>
      </c>
      <c r="K178" s="281">
        <v>200</v>
      </c>
      <c r="L178" s="281">
        <v>180</v>
      </c>
      <c r="M178" s="281">
        <v>180</v>
      </c>
      <c r="N178" s="281">
        <v>180</v>
      </c>
      <c r="O178" s="197"/>
      <c r="P178" s="197"/>
      <c r="Q178" s="197"/>
      <c r="R178" s="197"/>
      <c r="S178" s="197"/>
      <c r="T178" s="198"/>
      <c r="U178" s="197"/>
      <c r="V178" s="197"/>
      <c r="W178" s="197"/>
      <c r="X178" s="197"/>
      <c r="Y178" s="197"/>
      <c r="Z178" s="197"/>
    </row>
    <row r="179" spans="1:26">
      <c r="A179" s="197"/>
      <c r="B179" s="259" t="s">
        <v>393</v>
      </c>
      <c r="C179" s="197"/>
      <c r="D179" s="280">
        <v>0.13</v>
      </c>
      <c r="E179" s="197"/>
      <c r="F179" s="197"/>
      <c r="G179" s="198"/>
      <c r="H179" s="254">
        <v>250</v>
      </c>
      <c r="I179" s="281">
        <v>395</v>
      </c>
      <c r="J179" s="281">
        <v>370</v>
      </c>
      <c r="K179" s="281">
        <v>350</v>
      </c>
      <c r="L179" s="281">
        <v>350</v>
      </c>
      <c r="M179" s="281">
        <v>350</v>
      </c>
      <c r="N179" s="281">
        <v>350</v>
      </c>
      <c r="O179" s="197"/>
      <c r="P179" s="197"/>
      <c r="Q179" s="197"/>
      <c r="R179" s="197"/>
      <c r="S179" s="197"/>
      <c r="T179" s="198"/>
      <c r="U179" s="197"/>
      <c r="V179" s="197"/>
      <c r="W179" s="197"/>
      <c r="X179" s="197"/>
      <c r="Y179" s="197"/>
      <c r="Z179" s="197"/>
    </row>
    <row r="180" spans="1:26">
      <c r="A180" s="197"/>
      <c r="B180" s="259" t="s">
        <v>394</v>
      </c>
      <c r="C180" s="197"/>
      <c r="D180" s="280">
        <v>10</v>
      </c>
      <c r="E180" s="197"/>
      <c r="F180" s="197"/>
      <c r="G180" s="198"/>
      <c r="H180" s="254">
        <v>2.6</v>
      </c>
      <c r="I180" s="281">
        <v>2.6</v>
      </c>
      <c r="J180" s="281">
        <v>2.6</v>
      </c>
      <c r="K180" s="281">
        <v>2.6</v>
      </c>
      <c r="L180" s="281">
        <v>2.6</v>
      </c>
      <c r="M180" s="281">
        <v>2.6</v>
      </c>
      <c r="N180" s="281">
        <v>2.6</v>
      </c>
      <c r="O180" s="197"/>
      <c r="P180" s="197"/>
      <c r="Q180" s="197"/>
      <c r="R180" s="197"/>
      <c r="S180" s="197"/>
      <c r="T180" s="198"/>
      <c r="U180" s="197"/>
      <c r="V180" s="197"/>
      <c r="W180" s="197"/>
      <c r="X180" s="197"/>
      <c r="Y180" s="197"/>
      <c r="Z180" s="197"/>
    </row>
    <row r="181" spans="1:26">
      <c r="A181" s="197"/>
      <c r="B181" s="259" t="s">
        <v>395</v>
      </c>
      <c r="C181" s="197"/>
      <c r="D181" s="280">
        <v>1</v>
      </c>
      <c r="E181" s="197"/>
      <c r="F181" s="197"/>
      <c r="G181" s="198"/>
      <c r="H181" s="254">
        <v>70</v>
      </c>
      <c r="I181" s="282">
        <v>70</v>
      </c>
      <c r="J181" s="282">
        <v>70</v>
      </c>
      <c r="K181" s="282">
        <v>70</v>
      </c>
      <c r="L181" s="282">
        <v>70</v>
      </c>
      <c r="M181" s="282">
        <v>70</v>
      </c>
      <c r="N181" s="282">
        <v>70</v>
      </c>
      <c r="O181" s="197"/>
      <c r="P181" s="197"/>
      <c r="Q181" s="197"/>
      <c r="R181" s="197"/>
      <c r="S181" s="197"/>
      <c r="T181" s="198"/>
      <c r="U181" s="197"/>
      <c r="V181" s="197"/>
      <c r="W181" s="197"/>
      <c r="X181" s="197"/>
      <c r="Y181" s="197"/>
      <c r="Z181" s="197"/>
    </row>
    <row r="182" spans="1:26">
      <c r="A182" s="197"/>
      <c r="B182" s="259" t="s">
        <v>396</v>
      </c>
      <c r="C182" s="197"/>
      <c r="D182" s="197"/>
      <c r="E182" s="197"/>
      <c r="F182" s="197"/>
      <c r="G182" s="198"/>
      <c r="H182" s="258" t="s">
        <v>541</v>
      </c>
      <c r="I182" s="258" t="s">
        <v>541</v>
      </c>
      <c r="J182" s="258" t="s">
        <v>541</v>
      </c>
      <c r="K182" s="258" t="s">
        <v>541</v>
      </c>
      <c r="L182" s="258" t="s">
        <v>541</v>
      </c>
      <c r="M182" s="258" t="s">
        <v>541</v>
      </c>
      <c r="N182" s="258" t="s">
        <v>541</v>
      </c>
      <c r="O182" s="197"/>
      <c r="P182" s="197"/>
      <c r="Q182" s="197"/>
      <c r="R182" s="197"/>
      <c r="S182" s="197"/>
      <c r="T182" s="198"/>
      <c r="U182" s="197"/>
      <c r="V182" s="197"/>
      <c r="W182" s="197"/>
      <c r="X182" s="197"/>
      <c r="Y182" s="197"/>
      <c r="Z182" s="197"/>
    </row>
    <row r="183" spans="1:26">
      <c r="A183" s="197"/>
      <c r="B183" s="259" t="s">
        <v>397</v>
      </c>
      <c r="C183" s="197"/>
      <c r="D183" s="197"/>
      <c r="E183" s="197"/>
      <c r="F183" s="197"/>
      <c r="G183" s="197"/>
      <c r="H183" s="254">
        <v>20</v>
      </c>
      <c r="I183" s="281">
        <v>20</v>
      </c>
      <c r="J183" s="281">
        <v>20</v>
      </c>
      <c r="K183" s="281">
        <v>20</v>
      </c>
      <c r="L183" s="281">
        <v>20</v>
      </c>
      <c r="M183" s="281">
        <v>20</v>
      </c>
      <c r="N183" s="281">
        <v>20</v>
      </c>
      <c r="O183" s="197"/>
      <c r="P183" s="197"/>
      <c r="Q183" s="197"/>
      <c r="R183" s="197"/>
      <c r="S183" s="197"/>
      <c r="T183" s="198"/>
      <c r="U183" s="197"/>
      <c r="V183" s="197"/>
      <c r="W183" s="197"/>
      <c r="X183" s="197"/>
      <c r="Y183" s="197"/>
      <c r="Z183" s="197"/>
    </row>
    <row r="184" spans="1:26">
      <c r="A184" s="197"/>
      <c r="B184" s="259" t="s">
        <v>398</v>
      </c>
      <c r="C184" s="197"/>
      <c r="D184" s="197"/>
      <c r="E184" s="197"/>
      <c r="F184" s="197"/>
      <c r="G184" s="198"/>
      <c r="H184" s="283">
        <v>0</v>
      </c>
      <c r="I184" s="284">
        <v>0.02</v>
      </c>
      <c r="J184" s="284">
        <v>0.02</v>
      </c>
      <c r="K184" s="284">
        <v>0.02</v>
      </c>
      <c r="L184" s="284">
        <v>0.02</v>
      </c>
      <c r="M184" s="284">
        <v>0.02</v>
      </c>
      <c r="N184" s="284">
        <v>0.02</v>
      </c>
      <c r="O184" s="197"/>
      <c r="P184" s="197"/>
      <c r="Q184" s="197"/>
      <c r="R184" s="197"/>
      <c r="S184" s="197"/>
      <c r="T184" s="263" t="s">
        <v>399</v>
      </c>
      <c r="U184" s="197"/>
      <c r="V184" s="197"/>
      <c r="W184" s="197"/>
      <c r="X184" s="197"/>
      <c r="Y184" s="197"/>
      <c r="Z184" s="197"/>
    </row>
    <row r="185" spans="1:26">
      <c r="A185" s="197"/>
      <c r="B185" s="211" t="s">
        <v>400</v>
      </c>
      <c r="C185" s="197"/>
      <c r="D185" s="197"/>
      <c r="E185" s="197"/>
      <c r="F185" s="197"/>
      <c r="G185" s="197"/>
      <c r="H185" s="285" t="e">
        <f t="shared" ref="H185:N185" si="79">(H182+H183)*(1+H184)</f>
        <v>#VALUE!</v>
      </c>
      <c r="I185" s="285" t="e">
        <f t="shared" si="79"/>
        <v>#VALUE!</v>
      </c>
      <c r="J185" s="285" t="e">
        <f t="shared" si="79"/>
        <v>#VALUE!</v>
      </c>
      <c r="K185" s="285" t="e">
        <f t="shared" si="79"/>
        <v>#VALUE!</v>
      </c>
      <c r="L185" s="285" t="e">
        <f t="shared" si="79"/>
        <v>#VALUE!</v>
      </c>
      <c r="M185" s="285" t="e">
        <f t="shared" si="79"/>
        <v>#VALUE!</v>
      </c>
      <c r="N185" s="285" t="e">
        <f t="shared" si="79"/>
        <v>#VALUE!</v>
      </c>
      <c r="O185" s="197"/>
      <c r="P185" s="197"/>
      <c r="Q185" s="197"/>
      <c r="R185" s="197"/>
      <c r="S185" s="197"/>
      <c r="T185" s="198"/>
      <c r="U185" s="197"/>
      <c r="V185" s="197"/>
      <c r="W185" s="197"/>
      <c r="X185" s="197"/>
      <c r="Y185" s="197"/>
      <c r="Z185" s="197"/>
    </row>
    <row r="186" spans="1:26">
      <c r="A186" s="197"/>
      <c r="B186" s="197"/>
      <c r="C186" s="197"/>
      <c r="D186" s="197"/>
      <c r="E186" s="197"/>
      <c r="F186" s="197"/>
      <c r="G186" s="197"/>
      <c r="H186" s="273"/>
      <c r="I186" s="273"/>
      <c r="J186" s="273"/>
      <c r="K186" s="273"/>
      <c r="L186" s="273"/>
      <c r="M186" s="273"/>
      <c r="N186" s="273"/>
      <c r="O186" s="197"/>
      <c r="P186" s="197"/>
      <c r="Q186" s="197"/>
      <c r="R186" s="197"/>
      <c r="S186" s="197"/>
      <c r="T186" s="198"/>
      <c r="U186" s="197"/>
      <c r="V186" s="197"/>
      <c r="W186" s="197"/>
      <c r="X186" s="197"/>
      <c r="Y186" s="197"/>
      <c r="Z186" s="197"/>
    </row>
    <row r="187" spans="1:26">
      <c r="A187" s="197"/>
      <c r="B187" s="259" t="s">
        <v>401</v>
      </c>
      <c r="C187" s="197"/>
      <c r="D187" s="197"/>
      <c r="E187" s="197"/>
      <c r="F187" s="197"/>
      <c r="G187" s="198"/>
      <c r="H187" s="283">
        <v>-0.13</v>
      </c>
      <c r="I187" s="283">
        <v>-0.13</v>
      </c>
      <c r="J187" s="283">
        <v>-0.13</v>
      </c>
      <c r="K187" s="283">
        <v>-0.13</v>
      </c>
      <c r="L187" s="283">
        <v>-0.13</v>
      </c>
      <c r="M187" s="283">
        <v>-0.13</v>
      </c>
      <c r="N187" s="283">
        <v>-0.13</v>
      </c>
      <c r="O187" s="197"/>
      <c r="P187" s="197"/>
      <c r="Q187" s="197"/>
      <c r="R187" s="197"/>
      <c r="S187" s="197"/>
      <c r="T187" s="198"/>
      <c r="U187" s="197"/>
      <c r="V187" s="197"/>
      <c r="W187" s="197"/>
      <c r="X187" s="197"/>
      <c r="Y187" s="197"/>
      <c r="Z187" s="197"/>
    </row>
    <row r="188" spans="1:26">
      <c r="A188" s="197"/>
      <c r="B188" s="259" t="s">
        <v>402</v>
      </c>
      <c r="C188" s="197"/>
      <c r="D188" s="197"/>
      <c r="E188" s="197"/>
      <c r="F188" s="197"/>
      <c r="G188" s="198"/>
      <c r="H188" s="218">
        <v>0.30399999999999999</v>
      </c>
      <c r="I188" s="218">
        <v>0.27400000000000002</v>
      </c>
      <c r="J188" s="218">
        <v>0.25900000000000001</v>
      </c>
      <c r="K188" s="218">
        <v>0.14199999999999999</v>
      </c>
      <c r="L188" s="218">
        <v>0.14199999999999999</v>
      </c>
      <c r="M188" s="218">
        <v>0.14199999999999999</v>
      </c>
      <c r="N188" s="218">
        <v>0.14199999999999999</v>
      </c>
      <c r="O188" s="197"/>
      <c r="P188" s="197"/>
      <c r="Q188" s="197"/>
      <c r="R188" s="197"/>
      <c r="S188" s="197"/>
      <c r="T188" s="263" t="s">
        <v>403</v>
      </c>
      <c r="U188" s="197"/>
      <c r="V188" s="197"/>
      <c r="W188" s="197"/>
      <c r="X188" s="197"/>
      <c r="Y188" s="197"/>
      <c r="Z188" s="197"/>
    </row>
    <row r="189" spans="1:26">
      <c r="A189" s="197"/>
      <c r="B189" s="259" t="s">
        <v>404</v>
      </c>
      <c r="C189" s="197"/>
      <c r="D189" s="197"/>
      <c r="E189" s="197"/>
      <c r="F189" s="197"/>
      <c r="G189" s="197"/>
      <c r="H189" s="218" t="s">
        <v>541</v>
      </c>
      <c r="I189" s="218" t="s">
        <v>541</v>
      </c>
      <c r="J189" s="218" t="s">
        <v>541</v>
      </c>
      <c r="K189" s="218" t="s">
        <v>541</v>
      </c>
      <c r="L189" s="218" t="s">
        <v>541</v>
      </c>
      <c r="M189" s="218" t="s">
        <v>541</v>
      </c>
      <c r="N189" s="218" t="s">
        <v>541</v>
      </c>
      <c r="O189" s="197"/>
      <c r="P189" s="197"/>
      <c r="Q189" s="197"/>
      <c r="R189" s="197"/>
      <c r="S189" s="197"/>
      <c r="T189" s="198"/>
      <c r="U189" s="197"/>
      <c r="V189" s="197"/>
      <c r="W189" s="197"/>
      <c r="X189" s="197"/>
      <c r="Y189" s="197"/>
      <c r="Z189" s="197"/>
    </row>
    <row r="190" spans="1:26">
      <c r="A190" s="197"/>
      <c r="B190" s="259" t="s">
        <v>405</v>
      </c>
      <c r="C190" s="197"/>
      <c r="D190" s="197"/>
      <c r="E190" s="197"/>
      <c r="F190" s="197"/>
      <c r="G190" s="197"/>
      <c r="H190" s="254">
        <v>22200</v>
      </c>
      <c r="I190" s="254" t="s">
        <v>541</v>
      </c>
      <c r="J190" s="254" t="s">
        <v>541</v>
      </c>
      <c r="K190" s="254" t="s">
        <v>541</v>
      </c>
      <c r="L190" s="254" t="s">
        <v>541</v>
      </c>
      <c r="M190" s="254" t="s">
        <v>541</v>
      </c>
      <c r="N190" s="254" t="s">
        <v>541</v>
      </c>
      <c r="O190" s="197"/>
      <c r="P190" s="197"/>
      <c r="Q190" s="197"/>
      <c r="R190" s="197"/>
      <c r="S190" s="197"/>
      <c r="T190" s="198"/>
      <c r="U190" s="197"/>
      <c r="V190" s="197"/>
      <c r="W190" s="197"/>
      <c r="X190" s="197"/>
      <c r="Y190" s="197"/>
      <c r="Z190" s="197"/>
    </row>
    <row r="191" spans="1:26">
      <c r="A191" s="197"/>
      <c r="B191" s="211" t="s">
        <v>406</v>
      </c>
      <c r="C191" s="197"/>
      <c r="D191" s="197"/>
      <c r="E191" s="197"/>
      <c r="F191" s="197"/>
      <c r="G191" s="198"/>
      <c r="H191" s="258" t="e">
        <f t="shared" ref="H191:N191" si="80">H185*(1+H187)*(1+H189)*H190</f>
        <v>#VALUE!</v>
      </c>
      <c r="I191" s="258" t="e">
        <f t="shared" si="80"/>
        <v>#VALUE!</v>
      </c>
      <c r="J191" s="258" t="e">
        <f t="shared" si="80"/>
        <v>#VALUE!</v>
      </c>
      <c r="K191" s="258" t="e">
        <f t="shared" si="80"/>
        <v>#VALUE!</v>
      </c>
      <c r="L191" s="258" t="e">
        <f t="shared" si="80"/>
        <v>#VALUE!</v>
      </c>
      <c r="M191" s="258" t="e">
        <f t="shared" si="80"/>
        <v>#VALUE!</v>
      </c>
      <c r="N191" s="258" t="e">
        <f t="shared" si="80"/>
        <v>#VALUE!</v>
      </c>
      <c r="O191" s="197"/>
      <c r="P191" s="197"/>
      <c r="Q191" s="197"/>
      <c r="R191" s="197"/>
      <c r="S191" s="197"/>
      <c r="T191" s="198"/>
      <c r="U191" s="197"/>
      <c r="V191" s="197"/>
      <c r="W191" s="197"/>
      <c r="X191" s="197"/>
      <c r="Y191" s="197"/>
      <c r="Z191" s="197"/>
    </row>
    <row r="192" spans="1:26">
      <c r="A192" s="197"/>
      <c r="B192" s="197"/>
      <c r="C192" s="197"/>
      <c r="D192" s="197"/>
      <c r="E192" s="197"/>
      <c r="F192" s="197"/>
      <c r="G192" s="198"/>
      <c r="H192" s="197"/>
      <c r="I192" s="197"/>
      <c r="J192" s="197"/>
      <c r="K192" s="197"/>
      <c r="L192" s="197"/>
      <c r="M192" s="197"/>
      <c r="N192" s="197"/>
      <c r="O192" s="197"/>
      <c r="P192" s="197"/>
      <c r="Q192" s="197"/>
      <c r="R192" s="197"/>
      <c r="S192" s="197"/>
      <c r="T192" s="198"/>
      <c r="U192" s="197"/>
      <c r="V192" s="197"/>
      <c r="W192" s="197"/>
      <c r="X192" s="197"/>
      <c r="Y192" s="197"/>
      <c r="Z192" s="197"/>
    </row>
    <row r="193" spans="1:26">
      <c r="A193" s="197"/>
      <c r="B193" s="211" t="s">
        <v>407</v>
      </c>
      <c r="C193" s="197"/>
      <c r="D193" s="199"/>
      <c r="E193" s="197"/>
      <c r="F193" s="197"/>
      <c r="G193" s="198"/>
      <c r="H193" s="286"/>
      <c r="I193" s="197"/>
      <c r="J193" s="197"/>
      <c r="K193" s="197"/>
      <c r="L193" s="197"/>
      <c r="M193" s="197"/>
      <c r="N193" s="197"/>
      <c r="O193" s="197"/>
      <c r="P193" s="197"/>
      <c r="Q193" s="197"/>
      <c r="R193" s="197"/>
      <c r="S193" s="197"/>
      <c r="T193" s="198"/>
      <c r="U193" s="197"/>
      <c r="V193" s="197"/>
      <c r="W193" s="197"/>
      <c r="X193" s="197"/>
      <c r="Y193" s="197"/>
      <c r="Z193" s="197"/>
    </row>
    <row r="194" spans="1:26">
      <c r="A194" s="197"/>
      <c r="B194" s="259" t="s">
        <v>336</v>
      </c>
      <c r="C194" s="197"/>
      <c r="D194" s="265">
        <v>1.03</v>
      </c>
      <c r="E194" s="197"/>
      <c r="F194" s="197"/>
      <c r="G194" s="198"/>
      <c r="H194" s="254" t="e">
        <f t="shared" ref="H194:N194" si="81">H191*$D194</f>
        <v>#VALUE!</v>
      </c>
      <c r="I194" s="254" t="e">
        <f t="shared" si="81"/>
        <v>#VALUE!</v>
      </c>
      <c r="J194" s="254" t="e">
        <f t="shared" si="81"/>
        <v>#VALUE!</v>
      </c>
      <c r="K194" s="254" t="e">
        <f t="shared" si="81"/>
        <v>#VALUE!</v>
      </c>
      <c r="L194" s="254" t="e">
        <f t="shared" si="81"/>
        <v>#VALUE!</v>
      </c>
      <c r="M194" s="254" t="e">
        <f t="shared" si="81"/>
        <v>#VALUE!</v>
      </c>
      <c r="N194" s="254" t="e">
        <f t="shared" si="81"/>
        <v>#VALUE!</v>
      </c>
      <c r="O194" s="197"/>
      <c r="P194" s="197"/>
      <c r="Q194" s="197"/>
      <c r="R194" s="197"/>
      <c r="S194" s="197"/>
      <c r="T194" s="198"/>
      <c r="U194" s="197"/>
      <c r="V194" s="197"/>
      <c r="W194" s="197"/>
      <c r="X194" s="197"/>
      <c r="Y194" s="197"/>
      <c r="Z194" s="197"/>
    </row>
    <row r="195" spans="1:26">
      <c r="A195" s="197"/>
      <c r="B195" s="259" t="s">
        <v>408</v>
      </c>
      <c r="C195" s="197"/>
      <c r="D195" s="254">
        <v>100</v>
      </c>
      <c r="E195" s="197"/>
      <c r="F195" s="197"/>
      <c r="G195" s="198"/>
      <c r="H195" s="254">
        <f t="shared" ref="H195:N195" si="82">$D195*H233</f>
        <v>112850</v>
      </c>
      <c r="I195" s="254" t="e">
        <f t="shared" si="82"/>
        <v>#VALUE!</v>
      </c>
      <c r="J195" s="254" t="e">
        <f t="shared" si="82"/>
        <v>#VALUE!</v>
      </c>
      <c r="K195" s="254" t="e">
        <f t="shared" si="82"/>
        <v>#VALUE!</v>
      </c>
      <c r="L195" s="254" t="e">
        <f t="shared" si="82"/>
        <v>#VALUE!</v>
      </c>
      <c r="M195" s="254" t="e">
        <f t="shared" si="82"/>
        <v>#VALUE!</v>
      </c>
      <c r="N195" s="254" t="e">
        <f t="shared" si="82"/>
        <v>#VALUE!</v>
      </c>
      <c r="O195" s="197"/>
      <c r="P195" s="197"/>
      <c r="Q195" s="197"/>
      <c r="R195" s="197"/>
      <c r="S195" s="197"/>
      <c r="T195" s="198"/>
      <c r="U195" s="197"/>
      <c r="V195" s="197"/>
      <c r="W195" s="197"/>
      <c r="X195" s="197"/>
      <c r="Y195" s="197"/>
      <c r="Z195" s="197"/>
    </row>
    <row r="196" spans="1:26">
      <c r="A196" s="197"/>
      <c r="B196" s="211" t="s">
        <v>409</v>
      </c>
      <c r="C196" s="197"/>
      <c r="D196" s="199"/>
      <c r="E196" s="197"/>
      <c r="F196" s="197"/>
      <c r="G196" s="198"/>
      <c r="H196" s="258" t="e">
        <f t="shared" ref="H196:N196" si="83">H194+H195</f>
        <v>#VALUE!</v>
      </c>
      <c r="I196" s="258" t="e">
        <f t="shared" si="83"/>
        <v>#VALUE!</v>
      </c>
      <c r="J196" s="258" t="e">
        <f t="shared" si="83"/>
        <v>#VALUE!</v>
      </c>
      <c r="K196" s="258" t="e">
        <f t="shared" si="83"/>
        <v>#VALUE!</v>
      </c>
      <c r="L196" s="258" t="e">
        <f t="shared" si="83"/>
        <v>#VALUE!</v>
      </c>
      <c r="M196" s="258" t="e">
        <f t="shared" si="83"/>
        <v>#VALUE!</v>
      </c>
      <c r="N196" s="258" t="e">
        <f t="shared" si="83"/>
        <v>#VALUE!</v>
      </c>
      <c r="O196" s="197"/>
      <c r="P196" s="197"/>
      <c r="Q196" s="197"/>
      <c r="R196" s="197"/>
      <c r="S196" s="197"/>
      <c r="T196" s="198"/>
      <c r="U196" s="197"/>
      <c r="V196" s="197"/>
      <c r="W196" s="197"/>
      <c r="X196" s="197"/>
      <c r="Y196" s="197"/>
      <c r="Z196" s="197"/>
    </row>
    <row r="197" spans="1:26">
      <c r="A197" s="197"/>
      <c r="B197" s="197"/>
      <c r="C197" s="197"/>
      <c r="D197" s="199"/>
      <c r="E197" s="197"/>
      <c r="F197" s="197"/>
      <c r="G197" s="198"/>
      <c r="H197" s="286"/>
      <c r="I197" s="197"/>
      <c r="J197" s="197"/>
      <c r="K197" s="197"/>
      <c r="L197" s="197"/>
      <c r="M197" s="197"/>
      <c r="N197" s="197"/>
      <c r="O197" s="197"/>
      <c r="P197" s="197"/>
      <c r="Q197" s="197"/>
      <c r="R197" s="197"/>
      <c r="S197" s="197"/>
      <c r="T197" s="198"/>
      <c r="U197" s="197"/>
      <c r="V197" s="197"/>
      <c r="W197" s="197"/>
      <c r="X197" s="197"/>
      <c r="Y197" s="197"/>
      <c r="Z197" s="197"/>
    </row>
    <row r="198" spans="1:26">
      <c r="A198" s="197"/>
      <c r="B198" s="197"/>
      <c r="C198" s="197"/>
      <c r="D198" s="199"/>
      <c r="E198" s="197"/>
      <c r="F198" s="197"/>
      <c r="G198" s="198"/>
      <c r="H198" s="286"/>
      <c r="I198" s="197"/>
      <c r="J198" s="197"/>
      <c r="K198" s="197"/>
      <c r="L198" s="197"/>
      <c r="M198" s="197"/>
      <c r="N198" s="197"/>
      <c r="O198" s="197"/>
      <c r="P198" s="197"/>
      <c r="Q198" s="197"/>
      <c r="R198" s="197"/>
      <c r="S198" s="197"/>
      <c r="T198" s="198"/>
      <c r="U198" s="197"/>
      <c r="V198" s="197"/>
      <c r="W198" s="197"/>
      <c r="X198" s="197"/>
      <c r="Y198" s="197"/>
      <c r="Z198" s="197"/>
    </row>
    <row r="199" spans="1:26">
      <c r="A199" s="197"/>
      <c r="B199" s="259" t="s">
        <v>410</v>
      </c>
      <c r="C199" s="197"/>
      <c r="D199" s="197"/>
      <c r="E199" s="197"/>
      <c r="F199" s="197"/>
      <c r="G199" s="198"/>
      <c r="H199" s="254">
        <v>280207.79886289872</v>
      </c>
      <c r="I199" s="254">
        <v>280207.79886289872</v>
      </c>
      <c r="J199" s="254">
        <v>280207.79886289872</v>
      </c>
      <c r="K199" s="254">
        <v>280207.79886289872</v>
      </c>
      <c r="L199" s="254">
        <v>280207.79886289872</v>
      </c>
      <c r="M199" s="254">
        <v>280207.79886289872</v>
      </c>
      <c r="N199" s="254">
        <v>280207.79886289872</v>
      </c>
      <c r="O199" s="197"/>
      <c r="P199" s="197"/>
      <c r="Q199" s="197"/>
      <c r="R199" s="197"/>
      <c r="S199" s="197"/>
      <c r="T199" s="263" t="s">
        <v>411</v>
      </c>
      <c r="U199" s="197"/>
      <c r="V199" s="197"/>
      <c r="W199" s="197"/>
      <c r="X199" s="197"/>
      <c r="Y199" s="197"/>
      <c r="Z199" s="197"/>
    </row>
    <row r="200" spans="1:26">
      <c r="A200" s="197"/>
      <c r="B200" s="259" t="s">
        <v>412</v>
      </c>
      <c r="C200" s="197"/>
      <c r="D200" s="197"/>
      <c r="E200" s="197"/>
      <c r="F200" s="197"/>
      <c r="G200" s="198"/>
      <c r="H200" s="254">
        <v>155208.23066965013</v>
      </c>
      <c r="I200" s="254">
        <v>155208.23066965013</v>
      </c>
      <c r="J200" s="254">
        <v>155208.23066965013</v>
      </c>
      <c r="K200" s="254">
        <v>155208.23066965013</v>
      </c>
      <c r="L200" s="254">
        <v>155208.23066965013</v>
      </c>
      <c r="M200" s="254">
        <v>155208.23066965013</v>
      </c>
      <c r="N200" s="254">
        <v>155208.23066965013</v>
      </c>
      <c r="O200" s="197"/>
      <c r="P200" s="197"/>
      <c r="Q200" s="197"/>
      <c r="R200" s="197"/>
      <c r="S200" s="197"/>
      <c r="T200" s="263" t="s">
        <v>411</v>
      </c>
      <c r="U200" s="197"/>
      <c r="V200" s="197"/>
      <c r="W200" s="197"/>
      <c r="X200" s="197"/>
      <c r="Y200" s="197"/>
      <c r="Z200" s="197"/>
    </row>
    <row r="201" spans="1:26">
      <c r="A201" s="197"/>
      <c r="B201" s="211" t="s">
        <v>395</v>
      </c>
      <c r="C201" s="197"/>
      <c r="D201" s="197"/>
      <c r="E201" s="197"/>
      <c r="F201" s="197"/>
      <c r="G201" s="198"/>
      <c r="H201" s="258">
        <f t="shared" ref="H201:N201" si="84">H199+H200</f>
        <v>435416.02953254886</v>
      </c>
      <c r="I201" s="258">
        <f t="shared" si="84"/>
        <v>435416.02953254886</v>
      </c>
      <c r="J201" s="258">
        <f t="shared" si="84"/>
        <v>435416.02953254886</v>
      </c>
      <c r="K201" s="258">
        <f t="shared" si="84"/>
        <v>435416.02953254886</v>
      </c>
      <c r="L201" s="258">
        <f t="shared" si="84"/>
        <v>435416.02953254886</v>
      </c>
      <c r="M201" s="258">
        <f t="shared" si="84"/>
        <v>435416.02953254886</v>
      </c>
      <c r="N201" s="258">
        <f t="shared" si="84"/>
        <v>435416.02953254886</v>
      </c>
      <c r="O201" s="197"/>
      <c r="P201" s="197"/>
      <c r="Q201" s="197"/>
      <c r="R201" s="197"/>
      <c r="S201" s="197"/>
      <c r="T201" s="198"/>
      <c r="U201" s="197"/>
      <c r="V201" s="197"/>
      <c r="W201" s="197"/>
      <c r="X201" s="197"/>
      <c r="Y201" s="197"/>
      <c r="Z201" s="197"/>
    </row>
    <row r="202" spans="1:26">
      <c r="A202" s="197"/>
      <c r="B202" s="197"/>
      <c r="C202" s="197"/>
      <c r="D202" s="197"/>
      <c r="E202" s="197"/>
      <c r="F202" s="197"/>
      <c r="G202" s="198"/>
      <c r="H202" s="227"/>
      <c r="I202" s="197"/>
      <c r="J202" s="197"/>
      <c r="K202" s="197"/>
      <c r="L202" s="197"/>
      <c r="M202" s="197"/>
      <c r="N202" s="197"/>
      <c r="O202" s="197"/>
      <c r="P202" s="197"/>
      <c r="Q202" s="197"/>
      <c r="R202" s="197"/>
      <c r="S202" s="197"/>
      <c r="T202" s="198"/>
      <c r="U202" s="197"/>
      <c r="V202" s="197"/>
      <c r="W202" s="197"/>
      <c r="X202" s="197"/>
      <c r="Y202" s="197"/>
      <c r="Z202" s="197"/>
    </row>
    <row r="203" spans="1:26">
      <c r="A203" s="197"/>
      <c r="B203" s="211" t="s">
        <v>413</v>
      </c>
      <c r="C203" s="197"/>
      <c r="D203" s="197"/>
      <c r="E203" s="197"/>
      <c r="F203" s="197"/>
      <c r="G203" s="198"/>
      <c r="H203" s="258" t="e">
        <f t="shared" ref="H203:N203" si="85">H196+H201</f>
        <v>#VALUE!</v>
      </c>
      <c r="I203" s="258" t="e">
        <f t="shared" si="85"/>
        <v>#VALUE!</v>
      </c>
      <c r="J203" s="258" t="e">
        <f t="shared" si="85"/>
        <v>#VALUE!</v>
      </c>
      <c r="K203" s="258" t="e">
        <f t="shared" si="85"/>
        <v>#VALUE!</v>
      </c>
      <c r="L203" s="258" t="e">
        <f t="shared" si="85"/>
        <v>#VALUE!</v>
      </c>
      <c r="M203" s="258" t="e">
        <f t="shared" si="85"/>
        <v>#VALUE!</v>
      </c>
      <c r="N203" s="258" t="e">
        <f t="shared" si="85"/>
        <v>#VALUE!</v>
      </c>
      <c r="O203" s="197"/>
      <c r="P203" s="197"/>
      <c r="Q203" s="197"/>
      <c r="R203" s="197"/>
      <c r="S203" s="197"/>
      <c r="T203" s="198"/>
      <c r="U203" s="197"/>
      <c r="V203" s="197"/>
      <c r="W203" s="197"/>
      <c r="X203" s="197"/>
      <c r="Y203" s="197"/>
      <c r="Z203" s="197"/>
    </row>
    <row r="204" spans="1:26">
      <c r="A204" s="197"/>
      <c r="B204" s="197"/>
      <c r="C204" s="197"/>
      <c r="D204" s="197"/>
      <c r="E204" s="197"/>
      <c r="F204" s="197"/>
      <c r="G204" s="198"/>
      <c r="H204" s="227"/>
      <c r="I204" s="227"/>
      <c r="J204" s="227"/>
      <c r="K204" s="227"/>
      <c r="L204" s="227"/>
      <c r="M204" s="227"/>
      <c r="N204" s="227"/>
      <c r="O204" s="197"/>
      <c r="P204" s="197"/>
      <c r="Q204" s="197"/>
      <c r="R204" s="197"/>
      <c r="S204" s="197"/>
      <c r="T204" s="198"/>
      <c r="U204" s="197"/>
      <c r="V204" s="197"/>
      <c r="W204" s="197"/>
      <c r="X204" s="197"/>
      <c r="Y204" s="197"/>
      <c r="Z204" s="197"/>
    </row>
    <row r="205" spans="1:26">
      <c r="A205" s="197"/>
      <c r="B205" s="211" t="s">
        <v>414</v>
      </c>
      <c r="C205" s="197"/>
      <c r="D205" s="287" t="s">
        <v>415</v>
      </c>
      <c r="E205" s="288" t="s">
        <v>416</v>
      </c>
      <c r="F205" s="197"/>
      <c r="G205" s="198"/>
      <c r="H205" s="197"/>
      <c r="I205" s="258" t="s">
        <v>541</v>
      </c>
      <c r="J205" s="258" t="s">
        <v>541</v>
      </c>
      <c r="K205" s="258" t="s">
        <v>541</v>
      </c>
      <c r="L205" s="258" t="s">
        <v>541</v>
      </c>
      <c r="M205" s="258" t="s">
        <v>541</v>
      </c>
      <c r="N205" s="258" t="s">
        <v>541</v>
      </c>
      <c r="O205" s="197"/>
      <c r="P205" s="197"/>
      <c r="Q205" s="197"/>
      <c r="R205" s="197"/>
      <c r="S205" s="197"/>
      <c r="T205" s="198"/>
      <c r="U205" s="197"/>
      <c r="V205" s="197"/>
      <c r="W205" s="197"/>
      <c r="X205" s="197"/>
      <c r="Y205" s="197"/>
      <c r="Z205" s="197"/>
    </row>
    <row r="206" spans="1:26">
      <c r="A206" s="197"/>
      <c r="B206" s="244"/>
      <c r="C206" s="244"/>
      <c r="D206" s="244"/>
      <c r="E206" s="289" t="s">
        <v>417</v>
      </c>
      <c r="F206" s="244"/>
      <c r="G206" s="241"/>
      <c r="H206" s="244"/>
      <c r="I206" s="244"/>
      <c r="J206" s="244"/>
      <c r="K206" s="244"/>
      <c r="L206" s="244"/>
      <c r="M206" s="244"/>
      <c r="N206" s="244"/>
      <c r="O206" s="244"/>
      <c r="P206" s="244"/>
      <c r="Q206" s="244"/>
      <c r="R206" s="244"/>
      <c r="S206" s="197"/>
      <c r="T206" s="198"/>
      <c r="U206" s="197"/>
      <c r="V206" s="197"/>
      <c r="W206" s="197"/>
      <c r="X206" s="197"/>
      <c r="Y206" s="197"/>
      <c r="Z206" s="197"/>
    </row>
    <row r="207" spans="1:26">
      <c r="A207" s="197"/>
      <c r="B207" s="197"/>
      <c r="C207" s="197"/>
      <c r="D207" s="197"/>
      <c r="E207" s="288" t="s">
        <v>415</v>
      </c>
      <c r="F207" s="197"/>
      <c r="G207" s="198"/>
      <c r="H207" s="197"/>
      <c r="I207" s="197"/>
      <c r="J207" s="197"/>
      <c r="K207" s="197"/>
      <c r="L207" s="197"/>
      <c r="M207" s="197"/>
      <c r="N207" s="197"/>
      <c r="O207" s="197"/>
      <c r="P207" s="197"/>
      <c r="Q207" s="197"/>
      <c r="R207" s="197"/>
      <c r="S207" s="197"/>
      <c r="T207" s="198"/>
      <c r="U207" s="197"/>
      <c r="V207" s="197"/>
      <c r="W207" s="197"/>
      <c r="X207" s="197"/>
      <c r="Y207" s="197"/>
      <c r="Z207" s="197"/>
    </row>
    <row r="208" spans="1:26">
      <c r="A208" s="259" t="s">
        <v>418</v>
      </c>
      <c r="B208" s="290" t="s">
        <v>419</v>
      </c>
      <c r="C208" s="197"/>
      <c r="D208" s="197"/>
      <c r="E208" s="197"/>
      <c r="F208" s="197"/>
      <c r="G208" s="198"/>
      <c r="H208" s="197"/>
      <c r="I208" s="197"/>
      <c r="J208" s="197"/>
      <c r="K208" s="197"/>
      <c r="L208" s="197"/>
      <c r="M208" s="197"/>
      <c r="N208" s="197"/>
      <c r="O208" s="197"/>
      <c r="P208" s="197"/>
      <c r="Q208" s="197"/>
      <c r="R208" s="197"/>
      <c r="S208" s="197"/>
      <c r="T208" s="198"/>
      <c r="U208" s="197"/>
      <c r="V208" s="197"/>
      <c r="W208" s="197"/>
      <c r="X208" s="197"/>
      <c r="Y208" s="197"/>
      <c r="Z208" s="197"/>
    </row>
    <row r="209" spans="1:26">
      <c r="A209" s="197"/>
      <c r="B209" s="267"/>
      <c r="C209" s="197"/>
      <c r="D209" s="197"/>
      <c r="E209" s="197"/>
      <c r="F209" s="197"/>
      <c r="G209" s="198"/>
      <c r="H209" s="197"/>
      <c r="I209" s="197"/>
      <c r="J209" s="197"/>
      <c r="K209" s="197"/>
      <c r="L209" s="197"/>
      <c r="M209" s="197"/>
      <c r="N209" s="197"/>
      <c r="O209" s="197"/>
      <c r="P209" s="197"/>
      <c r="Q209" s="197"/>
      <c r="R209" s="197"/>
      <c r="S209" s="197"/>
      <c r="T209" s="198"/>
      <c r="U209" s="197"/>
      <c r="V209" s="197"/>
      <c r="W209" s="197"/>
      <c r="X209" s="197"/>
      <c r="Y209" s="197"/>
      <c r="Z209" s="197"/>
    </row>
    <row r="210" spans="1:26">
      <c r="A210" s="197"/>
      <c r="B210" s="246" t="s">
        <v>356</v>
      </c>
      <c r="C210" s="197"/>
      <c r="D210" s="247"/>
      <c r="E210" s="247"/>
      <c r="F210" s="247"/>
      <c r="G210" s="247"/>
      <c r="H210" s="247"/>
      <c r="I210" s="248"/>
      <c r="J210" s="248"/>
      <c r="K210" s="248"/>
      <c r="L210" s="248"/>
      <c r="M210" s="248"/>
      <c r="N210" s="248"/>
      <c r="O210" s="197"/>
      <c r="P210" s="197"/>
      <c r="Q210" s="197"/>
      <c r="R210" s="197"/>
      <c r="S210" s="197"/>
      <c r="T210" s="198"/>
      <c r="U210" s="197"/>
      <c r="V210" s="197"/>
      <c r="W210" s="197"/>
      <c r="X210" s="197"/>
      <c r="Y210" s="197"/>
      <c r="Z210" s="197"/>
    </row>
    <row r="211" spans="1:26">
      <c r="A211" s="197"/>
      <c r="B211" s="259" t="s">
        <v>329</v>
      </c>
      <c r="C211" s="197"/>
      <c r="D211" s="197"/>
      <c r="E211" s="197"/>
      <c r="F211" s="259" t="s">
        <v>420</v>
      </c>
      <c r="G211" s="198"/>
      <c r="H211" s="197"/>
      <c r="I211" s="291" t="e">
        <f t="shared" ref="I211:N211" ca="1" si="86">I298</f>
        <v>#VALUE!</v>
      </c>
      <c r="J211" s="291" t="e">
        <f t="shared" ca="1" si="86"/>
        <v>#VALUE!</v>
      </c>
      <c r="K211" s="291" t="e">
        <f t="shared" ca="1" si="86"/>
        <v>#VALUE!</v>
      </c>
      <c r="L211" s="291" t="e">
        <f t="shared" ca="1" si="86"/>
        <v>#VALUE!</v>
      </c>
      <c r="M211" s="291" t="e">
        <f t="shared" ca="1" si="86"/>
        <v>#VALUE!</v>
      </c>
      <c r="N211" s="291" t="e">
        <f t="shared" ca="1" si="86"/>
        <v>#VALUE!</v>
      </c>
      <c r="O211" s="197"/>
      <c r="P211" s="197"/>
      <c r="Q211" s="197"/>
      <c r="R211" s="197"/>
      <c r="S211" s="197"/>
      <c r="T211" s="198"/>
      <c r="U211" s="197"/>
      <c r="V211" s="197"/>
      <c r="W211" s="197"/>
      <c r="X211" s="197"/>
      <c r="Y211" s="197"/>
      <c r="Z211" s="197"/>
    </row>
    <row r="212" spans="1:26">
      <c r="A212" s="197"/>
      <c r="B212" s="259" t="s">
        <v>348</v>
      </c>
      <c r="C212" s="197"/>
      <c r="D212" s="197"/>
      <c r="E212" s="197"/>
      <c r="F212" s="259" t="s">
        <v>420</v>
      </c>
      <c r="G212" s="198"/>
      <c r="H212" s="197"/>
      <c r="I212" s="254" t="e">
        <f t="shared" ref="I212:N212" si="87">I328</f>
        <v>#VALUE!</v>
      </c>
      <c r="J212" s="254" t="e">
        <f t="shared" si="87"/>
        <v>#VALUE!</v>
      </c>
      <c r="K212" s="254" t="e">
        <f t="shared" si="87"/>
        <v>#VALUE!</v>
      </c>
      <c r="L212" s="254" t="e">
        <f t="shared" si="87"/>
        <v>#VALUE!</v>
      </c>
      <c r="M212" s="254" t="e">
        <f t="shared" si="87"/>
        <v>#VALUE!</v>
      </c>
      <c r="N212" s="254" t="e">
        <f t="shared" si="87"/>
        <v>#VALUE!</v>
      </c>
      <c r="O212" s="197"/>
      <c r="P212" s="197"/>
      <c r="Q212" s="197"/>
      <c r="R212" s="197"/>
      <c r="S212" s="197"/>
      <c r="T212" s="198"/>
      <c r="U212" s="197"/>
      <c r="V212" s="197"/>
      <c r="W212" s="197"/>
      <c r="X212" s="197"/>
      <c r="Y212" s="197"/>
      <c r="Z212" s="197"/>
    </row>
    <row r="213" spans="1:26">
      <c r="A213" s="197"/>
      <c r="B213" s="259" t="s">
        <v>354</v>
      </c>
      <c r="C213" s="197"/>
      <c r="D213" s="197"/>
      <c r="E213" s="197"/>
      <c r="F213" s="259" t="s">
        <v>420</v>
      </c>
      <c r="G213" s="198"/>
      <c r="H213" s="197"/>
      <c r="I213" s="254" t="e">
        <f t="shared" ref="I213:N213" si="88">I356</f>
        <v>#VALUE!</v>
      </c>
      <c r="J213" s="254" t="e">
        <f t="shared" si="88"/>
        <v>#VALUE!</v>
      </c>
      <c r="K213" s="254" t="e">
        <f t="shared" si="88"/>
        <v>#VALUE!</v>
      </c>
      <c r="L213" s="254" t="e">
        <f t="shared" si="88"/>
        <v>#VALUE!</v>
      </c>
      <c r="M213" s="254" t="e">
        <f t="shared" si="88"/>
        <v>#VALUE!</v>
      </c>
      <c r="N213" s="254" t="e">
        <f t="shared" si="88"/>
        <v>#VALUE!</v>
      </c>
      <c r="O213" s="197"/>
      <c r="P213" s="197"/>
      <c r="Q213" s="197"/>
      <c r="R213" s="197"/>
      <c r="S213" s="197"/>
      <c r="T213" s="198"/>
      <c r="U213" s="197"/>
      <c r="V213" s="197"/>
      <c r="W213" s="197"/>
      <c r="X213" s="197"/>
      <c r="Y213" s="197"/>
      <c r="Z213" s="197"/>
    </row>
    <row r="214" spans="1:26">
      <c r="A214" s="197"/>
      <c r="B214" s="259" t="s">
        <v>358</v>
      </c>
      <c r="C214" s="197"/>
      <c r="D214" s="197"/>
      <c r="E214" s="197"/>
      <c r="F214" s="259" t="s">
        <v>421</v>
      </c>
      <c r="G214" s="198"/>
      <c r="H214" s="197"/>
      <c r="I214" s="254" t="e">
        <f t="shared" ref="I214:N214" si="89">I146-I152</f>
        <v>#VALUE!</v>
      </c>
      <c r="J214" s="254" t="e">
        <f t="shared" si="89"/>
        <v>#VALUE!</v>
      </c>
      <c r="K214" s="254" t="e">
        <f t="shared" si="89"/>
        <v>#VALUE!</v>
      </c>
      <c r="L214" s="254" t="e">
        <f t="shared" si="89"/>
        <v>#VALUE!</v>
      </c>
      <c r="M214" s="254" t="e">
        <f t="shared" si="89"/>
        <v>#VALUE!</v>
      </c>
      <c r="N214" s="254" t="e">
        <f t="shared" si="89"/>
        <v>#VALUE!</v>
      </c>
      <c r="O214" s="197"/>
      <c r="P214" s="197"/>
      <c r="Q214" s="197"/>
      <c r="R214" s="197"/>
      <c r="S214" s="197"/>
      <c r="T214" s="198"/>
      <c r="U214" s="197"/>
      <c r="V214" s="197"/>
      <c r="W214" s="197"/>
      <c r="X214" s="197"/>
      <c r="Y214" s="197"/>
      <c r="Z214" s="197"/>
    </row>
    <row r="215" spans="1:26">
      <c r="A215" s="197"/>
      <c r="B215" s="259" t="s">
        <v>371</v>
      </c>
      <c r="C215" s="197"/>
      <c r="D215" s="197"/>
      <c r="E215" s="197"/>
      <c r="F215" s="259" t="s">
        <v>421</v>
      </c>
      <c r="G215" s="198"/>
      <c r="H215" s="197"/>
      <c r="I215" s="254">
        <f t="shared" ref="I215:N215" si="90">I155-I167</f>
        <v>5890000</v>
      </c>
      <c r="J215" s="254">
        <f t="shared" si="90"/>
        <v>10260800</v>
      </c>
      <c r="K215" s="254">
        <f t="shared" si="90"/>
        <v>13120000</v>
      </c>
      <c r="L215" s="254">
        <f t="shared" si="90"/>
        <v>12300000</v>
      </c>
      <c r="M215" s="254">
        <f t="shared" si="90"/>
        <v>12300000</v>
      </c>
      <c r="N215" s="254">
        <f t="shared" si="90"/>
        <v>12300000</v>
      </c>
      <c r="O215" s="197"/>
      <c r="P215" s="197"/>
      <c r="Q215" s="197"/>
      <c r="R215" s="197"/>
      <c r="S215" s="197"/>
      <c r="T215" s="198"/>
      <c r="U215" s="197"/>
      <c r="V215" s="197"/>
      <c r="W215" s="197"/>
      <c r="X215" s="197"/>
      <c r="Y215" s="197"/>
      <c r="Z215" s="197"/>
    </row>
    <row r="216" spans="1:26">
      <c r="A216" s="197"/>
      <c r="B216" s="259" t="s">
        <v>422</v>
      </c>
      <c r="C216" s="197"/>
      <c r="D216" s="197"/>
      <c r="E216" s="197"/>
      <c r="F216" s="259" t="s">
        <v>421</v>
      </c>
      <c r="G216" s="198"/>
      <c r="H216" s="197"/>
      <c r="I216" s="226">
        <f t="shared" ref="I216:N216" si="91">I171-I173</f>
        <v>2227202.8096000003</v>
      </c>
      <c r="J216" s="226" t="e">
        <f t="shared" si="91"/>
        <v>#VALUE!</v>
      </c>
      <c r="K216" s="226" t="e">
        <f t="shared" si="91"/>
        <v>#VALUE!</v>
      </c>
      <c r="L216" s="226" t="e">
        <f t="shared" si="91"/>
        <v>#VALUE!</v>
      </c>
      <c r="M216" s="226" t="e">
        <f t="shared" si="91"/>
        <v>#VALUE!</v>
      </c>
      <c r="N216" s="226" t="e">
        <f t="shared" si="91"/>
        <v>#VALUE!</v>
      </c>
      <c r="O216" s="197"/>
      <c r="P216" s="197"/>
      <c r="Q216" s="197"/>
      <c r="R216" s="197"/>
      <c r="S216" s="197"/>
      <c r="T216" s="198"/>
      <c r="U216" s="197"/>
      <c r="V216" s="197"/>
      <c r="W216" s="197"/>
      <c r="X216" s="197"/>
      <c r="Y216" s="197"/>
      <c r="Z216" s="197"/>
    </row>
    <row r="217" spans="1:26">
      <c r="A217" s="197"/>
      <c r="B217" s="211" t="s">
        <v>423</v>
      </c>
      <c r="C217" s="197"/>
      <c r="D217" s="197"/>
      <c r="E217" s="197"/>
      <c r="F217" s="197"/>
      <c r="G217" s="198"/>
      <c r="H217" s="197"/>
      <c r="I217" s="292" t="e">
        <f t="shared" ref="I217:N217" ca="1" si="92">SUM(I211:I216)</f>
        <v>#VALUE!</v>
      </c>
      <c r="J217" s="292" t="e">
        <f t="shared" ca="1" si="92"/>
        <v>#VALUE!</v>
      </c>
      <c r="K217" s="292" t="e">
        <f t="shared" ca="1" si="92"/>
        <v>#VALUE!</v>
      </c>
      <c r="L217" s="292" t="e">
        <f t="shared" ca="1" si="92"/>
        <v>#VALUE!</v>
      </c>
      <c r="M217" s="292" t="e">
        <f t="shared" ca="1" si="92"/>
        <v>#VALUE!</v>
      </c>
      <c r="N217" s="292" t="e">
        <f t="shared" ca="1" si="92"/>
        <v>#VALUE!</v>
      </c>
      <c r="O217" s="197"/>
      <c r="P217" s="197"/>
      <c r="Q217" s="197"/>
      <c r="R217" s="197"/>
      <c r="S217" s="197"/>
      <c r="T217" s="198"/>
      <c r="U217" s="197"/>
      <c r="V217" s="197"/>
      <c r="W217" s="197"/>
      <c r="X217" s="197"/>
      <c r="Y217" s="197"/>
      <c r="Z217" s="197"/>
    </row>
    <row r="218" spans="1:26">
      <c r="A218" s="197"/>
      <c r="B218" s="197"/>
      <c r="C218" s="197"/>
      <c r="D218" s="197"/>
      <c r="E218" s="197"/>
      <c r="F218" s="197"/>
      <c r="G218" s="198"/>
      <c r="H218" s="197"/>
      <c r="I218" s="197"/>
      <c r="J218" s="197"/>
      <c r="K218" s="197"/>
      <c r="L218" s="197"/>
      <c r="M218" s="197"/>
      <c r="N218" s="197"/>
      <c r="O218" s="197"/>
      <c r="P218" s="197"/>
      <c r="Q218" s="197"/>
      <c r="R218" s="197"/>
      <c r="S218" s="197"/>
      <c r="T218" s="198"/>
      <c r="U218" s="197"/>
      <c r="V218" s="197"/>
      <c r="W218" s="197"/>
      <c r="X218" s="197"/>
      <c r="Y218" s="197"/>
      <c r="Z218" s="197"/>
    </row>
    <row r="219" spans="1:26">
      <c r="A219" s="197"/>
      <c r="B219" s="267"/>
      <c r="C219" s="197"/>
      <c r="D219" s="197"/>
      <c r="E219" s="197"/>
      <c r="F219" s="197"/>
      <c r="G219" s="198"/>
      <c r="H219" s="197"/>
      <c r="I219" s="197"/>
      <c r="J219" s="197"/>
      <c r="K219" s="197"/>
      <c r="L219" s="197"/>
      <c r="M219" s="197"/>
      <c r="N219" s="197"/>
      <c r="O219" s="197"/>
      <c r="P219" s="197"/>
      <c r="Q219" s="197"/>
      <c r="R219" s="197"/>
      <c r="S219" s="197"/>
      <c r="T219" s="198"/>
      <c r="U219" s="197"/>
      <c r="V219" s="197"/>
      <c r="W219" s="197"/>
      <c r="X219" s="197"/>
      <c r="Y219" s="197"/>
      <c r="Z219" s="197"/>
    </row>
    <row r="220" spans="1:26">
      <c r="A220" s="197"/>
      <c r="B220" s="279" t="s">
        <v>424</v>
      </c>
      <c r="C220" s="197"/>
      <c r="D220" s="247"/>
      <c r="E220" s="247"/>
      <c r="F220" s="247"/>
      <c r="G220" s="247"/>
      <c r="H220" s="247"/>
      <c r="I220" s="248"/>
      <c r="J220" s="248"/>
      <c r="K220" s="248"/>
      <c r="L220" s="248"/>
      <c r="M220" s="248"/>
      <c r="N220" s="248"/>
      <c r="O220" s="197"/>
      <c r="P220" s="197"/>
      <c r="Q220" s="197"/>
      <c r="R220" s="197"/>
      <c r="S220" s="197"/>
      <c r="T220" s="198"/>
      <c r="U220" s="197"/>
      <c r="V220" s="197"/>
      <c r="W220" s="197"/>
      <c r="X220" s="197"/>
      <c r="Y220" s="197"/>
      <c r="Z220" s="197"/>
    </row>
    <row r="221" spans="1:26">
      <c r="A221" s="259" t="s">
        <v>418</v>
      </c>
      <c r="B221" s="211" t="s">
        <v>425</v>
      </c>
      <c r="C221" s="197"/>
      <c r="D221" s="197"/>
      <c r="E221" s="197"/>
      <c r="F221" s="197"/>
      <c r="G221" s="197"/>
      <c r="H221" s="258" t="e">
        <f t="shared" ref="H221:N221" si="93">H222*(H91)/1000</f>
        <v>#VALUE!</v>
      </c>
      <c r="I221" s="293" t="e">
        <f t="shared" si="93"/>
        <v>#VALUE!</v>
      </c>
      <c r="J221" s="293" t="e">
        <f t="shared" si="93"/>
        <v>#VALUE!</v>
      </c>
      <c r="K221" s="293" t="e">
        <f t="shared" si="93"/>
        <v>#VALUE!</v>
      </c>
      <c r="L221" s="293" t="e">
        <f t="shared" si="93"/>
        <v>#VALUE!</v>
      </c>
      <c r="M221" s="293" t="e">
        <f t="shared" si="93"/>
        <v>#VALUE!</v>
      </c>
      <c r="N221" s="293" t="e">
        <f t="shared" si="93"/>
        <v>#VALUE!</v>
      </c>
      <c r="O221" s="197"/>
      <c r="P221" s="197"/>
      <c r="Q221" s="197"/>
      <c r="R221" s="197"/>
      <c r="S221" s="197"/>
      <c r="T221" s="198"/>
      <c r="U221" s="197"/>
      <c r="V221" s="197"/>
      <c r="W221" s="197"/>
      <c r="X221" s="197"/>
      <c r="Y221" s="197"/>
      <c r="Z221" s="197"/>
    </row>
    <row r="222" spans="1:26">
      <c r="A222" s="197"/>
      <c r="B222" s="211" t="s">
        <v>282</v>
      </c>
      <c r="C222" s="197"/>
      <c r="D222" s="259" t="s">
        <v>283</v>
      </c>
      <c r="E222" s="253" t="s">
        <v>426</v>
      </c>
      <c r="F222" s="227"/>
      <c r="G222" s="227"/>
      <c r="H222" s="254" t="e">
        <f t="shared" ref="H222:N222" si="94">SUM(H223:H227)</f>
        <v>#VALUE!</v>
      </c>
      <c r="I222" s="254" t="e">
        <f t="shared" si="94"/>
        <v>#VALUE!</v>
      </c>
      <c r="J222" s="254" t="e">
        <f t="shared" si="94"/>
        <v>#VALUE!</v>
      </c>
      <c r="K222" s="254" t="e">
        <f t="shared" si="94"/>
        <v>#VALUE!</v>
      </c>
      <c r="L222" s="254" t="e">
        <f t="shared" si="94"/>
        <v>#VALUE!</v>
      </c>
      <c r="M222" s="254" t="e">
        <f t="shared" si="94"/>
        <v>#VALUE!</v>
      </c>
      <c r="N222" s="254" t="e">
        <f t="shared" si="94"/>
        <v>#VALUE!</v>
      </c>
      <c r="O222" s="197"/>
      <c r="P222" s="197"/>
      <c r="Q222" s="197"/>
      <c r="R222" s="197"/>
      <c r="S222" s="197"/>
      <c r="T222" s="198"/>
      <c r="U222" s="197"/>
      <c r="V222" s="197"/>
      <c r="W222" s="197"/>
      <c r="X222" s="197"/>
      <c r="Y222" s="197"/>
      <c r="Z222" s="197"/>
    </row>
    <row r="223" spans="1:26">
      <c r="A223" s="197"/>
      <c r="B223" s="294" t="s">
        <v>284</v>
      </c>
      <c r="C223" s="197"/>
      <c r="D223" s="265">
        <v>1.7</v>
      </c>
      <c r="E223" s="254">
        <v>0</v>
      </c>
      <c r="F223" s="227"/>
      <c r="G223" s="227"/>
      <c r="H223" s="254">
        <f t="shared" ref="H223:N223" si="95">(H229+$E223)*$D223*H$236</f>
        <v>1887</v>
      </c>
      <c r="I223" s="254">
        <f t="shared" si="95"/>
        <v>3995</v>
      </c>
      <c r="J223" s="254" t="e">
        <f t="shared" si="95"/>
        <v>#VALUE!</v>
      </c>
      <c r="K223" s="254" t="e">
        <f t="shared" si="95"/>
        <v>#VALUE!</v>
      </c>
      <c r="L223" s="254" t="e">
        <f t="shared" si="95"/>
        <v>#VALUE!</v>
      </c>
      <c r="M223" s="254" t="e">
        <f t="shared" si="95"/>
        <v>#VALUE!</v>
      </c>
      <c r="N223" s="254" t="e">
        <f t="shared" si="95"/>
        <v>#VALUE!</v>
      </c>
      <c r="O223" s="197"/>
      <c r="P223" s="197"/>
      <c r="Q223" s="197"/>
      <c r="R223" s="197"/>
      <c r="S223" s="197"/>
      <c r="T223" s="198"/>
      <c r="U223" s="197"/>
      <c r="V223" s="197"/>
      <c r="W223" s="197"/>
      <c r="X223" s="197"/>
      <c r="Y223" s="197"/>
      <c r="Z223" s="197"/>
    </row>
    <row r="224" spans="1:26">
      <c r="A224" s="197"/>
      <c r="B224" s="294" t="s">
        <v>285</v>
      </c>
      <c r="C224" s="197"/>
      <c r="D224" s="295">
        <v>0.42399999999999999</v>
      </c>
      <c r="E224" s="254">
        <v>45</v>
      </c>
      <c r="F224" s="227"/>
      <c r="G224" s="227"/>
      <c r="H224" s="254">
        <f t="shared" ref="H224:N224" si="96">(H230+$E224)*$D224*H$236</f>
        <v>1929.624</v>
      </c>
      <c r="I224" s="254">
        <f t="shared" si="96"/>
        <v>2939.38</v>
      </c>
      <c r="J224" s="254" t="e">
        <f t="shared" si="96"/>
        <v>#VALUE!</v>
      </c>
      <c r="K224" s="254" t="e">
        <f t="shared" si="96"/>
        <v>#VALUE!</v>
      </c>
      <c r="L224" s="254" t="e">
        <f t="shared" si="96"/>
        <v>#VALUE!</v>
      </c>
      <c r="M224" s="254" t="e">
        <f t="shared" si="96"/>
        <v>#VALUE!</v>
      </c>
      <c r="N224" s="254" t="e">
        <f t="shared" si="96"/>
        <v>#VALUE!</v>
      </c>
      <c r="O224" s="197"/>
      <c r="P224" s="197"/>
      <c r="Q224" s="197"/>
      <c r="R224" s="197"/>
      <c r="S224" s="197"/>
      <c r="T224" s="198"/>
      <c r="U224" s="197"/>
      <c r="V224" s="197"/>
      <c r="W224" s="197"/>
      <c r="X224" s="197"/>
      <c r="Y224" s="197"/>
      <c r="Z224" s="197"/>
    </row>
    <row r="225" spans="1:26">
      <c r="A225" s="197"/>
      <c r="B225" s="294" t="s">
        <v>286</v>
      </c>
      <c r="C225" s="197"/>
      <c r="D225" s="265">
        <v>0.17499999999999999</v>
      </c>
      <c r="E225" s="254">
        <v>0</v>
      </c>
      <c r="F225" s="227"/>
      <c r="G225" s="227"/>
      <c r="H225" s="254">
        <f t="shared" ref="H225:N225" si="97">(H231+$E225)*$D225*H$236</f>
        <v>854.69999999999993</v>
      </c>
      <c r="I225" s="254">
        <f t="shared" si="97"/>
        <v>1624.4375</v>
      </c>
      <c r="J225" s="254" t="e">
        <f t="shared" si="97"/>
        <v>#VALUE!</v>
      </c>
      <c r="K225" s="254" t="e">
        <f t="shared" si="97"/>
        <v>#VALUE!</v>
      </c>
      <c r="L225" s="254" t="e">
        <f t="shared" si="97"/>
        <v>#VALUE!</v>
      </c>
      <c r="M225" s="254" t="e">
        <f t="shared" si="97"/>
        <v>#VALUE!</v>
      </c>
      <c r="N225" s="254" t="e">
        <f t="shared" si="97"/>
        <v>#VALUE!</v>
      </c>
      <c r="O225" s="197"/>
      <c r="P225" s="197"/>
      <c r="Q225" s="197"/>
      <c r="R225" s="197"/>
      <c r="S225" s="197"/>
      <c r="T225" s="198"/>
      <c r="U225" s="197"/>
      <c r="V225" s="197"/>
      <c r="W225" s="197"/>
      <c r="X225" s="197"/>
      <c r="Y225" s="197"/>
      <c r="Z225" s="197"/>
    </row>
    <row r="226" spans="1:26">
      <c r="A226" s="197"/>
      <c r="B226" s="294" t="s">
        <v>287</v>
      </c>
      <c r="C226" s="197"/>
      <c r="D226" s="254">
        <v>660</v>
      </c>
      <c r="E226" s="227"/>
      <c r="F226" s="227"/>
      <c r="G226" s="227"/>
      <c r="H226" s="254" t="e">
        <f t="shared" ref="H226:N226" si="98">(H232)*$D226/10^3</f>
        <v>#VALUE!</v>
      </c>
      <c r="I226" s="296" t="e">
        <f t="shared" si="98"/>
        <v>#VALUE!</v>
      </c>
      <c r="J226" s="254" t="e">
        <f t="shared" si="98"/>
        <v>#VALUE!</v>
      </c>
      <c r="K226" s="254" t="e">
        <f t="shared" si="98"/>
        <v>#VALUE!</v>
      </c>
      <c r="L226" s="254" t="e">
        <f t="shared" si="98"/>
        <v>#VALUE!</v>
      </c>
      <c r="M226" s="254" t="e">
        <f t="shared" si="98"/>
        <v>#VALUE!</v>
      </c>
      <c r="N226" s="254" t="e">
        <f t="shared" si="98"/>
        <v>#VALUE!</v>
      </c>
      <c r="O226" s="197"/>
      <c r="P226" s="197"/>
      <c r="Q226" s="197"/>
      <c r="R226" s="197"/>
      <c r="S226" s="197"/>
      <c r="T226" s="198"/>
      <c r="U226" s="197"/>
      <c r="V226" s="197"/>
      <c r="W226" s="197"/>
      <c r="X226" s="197"/>
      <c r="Y226" s="197"/>
      <c r="Z226" s="197"/>
    </row>
    <row r="227" spans="1:26">
      <c r="A227" s="197"/>
      <c r="B227" s="294" t="s">
        <v>427</v>
      </c>
      <c r="C227" s="197"/>
      <c r="D227" s="254">
        <v>262</v>
      </c>
      <c r="E227" s="227"/>
      <c r="F227" s="227"/>
      <c r="G227" s="227"/>
      <c r="H227" s="254">
        <f t="shared" ref="H227:N227" si="99">(H235)*$D227*H$236</f>
        <v>407.14800000000008</v>
      </c>
      <c r="I227" s="254">
        <f t="shared" si="99"/>
        <v>504.87400000000002</v>
      </c>
      <c r="J227" s="254" t="e">
        <f t="shared" si="99"/>
        <v>#VALUE!</v>
      </c>
      <c r="K227" s="254" t="e">
        <f t="shared" si="99"/>
        <v>#VALUE!</v>
      </c>
      <c r="L227" s="254" t="e">
        <f t="shared" si="99"/>
        <v>#VALUE!</v>
      </c>
      <c r="M227" s="254" t="e">
        <f t="shared" si="99"/>
        <v>#VALUE!</v>
      </c>
      <c r="N227" s="254" t="e">
        <f t="shared" si="99"/>
        <v>#VALUE!</v>
      </c>
      <c r="O227" s="197"/>
      <c r="P227" s="197"/>
      <c r="Q227" s="197"/>
      <c r="R227" s="197"/>
      <c r="S227" s="197"/>
      <c r="T227" s="198"/>
      <c r="U227" s="197"/>
      <c r="V227" s="197"/>
      <c r="W227" s="197"/>
      <c r="X227" s="197"/>
      <c r="Y227" s="197"/>
      <c r="Z227" s="197"/>
    </row>
    <row r="228" spans="1:26">
      <c r="A228" s="197"/>
      <c r="B228" s="197"/>
      <c r="C228" s="197"/>
      <c r="D228" s="197"/>
      <c r="E228" s="227"/>
      <c r="F228" s="197"/>
      <c r="G228" s="197"/>
      <c r="H228" s="197"/>
      <c r="I228" s="197"/>
      <c r="J228" s="197"/>
      <c r="K228" s="197"/>
      <c r="L228" s="197"/>
      <c r="M228" s="197"/>
      <c r="N228" s="197"/>
      <c r="O228" s="197"/>
      <c r="P228" s="197"/>
      <c r="Q228" s="197"/>
      <c r="R228" s="197"/>
      <c r="S228" s="197"/>
      <c r="T228" s="198"/>
      <c r="U228" s="197"/>
      <c r="V228" s="197"/>
      <c r="W228" s="197"/>
      <c r="X228" s="197"/>
      <c r="Y228" s="197"/>
      <c r="Z228" s="197"/>
    </row>
    <row r="229" spans="1:26">
      <c r="A229" s="197"/>
      <c r="B229" s="253" t="s">
        <v>428</v>
      </c>
      <c r="C229" s="197"/>
      <c r="D229" s="297"/>
      <c r="E229" s="227"/>
      <c r="F229" s="227"/>
      <c r="G229" s="227"/>
      <c r="H229" s="254">
        <v>50</v>
      </c>
      <c r="I229" s="281">
        <f t="shared" ref="I229:N229" si="100">I177</f>
        <v>100</v>
      </c>
      <c r="J229" s="281">
        <f t="shared" si="100"/>
        <v>98</v>
      </c>
      <c r="K229" s="281">
        <f t="shared" si="100"/>
        <v>80</v>
      </c>
      <c r="L229" s="281">
        <f t="shared" si="100"/>
        <v>65</v>
      </c>
      <c r="M229" s="281">
        <f t="shared" si="100"/>
        <v>65</v>
      </c>
      <c r="N229" s="281">
        <f t="shared" si="100"/>
        <v>65</v>
      </c>
      <c r="O229" s="197"/>
      <c r="P229" s="197"/>
      <c r="Q229" s="197"/>
      <c r="R229" s="197"/>
      <c r="S229" s="197"/>
      <c r="T229" s="198"/>
      <c r="U229" s="197"/>
      <c r="V229" s="197"/>
      <c r="W229" s="197"/>
      <c r="X229" s="197"/>
      <c r="Y229" s="197"/>
      <c r="Z229" s="197"/>
    </row>
    <row r="230" spans="1:26">
      <c r="A230" s="197"/>
      <c r="B230" s="253" t="s">
        <v>429</v>
      </c>
      <c r="C230" s="197"/>
      <c r="D230" s="297"/>
      <c r="E230" s="197"/>
      <c r="F230" s="227"/>
      <c r="G230" s="227"/>
      <c r="H230" s="254">
        <v>160</v>
      </c>
      <c r="I230" s="281">
        <f t="shared" ref="I230:N230" si="101">I178</f>
        <v>250</v>
      </c>
      <c r="J230" s="281">
        <f t="shared" si="101"/>
        <v>220</v>
      </c>
      <c r="K230" s="281">
        <f t="shared" si="101"/>
        <v>200</v>
      </c>
      <c r="L230" s="281">
        <f t="shared" si="101"/>
        <v>180</v>
      </c>
      <c r="M230" s="281">
        <f t="shared" si="101"/>
        <v>180</v>
      </c>
      <c r="N230" s="281">
        <f t="shared" si="101"/>
        <v>180</v>
      </c>
      <c r="O230" s="197"/>
      <c r="P230" s="197"/>
      <c r="Q230" s="197"/>
      <c r="R230" s="197"/>
      <c r="S230" s="197"/>
      <c r="T230" s="198"/>
      <c r="U230" s="197"/>
      <c r="V230" s="197"/>
      <c r="W230" s="197"/>
      <c r="X230" s="197"/>
      <c r="Y230" s="197"/>
      <c r="Z230" s="197"/>
    </row>
    <row r="231" spans="1:26">
      <c r="A231" s="197"/>
      <c r="B231" s="253" t="s">
        <v>430</v>
      </c>
      <c r="C231" s="197"/>
      <c r="D231" s="227"/>
      <c r="E231" s="197"/>
      <c r="F231" s="227"/>
      <c r="G231" s="227"/>
      <c r="H231" s="254">
        <v>220</v>
      </c>
      <c r="I231" s="281">
        <f t="shared" ref="I231:N231" si="102">I179</f>
        <v>395</v>
      </c>
      <c r="J231" s="281">
        <f t="shared" si="102"/>
        <v>370</v>
      </c>
      <c r="K231" s="281">
        <f t="shared" si="102"/>
        <v>350</v>
      </c>
      <c r="L231" s="281">
        <f t="shared" si="102"/>
        <v>350</v>
      </c>
      <c r="M231" s="281">
        <f t="shared" si="102"/>
        <v>350</v>
      </c>
      <c r="N231" s="281">
        <f t="shared" si="102"/>
        <v>350</v>
      </c>
      <c r="O231" s="197"/>
      <c r="P231" s="197"/>
      <c r="Q231" s="197"/>
      <c r="R231" s="197"/>
      <c r="S231" s="197"/>
      <c r="T231" s="198"/>
      <c r="U231" s="197"/>
      <c r="V231" s="197"/>
      <c r="W231" s="197"/>
      <c r="X231" s="197"/>
      <c r="Y231" s="197"/>
      <c r="Z231" s="197"/>
    </row>
    <row r="232" spans="1:26">
      <c r="A232" s="197"/>
      <c r="B232" s="253" t="s">
        <v>431</v>
      </c>
      <c r="C232" s="197"/>
      <c r="D232" s="227"/>
      <c r="E232" s="197"/>
      <c r="F232" s="227"/>
      <c r="G232" s="227"/>
      <c r="H232" s="298" t="e">
        <f t="shared" ref="H232:N232" si="103">(H233*$D$233+H234*$D$234)/($D$233+$D$234)</f>
        <v>#VALUE!</v>
      </c>
      <c r="I232" s="298" t="e">
        <f t="shared" si="103"/>
        <v>#VALUE!</v>
      </c>
      <c r="J232" s="298" t="e">
        <f t="shared" si="103"/>
        <v>#VALUE!</v>
      </c>
      <c r="K232" s="298" t="e">
        <f t="shared" si="103"/>
        <v>#VALUE!</v>
      </c>
      <c r="L232" s="298" t="e">
        <f t="shared" si="103"/>
        <v>#VALUE!</v>
      </c>
      <c r="M232" s="298" t="e">
        <f t="shared" si="103"/>
        <v>#VALUE!</v>
      </c>
      <c r="N232" s="298" t="e">
        <f t="shared" si="103"/>
        <v>#VALUE!</v>
      </c>
      <c r="O232" s="197"/>
      <c r="P232" s="197"/>
      <c r="Q232" s="197"/>
      <c r="R232" s="197"/>
      <c r="S232" s="197"/>
      <c r="T232" s="198"/>
      <c r="U232" s="197"/>
      <c r="V232" s="197"/>
      <c r="W232" s="197"/>
      <c r="X232" s="197"/>
      <c r="Y232" s="197"/>
      <c r="Z232" s="197"/>
    </row>
    <row r="233" spans="1:26">
      <c r="A233" s="197"/>
      <c r="B233" s="253" t="s">
        <v>432</v>
      </c>
      <c r="C233" s="197"/>
      <c r="D233" s="254" t="e">
        <f>D226-D234</f>
        <v>#VALUE!</v>
      </c>
      <c r="E233" s="197"/>
      <c r="F233" s="227"/>
      <c r="G233" s="227"/>
      <c r="H233" s="254">
        <v>1128.5</v>
      </c>
      <c r="I233" s="254" t="s">
        <v>541</v>
      </c>
      <c r="J233" s="254" t="s">
        <v>541</v>
      </c>
      <c r="K233" s="254" t="s">
        <v>541</v>
      </c>
      <c r="L233" s="254" t="s">
        <v>541</v>
      </c>
      <c r="M233" s="254" t="s">
        <v>541</v>
      </c>
      <c r="N233" s="254" t="s">
        <v>541</v>
      </c>
      <c r="O233" s="197"/>
      <c r="P233" s="197"/>
      <c r="Q233" s="197"/>
      <c r="R233" s="197"/>
      <c r="S233" s="197"/>
      <c r="T233" s="198"/>
      <c r="U233" s="197"/>
      <c r="V233" s="197"/>
      <c r="W233" s="197"/>
      <c r="X233" s="197"/>
      <c r="Y233" s="197"/>
      <c r="Z233" s="197"/>
    </row>
    <row r="234" spans="1:26">
      <c r="A234" s="197"/>
      <c r="B234" s="253" t="s">
        <v>433</v>
      </c>
      <c r="C234" s="197"/>
      <c r="D234" s="254" t="s">
        <v>541</v>
      </c>
      <c r="E234" s="197"/>
      <c r="F234" s="227"/>
      <c r="G234" s="227"/>
      <c r="H234" s="254">
        <v>677</v>
      </c>
      <c r="I234" s="254">
        <v>677</v>
      </c>
      <c r="J234" s="254">
        <v>677</v>
      </c>
      <c r="K234" s="254">
        <v>677</v>
      </c>
      <c r="L234" s="254">
        <v>677</v>
      </c>
      <c r="M234" s="254">
        <v>677</v>
      </c>
      <c r="N234" s="254">
        <v>677</v>
      </c>
      <c r="O234" s="197"/>
      <c r="P234" s="197"/>
      <c r="Q234" s="197"/>
      <c r="R234" s="197"/>
      <c r="S234" s="197"/>
      <c r="T234" s="198"/>
      <c r="U234" s="197"/>
      <c r="V234" s="197"/>
      <c r="W234" s="197"/>
      <c r="X234" s="197"/>
      <c r="Y234" s="197"/>
      <c r="Z234" s="197"/>
    </row>
    <row r="235" spans="1:26">
      <c r="A235" s="197"/>
      <c r="B235" s="253" t="s">
        <v>434</v>
      </c>
      <c r="C235" s="197"/>
      <c r="D235" s="227"/>
      <c r="E235" s="197"/>
      <c r="F235" s="227"/>
      <c r="G235" s="227"/>
      <c r="H235" s="295">
        <v>7.0000000000000007E-2</v>
      </c>
      <c r="I235" s="295">
        <v>8.2000000000000003E-2</v>
      </c>
      <c r="J235" s="295">
        <v>8.2000000000000003E-2</v>
      </c>
      <c r="K235" s="295">
        <v>8.3000000000000004E-2</v>
      </c>
      <c r="L235" s="295">
        <v>8.3000000000000004E-2</v>
      </c>
      <c r="M235" s="295">
        <v>8.3500000000000005E-2</v>
      </c>
      <c r="N235" s="295">
        <v>8.3900000000000002E-2</v>
      </c>
      <c r="O235" s="197"/>
      <c r="P235" s="197"/>
      <c r="Q235" s="197"/>
      <c r="R235" s="197"/>
      <c r="S235" s="197"/>
      <c r="T235" s="198"/>
      <c r="U235" s="197"/>
      <c r="V235" s="197"/>
      <c r="W235" s="197"/>
      <c r="X235" s="197"/>
      <c r="Y235" s="197"/>
      <c r="Z235" s="197"/>
    </row>
    <row r="236" spans="1:26">
      <c r="A236" s="197"/>
      <c r="B236" s="299" t="s">
        <v>435</v>
      </c>
      <c r="C236" s="197"/>
      <c r="D236" s="227"/>
      <c r="E236" s="227"/>
      <c r="F236" s="227"/>
      <c r="G236" s="227"/>
      <c r="H236" s="260">
        <v>22.2</v>
      </c>
      <c r="I236" s="260">
        <v>23.5</v>
      </c>
      <c r="J236" s="260" t="s">
        <v>541</v>
      </c>
      <c r="K236" s="260" t="s">
        <v>541</v>
      </c>
      <c r="L236" s="260" t="s">
        <v>541</v>
      </c>
      <c r="M236" s="260" t="str">
        <f t="shared" ref="M236:N236" si="104">L236</f>
        <v>#ERROR!</v>
      </c>
      <c r="N236" s="260" t="str">
        <f t="shared" si="104"/>
        <v>#ERROR!</v>
      </c>
      <c r="O236" s="197"/>
      <c r="P236" s="197"/>
      <c r="Q236" s="197"/>
      <c r="R236" s="197"/>
      <c r="S236" s="197"/>
      <c r="T236" s="198"/>
      <c r="U236" s="197"/>
      <c r="V236" s="197"/>
      <c r="W236" s="197"/>
      <c r="X236" s="197"/>
      <c r="Y236" s="197"/>
      <c r="Z236" s="197"/>
    </row>
    <row r="237" spans="1:26">
      <c r="A237" s="197"/>
      <c r="B237" s="197"/>
      <c r="C237" s="197"/>
      <c r="D237" s="197"/>
      <c r="E237" s="197"/>
      <c r="F237" s="197"/>
      <c r="G237" s="197"/>
      <c r="H237" s="197"/>
      <c r="I237" s="197"/>
      <c r="J237" s="197"/>
      <c r="K237" s="197"/>
      <c r="L237" s="197"/>
      <c r="M237" s="197"/>
      <c r="N237" s="197"/>
      <c r="O237" s="197"/>
      <c r="P237" s="197"/>
      <c r="Q237" s="197"/>
      <c r="R237" s="197"/>
      <c r="S237" s="197"/>
      <c r="T237" s="198"/>
      <c r="U237" s="197"/>
      <c r="V237" s="197"/>
      <c r="W237" s="197"/>
      <c r="X237" s="197"/>
      <c r="Y237" s="197"/>
      <c r="Z237" s="197"/>
    </row>
    <row r="238" spans="1:26">
      <c r="A238" s="259" t="s">
        <v>418</v>
      </c>
      <c r="B238" s="211" t="s">
        <v>436</v>
      </c>
      <c r="C238" s="197"/>
      <c r="D238" s="259" t="s">
        <v>283</v>
      </c>
      <c r="E238" s="253" t="s">
        <v>437</v>
      </c>
      <c r="F238" s="197"/>
      <c r="G238" s="197"/>
      <c r="H238" s="197"/>
      <c r="I238" s="258" t="e">
        <f t="shared" ref="I238:N238" si="105">I242+I247</f>
        <v>#VALUE!</v>
      </c>
      <c r="J238" s="258" t="e">
        <f t="shared" si="105"/>
        <v>#VALUE!</v>
      </c>
      <c r="K238" s="258" t="e">
        <f t="shared" si="105"/>
        <v>#VALUE!</v>
      </c>
      <c r="L238" s="258" t="e">
        <f t="shared" si="105"/>
        <v>#VALUE!</v>
      </c>
      <c r="M238" s="258" t="e">
        <f t="shared" si="105"/>
        <v>#VALUE!</v>
      </c>
      <c r="N238" s="258" t="e">
        <f t="shared" si="105"/>
        <v>#VALUE!</v>
      </c>
      <c r="O238" s="197"/>
      <c r="P238" s="197"/>
      <c r="Q238" s="197"/>
      <c r="R238" s="197"/>
      <c r="S238" s="197"/>
      <c r="T238" s="198"/>
      <c r="U238" s="197"/>
      <c r="V238" s="197"/>
      <c r="W238" s="197"/>
      <c r="X238" s="197"/>
      <c r="Y238" s="197"/>
      <c r="Z238" s="197"/>
    </row>
    <row r="239" spans="1:26">
      <c r="A239" s="197"/>
      <c r="B239" s="211" t="s">
        <v>438</v>
      </c>
      <c r="C239" s="197"/>
      <c r="D239" s="197"/>
      <c r="E239" s="227"/>
      <c r="F239" s="197"/>
      <c r="G239" s="197"/>
      <c r="H239" s="197"/>
      <c r="I239" s="281">
        <f>I94</f>
        <v>400000</v>
      </c>
      <c r="J239" s="300"/>
      <c r="K239" s="281">
        <v>0</v>
      </c>
      <c r="L239" s="281">
        <v>0</v>
      </c>
      <c r="M239" s="281">
        <v>0</v>
      </c>
      <c r="N239" s="281">
        <v>0</v>
      </c>
      <c r="O239" s="197"/>
      <c r="P239" s="197"/>
      <c r="Q239" s="197"/>
      <c r="R239" s="197"/>
      <c r="S239" s="197"/>
      <c r="T239" s="198"/>
      <c r="U239" s="197"/>
      <c r="V239" s="197"/>
      <c r="W239" s="197"/>
      <c r="X239" s="197"/>
      <c r="Y239" s="197"/>
      <c r="Z239" s="197"/>
    </row>
    <row r="240" spans="1:26">
      <c r="A240" s="197"/>
      <c r="B240" s="211" t="s">
        <v>439</v>
      </c>
      <c r="C240" s="197"/>
      <c r="D240" s="197"/>
      <c r="E240" s="227"/>
      <c r="F240" s="197"/>
      <c r="G240" s="197"/>
      <c r="H240" s="197"/>
      <c r="I240" s="281">
        <f>I92</f>
        <v>750000</v>
      </c>
      <c r="J240" s="281">
        <v>2400000</v>
      </c>
      <c r="K240" s="281">
        <f t="shared" ref="K240:R240" si="106">K92+K93</f>
        <v>6150000</v>
      </c>
      <c r="L240" s="281">
        <f t="shared" si="106"/>
        <v>6650000</v>
      </c>
      <c r="M240" s="281">
        <f t="shared" si="106"/>
        <v>6825000</v>
      </c>
      <c r="N240" s="281">
        <f t="shared" si="106"/>
        <v>6825000</v>
      </c>
      <c r="O240" s="281">
        <f t="shared" si="106"/>
        <v>0</v>
      </c>
      <c r="P240" s="281">
        <f t="shared" si="106"/>
        <v>0</v>
      </c>
      <c r="Q240" s="281">
        <f t="shared" si="106"/>
        <v>0</v>
      </c>
      <c r="R240" s="281">
        <f t="shared" si="106"/>
        <v>0</v>
      </c>
      <c r="S240" s="197"/>
      <c r="T240" s="198"/>
      <c r="U240" s="197"/>
      <c r="V240" s="197"/>
      <c r="W240" s="197"/>
      <c r="X240" s="197"/>
      <c r="Y240" s="197"/>
      <c r="Z240" s="197"/>
    </row>
    <row r="241" spans="1:26">
      <c r="A241" s="197"/>
      <c r="B241" s="197"/>
      <c r="C241" s="197"/>
      <c r="D241" s="197"/>
      <c r="E241" s="227"/>
      <c r="F241" s="197"/>
      <c r="G241" s="197"/>
      <c r="H241" s="197"/>
      <c r="I241" s="197"/>
      <c r="J241" s="197"/>
      <c r="K241" s="197"/>
      <c r="L241" s="197"/>
      <c r="M241" s="197"/>
      <c r="N241" s="197"/>
      <c r="O241" s="197"/>
      <c r="P241" s="197"/>
      <c r="Q241" s="197"/>
      <c r="R241" s="197"/>
      <c r="S241" s="197"/>
      <c r="T241" s="198"/>
      <c r="U241" s="197"/>
      <c r="V241" s="197"/>
      <c r="W241" s="197"/>
      <c r="X241" s="197"/>
      <c r="Y241" s="197"/>
      <c r="Z241" s="197"/>
    </row>
    <row r="242" spans="1:26">
      <c r="A242" s="197"/>
      <c r="B242" s="257" t="s">
        <v>440</v>
      </c>
      <c r="C242" s="197"/>
      <c r="D242" s="197"/>
      <c r="E242" s="197"/>
      <c r="F242" s="197"/>
      <c r="G242" s="197"/>
      <c r="H242" s="197"/>
      <c r="I242" s="301" t="e">
        <f t="shared" ref="I242:J242" si="107">I243*I239/1000</f>
        <v>#VALUE!</v>
      </c>
      <c r="J242" s="301" t="e">
        <f t="shared" si="107"/>
        <v>#VALUE!</v>
      </c>
      <c r="K242" s="227"/>
      <c r="L242" s="227"/>
      <c r="M242" s="227"/>
      <c r="N242" s="227"/>
      <c r="O242" s="227">
        <f t="shared" ref="O242:R242" si="108">O191</f>
        <v>0</v>
      </c>
      <c r="P242" s="227">
        <f t="shared" si="108"/>
        <v>0</v>
      </c>
      <c r="Q242" s="227">
        <f t="shared" si="108"/>
        <v>0</v>
      </c>
      <c r="R242" s="227">
        <f t="shared" si="108"/>
        <v>0</v>
      </c>
      <c r="S242" s="197"/>
      <c r="T242" s="198"/>
      <c r="U242" s="197"/>
      <c r="V242" s="197"/>
      <c r="W242" s="197"/>
      <c r="X242" s="197"/>
      <c r="Y242" s="197"/>
      <c r="Z242" s="197"/>
    </row>
    <row r="243" spans="1:26">
      <c r="A243" s="197"/>
      <c r="B243" s="257" t="s">
        <v>282</v>
      </c>
      <c r="C243" s="197"/>
      <c r="D243" s="197"/>
      <c r="E243" s="197"/>
      <c r="F243" s="197"/>
      <c r="G243" s="197"/>
      <c r="H243" s="197"/>
      <c r="I243" s="298" t="e">
        <f t="shared" ref="I243:J243" si="109">I244+I245</f>
        <v>#VALUE!</v>
      </c>
      <c r="J243" s="298" t="e">
        <f t="shared" si="109"/>
        <v>#VALUE!</v>
      </c>
      <c r="K243" s="227"/>
      <c r="L243" s="227"/>
      <c r="M243" s="227"/>
      <c r="N243" s="227"/>
      <c r="O243" s="227"/>
      <c r="P243" s="227"/>
      <c r="Q243" s="227"/>
      <c r="R243" s="227"/>
      <c r="S243" s="197"/>
      <c r="T243" s="198"/>
      <c r="U243" s="197"/>
      <c r="V243" s="197"/>
      <c r="W243" s="197"/>
      <c r="X243" s="197"/>
      <c r="Y243" s="197"/>
      <c r="Z243" s="197"/>
    </row>
    <row r="244" spans="1:26">
      <c r="A244" s="197"/>
      <c r="B244" s="294" t="s">
        <v>441</v>
      </c>
      <c r="C244" s="197"/>
      <c r="D244" s="280">
        <v>1.03</v>
      </c>
      <c r="E244" s="197"/>
      <c r="F244" s="197"/>
      <c r="G244" s="197"/>
      <c r="H244" s="197"/>
      <c r="I244" s="298" t="e">
        <f t="shared" ref="I244:J244" si="110">I191*$D$244/1000</f>
        <v>#VALUE!</v>
      </c>
      <c r="J244" s="298" t="e">
        <f t="shared" si="110"/>
        <v>#VALUE!</v>
      </c>
      <c r="K244" s="227"/>
      <c r="L244" s="227"/>
      <c r="M244" s="227"/>
      <c r="N244" s="227"/>
      <c r="O244" s="227"/>
      <c r="P244" s="227"/>
      <c r="Q244" s="227"/>
      <c r="R244" s="227"/>
      <c r="S244" s="197"/>
      <c r="T244" s="198"/>
      <c r="U244" s="197"/>
      <c r="V244" s="197"/>
      <c r="W244" s="197"/>
      <c r="X244" s="197"/>
      <c r="Y244" s="197"/>
      <c r="Z244" s="197"/>
    </row>
    <row r="245" spans="1:26">
      <c r="A245" s="197"/>
      <c r="B245" s="294" t="s">
        <v>408</v>
      </c>
      <c r="C245" s="197"/>
      <c r="D245" s="280">
        <v>100</v>
      </c>
      <c r="E245" s="197"/>
      <c r="F245" s="197"/>
      <c r="G245" s="197"/>
      <c r="H245" s="197"/>
      <c r="I245" s="254" t="e">
        <f t="shared" ref="I245:J245" si="111">I258*$D245/1000</f>
        <v>#VALUE!</v>
      </c>
      <c r="J245" s="254" t="e">
        <f t="shared" si="111"/>
        <v>#VALUE!</v>
      </c>
      <c r="K245" s="227"/>
      <c r="L245" s="227"/>
      <c r="M245" s="227"/>
      <c r="N245" s="227"/>
      <c r="O245" s="227"/>
      <c r="P245" s="227"/>
      <c r="Q245" s="227"/>
      <c r="R245" s="227"/>
      <c r="S245" s="197"/>
      <c r="T245" s="198"/>
      <c r="U245" s="197"/>
      <c r="V245" s="197"/>
      <c r="W245" s="197"/>
      <c r="X245" s="197"/>
      <c r="Y245" s="197"/>
      <c r="Z245" s="197"/>
    </row>
    <row r="246" spans="1:26">
      <c r="A246" s="197"/>
      <c r="B246" s="227"/>
      <c r="C246" s="197"/>
      <c r="D246" s="197"/>
      <c r="E246" s="197"/>
      <c r="F246" s="197"/>
      <c r="G246" s="197"/>
      <c r="H246" s="197"/>
      <c r="I246" s="227"/>
      <c r="J246" s="227"/>
      <c r="K246" s="227"/>
      <c r="L246" s="227"/>
      <c r="M246" s="227"/>
      <c r="N246" s="227"/>
      <c r="O246" s="227"/>
      <c r="P246" s="227"/>
      <c r="Q246" s="227"/>
      <c r="R246" s="227"/>
      <c r="S246" s="197"/>
      <c r="T246" s="198"/>
      <c r="U246" s="197"/>
      <c r="V246" s="197"/>
      <c r="W246" s="197"/>
      <c r="X246" s="197"/>
      <c r="Y246" s="197"/>
      <c r="Z246" s="197"/>
    </row>
    <row r="247" spans="1:26">
      <c r="A247" s="197"/>
      <c r="B247" s="257" t="s">
        <v>442</v>
      </c>
      <c r="C247" s="197"/>
      <c r="D247" s="197"/>
      <c r="E247" s="197"/>
      <c r="F247" s="197"/>
      <c r="G247" s="197"/>
      <c r="H247" s="197"/>
      <c r="I247" s="301" t="e">
        <f t="shared" ref="I247:N247" si="112">I248*I240/1000</f>
        <v>#VALUE!</v>
      </c>
      <c r="J247" s="301" t="e">
        <f t="shared" si="112"/>
        <v>#VALUE!</v>
      </c>
      <c r="K247" s="301" t="e">
        <f t="shared" si="112"/>
        <v>#VALUE!</v>
      </c>
      <c r="L247" s="301" t="e">
        <f t="shared" si="112"/>
        <v>#VALUE!</v>
      </c>
      <c r="M247" s="301" t="e">
        <f t="shared" si="112"/>
        <v>#VALUE!</v>
      </c>
      <c r="N247" s="301" t="e">
        <f t="shared" si="112"/>
        <v>#VALUE!</v>
      </c>
      <c r="O247" s="227"/>
      <c r="P247" s="227"/>
      <c r="Q247" s="227"/>
      <c r="R247" s="227"/>
      <c r="S247" s="197"/>
      <c r="T247" s="198"/>
      <c r="U247" s="197"/>
      <c r="V247" s="197"/>
      <c r="W247" s="197"/>
      <c r="X247" s="197"/>
      <c r="Y247" s="197"/>
      <c r="Z247" s="197"/>
    </row>
    <row r="248" spans="1:26">
      <c r="A248" s="197"/>
      <c r="B248" s="211" t="s">
        <v>282</v>
      </c>
      <c r="C248" s="197"/>
      <c r="D248" s="197"/>
      <c r="E248" s="197"/>
      <c r="F248" s="197"/>
      <c r="G248" s="197"/>
      <c r="H248" s="197"/>
      <c r="I248" s="254" t="e">
        <f t="shared" ref="I248:N248" si="113">SUM(I249:I253)</f>
        <v>#VALUE!</v>
      </c>
      <c r="J248" s="254" t="e">
        <f t="shared" si="113"/>
        <v>#VALUE!</v>
      </c>
      <c r="K248" s="254" t="e">
        <f t="shared" si="113"/>
        <v>#VALUE!</v>
      </c>
      <c r="L248" s="254" t="e">
        <f t="shared" si="113"/>
        <v>#VALUE!</v>
      </c>
      <c r="M248" s="254" t="e">
        <f t="shared" si="113"/>
        <v>#VALUE!</v>
      </c>
      <c r="N248" s="254" t="e">
        <f t="shared" si="113"/>
        <v>#VALUE!</v>
      </c>
      <c r="O248" s="227"/>
      <c r="P248" s="227"/>
      <c r="Q248" s="227"/>
      <c r="R248" s="227"/>
      <c r="S248" s="197"/>
      <c r="T248" s="198"/>
      <c r="U248" s="197"/>
      <c r="V248" s="197"/>
      <c r="W248" s="197"/>
      <c r="X248" s="197"/>
      <c r="Y248" s="197"/>
      <c r="Z248" s="197"/>
    </row>
    <row r="249" spans="1:26">
      <c r="A249" s="197"/>
      <c r="B249" s="294" t="s">
        <v>284</v>
      </c>
      <c r="C249" s="197"/>
      <c r="D249" s="265">
        <v>1.7</v>
      </c>
      <c r="E249" s="227"/>
      <c r="F249" s="227"/>
      <c r="G249" s="227"/>
      <c r="H249" s="227"/>
      <c r="I249" s="254">
        <f t="shared" ref="I249:N249" si="114">(I255+$E249)*$D249*I$262</f>
        <v>3795.25</v>
      </c>
      <c r="J249" s="254" t="e">
        <f t="shared" si="114"/>
        <v>#VALUE!</v>
      </c>
      <c r="K249" s="254" t="e">
        <f t="shared" si="114"/>
        <v>#VALUE!</v>
      </c>
      <c r="L249" s="254" t="e">
        <f t="shared" si="114"/>
        <v>#VALUE!</v>
      </c>
      <c r="M249" s="254" t="e">
        <f t="shared" si="114"/>
        <v>#VALUE!</v>
      </c>
      <c r="N249" s="254" t="e">
        <f t="shared" si="114"/>
        <v>#VALUE!</v>
      </c>
      <c r="O249" s="197"/>
      <c r="P249" s="197"/>
      <c r="Q249" s="197"/>
      <c r="R249" s="197"/>
      <c r="S249" s="197"/>
      <c r="T249" s="198"/>
      <c r="U249" s="197"/>
      <c r="V249" s="197"/>
      <c r="W249" s="197"/>
      <c r="X249" s="197"/>
      <c r="Y249" s="197"/>
      <c r="Z249" s="197"/>
    </row>
    <row r="250" spans="1:26">
      <c r="A250" s="197"/>
      <c r="B250" s="294" t="s">
        <v>285</v>
      </c>
      <c r="C250" s="197"/>
      <c r="D250" s="295">
        <v>0.41</v>
      </c>
      <c r="E250" s="254">
        <v>45</v>
      </c>
      <c r="F250" s="227"/>
      <c r="G250" s="227"/>
      <c r="H250" s="227"/>
      <c r="I250" s="254">
        <f t="shared" ref="I250:N250" si="115">(I256+$E250)*$D250*I$262</f>
        <v>2794.1499999999996</v>
      </c>
      <c r="J250" s="254" t="e">
        <f t="shared" si="115"/>
        <v>#VALUE!</v>
      </c>
      <c r="K250" s="254" t="e">
        <f t="shared" si="115"/>
        <v>#VALUE!</v>
      </c>
      <c r="L250" s="254" t="e">
        <f t="shared" si="115"/>
        <v>#VALUE!</v>
      </c>
      <c r="M250" s="254" t="e">
        <f t="shared" si="115"/>
        <v>#VALUE!</v>
      </c>
      <c r="N250" s="254" t="e">
        <f t="shared" si="115"/>
        <v>#VALUE!</v>
      </c>
      <c r="O250" s="197"/>
      <c r="P250" s="197"/>
      <c r="Q250" s="197"/>
      <c r="R250" s="197"/>
      <c r="S250" s="197"/>
      <c r="T250" s="198"/>
      <c r="U250" s="197"/>
      <c r="V250" s="197"/>
      <c r="W250" s="197"/>
      <c r="X250" s="197"/>
      <c r="Y250" s="197"/>
      <c r="Z250" s="197"/>
    </row>
    <row r="251" spans="1:26">
      <c r="A251" s="197"/>
      <c r="B251" s="294" t="s">
        <v>286</v>
      </c>
      <c r="C251" s="197"/>
      <c r="D251" s="265">
        <v>0.17499999999999999</v>
      </c>
      <c r="E251" s="227"/>
      <c r="F251" s="227"/>
      <c r="G251" s="227"/>
      <c r="H251" s="227"/>
      <c r="I251" s="254">
        <f t="shared" ref="I251:N251" si="116">(I257+$E251)*$D251*I$262</f>
        <v>1624.4375</v>
      </c>
      <c r="J251" s="254" t="e">
        <f t="shared" si="116"/>
        <v>#VALUE!</v>
      </c>
      <c r="K251" s="254" t="e">
        <f t="shared" si="116"/>
        <v>#VALUE!</v>
      </c>
      <c r="L251" s="254" t="e">
        <f t="shared" si="116"/>
        <v>#VALUE!</v>
      </c>
      <c r="M251" s="254" t="e">
        <f t="shared" si="116"/>
        <v>#VALUE!</v>
      </c>
      <c r="N251" s="254" t="e">
        <f t="shared" si="116"/>
        <v>#VALUE!</v>
      </c>
      <c r="O251" s="197"/>
      <c r="P251" s="197"/>
      <c r="Q251" s="197"/>
      <c r="R251" s="197"/>
      <c r="S251" s="197"/>
      <c r="T251" s="198"/>
      <c r="U251" s="197"/>
      <c r="V251" s="197"/>
      <c r="W251" s="197"/>
      <c r="X251" s="197"/>
      <c r="Y251" s="197"/>
      <c r="Z251" s="197"/>
    </row>
    <row r="252" spans="1:26">
      <c r="A252" s="197"/>
      <c r="B252" s="294" t="s">
        <v>287</v>
      </c>
      <c r="C252" s="197"/>
      <c r="D252" s="254">
        <v>660</v>
      </c>
      <c r="E252" s="227"/>
      <c r="F252" s="227"/>
      <c r="G252" s="227"/>
      <c r="H252" s="227"/>
      <c r="I252" s="298" t="e">
        <f t="shared" ref="I252:N252" si="117">(I258+$E252)*$D252/1000</f>
        <v>#VALUE!</v>
      </c>
      <c r="J252" s="298" t="e">
        <f t="shared" si="117"/>
        <v>#VALUE!</v>
      </c>
      <c r="K252" s="298" t="e">
        <f t="shared" si="117"/>
        <v>#VALUE!</v>
      </c>
      <c r="L252" s="298" t="e">
        <f t="shared" si="117"/>
        <v>#VALUE!</v>
      </c>
      <c r="M252" s="298" t="e">
        <f t="shared" si="117"/>
        <v>#VALUE!</v>
      </c>
      <c r="N252" s="298" t="e">
        <f t="shared" si="117"/>
        <v>#VALUE!</v>
      </c>
      <c r="O252" s="197"/>
      <c r="P252" s="197"/>
      <c r="Q252" s="197"/>
      <c r="R252" s="197"/>
      <c r="S252" s="197"/>
      <c r="T252" s="198"/>
      <c r="U252" s="197"/>
      <c r="V252" s="197"/>
      <c r="W252" s="197"/>
      <c r="X252" s="197"/>
      <c r="Y252" s="197"/>
      <c r="Z252" s="197"/>
    </row>
    <row r="253" spans="1:26">
      <c r="A253" s="197"/>
      <c r="B253" s="294" t="s">
        <v>427</v>
      </c>
      <c r="C253" s="197"/>
      <c r="D253" s="254">
        <v>262</v>
      </c>
      <c r="E253" s="227"/>
      <c r="F253" s="227"/>
      <c r="G253" s="227"/>
      <c r="H253" s="227"/>
      <c r="I253" s="254">
        <f t="shared" ref="I253:N253" si="118">(I261+$E253)*$D253*I$262</f>
        <v>504.87400000000002</v>
      </c>
      <c r="J253" s="254" t="e">
        <f t="shared" si="118"/>
        <v>#VALUE!</v>
      </c>
      <c r="K253" s="254" t="e">
        <f t="shared" si="118"/>
        <v>#VALUE!</v>
      </c>
      <c r="L253" s="254" t="e">
        <f t="shared" si="118"/>
        <v>#VALUE!</v>
      </c>
      <c r="M253" s="254" t="e">
        <f t="shared" si="118"/>
        <v>#VALUE!</v>
      </c>
      <c r="N253" s="254" t="e">
        <f t="shared" si="118"/>
        <v>#VALUE!</v>
      </c>
      <c r="O253" s="197"/>
      <c r="P253" s="197"/>
      <c r="Q253" s="197"/>
      <c r="R253" s="197"/>
      <c r="S253" s="197"/>
      <c r="T253" s="198"/>
      <c r="U253" s="197"/>
      <c r="V253" s="197"/>
      <c r="W253" s="197"/>
      <c r="X253" s="197"/>
      <c r="Y253" s="197"/>
      <c r="Z253" s="197"/>
    </row>
    <row r="254" spans="1:26">
      <c r="A254" s="197"/>
      <c r="B254" s="227"/>
      <c r="C254" s="197"/>
      <c r="D254" s="227"/>
      <c r="E254" s="227"/>
      <c r="F254" s="227"/>
      <c r="G254" s="227"/>
      <c r="H254" s="227"/>
      <c r="I254" s="227"/>
      <c r="J254" s="227"/>
      <c r="K254" s="197"/>
      <c r="L254" s="227"/>
      <c r="M254" s="227"/>
      <c r="N254" s="227"/>
      <c r="O254" s="197"/>
      <c r="P254" s="197"/>
      <c r="Q254" s="197"/>
      <c r="R254" s="197"/>
      <c r="S254" s="197"/>
      <c r="T254" s="198"/>
      <c r="U254" s="197"/>
      <c r="V254" s="197"/>
      <c r="W254" s="197"/>
      <c r="X254" s="197"/>
      <c r="Y254" s="197"/>
      <c r="Z254" s="197"/>
    </row>
    <row r="255" spans="1:26">
      <c r="A255" s="197"/>
      <c r="B255" s="253" t="s">
        <v>428</v>
      </c>
      <c r="C255" s="197"/>
      <c r="D255" s="227"/>
      <c r="E255" s="254">
        <v>-5</v>
      </c>
      <c r="F255" s="227"/>
      <c r="G255" s="227"/>
      <c r="H255" s="254">
        <v>50</v>
      </c>
      <c r="I255" s="281">
        <f t="shared" ref="I255:N255" si="119">I229+$E255</f>
        <v>95</v>
      </c>
      <c r="J255" s="281">
        <f t="shared" si="119"/>
        <v>93</v>
      </c>
      <c r="K255" s="281">
        <f t="shared" si="119"/>
        <v>75</v>
      </c>
      <c r="L255" s="281">
        <f t="shared" si="119"/>
        <v>60</v>
      </c>
      <c r="M255" s="281">
        <f t="shared" si="119"/>
        <v>60</v>
      </c>
      <c r="N255" s="281">
        <f t="shared" si="119"/>
        <v>60</v>
      </c>
      <c r="O255" s="197"/>
      <c r="P255" s="197"/>
      <c r="Q255" s="197"/>
      <c r="R255" s="197"/>
      <c r="S255" s="197"/>
      <c r="T255" s="198"/>
      <c r="U255" s="197"/>
      <c r="V255" s="197"/>
      <c r="W255" s="197"/>
      <c r="X255" s="197"/>
      <c r="Y255" s="197"/>
      <c r="Z255" s="197"/>
    </row>
    <row r="256" spans="1:26">
      <c r="A256" s="197"/>
      <c r="B256" s="253" t="s">
        <v>429</v>
      </c>
      <c r="C256" s="197"/>
      <c r="D256" s="227"/>
      <c r="E256" s="254">
        <v>-5</v>
      </c>
      <c r="F256" s="227"/>
      <c r="G256" s="227"/>
      <c r="H256" s="254">
        <v>160</v>
      </c>
      <c r="I256" s="281">
        <f t="shared" ref="I256:N256" si="120">I230+$E256</f>
        <v>245</v>
      </c>
      <c r="J256" s="281">
        <f t="shared" si="120"/>
        <v>215</v>
      </c>
      <c r="K256" s="281">
        <f t="shared" si="120"/>
        <v>195</v>
      </c>
      <c r="L256" s="281">
        <f t="shared" si="120"/>
        <v>175</v>
      </c>
      <c r="M256" s="281">
        <f t="shared" si="120"/>
        <v>175</v>
      </c>
      <c r="N256" s="281">
        <f t="shared" si="120"/>
        <v>175</v>
      </c>
      <c r="O256" s="197"/>
      <c r="P256" s="197"/>
      <c r="Q256" s="197"/>
      <c r="R256" s="197"/>
      <c r="S256" s="197"/>
      <c r="T256" s="198"/>
      <c r="U256" s="197"/>
      <c r="V256" s="197"/>
      <c r="W256" s="197"/>
      <c r="X256" s="197"/>
      <c r="Y256" s="197"/>
      <c r="Z256" s="197"/>
    </row>
    <row r="257" spans="1:26">
      <c r="A257" s="197"/>
      <c r="B257" s="253" t="s">
        <v>430</v>
      </c>
      <c r="C257" s="197"/>
      <c r="D257" s="227"/>
      <c r="E257" s="227"/>
      <c r="F257" s="227"/>
      <c r="G257" s="227"/>
      <c r="H257" s="254">
        <v>220</v>
      </c>
      <c r="I257" s="281">
        <f t="shared" ref="I257:N257" si="121">I231+$E257</f>
        <v>395</v>
      </c>
      <c r="J257" s="281">
        <f t="shared" si="121"/>
        <v>370</v>
      </c>
      <c r="K257" s="281">
        <f t="shared" si="121"/>
        <v>350</v>
      </c>
      <c r="L257" s="281">
        <f t="shared" si="121"/>
        <v>350</v>
      </c>
      <c r="M257" s="281">
        <f t="shared" si="121"/>
        <v>350</v>
      </c>
      <c r="N257" s="281">
        <f t="shared" si="121"/>
        <v>350</v>
      </c>
      <c r="O257" s="197"/>
      <c r="P257" s="197"/>
      <c r="Q257" s="197"/>
      <c r="R257" s="197"/>
      <c r="S257" s="197"/>
      <c r="T257" s="198"/>
      <c r="U257" s="197"/>
      <c r="V257" s="197"/>
      <c r="W257" s="197"/>
      <c r="X257" s="197"/>
      <c r="Y257" s="197"/>
      <c r="Z257" s="197"/>
    </row>
    <row r="258" spans="1:26">
      <c r="A258" s="197"/>
      <c r="B258" s="253" t="s">
        <v>431</v>
      </c>
      <c r="C258" s="197"/>
      <c r="D258" s="227"/>
      <c r="E258" s="227"/>
      <c r="F258" s="227"/>
      <c r="G258" s="227"/>
      <c r="H258" s="298" t="e">
        <f t="shared" ref="H258:N258" si="122">(H259*$D259+H260*$D260)/($D259+$D260)</f>
        <v>#VALUE!</v>
      </c>
      <c r="I258" s="298" t="e">
        <f t="shared" si="122"/>
        <v>#VALUE!</v>
      </c>
      <c r="J258" s="298" t="e">
        <f t="shared" si="122"/>
        <v>#VALUE!</v>
      </c>
      <c r="K258" s="298" t="e">
        <f t="shared" si="122"/>
        <v>#VALUE!</v>
      </c>
      <c r="L258" s="298" t="e">
        <f t="shared" si="122"/>
        <v>#VALUE!</v>
      </c>
      <c r="M258" s="298" t="e">
        <f t="shared" si="122"/>
        <v>#VALUE!</v>
      </c>
      <c r="N258" s="298" t="e">
        <f t="shared" si="122"/>
        <v>#VALUE!</v>
      </c>
      <c r="O258" s="197"/>
      <c r="P258" s="197"/>
      <c r="Q258" s="197"/>
      <c r="R258" s="197"/>
      <c r="S258" s="197"/>
      <c r="T258" s="198"/>
      <c r="U258" s="197"/>
      <c r="V258" s="197"/>
      <c r="W258" s="197"/>
      <c r="X258" s="197"/>
      <c r="Y258" s="197"/>
      <c r="Z258" s="197"/>
    </row>
    <row r="259" spans="1:26">
      <c r="A259" s="197"/>
      <c r="B259" s="253" t="s">
        <v>432</v>
      </c>
      <c r="C259" s="197"/>
      <c r="D259" s="254" t="e">
        <f>D252-D260</f>
        <v>#VALUE!</v>
      </c>
      <c r="E259" s="227"/>
      <c r="F259" s="227"/>
      <c r="G259" s="227"/>
      <c r="H259" s="254">
        <f t="shared" ref="H259:R259" si="123">H233</f>
        <v>1128.5</v>
      </c>
      <c r="I259" s="254" t="str">
        <f t="shared" si="123"/>
        <v>#ERROR!</v>
      </c>
      <c r="J259" s="254" t="str">
        <f t="shared" si="123"/>
        <v>#ERROR!</v>
      </c>
      <c r="K259" s="254" t="str">
        <f t="shared" si="123"/>
        <v>#ERROR!</v>
      </c>
      <c r="L259" s="254" t="str">
        <f t="shared" si="123"/>
        <v>#ERROR!</v>
      </c>
      <c r="M259" s="254" t="str">
        <f t="shared" si="123"/>
        <v>#ERROR!</v>
      </c>
      <c r="N259" s="254" t="str">
        <f t="shared" si="123"/>
        <v>#ERROR!</v>
      </c>
      <c r="O259" s="227">
        <f t="shared" si="123"/>
        <v>0</v>
      </c>
      <c r="P259" s="227">
        <f t="shared" si="123"/>
        <v>0</v>
      </c>
      <c r="Q259" s="227">
        <f t="shared" si="123"/>
        <v>0</v>
      </c>
      <c r="R259" s="227">
        <f t="shared" si="123"/>
        <v>0</v>
      </c>
      <c r="S259" s="197"/>
      <c r="T259" s="198"/>
      <c r="U259" s="197"/>
      <c r="V259" s="197"/>
      <c r="W259" s="197"/>
      <c r="X259" s="197"/>
      <c r="Y259" s="197"/>
      <c r="Z259" s="197"/>
    </row>
    <row r="260" spans="1:26">
      <c r="A260" s="197"/>
      <c r="B260" s="253" t="s">
        <v>433</v>
      </c>
      <c r="C260" s="197"/>
      <c r="D260" s="254" t="s">
        <v>541</v>
      </c>
      <c r="E260" s="227"/>
      <c r="F260" s="227"/>
      <c r="G260" s="227"/>
      <c r="H260" s="254">
        <f t="shared" ref="H260:R260" si="124">H234</f>
        <v>677</v>
      </c>
      <c r="I260" s="254">
        <f t="shared" si="124"/>
        <v>677</v>
      </c>
      <c r="J260" s="254">
        <f t="shared" si="124"/>
        <v>677</v>
      </c>
      <c r="K260" s="254">
        <f t="shared" si="124"/>
        <v>677</v>
      </c>
      <c r="L260" s="254">
        <f t="shared" si="124"/>
        <v>677</v>
      </c>
      <c r="M260" s="254">
        <f t="shared" si="124"/>
        <v>677</v>
      </c>
      <c r="N260" s="254">
        <f t="shared" si="124"/>
        <v>677</v>
      </c>
      <c r="O260" s="227">
        <f t="shared" si="124"/>
        <v>0</v>
      </c>
      <c r="P260" s="227">
        <f t="shared" si="124"/>
        <v>0</v>
      </c>
      <c r="Q260" s="227">
        <f t="shared" si="124"/>
        <v>0</v>
      </c>
      <c r="R260" s="227">
        <f t="shared" si="124"/>
        <v>0</v>
      </c>
      <c r="S260" s="197"/>
      <c r="T260" s="198"/>
      <c r="U260" s="197"/>
      <c r="V260" s="197"/>
      <c r="W260" s="197"/>
      <c r="X260" s="197"/>
      <c r="Y260" s="197"/>
      <c r="Z260" s="197"/>
    </row>
    <row r="261" spans="1:26">
      <c r="A261" s="197"/>
      <c r="B261" s="253" t="s">
        <v>434</v>
      </c>
      <c r="C261" s="197"/>
      <c r="D261" s="227"/>
      <c r="E261" s="227"/>
      <c r="F261" s="227"/>
      <c r="G261" s="227"/>
      <c r="H261" s="302">
        <f t="shared" ref="H261:N261" si="125">H235</f>
        <v>7.0000000000000007E-2</v>
      </c>
      <c r="I261" s="302">
        <f t="shared" si="125"/>
        <v>8.2000000000000003E-2</v>
      </c>
      <c r="J261" s="302">
        <f t="shared" si="125"/>
        <v>8.2000000000000003E-2</v>
      </c>
      <c r="K261" s="302">
        <f t="shared" si="125"/>
        <v>8.3000000000000004E-2</v>
      </c>
      <c r="L261" s="302">
        <f t="shared" si="125"/>
        <v>8.3000000000000004E-2</v>
      </c>
      <c r="M261" s="302">
        <f t="shared" si="125"/>
        <v>8.3500000000000005E-2</v>
      </c>
      <c r="N261" s="302">
        <f t="shared" si="125"/>
        <v>8.3900000000000002E-2</v>
      </c>
      <c r="O261" s="197"/>
      <c r="P261" s="197"/>
      <c r="Q261" s="197"/>
      <c r="R261" s="197"/>
      <c r="S261" s="197"/>
      <c r="T261" s="198"/>
      <c r="U261" s="197"/>
      <c r="V261" s="197"/>
      <c r="W261" s="197"/>
      <c r="X261" s="197"/>
      <c r="Y261" s="197"/>
      <c r="Z261" s="197"/>
    </row>
    <row r="262" spans="1:26">
      <c r="A262" s="197"/>
      <c r="B262" s="299" t="s">
        <v>435</v>
      </c>
      <c r="C262" s="197"/>
      <c r="D262" s="227"/>
      <c r="E262" s="227"/>
      <c r="F262" s="227"/>
      <c r="G262" s="227"/>
      <c r="H262" s="260">
        <f t="shared" ref="H262:N262" si="126">H236</f>
        <v>22.2</v>
      </c>
      <c r="I262" s="260">
        <f t="shared" si="126"/>
        <v>23.5</v>
      </c>
      <c r="J262" s="260" t="str">
        <f t="shared" si="126"/>
        <v>#ERROR!</v>
      </c>
      <c r="K262" s="260" t="str">
        <f t="shared" si="126"/>
        <v>#ERROR!</v>
      </c>
      <c r="L262" s="260" t="str">
        <f t="shared" si="126"/>
        <v>#ERROR!</v>
      </c>
      <c r="M262" s="260" t="str">
        <f t="shared" si="126"/>
        <v>#ERROR!</v>
      </c>
      <c r="N262" s="260" t="str">
        <f t="shared" si="126"/>
        <v>#ERROR!</v>
      </c>
      <c r="O262" s="197"/>
      <c r="P262" s="197"/>
      <c r="Q262" s="197"/>
      <c r="R262" s="197"/>
      <c r="S262" s="197"/>
      <c r="T262" s="198"/>
      <c r="U262" s="197"/>
      <c r="V262" s="197"/>
      <c r="W262" s="197"/>
      <c r="X262" s="197"/>
      <c r="Y262" s="197"/>
      <c r="Z262" s="197"/>
    </row>
    <row r="263" spans="1:26">
      <c r="A263" s="197"/>
      <c r="B263" s="227"/>
      <c r="C263" s="197"/>
      <c r="D263" s="227"/>
      <c r="E263" s="227"/>
      <c r="F263" s="227"/>
      <c r="G263" s="227"/>
      <c r="H263" s="227"/>
      <c r="I263" s="227"/>
      <c r="J263" s="227"/>
      <c r="K263" s="197"/>
      <c r="L263" s="227"/>
      <c r="M263" s="227"/>
      <c r="N263" s="227"/>
      <c r="O263" s="197"/>
      <c r="P263" s="197"/>
      <c r="Q263" s="197"/>
      <c r="R263" s="197"/>
      <c r="S263" s="197"/>
      <c r="T263" s="198"/>
      <c r="U263" s="197"/>
      <c r="V263" s="197"/>
      <c r="W263" s="197"/>
      <c r="X263" s="197"/>
      <c r="Y263" s="197"/>
      <c r="Z263" s="197"/>
    </row>
    <row r="264" spans="1:26">
      <c r="A264" s="197"/>
      <c r="B264" s="227"/>
      <c r="C264" s="197"/>
      <c r="D264" s="227"/>
      <c r="E264" s="227"/>
      <c r="F264" s="227"/>
      <c r="G264" s="227"/>
      <c r="H264" s="227"/>
      <c r="I264" s="227"/>
      <c r="J264" s="227"/>
      <c r="K264" s="197"/>
      <c r="L264" s="227"/>
      <c r="M264" s="227"/>
      <c r="N264" s="227"/>
      <c r="O264" s="197"/>
      <c r="P264" s="197"/>
      <c r="Q264" s="197"/>
      <c r="R264" s="197"/>
      <c r="S264" s="197"/>
      <c r="T264" s="198"/>
      <c r="U264" s="197"/>
      <c r="V264" s="197"/>
      <c r="W264" s="197"/>
      <c r="X264" s="197"/>
      <c r="Y264" s="197"/>
      <c r="Z264" s="197"/>
    </row>
    <row r="265" spans="1:26">
      <c r="A265" s="197"/>
      <c r="B265" s="211" t="s">
        <v>395</v>
      </c>
      <c r="C265" s="197"/>
      <c r="D265" s="227"/>
      <c r="E265" s="227"/>
      <c r="F265" s="227"/>
      <c r="G265" s="227"/>
      <c r="H265" s="258" t="e">
        <f t="shared" ref="H265:N265" si="127">H266+H281+H291</f>
        <v>#VALUE!</v>
      </c>
      <c r="I265" s="303" t="e">
        <f t="shared" ca="1" si="127"/>
        <v>#VALUE!</v>
      </c>
      <c r="J265" s="303" t="e">
        <f t="shared" ca="1" si="127"/>
        <v>#VALUE!</v>
      </c>
      <c r="K265" s="303" t="e">
        <f t="shared" ca="1" si="127"/>
        <v>#VALUE!</v>
      </c>
      <c r="L265" s="303" t="e">
        <f t="shared" ca="1" si="127"/>
        <v>#VALUE!</v>
      </c>
      <c r="M265" s="303" t="e">
        <f t="shared" ca="1" si="127"/>
        <v>#VALUE!</v>
      </c>
      <c r="N265" s="303" t="e">
        <f t="shared" ca="1" si="127"/>
        <v>#VALUE!</v>
      </c>
      <c r="O265" s="197"/>
      <c r="P265" s="197"/>
      <c r="Q265" s="197"/>
      <c r="R265" s="197"/>
      <c r="S265" s="197"/>
      <c r="T265" s="198"/>
      <c r="U265" s="197"/>
      <c r="V265" s="197"/>
      <c r="W265" s="197"/>
      <c r="X265" s="197"/>
      <c r="Y265" s="197"/>
      <c r="Z265" s="197"/>
    </row>
    <row r="266" spans="1:26">
      <c r="A266" s="197"/>
      <c r="B266" s="304" t="s">
        <v>443</v>
      </c>
      <c r="C266" s="197"/>
      <c r="D266" s="227"/>
      <c r="E266" s="227"/>
      <c r="F266" s="227"/>
      <c r="G266" s="254">
        <v>872000</v>
      </c>
      <c r="H266" s="258">
        <f>1137035*4154/12886</f>
        <v>366540.69455222721</v>
      </c>
      <c r="I266" s="305" t="e">
        <f t="shared" ref="I266:N266" ca="1" si="128">I267*I271</f>
        <v>#VALUE!</v>
      </c>
      <c r="J266" s="305" t="e">
        <f t="shared" ca="1" si="128"/>
        <v>#VALUE!</v>
      </c>
      <c r="K266" s="305" t="e">
        <f t="shared" ca="1" si="128"/>
        <v>#VALUE!</v>
      </c>
      <c r="L266" s="305" t="e">
        <f t="shared" ca="1" si="128"/>
        <v>#VALUE!</v>
      </c>
      <c r="M266" s="305" t="e">
        <f t="shared" ca="1" si="128"/>
        <v>#VALUE!</v>
      </c>
      <c r="N266" s="305" t="e">
        <f t="shared" ca="1" si="128"/>
        <v>#VALUE!</v>
      </c>
      <c r="O266" s="197"/>
      <c r="P266" s="197"/>
      <c r="Q266" s="197"/>
      <c r="R266" s="197"/>
      <c r="S266" s="197"/>
      <c r="T266" s="198"/>
      <c r="U266" s="197"/>
      <c r="V266" s="197"/>
      <c r="W266" s="197"/>
      <c r="X266" s="197"/>
      <c r="Y266" s="197"/>
      <c r="Z266" s="197"/>
    </row>
    <row r="267" spans="1:26">
      <c r="A267" s="197"/>
      <c r="B267" s="259" t="s">
        <v>444</v>
      </c>
      <c r="C267" s="197"/>
      <c r="D267" s="227"/>
      <c r="E267" s="227"/>
      <c r="F267" s="227"/>
      <c r="G267" s="227"/>
      <c r="H267" s="296">
        <f>H266/4154</f>
        <v>88.238010243675305</v>
      </c>
      <c r="I267" s="298">
        <f t="shared" ref="I267:N267" si="129">H267*(1+I268)</f>
        <v>90.002770448548816</v>
      </c>
      <c r="J267" s="298">
        <f t="shared" si="129"/>
        <v>91.802825857519792</v>
      </c>
      <c r="K267" s="298">
        <f t="shared" si="129"/>
        <v>93.638882374670189</v>
      </c>
      <c r="L267" s="298">
        <f t="shared" si="129"/>
        <v>95.511660022163596</v>
      </c>
      <c r="M267" s="298">
        <f t="shared" si="129"/>
        <v>97.421893222606869</v>
      </c>
      <c r="N267" s="298">
        <f t="shared" si="129"/>
        <v>99.370331087059014</v>
      </c>
      <c r="O267" s="197"/>
      <c r="P267" s="197"/>
      <c r="Q267" s="197"/>
      <c r="R267" s="197"/>
      <c r="S267" s="197"/>
      <c r="T267" s="198"/>
      <c r="U267" s="197"/>
      <c r="V267" s="197"/>
      <c r="W267" s="197"/>
      <c r="X267" s="197"/>
      <c r="Y267" s="197"/>
      <c r="Z267" s="197"/>
    </row>
    <row r="268" spans="1:26">
      <c r="A268" s="197"/>
      <c r="B268" s="259" t="s">
        <v>445</v>
      </c>
      <c r="C268" s="197"/>
      <c r="D268" s="227"/>
      <c r="E268" s="227"/>
      <c r="F268" s="227"/>
      <c r="G268" s="227"/>
      <c r="H268" s="227"/>
      <c r="I268" s="283">
        <v>0.02</v>
      </c>
      <c r="J268" s="283">
        <v>0.02</v>
      </c>
      <c r="K268" s="283">
        <v>0.02</v>
      </c>
      <c r="L268" s="283">
        <v>0.02</v>
      </c>
      <c r="M268" s="283">
        <v>0.02</v>
      </c>
      <c r="N268" s="283">
        <v>0.02</v>
      </c>
      <c r="O268" s="197"/>
      <c r="P268" s="197"/>
      <c r="Q268" s="197"/>
      <c r="R268" s="197"/>
      <c r="S268" s="197"/>
      <c r="T268" s="198"/>
      <c r="U268" s="197"/>
      <c r="V268" s="197"/>
      <c r="W268" s="197"/>
      <c r="X268" s="197"/>
      <c r="Y268" s="197"/>
      <c r="Z268" s="197"/>
    </row>
    <row r="269" spans="1:26">
      <c r="A269" s="197"/>
      <c r="B269" s="197"/>
      <c r="C269" s="197"/>
      <c r="D269" s="197"/>
      <c r="E269" s="197"/>
      <c r="F269" s="197"/>
      <c r="G269" s="197"/>
      <c r="H269" s="197"/>
      <c r="I269" s="197"/>
      <c r="J269" s="197"/>
      <c r="K269" s="197"/>
      <c r="L269" s="197"/>
      <c r="M269" s="197"/>
      <c r="N269" s="197"/>
      <c r="O269" s="197"/>
      <c r="P269" s="197"/>
      <c r="Q269" s="197"/>
      <c r="R269" s="197"/>
      <c r="S269" s="197"/>
      <c r="T269" s="198"/>
      <c r="U269" s="197"/>
      <c r="V269" s="197"/>
      <c r="W269" s="197"/>
      <c r="X269" s="197"/>
      <c r="Y269" s="197"/>
      <c r="Z269" s="197"/>
    </row>
    <row r="270" spans="1:26">
      <c r="A270" s="197"/>
      <c r="B270" s="259" t="s">
        <v>446</v>
      </c>
      <c r="C270" s="197"/>
      <c r="D270" s="227"/>
      <c r="E270" s="227"/>
      <c r="F270" s="227"/>
      <c r="G270" s="227"/>
      <c r="H270" s="197"/>
      <c r="I270" s="197"/>
      <c r="J270" s="197"/>
      <c r="K270" s="197"/>
      <c r="L270" s="197"/>
      <c r="M270" s="197"/>
      <c r="N270" s="197"/>
      <c r="O270" s="197"/>
      <c r="P270" s="197"/>
      <c r="Q270" s="197"/>
      <c r="R270" s="197"/>
      <c r="S270" s="197"/>
      <c r="T270" s="198"/>
      <c r="U270" s="197"/>
      <c r="V270" s="197"/>
      <c r="W270" s="197"/>
      <c r="X270" s="197"/>
      <c r="Y270" s="197"/>
      <c r="Z270" s="197"/>
    </row>
    <row r="271" spans="1:26">
      <c r="A271" s="197"/>
      <c r="B271" s="259" t="s">
        <v>447</v>
      </c>
      <c r="C271" s="197"/>
      <c r="D271" s="306" t="e">
        <f ca="1">I271/I109</f>
        <v>#VALUE!</v>
      </c>
      <c r="E271" s="227"/>
      <c r="F271" s="227"/>
      <c r="G271" s="227"/>
      <c r="H271" s="254">
        <v>4154</v>
      </c>
      <c r="I271" s="291" t="e">
        <f t="shared" ref="I271:N271" ca="1" si="130">$D$271*I109</f>
        <v>#VALUE!</v>
      </c>
      <c r="J271" s="291" t="e">
        <f t="shared" ca="1" si="130"/>
        <v>#VALUE!</v>
      </c>
      <c r="K271" s="291" t="e">
        <f t="shared" ca="1" si="130"/>
        <v>#VALUE!</v>
      </c>
      <c r="L271" s="291" t="e">
        <f t="shared" ca="1" si="130"/>
        <v>#VALUE!</v>
      </c>
      <c r="M271" s="291" t="e">
        <f t="shared" ca="1" si="130"/>
        <v>#VALUE!</v>
      </c>
      <c r="N271" s="291" t="e">
        <f t="shared" ca="1" si="130"/>
        <v>#VALUE!</v>
      </c>
      <c r="O271" s="197"/>
      <c r="P271" s="197"/>
      <c r="Q271" s="197"/>
      <c r="R271" s="197"/>
      <c r="S271" s="197"/>
      <c r="T271" s="198"/>
      <c r="U271" s="197"/>
      <c r="V271" s="197"/>
      <c r="W271" s="197"/>
      <c r="X271" s="197"/>
      <c r="Y271" s="197"/>
      <c r="Z271" s="197"/>
    </row>
    <row r="272" spans="1:26">
      <c r="A272" s="197"/>
      <c r="B272" s="197"/>
      <c r="C272" s="197"/>
      <c r="D272" s="307"/>
      <c r="E272" s="227"/>
      <c r="F272" s="227"/>
      <c r="G272" s="227"/>
      <c r="H272" s="197"/>
      <c r="I272" s="197"/>
      <c r="J272" s="308"/>
      <c r="K272" s="308"/>
      <c r="L272" s="308"/>
      <c r="M272" s="308"/>
      <c r="N272" s="308"/>
      <c r="O272" s="197"/>
      <c r="P272" s="197"/>
      <c r="Q272" s="197"/>
      <c r="R272" s="197"/>
      <c r="S272" s="197"/>
      <c r="T272" s="198"/>
      <c r="U272" s="197"/>
      <c r="V272" s="197"/>
      <c r="W272" s="197"/>
      <c r="X272" s="197"/>
      <c r="Y272" s="197"/>
      <c r="Z272" s="197"/>
    </row>
    <row r="273" spans="1:26">
      <c r="A273" s="197"/>
      <c r="B273" s="304" t="s">
        <v>448</v>
      </c>
      <c r="C273" s="197"/>
      <c r="D273" s="227"/>
      <c r="E273" s="227"/>
      <c r="F273" s="227"/>
      <c r="G273" s="227"/>
      <c r="H273" s="227"/>
      <c r="I273" s="227"/>
      <c r="J273" s="227"/>
      <c r="K273" s="227"/>
      <c r="L273" s="227"/>
      <c r="M273" s="227"/>
      <c r="N273" s="227"/>
      <c r="O273" s="197"/>
      <c r="P273" s="197"/>
      <c r="Q273" s="197"/>
      <c r="R273" s="197"/>
      <c r="S273" s="197"/>
      <c r="T273" s="198"/>
      <c r="U273" s="197"/>
      <c r="V273" s="197"/>
      <c r="W273" s="197"/>
      <c r="X273" s="197"/>
      <c r="Y273" s="197"/>
      <c r="Z273" s="197"/>
    </row>
    <row r="274" spans="1:26">
      <c r="A274" s="197"/>
      <c r="B274" s="304" t="s">
        <v>449</v>
      </c>
      <c r="C274" s="197"/>
      <c r="D274" s="227"/>
      <c r="E274" s="227"/>
      <c r="F274" s="227"/>
      <c r="G274" s="227"/>
      <c r="H274" s="258">
        <f t="shared" ref="H274:N274" si="131">SUM(H275:H278)</f>
        <v>12000000</v>
      </c>
      <c r="I274" s="258">
        <f t="shared" si="131"/>
        <v>12000000</v>
      </c>
      <c r="J274" s="258">
        <f t="shared" si="131"/>
        <v>12000000</v>
      </c>
      <c r="K274" s="258">
        <f t="shared" si="131"/>
        <v>12000000</v>
      </c>
      <c r="L274" s="258">
        <f t="shared" si="131"/>
        <v>12000000</v>
      </c>
      <c r="M274" s="258">
        <f t="shared" si="131"/>
        <v>12000000</v>
      </c>
      <c r="N274" s="258">
        <f t="shared" si="131"/>
        <v>12000000</v>
      </c>
      <c r="O274" s="197"/>
      <c r="P274" s="197"/>
      <c r="Q274" s="197"/>
      <c r="R274" s="197"/>
      <c r="S274" s="197"/>
      <c r="T274" s="198"/>
      <c r="U274" s="197"/>
      <c r="V274" s="197"/>
      <c r="W274" s="197"/>
      <c r="X274" s="197"/>
      <c r="Y274" s="197"/>
      <c r="Z274" s="197"/>
    </row>
    <row r="275" spans="1:26">
      <c r="A275" s="197"/>
      <c r="B275" s="253" t="s">
        <v>450</v>
      </c>
      <c r="C275" s="197"/>
      <c r="D275" s="197"/>
      <c r="E275" s="227"/>
      <c r="F275" s="227"/>
      <c r="G275" s="254">
        <v>2400000</v>
      </c>
      <c r="H275" s="254">
        <f t="shared" ref="H275:N275" si="132">G275</f>
        <v>2400000</v>
      </c>
      <c r="I275" s="254">
        <f t="shared" si="132"/>
        <v>2400000</v>
      </c>
      <c r="J275" s="254">
        <f t="shared" si="132"/>
        <v>2400000</v>
      </c>
      <c r="K275" s="254">
        <f t="shared" si="132"/>
        <v>2400000</v>
      </c>
      <c r="L275" s="254">
        <f t="shared" si="132"/>
        <v>2400000</v>
      </c>
      <c r="M275" s="254">
        <f t="shared" si="132"/>
        <v>2400000</v>
      </c>
      <c r="N275" s="254">
        <f t="shared" si="132"/>
        <v>2400000</v>
      </c>
      <c r="O275" s="197"/>
      <c r="P275" s="197"/>
      <c r="Q275" s="197"/>
      <c r="R275" s="197"/>
      <c r="S275" s="197"/>
      <c r="T275" s="198"/>
      <c r="U275" s="197"/>
      <c r="V275" s="197"/>
      <c r="W275" s="197"/>
      <c r="X275" s="197"/>
      <c r="Y275" s="197"/>
      <c r="Z275" s="197"/>
    </row>
    <row r="276" spans="1:26">
      <c r="A276" s="197"/>
      <c r="B276" s="253" t="s">
        <v>451</v>
      </c>
      <c r="C276" s="197"/>
      <c r="D276" s="197"/>
      <c r="E276" s="227"/>
      <c r="F276" s="227"/>
      <c r="G276" s="254">
        <v>3200000</v>
      </c>
      <c r="H276" s="254">
        <f t="shared" ref="H276:N276" si="133">G276</f>
        <v>3200000</v>
      </c>
      <c r="I276" s="254">
        <f t="shared" si="133"/>
        <v>3200000</v>
      </c>
      <c r="J276" s="254">
        <f t="shared" si="133"/>
        <v>3200000</v>
      </c>
      <c r="K276" s="254">
        <f t="shared" si="133"/>
        <v>3200000</v>
      </c>
      <c r="L276" s="254">
        <f t="shared" si="133"/>
        <v>3200000</v>
      </c>
      <c r="M276" s="254">
        <f t="shared" si="133"/>
        <v>3200000</v>
      </c>
      <c r="N276" s="254">
        <f t="shared" si="133"/>
        <v>3200000</v>
      </c>
      <c r="O276" s="197"/>
      <c r="P276" s="197"/>
      <c r="Q276" s="197"/>
      <c r="R276" s="197"/>
      <c r="S276" s="197"/>
      <c r="T276" s="198"/>
      <c r="U276" s="197"/>
      <c r="V276" s="197"/>
      <c r="W276" s="197"/>
      <c r="X276" s="197"/>
      <c r="Y276" s="197"/>
      <c r="Z276" s="197"/>
    </row>
    <row r="277" spans="1:26">
      <c r="A277" s="197"/>
      <c r="B277" s="253" t="s">
        <v>452</v>
      </c>
      <c r="C277" s="197"/>
      <c r="D277" s="197"/>
      <c r="E277" s="227"/>
      <c r="F277" s="227"/>
      <c r="G277" s="197"/>
      <c r="H277" s="254">
        <v>3800000</v>
      </c>
      <c r="I277" s="254">
        <f t="shared" ref="I277:N277" si="134">H277</f>
        <v>3800000</v>
      </c>
      <c r="J277" s="254">
        <f t="shared" si="134"/>
        <v>3800000</v>
      </c>
      <c r="K277" s="254">
        <f t="shared" si="134"/>
        <v>3800000</v>
      </c>
      <c r="L277" s="254">
        <f t="shared" si="134"/>
        <v>3800000</v>
      </c>
      <c r="M277" s="254">
        <f t="shared" si="134"/>
        <v>3800000</v>
      </c>
      <c r="N277" s="254">
        <f t="shared" si="134"/>
        <v>3800000</v>
      </c>
      <c r="O277" s="197"/>
      <c r="P277" s="197"/>
      <c r="Q277" s="197"/>
      <c r="R277" s="197"/>
      <c r="S277" s="197"/>
      <c r="T277" s="198"/>
      <c r="U277" s="197"/>
      <c r="V277" s="197"/>
      <c r="W277" s="197"/>
      <c r="X277" s="197"/>
      <c r="Y277" s="197"/>
      <c r="Z277" s="197"/>
    </row>
    <row r="278" spans="1:26">
      <c r="A278" s="197"/>
      <c r="B278" s="253" t="s">
        <v>453</v>
      </c>
      <c r="C278" s="197"/>
      <c r="D278" s="197"/>
      <c r="E278" s="227"/>
      <c r="F278" s="227"/>
      <c r="G278" s="254">
        <v>2600000</v>
      </c>
      <c r="H278" s="254">
        <f t="shared" ref="H278:N278" si="135">G278</f>
        <v>2600000</v>
      </c>
      <c r="I278" s="254">
        <f t="shared" si="135"/>
        <v>2600000</v>
      </c>
      <c r="J278" s="254">
        <f t="shared" si="135"/>
        <v>2600000</v>
      </c>
      <c r="K278" s="254">
        <f t="shared" si="135"/>
        <v>2600000</v>
      </c>
      <c r="L278" s="254">
        <f t="shared" si="135"/>
        <v>2600000</v>
      </c>
      <c r="M278" s="254">
        <f t="shared" si="135"/>
        <v>2600000</v>
      </c>
      <c r="N278" s="254">
        <f t="shared" si="135"/>
        <v>2600000</v>
      </c>
      <c r="O278" s="197"/>
      <c r="P278" s="197"/>
      <c r="Q278" s="197"/>
      <c r="R278" s="197"/>
      <c r="S278" s="197"/>
      <c r="T278" s="198"/>
      <c r="U278" s="197"/>
      <c r="V278" s="197"/>
      <c r="W278" s="197"/>
      <c r="X278" s="197"/>
      <c r="Y278" s="197"/>
      <c r="Z278" s="197"/>
    </row>
    <row r="279" spans="1:26">
      <c r="A279" s="197"/>
      <c r="B279" s="253" t="s">
        <v>332</v>
      </c>
      <c r="C279" s="197"/>
      <c r="D279" s="197"/>
      <c r="E279" s="227"/>
      <c r="F279" s="227"/>
      <c r="G279" s="227"/>
      <c r="H279" s="197"/>
      <c r="I279" s="254">
        <v>300000</v>
      </c>
      <c r="J279" s="254">
        <v>20000000</v>
      </c>
      <c r="K279" s="254">
        <v>20000000</v>
      </c>
      <c r="L279" s="254">
        <v>20000000</v>
      </c>
      <c r="M279" s="254">
        <v>20000000</v>
      </c>
      <c r="N279" s="254">
        <v>20000000</v>
      </c>
      <c r="O279" s="197"/>
      <c r="P279" s="197"/>
      <c r="Q279" s="197"/>
      <c r="R279" s="197"/>
      <c r="S279" s="197"/>
      <c r="T279" s="263" t="s">
        <v>454</v>
      </c>
      <c r="U279" s="197"/>
      <c r="V279" s="197"/>
      <c r="W279" s="197"/>
      <c r="X279" s="197"/>
      <c r="Y279" s="197"/>
      <c r="Z279" s="197"/>
    </row>
    <row r="280" spans="1:26">
      <c r="A280" s="197"/>
      <c r="B280" s="253" t="s">
        <v>333</v>
      </c>
      <c r="C280" s="197"/>
      <c r="D280" s="197"/>
      <c r="E280" s="227"/>
      <c r="F280" s="227"/>
      <c r="G280" s="227"/>
      <c r="H280" s="197"/>
      <c r="I280" s="227"/>
      <c r="J280" s="254">
        <v>20000000</v>
      </c>
      <c r="K280" s="254">
        <v>20000000</v>
      </c>
      <c r="L280" s="254">
        <v>20000000</v>
      </c>
      <c r="M280" s="254">
        <v>20000000</v>
      </c>
      <c r="N280" s="254">
        <v>20000000</v>
      </c>
      <c r="O280" s="197"/>
      <c r="P280" s="197"/>
      <c r="Q280" s="197"/>
      <c r="R280" s="197"/>
      <c r="S280" s="197"/>
      <c r="T280" s="198"/>
      <c r="U280" s="197"/>
      <c r="V280" s="197"/>
      <c r="W280" s="197"/>
      <c r="X280" s="197"/>
      <c r="Y280" s="197"/>
      <c r="Z280" s="197"/>
    </row>
    <row r="281" spans="1:26">
      <c r="A281" s="197"/>
      <c r="B281" s="304" t="s">
        <v>455</v>
      </c>
      <c r="C281" s="197"/>
      <c r="D281" s="197"/>
      <c r="E281" s="227"/>
      <c r="F281" s="227"/>
      <c r="G281" s="258">
        <v>750000</v>
      </c>
      <c r="H281" s="258">
        <f>H283+H284</f>
        <v>669090.90909090894</v>
      </c>
      <c r="I281" s="258">
        <f t="shared" ref="I281:N281" si="136">SUM(I283:I286)</f>
        <v>770454.54545454541</v>
      </c>
      <c r="J281" s="258">
        <f t="shared" si="136"/>
        <v>2705454.5454545454</v>
      </c>
      <c r="K281" s="258">
        <f t="shared" si="136"/>
        <v>4755454.5454545449</v>
      </c>
      <c r="L281" s="258">
        <f t="shared" si="136"/>
        <v>4755454.5454545449</v>
      </c>
      <c r="M281" s="258">
        <f t="shared" si="136"/>
        <v>4755454.5454545449</v>
      </c>
      <c r="N281" s="258">
        <f t="shared" si="136"/>
        <v>4755454.5454545449</v>
      </c>
      <c r="O281" s="197"/>
      <c r="P281" s="197"/>
      <c r="Q281" s="197"/>
      <c r="R281" s="197"/>
      <c r="S281" s="197"/>
      <c r="T281" s="198"/>
      <c r="U281" s="197"/>
      <c r="V281" s="197"/>
      <c r="W281" s="197"/>
      <c r="X281" s="197"/>
      <c r="Y281" s="197"/>
      <c r="Z281" s="197"/>
    </row>
    <row r="282" spans="1:26">
      <c r="A282" s="197"/>
      <c r="B282" s="309" t="s">
        <v>456</v>
      </c>
      <c r="C282" s="197"/>
      <c r="D282" s="197"/>
      <c r="E282" s="227"/>
      <c r="F282" s="227"/>
      <c r="G282" s="227"/>
      <c r="H282" s="254">
        <f>348000</f>
        <v>348000</v>
      </c>
      <c r="I282" s="227"/>
      <c r="J282" s="227"/>
      <c r="K282" s="227"/>
      <c r="L282" s="227"/>
      <c r="M282" s="227"/>
      <c r="N282" s="227"/>
      <c r="O282" s="197"/>
      <c r="P282" s="197"/>
      <c r="Q282" s="197"/>
      <c r="R282" s="197"/>
      <c r="S282" s="197"/>
      <c r="T282" s="198"/>
      <c r="U282" s="197"/>
      <c r="V282" s="197"/>
      <c r="W282" s="197"/>
      <c r="X282" s="197"/>
      <c r="Y282" s="197"/>
      <c r="Z282" s="197"/>
    </row>
    <row r="283" spans="1:26">
      <c r="A283" s="197"/>
      <c r="B283" s="259" t="s">
        <v>457</v>
      </c>
      <c r="C283" s="197"/>
      <c r="D283" s="197"/>
      <c r="E283" s="227"/>
      <c r="F283" s="227"/>
      <c r="G283" s="254">
        <f>G281</f>
        <v>750000</v>
      </c>
      <c r="H283" s="254">
        <f>(H275+H276+H278)/10/2</f>
        <v>410000</v>
      </c>
      <c r="I283" s="254">
        <f>SUM(H283)</f>
        <v>410000</v>
      </c>
      <c r="J283" s="254">
        <f t="shared" ref="J283:N283" si="137">I283</f>
        <v>410000</v>
      </c>
      <c r="K283" s="254">
        <f t="shared" si="137"/>
        <v>410000</v>
      </c>
      <c r="L283" s="254">
        <f t="shared" si="137"/>
        <v>410000</v>
      </c>
      <c r="M283" s="254">
        <f t="shared" si="137"/>
        <v>410000</v>
      </c>
      <c r="N283" s="254">
        <f t="shared" si="137"/>
        <v>410000</v>
      </c>
      <c r="O283" s="197"/>
      <c r="P283" s="197"/>
      <c r="Q283" s="197"/>
      <c r="R283" s="197"/>
      <c r="S283" s="197"/>
      <c r="T283" s="198"/>
      <c r="U283" s="197"/>
      <c r="V283" s="197"/>
      <c r="W283" s="197"/>
      <c r="X283" s="197"/>
      <c r="Y283" s="197"/>
      <c r="Z283" s="197"/>
    </row>
    <row r="284" spans="1:26">
      <c r="A284" s="197"/>
      <c r="B284" s="259" t="s">
        <v>458</v>
      </c>
      <c r="C284" s="197"/>
      <c r="D284" s="259" t="s">
        <v>459</v>
      </c>
      <c r="E284" s="227"/>
      <c r="F284" s="227"/>
      <c r="G284" s="197"/>
      <c r="H284" s="298">
        <v>259090.909090909</v>
      </c>
      <c r="I284" s="298">
        <f t="shared" ref="I284:N284" si="138">I277/11</f>
        <v>345454.54545454547</v>
      </c>
      <c r="J284" s="298">
        <f t="shared" si="138"/>
        <v>345454.54545454547</v>
      </c>
      <c r="K284" s="298">
        <f t="shared" si="138"/>
        <v>345454.54545454547</v>
      </c>
      <c r="L284" s="298">
        <f t="shared" si="138"/>
        <v>345454.54545454547</v>
      </c>
      <c r="M284" s="298">
        <f t="shared" si="138"/>
        <v>345454.54545454547</v>
      </c>
      <c r="N284" s="298">
        <f t="shared" si="138"/>
        <v>345454.54545454547</v>
      </c>
      <c r="O284" s="197"/>
      <c r="P284" s="197"/>
      <c r="Q284" s="197"/>
      <c r="R284" s="197"/>
      <c r="S284" s="197"/>
      <c r="T284" s="198"/>
      <c r="U284" s="197"/>
      <c r="V284" s="197"/>
      <c r="W284" s="197"/>
      <c r="X284" s="197"/>
      <c r="Y284" s="197"/>
      <c r="Z284" s="197"/>
    </row>
    <row r="285" spans="1:26">
      <c r="A285" s="197"/>
      <c r="B285" s="259" t="s">
        <v>332</v>
      </c>
      <c r="C285" s="197"/>
      <c r="D285" s="197"/>
      <c r="E285" s="227"/>
      <c r="F285" s="227"/>
      <c r="G285" s="197"/>
      <c r="H285" s="308"/>
      <c r="I285" s="298">
        <f t="shared" ref="I285:I286" si="139">I279/$H$183</f>
        <v>15000</v>
      </c>
      <c r="J285" s="298">
        <v>1700000</v>
      </c>
      <c r="K285" s="298">
        <v>2000000</v>
      </c>
      <c r="L285" s="298">
        <v>2000000</v>
      </c>
      <c r="M285" s="298">
        <v>2000000</v>
      </c>
      <c r="N285" s="298">
        <v>2000000</v>
      </c>
      <c r="O285" s="197"/>
      <c r="P285" s="197"/>
      <c r="Q285" s="197"/>
      <c r="R285" s="197"/>
      <c r="S285" s="197"/>
      <c r="T285" s="263" t="s">
        <v>460</v>
      </c>
      <c r="U285" s="197"/>
      <c r="V285" s="197"/>
      <c r="W285" s="197"/>
      <c r="X285" s="197"/>
      <c r="Y285" s="197"/>
      <c r="Z285" s="197"/>
    </row>
    <row r="286" spans="1:26">
      <c r="A286" s="197"/>
      <c r="B286" s="259" t="s">
        <v>333</v>
      </c>
      <c r="C286" s="197"/>
      <c r="D286" s="197"/>
      <c r="E286" s="227"/>
      <c r="F286" s="227"/>
      <c r="G286" s="197"/>
      <c r="H286" s="308"/>
      <c r="I286" s="298">
        <f t="shared" si="139"/>
        <v>0</v>
      </c>
      <c r="J286" s="298">
        <v>250000</v>
      </c>
      <c r="K286" s="298">
        <v>2000000</v>
      </c>
      <c r="L286" s="298">
        <v>2000000</v>
      </c>
      <c r="M286" s="298">
        <v>2000000</v>
      </c>
      <c r="N286" s="298">
        <v>2000000</v>
      </c>
      <c r="O286" s="197"/>
      <c r="P286" s="197"/>
      <c r="Q286" s="197"/>
      <c r="R286" s="197"/>
      <c r="S286" s="197"/>
      <c r="T286" s="263" t="s">
        <v>460</v>
      </c>
      <c r="U286" s="197"/>
      <c r="V286" s="197"/>
      <c r="W286" s="197"/>
      <c r="X286" s="197"/>
      <c r="Y286" s="197"/>
      <c r="Z286" s="197"/>
    </row>
    <row r="287" spans="1:26">
      <c r="A287" s="197"/>
      <c r="B287" s="304" t="s">
        <v>461</v>
      </c>
      <c r="C287" s="197"/>
      <c r="D287" s="197"/>
      <c r="E287" s="197"/>
      <c r="F287" s="197"/>
      <c r="G287" s="197"/>
      <c r="H287" s="262"/>
      <c r="I287" s="262"/>
      <c r="J287" s="262"/>
      <c r="K287" s="262"/>
      <c r="L287" s="262"/>
      <c r="M287" s="262"/>
      <c r="N287" s="262"/>
      <c r="O287" s="197"/>
      <c r="P287" s="197"/>
      <c r="Q287" s="197"/>
      <c r="R287" s="197"/>
      <c r="S287" s="197"/>
      <c r="T287" s="198"/>
      <c r="U287" s="197"/>
      <c r="V287" s="197"/>
      <c r="W287" s="197"/>
      <c r="X287" s="197"/>
      <c r="Y287" s="197"/>
      <c r="Z287" s="197"/>
    </row>
    <row r="288" spans="1:26">
      <c r="A288" s="197"/>
      <c r="B288" s="259" t="s">
        <v>462</v>
      </c>
      <c r="C288" s="197"/>
      <c r="D288" s="197"/>
      <c r="E288" s="197"/>
      <c r="F288" s="197"/>
      <c r="G288" s="260">
        <f>G279/G281</f>
        <v>0</v>
      </c>
      <c r="H288" s="253">
        <v>10.933333333333334</v>
      </c>
      <c r="I288" s="310"/>
      <c r="J288" s="310"/>
      <c r="K288" s="310"/>
      <c r="L288" s="310"/>
      <c r="M288" s="310"/>
      <c r="N288" s="310"/>
      <c r="O288" s="197"/>
      <c r="P288" s="197"/>
      <c r="Q288" s="197"/>
      <c r="R288" s="197"/>
      <c r="S288" s="197"/>
      <c r="T288" s="198"/>
      <c r="U288" s="197"/>
      <c r="V288" s="197"/>
      <c r="W288" s="197"/>
      <c r="X288" s="197"/>
      <c r="Y288" s="197"/>
      <c r="Z288" s="197"/>
    </row>
    <row r="289" spans="1:26">
      <c r="A289" s="197"/>
      <c r="B289" s="259" t="s">
        <v>458</v>
      </c>
      <c r="C289" s="197"/>
      <c r="D289" s="197"/>
      <c r="E289" s="197"/>
      <c r="F289" s="197"/>
      <c r="G289" s="197"/>
      <c r="H289" s="311">
        <v>11</v>
      </c>
      <c r="I289" s="197"/>
      <c r="J289" s="197"/>
      <c r="K289" s="197"/>
      <c r="L289" s="197"/>
      <c r="M289" s="197"/>
      <c r="N289" s="197"/>
      <c r="O289" s="197"/>
      <c r="P289" s="197"/>
      <c r="Q289" s="197"/>
      <c r="R289" s="197"/>
      <c r="S289" s="197"/>
      <c r="T289" s="198"/>
      <c r="U289" s="197"/>
      <c r="V289" s="197"/>
      <c r="W289" s="197"/>
      <c r="X289" s="197"/>
      <c r="Y289" s="197"/>
      <c r="Z289" s="197"/>
    </row>
    <row r="290" spans="1:26">
      <c r="A290" s="197"/>
      <c r="B290" s="259" t="s">
        <v>463</v>
      </c>
      <c r="C290" s="197"/>
      <c r="D290" s="197"/>
      <c r="E290" s="197"/>
      <c r="F290" s="197"/>
      <c r="G290" s="197"/>
      <c r="H290" s="265">
        <v>11</v>
      </c>
      <c r="I290" s="197"/>
      <c r="J290" s="197"/>
      <c r="K290" s="197"/>
      <c r="L290" s="197"/>
      <c r="M290" s="197"/>
      <c r="N290" s="197"/>
      <c r="O290" s="197"/>
      <c r="P290" s="197"/>
      <c r="Q290" s="197"/>
      <c r="R290" s="197"/>
      <c r="S290" s="197"/>
      <c r="T290" s="198"/>
      <c r="U290" s="197"/>
      <c r="V290" s="197"/>
      <c r="W290" s="197"/>
      <c r="X290" s="197"/>
      <c r="Y290" s="197"/>
      <c r="Z290" s="197"/>
    </row>
    <row r="291" spans="1:26">
      <c r="A291" s="197"/>
      <c r="B291" s="304" t="s">
        <v>464</v>
      </c>
      <c r="C291" s="197"/>
      <c r="D291" s="197"/>
      <c r="E291" s="197"/>
      <c r="F291" s="197"/>
      <c r="G291" s="197"/>
      <c r="H291" s="258" t="e">
        <f>H292*H91</f>
        <v>#VALUE!</v>
      </c>
      <c r="I291" s="258" t="e">
        <f t="shared" ref="I291:N291" si="140">I292*I90</f>
        <v>#VALUE!</v>
      </c>
      <c r="J291" s="258" t="e">
        <f t="shared" si="140"/>
        <v>#VALUE!</v>
      </c>
      <c r="K291" s="258" t="e">
        <f t="shared" si="140"/>
        <v>#VALUE!</v>
      </c>
      <c r="L291" s="258" t="e">
        <f t="shared" si="140"/>
        <v>#VALUE!</v>
      </c>
      <c r="M291" s="258" t="e">
        <f t="shared" si="140"/>
        <v>#VALUE!</v>
      </c>
      <c r="N291" s="258" t="e">
        <f t="shared" si="140"/>
        <v>#VALUE!</v>
      </c>
      <c r="O291" s="197"/>
      <c r="P291" s="197"/>
      <c r="Q291" s="197"/>
      <c r="R291" s="197"/>
      <c r="S291" s="197"/>
      <c r="T291" s="198"/>
      <c r="U291" s="197"/>
      <c r="V291" s="197"/>
      <c r="W291" s="197"/>
      <c r="X291" s="197"/>
      <c r="Y291" s="197"/>
      <c r="Z291" s="197"/>
    </row>
    <row r="292" spans="1:26">
      <c r="A292" s="197"/>
      <c r="B292" s="304" t="s">
        <v>465</v>
      </c>
      <c r="C292" s="197"/>
      <c r="D292" s="253" t="s">
        <v>466</v>
      </c>
      <c r="E292" s="253" t="s">
        <v>467</v>
      </c>
      <c r="F292" s="227"/>
      <c r="G292" s="227"/>
      <c r="H292" s="312" t="s">
        <v>541</v>
      </c>
      <c r="I292" s="312" t="s">
        <v>541</v>
      </c>
      <c r="J292" s="312" t="s">
        <v>541</v>
      </c>
      <c r="K292" s="312" t="s">
        <v>541</v>
      </c>
      <c r="L292" s="312" t="s">
        <v>541</v>
      </c>
      <c r="M292" s="312" t="s">
        <v>541</v>
      </c>
      <c r="N292" s="312" t="s">
        <v>541</v>
      </c>
      <c r="O292" s="197"/>
      <c r="P292" s="197"/>
      <c r="Q292" s="197"/>
      <c r="R292" s="197"/>
      <c r="S292" s="197"/>
      <c r="T292" s="198"/>
      <c r="U292" s="197"/>
      <c r="V292" s="197"/>
      <c r="W292" s="197"/>
      <c r="X292" s="197"/>
      <c r="Y292" s="197"/>
      <c r="Z292" s="197"/>
    </row>
    <row r="293" spans="1:26">
      <c r="A293" s="197"/>
      <c r="B293" s="259" t="s">
        <v>468</v>
      </c>
      <c r="C293" s="197"/>
      <c r="D293" s="265">
        <v>0.1</v>
      </c>
      <c r="E293" s="283">
        <v>0.69</v>
      </c>
      <c r="F293" s="197"/>
      <c r="G293" s="197"/>
      <c r="H293" s="265">
        <f t="shared" ref="H293:H296" si="141">D293</f>
        <v>0.1</v>
      </c>
      <c r="I293" s="265">
        <f t="shared" ref="I293:N293" si="142">H293</f>
        <v>0.1</v>
      </c>
      <c r="J293" s="265">
        <f t="shared" si="142"/>
        <v>0.1</v>
      </c>
      <c r="K293" s="265">
        <f t="shared" si="142"/>
        <v>0.1</v>
      </c>
      <c r="L293" s="265">
        <f t="shared" si="142"/>
        <v>0.1</v>
      </c>
      <c r="M293" s="265">
        <f t="shared" si="142"/>
        <v>0.1</v>
      </c>
      <c r="N293" s="265">
        <f t="shared" si="142"/>
        <v>0.1</v>
      </c>
      <c r="O293" s="197"/>
      <c r="P293" s="197"/>
      <c r="Q293" s="197"/>
      <c r="R293" s="197"/>
      <c r="S293" s="197"/>
      <c r="T293" s="198"/>
      <c r="U293" s="197"/>
      <c r="V293" s="197"/>
      <c r="W293" s="197"/>
      <c r="X293" s="197"/>
      <c r="Y293" s="197"/>
      <c r="Z293" s="197"/>
    </row>
    <row r="294" spans="1:26">
      <c r="A294" s="197"/>
      <c r="B294" s="259" t="s">
        <v>469</v>
      </c>
      <c r="C294" s="197"/>
      <c r="D294" s="265">
        <v>0.2</v>
      </c>
      <c r="E294" s="218">
        <v>0.115</v>
      </c>
      <c r="F294" s="197"/>
      <c r="G294" s="197"/>
      <c r="H294" s="265">
        <f t="shared" si="141"/>
        <v>0.2</v>
      </c>
      <c r="I294" s="265">
        <f t="shared" ref="I294:N294" si="143">H294</f>
        <v>0.2</v>
      </c>
      <c r="J294" s="265">
        <f t="shared" si="143"/>
        <v>0.2</v>
      </c>
      <c r="K294" s="265">
        <f t="shared" si="143"/>
        <v>0.2</v>
      </c>
      <c r="L294" s="265">
        <f t="shared" si="143"/>
        <v>0.2</v>
      </c>
      <c r="M294" s="265">
        <f t="shared" si="143"/>
        <v>0.2</v>
      </c>
      <c r="N294" s="265">
        <f t="shared" si="143"/>
        <v>0.2</v>
      </c>
      <c r="O294" s="197"/>
      <c r="P294" s="197"/>
      <c r="Q294" s="197"/>
      <c r="R294" s="197"/>
      <c r="S294" s="197"/>
      <c r="T294" s="198"/>
      <c r="U294" s="197"/>
      <c r="V294" s="197"/>
      <c r="W294" s="197"/>
      <c r="X294" s="197"/>
      <c r="Y294" s="197"/>
      <c r="Z294" s="197"/>
    </row>
    <row r="295" spans="1:26">
      <c r="A295" s="197"/>
      <c r="B295" s="259" t="s">
        <v>470</v>
      </c>
      <c r="C295" s="197"/>
      <c r="D295" s="265">
        <v>0.3</v>
      </c>
      <c r="E295" s="218">
        <v>0.113</v>
      </c>
      <c r="F295" s="197"/>
      <c r="G295" s="197"/>
      <c r="H295" s="265">
        <f t="shared" si="141"/>
        <v>0.3</v>
      </c>
      <c r="I295" s="265">
        <f t="shared" ref="I295:N295" si="144">H295</f>
        <v>0.3</v>
      </c>
      <c r="J295" s="265">
        <f t="shared" si="144"/>
        <v>0.3</v>
      </c>
      <c r="K295" s="265">
        <f t="shared" si="144"/>
        <v>0.3</v>
      </c>
      <c r="L295" s="265">
        <f t="shared" si="144"/>
        <v>0.3</v>
      </c>
      <c r="M295" s="265">
        <f t="shared" si="144"/>
        <v>0.3</v>
      </c>
      <c r="N295" s="265">
        <f t="shared" si="144"/>
        <v>0.3</v>
      </c>
      <c r="O295" s="197"/>
      <c r="P295" s="197"/>
      <c r="Q295" s="197"/>
      <c r="R295" s="197"/>
      <c r="S295" s="197"/>
      <c r="T295" s="198"/>
      <c r="U295" s="197"/>
      <c r="V295" s="197"/>
      <c r="W295" s="197"/>
      <c r="X295" s="197"/>
      <c r="Y295" s="197"/>
      <c r="Z295" s="197"/>
    </row>
    <row r="296" spans="1:26">
      <c r="A296" s="197"/>
      <c r="B296" s="259" t="s">
        <v>471</v>
      </c>
      <c r="C296" s="197"/>
      <c r="D296" s="265">
        <v>0.1</v>
      </c>
      <c r="E296" s="218">
        <f>1-E293-E294-E295</f>
        <v>8.2000000000000059E-2</v>
      </c>
      <c r="F296" s="197"/>
      <c r="G296" s="197"/>
      <c r="H296" s="265">
        <f t="shared" si="141"/>
        <v>0.1</v>
      </c>
      <c r="I296" s="265">
        <f t="shared" ref="I296:N296" si="145">H296</f>
        <v>0.1</v>
      </c>
      <c r="J296" s="265">
        <f t="shared" si="145"/>
        <v>0.1</v>
      </c>
      <c r="K296" s="265">
        <f t="shared" si="145"/>
        <v>0.1</v>
      </c>
      <c r="L296" s="265">
        <f t="shared" si="145"/>
        <v>0.1</v>
      </c>
      <c r="M296" s="265">
        <f t="shared" si="145"/>
        <v>0.1</v>
      </c>
      <c r="N296" s="265">
        <f t="shared" si="145"/>
        <v>0.1</v>
      </c>
      <c r="O296" s="197"/>
      <c r="P296" s="197"/>
      <c r="Q296" s="197"/>
      <c r="R296" s="197"/>
      <c r="S296" s="197"/>
      <c r="T296" s="198"/>
      <c r="U296" s="197"/>
      <c r="V296" s="197"/>
      <c r="W296" s="197"/>
      <c r="X296" s="197"/>
      <c r="Y296" s="197"/>
      <c r="Z296" s="197"/>
    </row>
    <row r="297" spans="1:26">
      <c r="A297" s="197"/>
      <c r="B297" s="197"/>
      <c r="C297" s="197"/>
      <c r="D297" s="197"/>
      <c r="E297" s="197"/>
      <c r="F297" s="197"/>
      <c r="G297" s="197"/>
      <c r="H297" s="197"/>
      <c r="I297" s="197"/>
      <c r="J297" s="197"/>
      <c r="K297" s="197"/>
      <c r="L297" s="197"/>
      <c r="M297" s="197"/>
      <c r="N297" s="197"/>
      <c r="O297" s="197"/>
      <c r="P297" s="197"/>
      <c r="Q297" s="197"/>
      <c r="R297" s="197"/>
      <c r="S297" s="197"/>
      <c r="T297" s="198"/>
      <c r="U297" s="197"/>
      <c r="V297" s="197"/>
      <c r="W297" s="197"/>
      <c r="X297" s="197"/>
      <c r="Y297" s="197"/>
      <c r="Z297" s="197"/>
    </row>
    <row r="298" spans="1:26">
      <c r="A298" s="197"/>
      <c r="B298" s="211" t="s">
        <v>472</v>
      </c>
      <c r="C298" s="197"/>
      <c r="D298" s="227"/>
      <c r="E298" s="227"/>
      <c r="F298" s="227"/>
      <c r="G298" s="227"/>
      <c r="H298" s="258" t="e">
        <f t="shared" ref="H298:N298" si="146">H221+H238+H265</f>
        <v>#VALUE!</v>
      </c>
      <c r="I298" s="303" t="e">
        <f t="shared" ca="1" si="146"/>
        <v>#VALUE!</v>
      </c>
      <c r="J298" s="303" t="e">
        <f t="shared" ca="1" si="146"/>
        <v>#VALUE!</v>
      </c>
      <c r="K298" s="303" t="e">
        <f t="shared" ca="1" si="146"/>
        <v>#VALUE!</v>
      </c>
      <c r="L298" s="303" t="e">
        <f t="shared" ca="1" si="146"/>
        <v>#VALUE!</v>
      </c>
      <c r="M298" s="303" t="e">
        <f t="shared" ca="1" si="146"/>
        <v>#VALUE!</v>
      </c>
      <c r="N298" s="303" t="e">
        <f t="shared" ca="1" si="146"/>
        <v>#VALUE!</v>
      </c>
      <c r="O298" s="197"/>
      <c r="P298" s="197"/>
      <c r="Q298" s="197"/>
      <c r="R298" s="197"/>
      <c r="S298" s="197"/>
      <c r="T298" s="198"/>
      <c r="U298" s="197"/>
      <c r="V298" s="197"/>
      <c r="W298" s="197"/>
      <c r="X298" s="197"/>
      <c r="Y298" s="197"/>
      <c r="Z298" s="197"/>
    </row>
    <row r="299" spans="1:26">
      <c r="A299" s="197"/>
      <c r="B299" s="197"/>
      <c r="C299" s="197"/>
      <c r="D299" s="197"/>
      <c r="E299" s="197"/>
      <c r="F299" s="197"/>
      <c r="G299" s="197"/>
      <c r="H299" s="197"/>
      <c r="I299" s="197"/>
      <c r="J299" s="197"/>
      <c r="K299" s="197"/>
      <c r="L299" s="197"/>
      <c r="M299" s="197"/>
      <c r="N299" s="197"/>
      <c r="O299" s="197"/>
      <c r="P299" s="197"/>
      <c r="Q299" s="197"/>
      <c r="R299" s="197"/>
      <c r="S299" s="197"/>
      <c r="T299" s="198"/>
      <c r="U299" s="197"/>
      <c r="V299" s="197"/>
      <c r="W299" s="197"/>
      <c r="X299" s="197"/>
      <c r="Y299" s="197"/>
      <c r="Z299" s="197"/>
    </row>
    <row r="300" spans="1:26">
      <c r="A300" s="197"/>
      <c r="B300" s="259" t="s">
        <v>473</v>
      </c>
      <c r="C300" s="197"/>
      <c r="D300" s="197"/>
      <c r="E300" s="197"/>
      <c r="F300" s="197"/>
      <c r="G300" s="197"/>
      <c r="H300" s="254" t="e">
        <f t="shared" ref="H300:N300" si="147">H301+H302</f>
        <v>#VALUE!</v>
      </c>
      <c r="I300" s="291" t="e">
        <f t="shared" ca="1" si="147"/>
        <v>#VALUE!</v>
      </c>
      <c r="J300" s="291" t="e">
        <f t="shared" ca="1" si="147"/>
        <v>#VALUE!</v>
      </c>
      <c r="K300" s="291" t="e">
        <f t="shared" ca="1" si="147"/>
        <v>#VALUE!</v>
      </c>
      <c r="L300" s="291" t="e">
        <f t="shared" ca="1" si="147"/>
        <v>#VALUE!</v>
      </c>
      <c r="M300" s="291" t="e">
        <f t="shared" ca="1" si="147"/>
        <v>#VALUE!</v>
      </c>
      <c r="N300" s="291" t="e">
        <f t="shared" ca="1" si="147"/>
        <v>#VALUE!</v>
      </c>
      <c r="O300" s="197"/>
      <c r="P300" s="197"/>
      <c r="Q300" s="197"/>
      <c r="R300" s="197"/>
      <c r="S300" s="197"/>
      <c r="T300" s="198"/>
      <c r="U300" s="197"/>
      <c r="V300" s="197"/>
      <c r="W300" s="197"/>
      <c r="X300" s="197"/>
      <c r="Y300" s="197"/>
      <c r="Z300" s="197"/>
    </row>
    <row r="301" spans="1:26">
      <c r="A301" s="197"/>
      <c r="B301" s="259" t="s">
        <v>474</v>
      </c>
      <c r="C301" s="197"/>
      <c r="D301" s="197"/>
      <c r="E301" s="197"/>
      <c r="F301" s="197"/>
      <c r="G301" s="197"/>
      <c r="H301" s="254" t="e">
        <f t="shared" ref="H301:N301" si="148">H222</f>
        <v>#VALUE!</v>
      </c>
      <c r="I301" s="254" t="e">
        <f t="shared" si="148"/>
        <v>#VALUE!</v>
      </c>
      <c r="J301" s="254" t="e">
        <f t="shared" si="148"/>
        <v>#VALUE!</v>
      </c>
      <c r="K301" s="254" t="e">
        <f t="shared" si="148"/>
        <v>#VALUE!</v>
      </c>
      <c r="L301" s="254" t="e">
        <f t="shared" si="148"/>
        <v>#VALUE!</v>
      </c>
      <c r="M301" s="254" t="e">
        <f t="shared" si="148"/>
        <v>#VALUE!</v>
      </c>
      <c r="N301" s="254" t="e">
        <f t="shared" si="148"/>
        <v>#VALUE!</v>
      </c>
      <c r="O301" s="197"/>
      <c r="P301" s="197"/>
      <c r="Q301" s="197"/>
      <c r="R301" s="197"/>
      <c r="S301" s="197"/>
      <c r="T301" s="198"/>
      <c r="U301" s="197"/>
      <c r="V301" s="197"/>
      <c r="W301" s="197"/>
      <c r="X301" s="197"/>
      <c r="Y301" s="197"/>
      <c r="Z301" s="197"/>
    </row>
    <row r="302" spans="1:26">
      <c r="A302" s="197"/>
      <c r="B302" s="259" t="s">
        <v>395</v>
      </c>
      <c r="C302" s="197"/>
      <c r="D302" s="197"/>
      <c r="E302" s="197"/>
      <c r="F302" s="197"/>
      <c r="G302" s="197"/>
      <c r="H302" s="254" t="e">
        <f t="shared" ref="H302:N302" si="149">SUM(H303:H305)</f>
        <v>#VALUE!</v>
      </c>
      <c r="I302" s="291" t="e">
        <f t="shared" ca="1" si="149"/>
        <v>#VALUE!</v>
      </c>
      <c r="J302" s="291" t="e">
        <f t="shared" ca="1" si="149"/>
        <v>#VALUE!</v>
      </c>
      <c r="K302" s="291" t="e">
        <f t="shared" ca="1" si="149"/>
        <v>#VALUE!</v>
      </c>
      <c r="L302" s="291" t="e">
        <f t="shared" ca="1" si="149"/>
        <v>#VALUE!</v>
      </c>
      <c r="M302" s="291" t="e">
        <f t="shared" ca="1" si="149"/>
        <v>#VALUE!</v>
      </c>
      <c r="N302" s="291" t="e">
        <f t="shared" ca="1" si="149"/>
        <v>#VALUE!</v>
      </c>
      <c r="O302" s="197"/>
      <c r="P302" s="197"/>
      <c r="Q302" s="197"/>
      <c r="R302" s="197"/>
      <c r="S302" s="197"/>
      <c r="T302" s="198"/>
      <c r="U302" s="197"/>
      <c r="V302" s="197"/>
      <c r="W302" s="197"/>
      <c r="X302" s="197"/>
      <c r="Y302" s="197"/>
      <c r="Z302" s="197"/>
    </row>
    <row r="303" spans="1:26">
      <c r="A303" s="197"/>
      <c r="B303" s="259" t="s">
        <v>475</v>
      </c>
      <c r="C303" s="197"/>
      <c r="D303" s="227"/>
      <c r="E303" s="227"/>
      <c r="F303" s="227"/>
      <c r="G303" s="227"/>
      <c r="H303" s="254">
        <f>H266/H91*1000</f>
        <v>154.15196584061624</v>
      </c>
      <c r="I303" s="291" t="e">
        <f t="shared" ref="I303:N303" ca="1" si="150">I266/I90*1000</f>
        <v>#VALUE!</v>
      </c>
      <c r="J303" s="291" t="e">
        <f t="shared" ca="1" si="150"/>
        <v>#VALUE!</v>
      </c>
      <c r="K303" s="291" t="e">
        <f t="shared" ca="1" si="150"/>
        <v>#VALUE!</v>
      </c>
      <c r="L303" s="291" t="e">
        <f t="shared" ca="1" si="150"/>
        <v>#VALUE!</v>
      </c>
      <c r="M303" s="291" t="e">
        <f t="shared" ca="1" si="150"/>
        <v>#VALUE!</v>
      </c>
      <c r="N303" s="291" t="e">
        <f t="shared" ca="1" si="150"/>
        <v>#VALUE!</v>
      </c>
      <c r="O303" s="197"/>
      <c r="P303" s="197"/>
      <c r="Q303" s="197"/>
      <c r="R303" s="197"/>
      <c r="S303" s="197"/>
      <c r="T303" s="198"/>
      <c r="U303" s="197"/>
      <c r="V303" s="197"/>
      <c r="W303" s="197"/>
      <c r="X303" s="197"/>
      <c r="Y303" s="197"/>
      <c r="Z303" s="197"/>
    </row>
    <row r="304" spans="1:26">
      <c r="A304" s="197"/>
      <c r="B304" s="259" t="s">
        <v>448</v>
      </c>
      <c r="C304" s="197"/>
      <c r="D304" s="227"/>
      <c r="E304" s="227"/>
      <c r="F304" s="227"/>
      <c r="G304" s="227"/>
      <c r="H304" s="254">
        <f>H281/H91*1000</f>
        <v>281.39216325883928</v>
      </c>
      <c r="I304" s="254">
        <f t="shared" ref="I304:N304" si="151">I281/I90*1000</f>
        <v>217.02944942381561</v>
      </c>
      <c r="J304" s="254" t="e">
        <f t="shared" si="151"/>
        <v>#REF!</v>
      </c>
      <c r="K304" s="254">
        <f t="shared" si="151"/>
        <v>569.51551442569405</v>
      </c>
      <c r="L304" s="254">
        <f t="shared" si="151"/>
        <v>537.33949666153046</v>
      </c>
      <c r="M304" s="254">
        <f t="shared" si="151"/>
        <v>526.92017124150084</v>
      </c>
      <c r="N304" s="254">
        <f t="shared" si="151"/>
        <v>526.92017124150084</v>
      </c>
      <c r="O304" s="197"/>
      <c r="P304" s="197"/>
      <c r="Q304" s="197"/>
      <c r="R304" s="197"/>
      <c r="S304" s="197"/>
      <c r="T304" s="198"/>
      <c r="U304" s="197"/>
      <c r="V304" s="197"/>
      <c r="W304" s="197"/>
      <c r="X304" s="197"/>
      <c r="Y304" s="197"/>
      <c r="Z304" s="197"/>
    </row>
    <row r="305" spans="1:26">
      <c r="A305" s="197"/>
      <c r="B305" s="259" t="s">
        <v>476</v>
      </c>
      <c r="C305" s="197"/>
      <c r="D305" s="227"/>
      <c r="E305" s="227"/>
      <c r="F305" s="227"/>
      <c r="G305" s="227"/>
      <c r="H305" s="254" t="e">
        <f t="shared" ref="H305:N305" si="152">H292*1000</f>
        <v>#VALUE!</v>
      </c>
      <c r="I305" s="254" t="e">
        <f t="shared" si="152"/>
        <v>#VALUE!</v>
      </c>
      <c r="J305" s="254" t="e">
        <f t="shared" si="152"/>
        <v>#VALUE!</v>
      </c>
      <c r="K305" s="254" t="e">
        <f t="shared" si="152"/>
        <v>#VALUE!</v>
      </c>
      <c r="L305" s="254" t="e">
        <f t="shared" si="152"/>
        <v>#VALUE!</v>
      </c>
      <c r="M305" s="254" t="e">
        <f t="shared" si="152"/>
        <v>#VALUE!</v>
      </c>
      <c r="N305" s="254" t="e">
        <f t="shared" si="152"/>
        <v>#VALUE!</v>
      </c>
      <c r="O305" s="197"/>
      <c r="P305" s="197"/>
      <c r="Q305" s="197"/>
      <c r="R305" s="197"/>
      <c r="S305" s="197"/>
      <c r="T305" s="198"/>
      <c r="U305" s="197"/>
      <c r="V305" s="197"/>
      <c r="W305" s="197"/>
      <c r="X305" s="197"/>
      <c r="Y305" s="197"/>
      <c r="Z305" s="197"/>
    </row>
    <row r="306" spans="1:26">
      <c r="A306" s="197"/>
      <c r="B306" s="259" t="s">
        <v>477</v>
      </c>
      <c r="C306" s="197"/>
      <c r="D306" s="227"/>
      <c r="E306" s="227"/>
      <c r="F306" s="227"/>
      <c r="G306" s="227"/>
      <c r="H306" s="227"/>
      <c r="I306" s="254">
        <f t="shared" ref="I306:N306" si="153">I102*1000</f>
        <v>11500</v>
      </c>
      <c r="J306" s="254">
        <f t="shared" si="153"/>
        <v>10924.999999999998</v>
      </c>
      <c r="K306" s="254">
        <f t="shared" si="153"/>
        <v>10924.999999999998</v>
      </c>
      <c r="L306" s="254">
        <f t="shared" si="153"/>
        <v>11143.5</v>
      </c>
      <c r="M306" s="254">
        <f t="shared" si="153"/>
        <v>11366.369999999999</v>
      </c>
      <c r="N306" s="254">
        <f t="shared" si="153"/>
        <v>11593.697399999999</v>
      </c>
      <c r="O306" s="197"/>
      <c r="P306" s="197"/>
      <c r="Q306" s="197"/>
      <c r="R306" s="197"/>
      <c r="S306" s="197"/>
      <c r="T306" s="198"/>
      <c r="U306" s="197"/>
      <c r="V306" s="197"/>
      <c r="W306" s="197"/>
      <c r="X306" s="197"/>
      <c r="Y306" s="197"/>
      <c r="Z306" s="197"/>
    </row>
    <row r="307" spans="1:26">
      <c r="A307" s="197"/>
      <c r="B307" s="259" t="s">
        <v>357</v>
      </c>
      <c r="C307" s="197"/>
      <c r="D307" s="197"/>
      <c r="E307" s="197"/>
      <c r="F307" s="197"/>
      <c r="G307" s="227"/>
      <c r="H307" s="198"/>
      <c r="I307" s="313" t="e">
        <f t="shared" ref="I307:N307" ca="1" si="154">1-I298/I89</f>
        <v>#VALUE!</v>
      </c>
      <c r="J307" s="313" t="e">
        <f t="shared" ca="1" si="154"/>
        <v>#VALUE!</v>
      </c>
      <c r="K307" s="313" t="e">
        <f t="shared" ca="1" si="154"/>
        <v>#VALUE!</v>
      </c>
      <c r="L307" s="313" t="e">
        <f t="shared" ca="1" si="154"/>
        <v>#VALUE!</v>
      </c>
      <c r="M307" s="313" t="e">
        <f t="shared" ca="1" si="154"/>
        <v>#VALUE!</v>
      </c>
      <c r="N307" s="313" t="e">
        <f t="shared" ca="1" si="154"/>
        <v>#VALUE!</v>
      </c>
      <c r="O307" s="197"/>
      <c r="P307" s="197"/>
      <c r="Q307" s="197"/>
      <c r="R307" s="197"/>
      <c r="S307" s="197"/>
      <c r="T307" s="198"/>
      <c r="U307" s="197"/>
      <c r="V307" s="197"/>
      <c r="W307" s="197"/>
      <c r="X307" s="197"/>
      <c r="Y307" s="197"/>
      <c r="Z307" s="197"/>
    </row>
    <row r="308" spans="1:26">
      <c r="A308" s="197"/>
      <c r="B308" s="197"/>
      <c r="C308" s="197"/>
      <c r="D308" s="197"/>
      <c r="E308" s="197"/>
      <c r="F308" s="197"/>
      <c r="G308" s="197"/>
      <c r="H308" s="314"/>
      <c r="I308" s="260">
        <f>12755-12292</f>
        <v>463</v>
      </c>
      <c r="J308" s="197"/>
      <c r="K308" s="197"/>
      <c r="L308" s="197"/>
      <c r="M308" s="197"/>
      <c r="N308" s="197"/>
      <c r="O308" s="197"/>
      <c r="P308" s="197"/>
      <c r="Q308" s="197"/>
      <c r="R308" s="197"/>
      <c r="S308" s="197"/>
      <c r="T308" s="198"/>
      <c r="U308" s="197"/>
      <c r="V308" s="197"/>
      <c r="W308" s="197"/>
      <c r="X308" s="197"/>
      <c r="Y308" s="197"/>
      <c r="Z308" s="197"/>
    </row>
    <row r="309" spans="1:26">
      <c r="A309" s="197"/>
      <c r="B309" s="267"/>
      <c r="C309" s="197"/>
      <c r="D309" s="197"/>
      <c r="E309" s="197"/>
      <c r="F309" s="197"/>
      <c r="G309" s="197"/>
      <c r="H309" s="286"/>
      <c r="I309" s="197"/>
      <c r="J309" s="197"/>
      <c r="K309" s="197"/>
      <c r="L309" s="197"/>
      <c r="M309" s="197"/>
      <c r="N309" s="197"/>
      <c r="O309" s="197"/>
      <c r="P309" s="197"/>
      <c r="Q309" s="197"/>
      <c r="R309" s="197"/>
      <c r="S309" s="197"/>
      <c r="T309" s="198"/>
      <c r="U309" s="197"/>
      <c r="V309" s="197"/>
      <c r="W309" s="197"/>
      <c r="X309" s="197"/>
      <c r="Y309" s="197"/>
      <c r="Z309" s="197"/>
    </row>
    <row r="310" spans="1:26">
      <c r="A310" s="197"/>
      <c r="B310" s="279" t="s">
        <v>478</v>
      </c>
      <c r="C310" s="197"/>
      <c r="D310" s="247"/>
      <c r="E310" s="247"/>
      <c r="F310" s="247"/>
      <c r="G310" s="247"/>
      <c r="H310" s="247"/>
      <c r="I310" s="248"/>
      <c r="J310" s="248"/>
      <c r="K310" s="248"/>
      <c r="L310" s="248"/>
      <c r="M310" s="248"/>
      <c r="N310" s="248"/>
      <c r="O310" s="197"/>
      <c r="P310" s="197"/>
      <c r="Q310" s="197"/>
      <c r="R310" s="197"/>
      <c r="S310" s="197"/>
      <c r="T310" s="198"/>
      <c r="U310" s="197"/>
      <c r="V310" s="197"/>
      <c r="W310" s="197"/>
      <c r="X310" s="197"/>
      <c r="Y310" s="197"/>
      <c r="Z310" s="197"/>
    </row>
    <row r="311" spans="1:26">
      <c r="A311" s="197"/>
      <c r="B311" s="211" t="s">
        <v>479</v>
      </c>
      <c r="C311" s="197"/>
      <c r="D311" s="197"/>
      <c r="E311" s="197"/>
      <c r="F311" s="197"/>
      <c r="G311" s="197"/>
      <c r="H311" s="258" t="e">
        <f t="shared" ref="H311:N311" si="155">H312*H116/10^3</f>
        <v>#VALUE!</v>
      </c>
      <c r="I311" s="258" t="e">
        <f t="shared" si="155"/>
        <v>#VALUE!</v>
      </c>
      <c r="J311" s="258" t="e">
        <f t="shared" si="155"/>
        <v>#VALUE!</v>
      </c>
      <c r="K311" s="258" t="e">
        <f t="shared" si="155"/>
        <v>#VALUE!</v>
      </c>
      <c r="L311" s="258" t="e">
        <f t="shared" si="155"/>
        <v>#VALUE!</v>
      </c>
      <c r="M311" s="258" t="e">
        <f t="shared" si="155"/>
        <v>#VALUE!</v>
      </c>
      <c r="N311" s="258" t="e">
        <f t="shared" si="155"/>
        <v>#VALUE!</v>
      </c>
      <c r="O311" s="197"/>
      <c r="P311" s="197"/>
      <c r="Q311" s="197"/>
      <c r="R311" s="197"/>
      <c r="S311" s="197"/>
      <c r="T311" s="198"/>
      <c r="U311" s="197"/>
      <c r="V311" s="197"/>
      <c r="W311" s="197"/>
      <c r="X311" s="197"/>
      <c r="Y311" s="197"/>
      <c r="Z311" s="197"/>
    </row>
    <row r="312" spans="1:26">
      <c r="A312" s="197"/>
      <c r="B312" s="259" t="s">
        <v>480</v>
      </c>
      <c r="C312" s="197"/>
      <c r="D312" s="259" t="s">
        <v>289</v>
      </c>
      <c r="E312" s="259" t="s">
        <v>437</v>
      </c>
      <c r="F312" s="259" t="s">
        <v>481</v>
      </c>
      <c r="G312" s="197"/>
      <c r="H312" s="254" t="e">
        <f t="shared" ref="H312:N312" si="156">H313+H314+H315</f>
        <v>#VALUE!</v>
      </c>
      <c r="I312" s="254" t="e">
        <f t="shared" si="156"/>
        <v>#VALUE!</v>
      </c>
      <c r="J312" s="254" t="e">
        <f t="shared" si="156"/>
        <v>#VALUE!</v>
      </c>
      <c r="K312" s="254" t="e">
        <f t="shared" si="156"/>
        <v>#VALUE!</v>
      </c>
      <c r="L312" s="254" t="e">
        <f t="shared" si="156"/>
        <v>#VALUE!</v>
      </c>
      <c r="M312" s="254" t="e">
        <f t="shared" si="156"/>
        <v>#VALUE!</v>
      </c>
      <c r="N312" s="254" t="e">
        <f t="shared" si="156"/>
        <v>#VALUE!</v>
      </c>
      <c r="O312" s="197"/>
      <c r="P312" s="197"/>
      <c r="Q312" s="197"/>
      <c r="R312" s="197"/>
      <c r="S312" s="197"/>
      <c r="T312" s="198"/>
      <c r="U312" s="197"/>
      <c r="V312" s="197"/>
      <c r="W312" s="197"/>
      <c r="X312" s="197"/>
      <c r="Y312" s="197"/>
      <c r="Z312" s="197"/>
    </row>
    <row r="313" spans="1:26">
      <c r="A313" s="197"/>
      <c r="B313" s="259" t="s">
        <v>337</v>
      </c>
      <c r="C313" s="197"/>
      <c r="D313" s="280">
        <v>1.0449999999999999</v>
      </c>
      <c r="E313" s="197"/>
      <c r="F313" s="197"/>
      <c r="G313" s="197"/>
      <c r="H313" s="254">
        <f t="shared" ref="H313:N313" si="157">H317*$D313*H$236</f>
        <v>7794.8639999999996</v>
      </c>
      <c r="I313" s="254">
        <f t="shared" si="157"/>
        <v>13997.775</v>
      </c>
      <c r="J313" s="254" t="e">
        <f t="shared" si="157"/>
        <v>#VALUE!</v>
      </c>
      <c r="K313" s="254" t="e">
        <f t="shared" si="157"/>
        <v>#VALUE!</v>
      </c>
      <c r="L313" s="254" t="e">
        <f t="shared" si="157"/>
        <v>#VALUE!</v>
      </c>
      <c r="M313" s="254" t="e">
        <f t="shared" si="157"/>
        <v>#VALUE!</v>
      </c>
      <c r="N313" s="254" t="e">
        <f t="shared" si="157"/>
        <v>#VALUE!</v>
      </c>
      <c r="O313" s="197"/>
      <c r="P313" s="197"/>
      <c r="Q313" s="197"/>
      <c r="R313" s="197"/>
      <c r="S313" s="197"/>
      <c r="T313" s="198"/>
      <c r="U313" s="197"/>
      <c r="V313" s="197"/>
      <c r="W313" s="197"/>
      <c r="X313" s="197"/>
      <c r="Y313" s="197"/>
      <c r="Z313" s="197"/>
    </row>
    <row r="314" spans="1:26">
      <c r="A314" s="197"/>
      <c r="B314" s="259" t="s">
        <v>408</v>
      </c>
      <c r="C314" s="197"/>
      <c r="D314" s="280">
        <v>120</v>
      </c>
      <c r="E314" s="197"/>
      <c r="F314" s="197"/>
      <c r="G314" s="197"/>
      <c r="H314" s="254" t="e">
        <f t="shared" ref="H314:N314" si="158">H318*$D314/10^3</f>
        <v>#VALUE!</v>
      </c>
      <c r="I314" s="254" t="e">
        <f t="shared" si="158"/>
        <v>#VALUE!</v>
      </c>
      <c r="J314" s="254" t="e">
        <f t="shared" si="158"/>
        <v>#VALUE!</v>
      </c>
      <c r="K314" s="254" t="e">
        <f t="shared" si="158"/>
        <v>#VALUE!</v>
      </c>
      <c r="L314" s="254" t="e">
        <f t="shared" si="158"/>
        <v>#VALUE!</v>
      </c>
      <c r="M314" s="254" t="e">
        <f t="shared" si="158"/>
        <v>#VALUE!</v>
      </c>
      <c r="N314" s="254" t="e">
        <f t="shared" si="158"/>
        <v>#VALUE!</v>
      </c>
      <c r="O314" s="197"/>
      <c r="P314" s="197"/>
      <c r="Q314" s="197"/>
      <c r="R314" s="197"/>
      <c r="S314" s="197"/>
      <c r="T314" s="198"/>
      <c r="U314" s="197"/>
      <c r="V314" s="197"/>
      <c r="W314" s="197"/>
      <c r="X314" s="197"/>
      <c r="Y314" s="197"/>
      <c r="Z314" s="197"/>
    </row>
    <row r="315" spans="1:26">
      <c r="A315" s="197"/>
      <c r="B315" s="259" t="s">
        <v>482</v>
      </c>
      <c r="C315" s="197"/>
      <c r="D315" s="280">
        <v>0</v>
      </c>
      <c r="E315" s="197"/>
      <c r="F315" s="197"/>
      <c r="G315" s="197"/>
      <c r="H315" s="254" t="s">
        <v>541</v>
      </c>
      <c r="I315" s="254" t="s">
        <v>541</v>
      </c>
      <c r="J315" s="254" t="s">
        <v>541</v>
      </c>
      <c r="K315" s="254" t="s">
        <v>541</v>
      </c>
      <c r="L315" s="254" t="s">
        <v>541</v>
      </c>
      <c r="M315" s="254" t="s">
        <v>541</v>
      </c>
      <c r="N315" s="254" t="s">
        <v>541</v>
      </c>
      <c r="O315" s="197"/>
      <c r="P315" s="197"/>
      <c r="Q315" s="197"/>
      <c r="R315" s="197"/>
      <c r="S315" s="197"/>
      <c r="T315" s="198"/>
      <c r="U315" s="197"/>
      <c r="V315" s="197"/>
      <c r="W315" s="197"/>
      <c r="X315" s="197"/>
      <c r="Y315" s="197"/>
      <c r="Z315" s="197"/>
    </row>
    <row r="316" spans="1:26">
      <c r="A316" s="197"/>
      <c r="B316" s="197"/>
      <c r="C316" s="197"/>
      <c r="D316" s="197"/>
      <c r="E316" s="197"/>
      <c r="F316" s="197"/>
      <c r="G316" s="197"/>
      <c r="H316" s="197"/>
      <c r="I316" s="197"/>
      <c r="J316" s="197"/>
      <c r="K316" s="197"/>
      <c r="L316" s="197"/>
      <c r="M316" s="197"/>
      <c r="N316" s="197"/>
      <c r="O316" s="197"/>
      <c r="P316" s="197"/>
      <c r="Q316" s="197"/>
      <c r="R316" s="197"/>
      <c r="S316" s="197"/>
      <c r="T316" s="198"/>
      <c r="U316" s="197"/>
      <c r="V316" s="197"/>
      <c r="W316" s="197"/>
      <c r="X316" s="197"/>
      <c r="Y316" s="197"/>
      <c r="Z316" s="197"/>
    </row>
    <row r="317" spans="1:26">
      <c r="A317" s="197"/>
      <c r="B317" s="259" t="s">
        <v>483</v>
      </c>
      <c r="C317" s="197"/>
      <c r="D317" s="197"/>
      <c r="E317" s="280">
        <v>0</v>
      </c>
      <c r="F317" s="197"/>
      <c r="G317" s="197"/>
      <c r="H317" s="272">
        <v>336</v>
      </c>
      <c r="I317" s="315">
        <v>570</v>
      </c>
      <c r="J317" s="315">
        <v>480</v>
      </c>
      <c r="K317" s="315">
        <v>450</v>
      </c>
      <c r="L317" s="315">
        <v>400</v>
      </c>
      <c r="M317" s="315">
        <v>420</v>
      </c>
      <c r="N317" s="315">
        <v>450</v>
      </c>
      <c r="O317" s="197"/>
      <c r="P317" s="197"/>
      <c r="Q317" s="197"/>
      <c r="R317" s="197"/>
      <c r="S317" s="197"/>
      <c r="T317" s="263" t="s">
        <v>484</v>
      </c>
      <c r="U317" s="197"/>
      <c r="V317" s="197"/>
      <c r="W317" s="197"/>
      <c r="X317" s="197"/>
      <c r="Y317" s="197"/>
      <c r="Z317" s="197"/>
    </row>
    <row r="318" spans="1:26">
      <c r="A318" s="197"/>
      <c r="B318" s="259" t="s">
        <v>485</v>
      </c>
      <c r="C318" s="197"/>
      <c r="D318" s="197"/>
      <c r="E318" s="197"/>
      <c r="F318" s="197"/>
      <c r="G318" s="197"/>
      <c r="H318" s="272" t="e">
        <f t="shared" ref="H318:N318" si="159">H232</f>
        <v>#VALUE!</v>
      </c>
      <c r="I318" s="272" t="e">
        <f t="shared" si="159"/>
        <v>#VALUE!</v>
      </c>
      <c r="J318" s="272" t="e">
        <f t="shared" si="159"/>
        <v>#VALUE!</v>
      </c>
      <c r="K318" s="272" t="e">
        <f t="shared" si="159"/>
        <v>#VALUE!</v>
      </c>
      <c r="L318" s="272" t="e">
        <f t="shared" si="159"/>
        <v>#VALUE!</v>
      </c>
      <c r="M318" s="272" t="e">
        <f t="shared" si="159"/>
        <v>#VALUE!</v>
      </c>
      <c r="N318" s="272" t="e">
        <f t="shared" si="159"/>
        <v>#VALUE!</v>
      </c>
      <c r="O318" s="197"/>
      <c r="P318" s="197"/>
      <c r="Q318" s="197"/>
      <c r="R318" s="197"/>
      <c r="S318" s="197"/>
      <c r="T318" s="198"/>
      <c r="U318" s="197"/>
      <c r="V318" s="197"/>
      <c r="W318" s="197"/>
      <c r="X318" s="197"/>
      <c r="Y318" s="197"/>
      <c r="Z318" s="197"/>
    </row>
    <row r="319" spans="1:26">
      <c r="A319" s="197"/>
      <c r="B319" s="259" t="s">
        <v>486</v>
      </c>
      <c r="C319" s="197"/>
      <c r="D319" s="197"/>
      <c r="E319" s="280">
        <v>0</v>
      </c>
      <c r="F319" s="259" t="s">
        <v>487</v>
      </c>
      <c r="G319" s="197"/>
      <c r="H319" s="272">
        <v>393</v>
      </c>
      <c r="I319" s="316"/>
      <c r="J319" s="316"/>
      <c r="K319" s="316"/>
      <c r="L319" s="316"/>
      <c r="M319" s="316"/>
      <c r="N319" s="316"/>
      <c r="O319" s="197"/>
      <c r="P319" s="197"/>
      <c r="Q319" s="197"/>
      <c r="R319" s="197"/>
      <c r="S319" s="197"/>
      <c r="T319" s="198"/>
      <c r="U319" s="197"/>
      <c r="V319" s="197"/>
      <c r="W319" s="197"/>
      <c r="X319" s="197"/>
      <c r="Y319" s="197"/>
      <c r="Z319" s="197"/>
    </row>
    <row r="320" spans="1:26">
      <c r="A320" s="197"/>
      <c r="B320" s="197"/>
      <c r="C320" s="197"/>
      <c r="D320" s="197"/>
      <c r="E320" s="197"/>
      <c r="F320" s="197"/>
      <c r="G320" s="197"/>
      <c r="H320" s="278"/>
      <c r="I320" s="278"/>
      <c r="J320" s="278"/>
      <c r="K320" s="278"/>
      <c r="L320" s="278"/>
      <c r="M320" s="278"/>
      <c r="N320" s="278"/>
      <c r="O320" s="197"/>
      <c r="P320" s="197"/>
      <c r="Q320" s="197"/>
      <c r="R320" s="197"/>
      <c r="S320" s="197"/>
      <c r="T320" s="198"/>
      <c r="U320" s="197"/>
      <c r="V320" s="197"/>
      <c r="W320" s="197"/>
      <c r="X320" s="197"/>
      <c r="Y320" s="197"/>
      <c r="Z320" s="197"/>
    </row>
    <row r="321" spans="1:26">
      <c r="A321" s="197"/>
      <c r="B321" s="211" t="s">
        <v>395</v>
      </c>
      <c r="C321" s="197"/>
      <c r="D321" s="197"/>
      <c r="E321" s="197"/>
      <c r="F321" s="197"/>
      <c r="G321" s="197"/>
      <c r="H321" s="258" t="e">
        <f t="shared" ref="H321:N321" si="160">SUM(H322:H326)</f>
        <v>#VALUE!</v>
      </c>
      <c r="I321" s="258" t="e">
        <f t="shared" si="160"/>
        <v>#VALUE!</v>
      </c>
      <c r="J321" s="258" t="e">
        <f t="shared" si="160"/>
        <v>#VALUE!</v>
      </c>
      <c r="K321" s="258" t="e">
        <f t="shared" si="160"/>
        <v>#VALUE!</v>
      </c>
      <c r="L321" s="258" t="e">
        <f t="shared" si="160"/>
        <v>#VALUE!</v>
      </c>
      <c r="M321" s="258" t="e">
        <f t="shared" si="160"/>
        <v>#VALUE!</v>
      </c>
      <c r="N321" s="258" t="e">
        <f t="shared" si="160"/>
        <v>#VALUE!</v>
      </c>
      <c r="O321" s="197"/>
      <c r="P321" s="197"/>
      <c r="Q321" s="197"/>
      <c r="R321" s="197"/>
      <c r="S321" s="197"/>
      <c r="T321" s="198"/>
      <c r="U321" s="197"/>
      <c r="V321" s="197"/>
      <c r="W321" s="197"/>
      <c r="X321" s="197"/>
      <c r="Y321" s="197"/>
      <c r="Z321" s="197"/>
    </row>
    <row r="322" spans="1:26">
      <c r="A322" s="197"/>
      <c r="B322" s="259" t="s">
        <v>448</v>
      </c>
      <c r="C322" s="197"/>
      <c r="D322" s="197"/>
      <c r="E322" s="197"/>
      <c r="F322" s="197"/>
      <c r="G322" s="197"/>
      <c r="H322" s="254">
        <v>50000</v>
      </c>
      <c r="I322" s="254" t="e">
        <f t="shared" ref="I322:N322" si="161">H322*I116/H116</f>
        <v>#VALUE!</v>
      </c>
      <c r="J322" s="254" t="e">
        <f t="shared" si="161"/>
        <v>#VALUE!</v>
      </c>
      <c r="K322" s="254" t="e">
        <f t="shared" si="161"/>
        <v>#VALUE!</v>
      </c>
      <c r="L322" s="254" t="e">
        <f t="shared" si="161"/>
        <v>#VALUE!</v>
      </c>
      <c r="M322" s="254" t="e">
        <f t="shared" si="161"/>
        <v>#VALUE!</v>
      </c>
      <c r="N322" s="254" t="e">
        <f t="shared" si="161"/>
        <v>#VALUE!</v>
      </c>
      <c r="O322" s="197"/>
      <c r="P322" s="197"/>
      <c r="Q322" s="197"/>
      <c r="R322" s="197"/>
      <c r="S322" s="197"/>
      <c r="T322" s="198"/>
      <c r="U322" s="197"/>
      <c r="V322" s="197"/>
      <c r="W322" s="197"/>
      <c r="X322" s="197"/>
      <c r="Y322" s="197"/>
      <c r="Z322" s="197"/>
    </row>
    <row r="323" spans="1:26">
      <c r="A323" s="197"/>
      <c r="B323" s="259" t="s">
        <v>475</v>
      </c>
      <c r="C323" s="197"/>
      <c r="D323" s="197"/>
      <c r="E323" s="197"/>
      <c r="F323" s="197"/>
      <c r="G323" s="197"/>
      <c r="H323" s="254">
        <f t="shared" ref="H323:N323" si="162">H325*H267</f>
        <v>223330.4039267422</v>
      </c>
      <c r="I323" s="254" t="e">
        <f t="shared" si="162"/>
        <v>#VALUE!</v>
      </c>
      <c r="J323" s="254" t="e">
        <f t="shared" si="162"/>
        <v>#VALUE!</v>
      </c>
      <c r="K323" s="254" t="e">
        <f t="shared" si="162"/>
        <v>#VALUE!</v>
      </c>
      <c r="L323" s="254">
        <f t="shared" si="162"/>
        <v>457683.3264504401</v>
      </c>
      <c r="M323" s="254">
        <f t="shared" si="162"/>
        <v>466836.99297944887</v>
      </c>
      <c r="N323" s="254">
        <f t="shared" si="162"/>
        <v>476173.7328390379</v>
      </c>
      <c r="O323" s="197"/>
      <c r="P323" s="197"/>
      <c r="Q323" s="197"/>
      <c r="R323" s="197"/>
      <c r="S323" s="197"/>
      <c r="T323" s="198"/>
      <c r="U323" s="197"/>
      <c r="V323" s="197"/>
      <c r="W323" s="197"/>
      <c r="X323" s="197"/>
      <c r="Y323" s="197"/>
      <c r="Z323" s="197"/>
    </row>
    <row r="324" spans="1:26">
      <c r="A324" s="197"/>
      <c r="B324" s="259" t="s">
        <v>488</v>
      </c>
      <c r="C324" s="197"/>
      <c r="D324" s="296">
        <f>2531/H116</f>
        <v>4.3562822719449227E-3</v>
      </c>
      <c r="E324" s="197"/>
      <c r="F324" s="197"/>
      <c r="G324" s="197"/>
      <c r="H324" s="227"/>
      <c r="I324" s="227"/>
      <c r="J324" s="227"/>
      <c r="K324" s="227"/>
      <c r="L324" s="227"/>
      <c r="M324" s="227"/>
      <c r="N324" s="227"/>
      <c r="O324" s="197"/>
      <c r="P324" s="197"/>
      <c r="Q324" s="197"/>
      <c r="R324" s="197"/>
      <c r="S324" s="197"/>
      <c r="T324" s="198"/>
      <c r="U324" s="197"/>
      <c r="V324" s="197"/>
      <c r="W324" s="197"/>
      <c r="X324" s="197"/>
      <c r="Y324" s="197"/>
      <c r="Z324" s="197"/>
    </row>
    <row r="325" spans="1:26">
      <c r="A325" s="197"/>
      <c r="B325" s="259" t="s">
        <v>489</v>
      </c>
      <c r="C325" s="197"/>
      <c r="D325" s="197"/>
      <c r="E325" s="197"/>
      <c r="F325" s="197"/>
      <c r="G325" s="197"/>
      <c r="H325" s="254">
        <v>2531</v>
      </c>
      <c r="I325" s="254" t="e">
        <f t="shared" ref="I325:N325" si="163">$D$324*I116</f>
        <v>#VALUE!</v>
      </c>
      <c r="J325" s="254" t="e">
        <f t="shared" si="163"/>
        <v>#VALUE!</v>
      </c>
      <c r="K325" s="254" t="e">
        <f t="shared" si="163"/>
        <v>#VALUE!</v>
      </c>
      <c r="L325" s="254">
        <f t="shared" si="163"/>
        <v>4791.9104991394152</v>
      </c>
      <c r="M325" s="254">
        <f t="shared" si="163"/>
        <v>4791.9104991394152</v>
      </c>
      <c r="N325" s="254">
        <f t="shared" si="163"/>
        <v>4791.9104991394152</v>
      </c>
      <c r="O325" s="197"/>
      <c r="P325" s="197"/>
      <c r="Q325" s="197"/>
      <c r="R325" s="197"/>
      <c r="S325" s="197"/>
      <c r="T325" s="198"/>
      <c r="U325" s="197"/>
      <c r="V325" s="197"/>
      <c r="W325" s="197"/>
      <c r="X325" s="197"/>
      <c r="Y325" s="197"/>
      <c r="Z325" s="197"/>
    </row>
    <row r="326" spans="1:26">
      <c r="A326" s="197"/>
      <c r="B326" s="259" t="s">
        <v>476</v>
      </c>
      <c r="C326" s="197"/>
      <c r="D326" s="197"/>
      <c r="E326" s="197"/>
      <c r="F326" s="197"/>
      <c r="G326" s="197"/>
      <c r="H326" s="254" t="e">
        <f t="shared" ref="H326:N326" si="164">H292*H116</f>
        <v>#VALUE!</v>
      </c>
      <c r="I326" s="254" t="e">
        <f t="shared" si="164"/>
        <v>#VALUE!</v>
      </c>
      <c r="J326" s="254" t="e">
        <f t="shared" si="164"/>
        <v>#VALUE!</v>
      </c>
      <c r="K326" s="254" t="e">
        <f t="shared" si="164"/>
        <v>#VALUE!</v>
      </c>
      <c r="L326" s="254" t="e">
        <f t="shared" si="164"/>
        <v>#VALUE!</v>
      </c>
      <c r="M326" s="254" t="e">
        <f t="shared" si="164"/>
        <v>#VALUE!</v>
      </c>
      <c r="N326" s="254" t="e">
        <f t="shared" si="164"/>
        <v>#VALUE!</v>
      </c>
      <c r="O326" s="197"/>
      <c r="P326" s="197"/>
      <c r="Q326" s="197"/>
      <c r="R326" s="197"/>
      <c r="S326" s="197"/>
      <c r="T326" s="198"/>
      <c r="U326" s="197"/>
      <c r="V326" s="197"/>
      <c r="W326" s="197"/>
      <c r="X326" s="197"/>
      <c r="Y326" s="197"/>
      <c r="Z326" s="197"/>
    </row>
    <row r="327" spans="1:26">
      <c r="A327" s="197"/>
      <c r="B327" s="197"/>
      <c r="C327" s="197"/>
      <c r="D327" s="197"/>
      <c r="E327" s="197"/>
      <c r="F327" s="197"/>
      <c r="G327" s="197"/>
      <c r="H327" s="227"/>
      <c r="I327" s="227"/>
      <c r="J327" s="227"/>
      <c r="K327" s="227"/>
      <c r="L327" s="227"/>
      <c r="M327" s="227"/>
      <c r="N327" s="227"/>
      <c r="O327" s="197"/>
      <c r="P327" s="197"/>
      <c r="Q327" s="197"/>
      <c r="R327" s="197"/>
      <c r="S327" s="197"/>
      <c r="T327" s="198"/>
      <c r="U327" s="197"/>
      <c r="V327" s="197"/>
      <c r="W327" s="197"/>
      <c r="X327" s="197"/>
      <c r="Y327" s="197"/>
      <c r="Z327" s="197"/>
    </row>
    <row r="328" spans="1:26">
      <c r="A328" s="197"/>
      <c r="B328" s="211" t="s">
        <v>472</v>
      </c>
      <c r="C328" s="197"/>
      <c r="D328" s="197"/>
      <c r="E328" s="197"/>
      <c r="F328" s="197"/>
      <c r="G328" s="197"/>
      <c r="H328" s="258" t="e">
        <f t="shared" ref="H328:N328" si="165">H311+H321</f>
        <v>#VALUE!</v>
      </c>
      <c r="I328" s="258" t="e">
        <f t="shared" si="165"/>
        <v>#VALUE!</v>
      </c>
      <c r="J328" s="258" t="e">
        <f t="shared" si="165"/>
        <v>#VALUE!</v>
      </c>
      <c r="K328" s="258" t="e">
        <f t="shared" si="165"/>
        <v>#VALUE!</v>
      </c>
      <c r="L328" s="258" t="e">
        <f t="shared" si="165"/>
        <v>#VALUE!</v>
      </c>
      <c r="M328" s="258" t="e">
        <f t="shared" si="165"/>
        <v>#VALUE!</v>
      </c>
      <c r="N328" s="258" t="e">
        <f t="shared" si="165"/>
        <v>#VALUE!</v>
      </c>
      <c r="O328" s="197"/>
      <c r="P328" s="197"/>
      <c r="Q328" s="197"/>
      <c r="R328" s="197"/>
      <c r="S328" s="197"/>
      <c r="T328" s="198"/>
      <c r="U328" s="197"/>
      <c r="V328" s="197"/>
      <c r="W328" s="197"/>
      <c r="X328" s="197"/>
      <c r="Y328" s="197"/>
      <c r="Z328" s="197"/>
    </row>
    <row r="329" spans="1:26">
      <c r="A329" s="197"/>
      <c r="B329" s="197"/>
      <c r="C329" s="197"/>
      <c r="D329" s="197"/>
      <c r="E329" s="197"/>
      <c r="F329" s="197"/>
      <c r="G329" s="197"/>
      <c r="H329" s="227"/>
      <c r="I329" s="278"/>
      <c r="J329" s="278"/>
      <c r="K329" s="278"/>
      <c r="L329" s="278"/>
      <c r="M329" s="278"/>
      <c r="N329" s="278"/>
      <c r="O329" s="197"/>
      <c r="P329" s="197"/>
      <c r="Q329" s="197"/>
      <c r="R329" s="197"/>
      <c r="S329" s="197"/>
      <c r="T329" s="198"/>
      <c r="U329" s="197"/>
      <c r="V329" s="197"/>
      <c r="W329" s="197"/>
      <c r="X329" s="197"/>
      <c r="Y329" s="197"/>
      <c r="Z329" s="197"/>
    </row>
    <row r="330" spans="1:26">
      <c r="A330" s="197"/>
      <c r="B330" s="211" t="s">
        <v>490</v>
      </c>
      <c r="C330" s="197"/>
      <c r="D330" s="197"/>
      <c r="E330" s="197"/>
      <c r="F330" s="197"/>
      <c r="G330" s="197"/>
      <c r="H330" s="254" t="e">
        <f t="shared" ref="H330:N330" si="166">H331+H332</f>
        <v>#VALUE!</v>
      </c>
      <c r="I330" s="254" t="e">
        <f t="shared" si="166"/>
        <v>#VALUE!</v>
      </c>
      <c r="J330" s="254" t="e">
        <f t="shared" si="166"/>
        <v>#VALUE!</v>
      </c>
      <c r="K330" s="254" t="e">
        <f t="shared" si="166"/>
        <v>#VALUE!</v>
      </c>
      <c r="L330" s="254" t="e">
        <f t="shared" si="166"/>
        <v>#VALUE!</v>
      </c>
      <c r="M330" s="254" t="e">
        <f t="shared" si="166"/>
        <v>#VALUE!</v>
      </c>
      <c r="N330" s="254" t="e">
        <f t="shared" si="166"/>
        <v>#VALUE!</v>
      </c>
      <c r="O330" s="197"/>
      <c r="P330" s="197"/>
      <c r="Q330" s="197"/>
      <c r="R330" s="197"/>
      <c r="S330" s="197"/>
      <c r="T330" s="198"/>
      <c r="U330" s="197"/>
      <c r="V330" s="197"/>
      <c r="W330" s="197"/>
      <c r="X330" s="197"/>
      <c r="Y330" s="197"/>
      <c r="Z330" s="197"/>
    </row>
    <row r="331" spans="1:26">
      <c r="A331" s="197"/>
      <c r="B331" s="259" t="s">
        <v>479</v>
      </c>
      <c r="C331" s="197"/>
      <c r="D331" s="197"/>
      <c r="E331" s="197"/>
      <c r="F331" s="197"/>
      <c r="G331" s="197"/>
      <c r="H331" s="254" t="e">
        <f t="shared" ref="H331:N331" si="167">H312</f>
        <v>#VALUE!</v>
      </c>
      <c r="I331" s="254" t="e">
        <f t="shared" si="167"/>
        <v>#VALUE!</v>
      </c>
      <c r="J331" s="254" t="e">
        <f t="shared" si="167"/>
        <v>#VALUE!</v>
      </c>
      <c r="K331" s="254" t="e">
        <f t="shared" si="167"/>
        <v>#VALUE!</v>
      </c>
      <c r="L331" s="254" t="e">
        <f t="shared" si="167"/>
        <v>#VALUE!</v>
      </c>
      <c r="M331" s="254" t="e">
        <f t="shared" si="167"/>
        <v>#VALUE!</v>
      </c>
      <c r="N331" s="254" t="e">
        <f t="shared" si="167"/>
        <v>#VALUE!</v>
      </c>
      <c r="O331" s="197"/>
      <c r="P331" s="197"/>
      <c r="Q331" s="197"/>
      <c r="R331" s="197"/>
      <c r="S331" s="197"/>
      <c r="T331" s="198"/>
      <c r="U331" s="197"/>
      <c r="V331" s="197"/>
      <c r="W331" s="197"/>
      <c r="X331" s="197"/>
      <c r="Y331" s="197"/>
      <c r="Z331" s="197"/>
    </row>
    <row r="332" spans="1:26">
      <c r="A332" s="197"/>
      <c r="B332" s="259" t="s">
        <v>395</v>
      </c>
      <c r="C332" s="197"/>
      <c r="D332" s="197"/>
      <c r="E332" s="197"/>
      <c r="F332" s="197"/>
      <c r="G332" s="197"/>
      <c r="H332" s="254" t="e">
        <f t="shared" ref="H332:N332" si="168">SUM(H333:H335)</f>
        <v>#VALUE!</v>
      </c>
      <c r="I332" s="254" t="e">
        <f t="shared" si="168"/>
        <v>#VALUE!</v>
      </c>
      <c r="J332" s="254" t="e">
        <f t="shared" si="168"/>
        <v>#VALUE!</v>
      </c>
      <c r="K332" s="254" t="e">
        <f t="shared" si="168"/>
        <v>#VALUE!</v>
      </c>
      <c r="L332" s="254" t="e">
        <f t="shared" si="168"/>
        <v>#VALUE!</v>
      </c>
      <c r="M332" s="254" t="e">
        <f t="shared" si="168"/>
        <v>#VALUE!</v>
      </c>
      <c r="N332" s="254" t="e">
        <f t="shared" si="168"/>
        <v>#VALUE!</v>
      </c>
      <c r="O332" s="197"/>
      <c r="P332" s="197"/>
      <c r="Q332" s="197"/>
      <c r="R332" s="197"/>
      <c r="S332" s="197"/>
      <c r="T332" s="198"/>
      <c r="U332" s="197"/>
      <c r="V332" s="197"/>
      <c r="W332" s="197"/>
      <c r="X332" s="197"/>
      <c r="Y332" s="197"/>
      <c r="Z332" s="197"/>
    </row>
    <row r="333" spans="1:26">
      <c r="A333" s="197"/>
      <c r="B333" s="259" t="s">
        <v>448</v>
      </c>
      <c r="C333" s="197"/>
      <c r="D333" s="197"/>
      <c r="E333" s="197"/>
      <c r="F333" s="197"/>
      <c r="G333" s="197"/>
      <c r="H333" s="254">
        <f t="shared" ref="H333:N333" si="169">H322/H116*1000</f>
        <v>86.058519793459553</v>
      </c>
      <c r="I333" s="254" t="e">
        <f t="shared" si="169"/>
        <v>#VALUE!</v>
      </c>
      <c r="J333" s="254" t="e">
        <f t="shared" si="169"/>
        <v>#VALUE!</v>
      </c>
      <c r="K333" s="254" t="e">
        <f t="shared" si="169"/>
        <v>#VALUE!</v>
      </c>
      <c r="L333" s="254" t="e">
        <f t="shared" si="169"/>
        <v>#VALUE!</v>
      </c>
      <c r="M333" s="254" t="e">
        <f t="shared" si="169"/>
        <v>#VALUE!</v>
      </c>
      <c r="N333" s="254" t="e">
        <f t="shared" si="169"/>
        <v>#VALUE!</v>
      </c>
      <c r="O333" s="197"/>
      <c r="P333" s="197"/>
      <c r="Q333" s="197"/>
      <c r="R333" s="197"/>
      <c r="S333" s="197"/>
      <c r="T333" s="198"/>
      <c r="U333" s="197"/>
      <c r="V333" s="197"/>
      <c r="W333" s="197"/>
      <c r="X333" s="197"/>
      <c r="Y333" s="197"/>
      <c r="Z333" s="197"/>
    </row>
    <row r="334" spans="1:26">
      <c r="A334" s="197"/>
      <c r="B334" s="259" t="s">
        <v>475</v>
      </c>
      <c r="C334" s="197"/>
      <c r="D334" s="197"/>
      <c r="E334" s="197"/>
      <c r="F334" s="197"/>
      <c r="G334" s="197"/>
      <c r="H334" s="254">
        <f t="shared" ref="H334:N334" si="170">H323/H116*1000</f>
        <v>384.38967973621726</v>
      </c>
      <c r="I334" s="254" t="e">
        <f t="shared" si="170"/>
        <v>#VALUE!</v>
      </c>
      <c r="J334" s="254" t="e">
        <f t="shared" si="170"/>
        <v>#VALUE!</v>
      </c>
      <c r="K334" s="254" t="e">
        <f t="shared" si="170"/>
        <v>#VALUE!</v>
      </c>
      <c r="L334" s="254">
        <f t="shared" si="170"/>
        <v>416.07575131858192</v>
      </c>
      <c r="M334" s="254">
        <f t="shared" si="170"/>
        <v>424.39726634495349</v>
      </c>
      <c r="N334" s="254">
        <f t="shared" si="170"/>
        <v>432.88521167185263</v>
      </c>
      <c r="O334" s="197"/>
      <c r="P334" s="197"/>
      <c r="Q334" s="197"/>
      <c r="R334" s="197"/>
      <c r="S334" s="197"/>
      <c r="T334" s="198"/>
      <c r="U334" s="197"/>
      <c r="V334" s="197"/>
      <c r="W334" s="197"/>
      <c r="X334" s="197"/>
      <c r="Y334" s="197"/>
      <c r="Z334" s="197"/>
    </row>
    <row r="335" spans="1:26">
      <c r="A335" s="197"/>
      <c r="B335" s="259" t="s">
        <v>491</v>
      </c>
      <c r="C335" s="197"/>
      <c r="D335" s="197"/>
      <c r="E335" s="197"/>
      <c r="F335" s="197"/>
      <c r="G335" s="197"/>
      <c r="H335" s="254" t="e">
        <f t="shared" ref="H335:N335" si="171">H326/H116*1000</f>
        <v>#VALUE!</v>
      </c>
      <c r="I335" s="254" t="e">
        <f t="shared" si="171"/>
        <v>#VALUE!</v>
      </c>
      <c r="J335" s="254" t="e">
        <f t="shared" si="171"/>
        <v>#VALUE!</v>
      </c>
      <c r="K335" s="254" t="e">
        <f t="shared" si="171"/>
        <v>#VALUE!</v>
      </c>
      <c r="L335" s="254" t="e">
        <f t="shared" si="171"/>
        <v>#VALUE!</v>
      </c>
      <c r="M335" s="254" t="e">
        <f t="shared" si="171"/>
        <v>#VALUE!</v>
      </c>
      <c r="N335" s="254" t="e">
        <f t="shared" si="171"/>
        <v>#VALUE!</v>
      </c>
      <c r="O335" s="197"/>
      <c r="P335" s="197"/>
      <c r="Q335" s="197"/>
      <c r="R335" s="197"/>
      <c r="S335" s="197"/>
      <c r="T335" s="198"/>
      <c r="U335" s="197"/>
      <c r="V335" s="197"/>
      <c r="W335" s="197"/>
      <c r="X335" s="197"/>
      <c r="Y335" s="197"/>
      <c r="Z335" s="197"/>
    </row>
    <row r="336" spans="1:26">
      <c r="A336" s="197"/>
      <c r="B336" s="197"/>
      <c r="C336" s="197"/>
      <c r="D336" s="197"/>
      <c r="E336" s="197"/>
      <c r="F336" s="197"/>
      <c r="G336" s="197"/>
      <c r="H336" s="197"/>
      <c r="I336" s="197"/>
      <c r="J336" s="197"/>
      <c r="K336" s="197"/>
      <c r="L336" s="197"/>
      <c r="M336" s="197"/>
      <c r="N336" s="197"/>
      <c r="O336" s="197"/>
      <c r="P336" s="197"/>
      <c r="Q336" s="197"/>
      <c r="R336" s="197"/>
      <c r="S336" s="197"/>
      <c r="T336" s="198"/>
      <c r="U336" s="197"/>
      <c r="V336" s="197"/>
      <c r="W336" s="197"/>
      <c r="X336" s="197"/>
      <c r="Y336" s="197"/>
      <c r="Z336" s="197"/>
    </row>
    <row r="337" spans="1:26">
      <c r="A337" s="197"/>
      <c r="B337" s="259" t="s">
        <v>492</v>
      </c>
      <c r="C337" s="197"/>
      <c r="D337" s="197"/>
      <c r="E337" s="197"/>
      <c r="F337" s="197"/>
      <c r="G337" s="197"/>
      <c r="H337" s="198"/>
      <c r="I337" s="218" t="e">
        <f t="shared" ref="I337:N337" si="172">1-I328/I115</f>
        <v>#VALUE!</v>
      </c>
      <c r="J337" s="218" t="e">
        <f t="shared" si="172"/>
        <v>#VALUE!</v>
      </c>
      <c r="K337" s="218" t="e">
        <f t="shared" si="172"/>
        <v>#VALUE!</v>
      </c>
      <c r="L337" s="218" t="e">
        <f t="shared" si="172"/>
        <v>#VALUE!</v>
      </c>
      <c r="M337" s="218" t="e">
        <f t="shared" si="172"/>
        <v>#VALUE!</v>
      </c>
      <c r="N337" s="218" t="e">
        <f t="shared" si="172"/>
        <v>#VALUE!</v>
      </c>
      <c r="O337" s="197"/>
      <c r="P337" s="197"/>
      <c r="Q337" s="197"/>
      <c r="R337" s="197"/>
      <c r="S337" s="197"/>
      <c r="T337" s="198"/>
      <c r="U337" s="197"/>
      <c r="V337" s="197"/>
      <c r="W337" s="197"/>
      <c r="X337" s="197"/>
      <c r="Y337" s="197"/>
      <c r="Z337" s="197"/>
    </row>
    <row r="338" spans="1:26">
      <c r="A338" s="197"/>
      <c r="B338" s="197"/>
      <c r="C338" s="197"/>
      <c r="D338" s="197"/>
      <c r="E338" s="197"/>
      <c r="F338" s="197"/>
      <c r="G338" s="197"/>
      <c r="H338" s="197"/>
      <c r="I338" s="197"/>
      <c r="J338" s="197"/>
      <c r="K338" s="197"/>
      <c r="L338" s="197"/>
      <c r="M338" s="197"/>
      <c r="N338" s="197"/>
      <c r="O338" s="197"/>
      <c r="P338" s="197"/>
      <c r="Q338" s="197"/>
      <c r="R338" s="197"/>
      <c r="S338" s="197"/>
      <c r="T338" s="198"/>
      <c r="U338" s="197"/>
      <c r="V338" s="197"/>
      <c r="W338" s="197"/>
      <c r="X338" s="197"/>
      <c r="Y338" s="197"/>
      <c r="Z338" s="197"/>
    </row>
    <row r="339" spans="1:26">
      <c r="A339" s="197"/>
      <c r="B339" s="267"/>
      <c r="C339" s="197"/>
      <c r="D339" s="197"/>
      <c r="E339" s="197"/>
      <c r="F339" s="197"/>
      <c r="G339" s="197"/>
      <c r="H339" s="197"/>
      <c r="I339" s="197"/>
      <c r="J339" s="197"/>
      <c r="K339" s="197"/>
      <c r="L339" s="197"/>
      <c r="M339" s="197"/>
      <c r="N339" s="197"/>
      <c r="O339" s="197"/>
      <c r="P339" s="197"/>
      <c r="Q339" s="197"/>
      <c r="R339" s="197"/>
      <c r="S339" s="197"/>
      <c r="T339" s="198"/>
      <c r="U339" s="197"/>
      <c r="V339" s="197"/>
      <c r="W339" s="197"/>
      <c r="X339" s="197"/>
      <c r="Y339" s="197"/>
      <c r="Z339" s="197"/>
    </row>
    <row r="340" spans="1:26">
      <c r="A340" s="197"/>
      <c r="B340" s="279" t="s">
        <v>493</v>
      </c>
      <c r="C340" s="197"/>
      <c r="D340" s="247"/>
      <c r="E340" s="247"/>
      <c r="F340" s="247"/>
      <c r="G340" s="247"/>
      <c r="H340" s="247"/>
      <c r="I340" s="248"/>
      <c r="J340" s="248"/>
      <c r="K340" s="248"/>
      <c r="L340" s="248"/>
      <c r="M340" s="248"/>
      <c r="N340" s="248"/>
      <c r="O340" s="197"/>
      <c r="P340" s="197"/>
      <c r="Q340" s="197"/>
      <c r="R340" s="197"/>
      <c r="S340" s="197"/>
      <c r="T340" s="198"/>
      <c r="U340" s="197"/>
      <c r="V340" s="197"/>
      <c r="W340" s="197"/>
      <c r="X340" s="197"/>
      <c r="Y340" s="197"/>
      <c r="Z340" s="197"/>
    </row>
    <row r="341" spans="1:26">
      <c r="A341" s="197"/>
      <c r="B341" s="211" t="s">
        <v>479</v>
      </c>
      <c r="C341" s="197"/>
      <c r="D341" s="197"/>
      <c r="E341" s="197"/>
      <c r="F341" s="197"/>
      <c r="G341" s="197"/>
      <c r="H341" s="197"/>
      <c r="I341" s="254" t="e">
        <f t="shared" ref="I341:N341" si="173">I342*I126/10^3</f>
        <v>#VALUE!</v>
      </c>
      <c r="J341" s="254" t="e">
        <f t="shared" si="173"/>
        <v>#VALUE!</v>
      </c>
      <c r="K341" s="254" t="e">
        <f t="shared" si="173"/>
        <v>#VALUE!</v>
      </c>
      <c r="L341" s="254" t="e">
        <f t="shared" si="173"/>
        <v>#VALUE!</v>
      </c>
      <c r="M341" s="254" t="e">
        <f t="shared" si="173"/>
        <v>#VALUE!</v>
      </c>
      <c r="N341" s="254" t="e">
        <f t="shared" si="173"/>
        <v>#VALUE!</v>
      </c>
      <c r="O341" s="197"/>
      <c r="P341" s="197"/>
      <c r="Q341" s="197"/>
      <c r="R341" s="197"/>
      <c r="S341" s="197"/>
      <c r="T341" s="198"/>
      <c r="U341" s="197"/>
      <c r="V341" s="197"/>
      <c r="W341" s="197"/>
      <c r="X341" s="197"/>
      <c r="Y341" s="197"/>
      <c r="Z341" s="197"/>
    </row>
    <row r="342" spans="1:26">
      <c r="A342" s="197"/>
      <c r="B342" s="211" t="s">
        <v>480</v>
      </c>
      <c r="C342" s="197"/>
      <c r="D342" s="259" t="s">
        <v>494</v>
      </c>
      <c r="E342" s="197"/>
      <c r="F342" s="197"/>
      <c r="G342" s="197"/>
      <c r="H342" s="308"/>
      <c r="I342" s="254" t="e">
        <f t="shared" ref="I342:N342" si="174">I343+I344+I345</f>
        <v>#VALUE!</v>
      </c>
      <c r="J342" s="254" t="e">
        <f t="shared" si="174"/>
        <v>#VALUE!</v>
      </c>
      <c r="K342" s="254" t="e">
        <f t="shared" si="174"/>
        <v>#VALUE!</v>
      </c>
      <c r="L342" s="254" t="e">
        <f t="shared" si="174"/>
        <v>#VALUE!</v>
      </c>
      <c r="M342" s="254" t="e">
        <f t="shared" si="174"/>
        <v>#VALUE!</v>
      </c>
      <c r="N342" s="254" t="e">
        <f t="shared" si="174"/>
        <v>#VALUE!</v>
      </c>
      <c r="O342" s="197"/>
      <c r="P342" s="197"/>
      <c r="Q342" s="197"/>
      <c r="R342" s="197"/>
      <c r="S342" s="197"/>
      <c r="T342" s="198"/>
      <c r="U342" s="197"/>
      <c r="V342" s="197"/>
      <c r="W342" s="197"/>
      <c r="X342" s="197"/>
      <c r="Y342" s="197"/>
      <c r="Z342" s="197"/>
    </row>
    <row r="343" spans="1:26">
      <c r="A343" s="197"/>
      <c r="B343" s="259" t="s">
        <v>337</v>
      </c>
      <c r="C343" s="197"/>
      <c r="D343" s="280">
        <v>1.0449999999999999</v>
      </c>
      <c r="E343" s="197"/>
      <c r="F343" s="197"/>
      <c r="G343" s="197"/>
      <c r="H343" s="197"/>
      <c r="I343" s="298">
        <f t="shared" ref="I343:N343" si="175">(I347)*I236*$D343</f>
        <v>13997.775</v>
      </c>
      <c r="J343" s="298" t="e">
        <f t="shared" si="175"/>
        <v>#VALUE!</v>
      </c>
      <c r="K343" s="298" t="e">
        <f t="shared" si="175"/>
        <v>#VALUE!</v>
      </c>
      <c r="L343" s="298" t="e">
        <f t="shared" si="175"/>
        <v>#VALUE!</v>
      </c>
      <c r="M343" s="298" t="e">
        <f t="shared" si="175"/>
        <v>#VALUE!</v>
      </c>
      <c r="N343" s="298" t="e">
        <f t="shared" si="175"/>
        <v>#VALUE!</v>
      </c>
      <c r="O343" s="197"/>
      <c r="P343" s="197"/>
      <c r="Q343" s="197"/>
      <c r="R343" s="197"/>
      <c r="S343" s="197"/>
      <c r="T343" s="198"/>
      <c r="U343" s="197"/>
      <c r="V343" s="197"/>
      <c r="W343" s="197"/>
      <c r="X343" s="197"/>
      <c r="Y343" s="197"/>
      <c r="Z343" s="197"/>
    </row>
    <row r="344" spans="1:26">
      <c r="A344" s="197"/>
      <c r="B344" s="259" t="s">
        <v>408</v>
      </c>
      <c r="C344" s="197"/>
      <c r="D344" s="280">
        <v>200</v>
      </c>
      <c r="E344" s="197"/>
      <c r="F344" s="197"/>
      <c r="G344" s="197"/>
      <c r="H344" s="286"/>
      <c r="I344" s="296" t="e">
        <f t="shared" ref="I344:N344" si="176">I348*$D$344/1000</f>
        <v>#VALUE!</v>
      </c>
      <c r="J344" s="296" t="e">
        <f t="shared" si="176"/>
        <v>#VALUE!</v>
      </c>
      <c r="K344" s="296" t="e">
        <f t="shared" si="176"/>
        <v>#VALUE!</v>
      </c>
      <c r="L344" s="296" t="e">
        <f t="shared" si="176"/>
        <v>#VALUE!</v>
      </c>
      <c r="M344" s="296" t="e">
        <f t="shared" si="176"/>
        <v>#VALUE!</v>
      </c>
      <c r="N344" s="296" t="e">
        <f t="shared" si="176"/>
        <v>#VALUE!</v>
      </c>
      <c r="O344" s="197"/>
      <c r="P344" s="197"/>
      <c r="Q344" s="197"/>
      <c r="R344" s="197"/>
      <c r="S344" s="197"/>
      <c r="T344" s="198"/>
      <c r="U344" s="197"/>
      <c r="V344" s="197"/>
      <c r="W344" s="197"/>
      <c r="X344" s="197"/>
      <c r="Y344" s="197"/>
      <c r="Z344" s="197"/>
    </row>
    <row r="345" spans="1:26">
      <c r="A345" s="197"/>
      <c r="B345" s="259" t="s">
        <v>495</v>
      </c>
      <c r="C345" s="197"/>
      <c r="D345" s="280">
        <v>1</v>
      </c>
      <c r="E345" s="197"/>
      <c r="F345" s="197"/>
      <c r="G345" s="197"/>
      <c r="H345" s="199"/>
      <c r="I345" s="254">
        <f t="shared" ref="I345:N345" si="177">I349*$D$345</f>
        <v>3000</v>
      </c>
      <c r="J345" s="254">
        <f t="shared" si="177"/>
        <v>3500</v>
      </c>
      <c r="K345" s="254">
        <f t="shared" si="177"/>
        <v>3000</v>
      </c>
      <c r="L345" s="254">
        <f t="shared" si="177"/>
        <v>3000</v>
      </c>
      <c r="M345" s="254">
        <f t="shared" si="177"/>
        <v>2667</v>
      </c>
      <c r="N345" s="254">
        <f t="shared" si="177"/>
        <v>2668</v>
      </c>
      <c r="O345" s="197"/>
      <c r="P345" s="197"/>
      <c r="Q345" s="197"/>
      <c r="R345" s="197"/>
      <c r="S345" s="197"/>
      <c r="T345" s="198"/>
      <c r="U345" s="197"/>
      <c r="V345" s="197"/>
      <c r="W345" s="197"/>
      <c r="X345" s="197"/>
      <c r="Y345" s="197"/>
      <c r="Z345" s="197"/>
    </row>
    <row r="346" spans="1:26">
      <c r="A346" s="197"/>
      <c r="B346" s="197"/>
      <c r="C346" s="197"/>
      <c r="D346" s="197"/>
      <c r="E346" s="197"/>
      <c r="F346" s="197"/>
      <c r="G346" s="197"/>
      <c r="H346" s="198"/>
      <c r="I346" s="227"/>
      <c r="J346" s="227"/>
      <c r="K346" s="227"/>
      <c r="L346" s="227"/>
      <c r="M346" s="227"/>
      <c r="N346" s="227"/>
      <c r="O346" s="197"/>
      <c r="P346" s="197"/>
      <c r="Q346" s="197"/>
      <c r="R346" s="197"/>
      <c r="S346" s="197"/>
      <c r="T346" s="198"/>
      <c r="U346" s="197"/>
      <c r="V346" s="197"/>
      <c r="W346" s="197"/>
      <c r="X346" s="197"/>
      <c r="Y346" s="197"/>
      <c r="Z346" s="197"/>
    </row>
    <row r="347" spans="1:26">
      <c r="A347" s="197"/>
      <c r="B347" s="259" t="s">
        <v>496</v>
      </c>
      <c r="C347" s="197"/>
      <c r="D347" s="197"/>
      <c r="E347" s="197"/>
      <c r="F347" s="197"/>
      <c r="G347" s="197"/>
      <c r="H347" s="197"/>
      <c r="I347" s="315">
        <f t="shared" ref="I347:R347" si="178">I317</f>
        <v>570</v>
      </c>
      <c r="J347" s="315">
        <f t="shared" si="178"/>
        <v>480</v>
      </c>
      <c r="K347" s="315">
        <f t="shared" si="178"/>
        <v>450</v>
      </c>
      <c r="L347" s="315">
        <f t="shared" si="178"/>
        <v>400</v>
      </c>
      <c r="M347" s="315">
        <f t="shared" si="178"/>
        <v>420</v>
      </c>
      <c r="N347" s="315">
        <f t="shared" si="178"/>
        <v>450</v>
      </c>
      <c r="O347" s="316">
        <f t="shared" si="178"/>
        <v>0</v>
      </c>
      <c r="P347" s="316">
        <f t="shared" si="178"/>
        <v>0</v>
      </c>
      <c r="Q347" s="316">
        <f t="shared" si="178"/>
        <v>0</v>
      </c>
      <c r="R347" s="316">
        <f t="shared" si="178"/>
        <v>0</v>
      </c>
      <c r="S347" s="197"/>
      <c r="T347" s="263" t="s">
        <v>484</v>
      </c>
      <c r="U347" s="197"/>
      <c r="V347" s="197"/>
      <c r="W347" s="197"/>
      <c r="X347" s="197"/>
      <c r="Y347" s="197"/>
      <c r="Z347" s="197"/>
    </row>
    <row r="348" spans="1:26">
      <c r="A348" s="197"/>
      <c r="B348" s="259" t="s">
        <v>497</v>
      </c>
      <c r="C348" s="197"/>
      <c r="D348" s="197"/>
      <c r="E348" s="197"/>
      <c r="F348" s="197"/>
      <c r="G348" s="197"/>
      <c r="H348" s="286"/>
      <c r="I348" s="254" t="e">
        <f t="shared" ref="I348:N348" si="179">I318</f>
        <v>#VALUE!</v>
      </c>
      <c r="J348" s="254" t="e">
        <f t="shared" si="179"/>
        <v>#VALUE!</v>
      </c>
      <c r="K348" s="254" t="e">
        <f t="shared" si="179"/>
        <v>#VALUE!</v>
      </c>
      <c r="L348" s="254" t="e">
        <f t="shared" si="179"/>
        <v>#VALUE!</v>
      </c>
      <c r="M348" s="254" t="e">
        <f t="shared" si="179"/>
        <v>#VALUE!</v>
      </c>
      <c r="N348" s="254" t="e">
        <f t="shared" si="179"/>
        <v>#VALUE!</v>
      </c>
      <c r="O348" s="227">
        <f t="shared" ref="O348:R348" si="180">P318</f>
        <v>0</v>
      </c>
      <c r="P348" s="227">
        <f t="shared" si="180"/>
        <v>0</v>
      </c>
      <c r="Q348" s="227">
        <f t="shared" si="180"/>
        <v>0</v>
      </c>
      <c r="R348" s="227">
        <f t="shared" si="180"/>
        <v>0</v>
      </c>
      <c r="S348" s="197"/>
      <c r="T348" s="198"/>
      <c r="U348" s="197"/>
      <c r="V348" s="197"/>
      <c r="W348" s="197"/>
      <c r="X348" s="197"/>
      <c r="Y348" s="197"/>
      <c r="Z348" s="197"/>
    </row>
    <row r="349" spans="1:26">
      <c r="A349" s="197"/>
      <c r="B349" s="259" t="s">
        <v>498</v>
      </c>
      <c r="C349" s="197"/>
      <c r="D349" s="197"/>
      <c r="E349" s="197"/>
      <c r="F349" s="197"/>
      <c r="G349" s="197"/>
      <c r="H349" s="198"/>
      <c r="I349" s="254">
        <v>3000</v>
      </c>
      <c r="J349" s="254">
        <v>3500</v>
      </c>
      <c r="K349" s="254">
        <v>3000</v>
      </c>
      <c r="L349" s="254">
        <v>3000</v>
      </c>
      <c r="M349" s="254">
        <v>2667</v>
      </c>
      <c r="N349" s="254">
        <v>2668</v>
      </c>
      <c r="O349" s="197"/>
      <c r="P349" s="197"/>
      <c r="Q349" s="197"/>
      <c r="R349" s="197"/>
      <c r="S349" s="197"/>
      <c r="T349" s="198"/>
      <c r="U349" s="197"/>
      <c r="V349" s="197"/>
      <c r="W349" s="197"/>
      <c r="X349" s="197"/>
      <c r="Y349" s="197"/>
      <c r="Z349" s="197"/>
    </row>
    <row r="350" spans="1:26">
      <c r="A350" s="197"/>
      <c r="B350" s="197"/>
      <c r="C350" s="197"/>
      <c r="D350" s="197"/>
      <c r="E350" s="197"/>
      <c r="F350" s="197"/>
      <c r="G350" s="197"/>
      <c r="H350" s="197"/>
      <c r="I350" s="197"/>
      <c r="J350" s="197"/>
      <c r="K350" s="197"/>
      <c r="L350" s="197"/>
      <c r="M350" s="197"/>
      <c r="N350" s="197"/>
      <c r="O350" s="197"/>
      <c r="P350" s="197"/>
      <c r="Q350" s="197"/>
      <c r="R350" s="197"/>
      <c r="S350" s="197"/>
      <c r="T350" s="198"/>
      <c r="U350" s="197"/>
      <c r="V350" s="197"/>
      <c r="W350" s="197"/>
      <c r="X350" s="197"/>
      <c r="Y350" s="197"/>
      <c r="Z350" s="197"/>
    </row>
    <row r="351" spans="1:26">
      <c r="A351" s="197"/>
      <c r="B351" s="211" t="s">
        <v>395</v>
      </c>
      <c r="C351" s="197"/>
      <c r="D351" s="197"/>
      <c r="E351" s="197"/>
      <c r="F351" s="197"/>
      <c r="G351" s="197"/>
      <c r="H351" s="197"/>
      <c r="I351" s="254" t="e">
        <f t="shared" ref="I351:N351" si="181">I352+I353+I354</f>
        <v>#VALUE!</v>
      </c>
      <c r="J351" s="254" t="e">
        <f t="shared" si="181"/>
        <v>#VALUE!</v>
      </c>
      <c r="K351" s="254" t="e">
        <f t="shared" si="181"/>
        <v>#VALUE!</v>
      </c>
      <c r="L351" s="254" t="e">
        <f t="shared" si="181"/>
        <v>#VALUE!</v>
      </c>
      <c r="M351" s="254" t="e">
        <f t="shared" si="181"/>
        <v>#VALUE!</v>
      </c>
      <c r="N351" s="254" t="e">
        <f t="shared" si="181"/>
        <v>#VALUE!</v>
      </c>
      <c r="O351" s="197"/>
      <c r="P351" s="197"/>
      <c r="Q351" s="197"/>
      <c r="R351" s="197"/>
      <c r="S351" s="197"/>
      <c r="T351" s="198"/>
      <c r="U351" s="197"/>
      <c r="V351" s="197"/>
      <c r="W351" s="197"/>
      <c r="X351" s="197"/>
      <c r="Y351" s="197"/>
      <c r="Z351" s="197"/>
    </row>
    <row r="352" spans="1:26">
      <c r="A352" s="197"/>
      <c r="B352" s="259" t="s">
        <v>448</v>
      </c>
      <c r="C352" s="197"/>
      <c r="D352" s="197"/>
      <c r="E352" s="197"/>
      <c r="F352" s="197"/>
      <c r="G352" s="197"/>
      <c r="H352" s="197"/>
      <c r="I352" s="254">
        <v>200000</v>
      </c>
      <c r="J352" s="254">
        <v>200000</v>
      </c>
      <c r="K352" s="254">
        <v>200000</v>
      </c>
      <c r="L352" s="254">
        <v>200000</v>
      </c>
      <c r="M352" s="254">
        <v>200000</v>
      </c>
      <c r="N352" s="254">
        <v>200001</v>
      </c>
      <c r="O352" s="197"/>
      <c r="P352" s="197"/>
      <c r="Q352" s="197"/>
      <c r="R352" s="197"/>
      <c r="S352" s="197"/>
      <c r="T352" s="198"/>
      <c r="U352" s="197"/>
      <c r="V352" s="197"/>
      <c r="W352" s="197"/>
      <c r="X352" s="197"/>
      <c r="Y352" s="197"/>
      <c r="Z352" s="197"/>
    </row>
    <row r="353" spans="1:26">
      <c r="A353" s="197"/>
      <c r="B353" s="259" t="s">
        <v>475</v>
      </c>
      <c r="C353" s="197"/>
      <c r="D353" s="197"/>
      <c r="E353" s="197"/>
      <c r="F353" s="197"/>
      <c r="G353" s="197"/>
      <c r="H353" s="197"/>
      <c r="I353" s="254">
        <f t="shared" ref="I353:J353" si="182">H323</f>
        <v>223330.4039267422</v>
      </c>
      <c r="J353" s="254" t="e">
        <f t="shared" si="182"/>
        <v>#VALUE!</v>
      </c>
      <c r="K353" s="254" t="s">
        <v>541</v>
      </c>
      <c r="L353" s="254" t="s">
        <v>541</v>
      </c>
      <c r="M353" s="254">
        <f t="shared" ref="M353:N353" si="183">L323</f>
        <v>457683.3264504401</v>
      </c>
      <c r="N353" s="254">
        <f t="shared" si="183"/>
        <v>466836.99297944887</v>
      </c>
      <c r="O353" s="197"/>
      <c r="P353" s="197"/>
      <c r="Q353" s="197"/>
      <c r="R353" s="197"/>
      <c r="S353" s="197"/>
      <c r="T353" s="198"/>
      <c r="U353" s="197"/>
      <c r="V353" s="197"/>
      <c r="W353" s="197"/>
      <c r="X353" s="197"/>
      <c r="Y353" s="197"/>
      <c r="Z353" s="197"/>
    </row>
    <row r="354" spans="1:26">
      <c r="A354" s="197"/>
      <c r="B354" s="259" t="s">
        <v>437</v>
      </c>
      <c r="C354" s="197"/>
      <c r="D354" s="197"/>
      <c r="E354" s="197"/>
      <c r="F354" s="197"/>
      <c r="G354" s="197"/>
      <c r="H354" s="197"/>
      <c r="I354" s="254" t="e">
        <f t="shared" ref="I354:N354" si="184">I292*I126</f>
        <v>#VALUE!</v>
      </c>
      <c r="J354" s="254" t="e">
        <f t="shared" si="184"/>
        <v>#VALUE!</v>
      </c>
      <c r="K354" s="254" t="e">
        <f t="shared" si="184"/>
        <v>#VALUE!</v>
      </c>
      <c r="L354" s="254" t="e">
        <f t="shared" si="184"/>
        <v>#VALUE!</v>
      </c>
      <c r="M354" s="254" t="e">
        <f t="shared" si="184"/>
        <v>#VALUE!</v>
      </c>
      <c r="N354" s="254" t="e">
        <f t="shared" si="184"/>
        <v>#VALUE!</v>
      </c>
      <c r="O354" s="197"/>
      <c r="P354" s="197"/>
      <c r="Q354" s="197"/>
      <c r="R354" s="197"/>
      <c r="S354" s="197"/>
      <c r="T354" s="198"/>
      <c r="U354" s="197"/>
      <c r="V354" s="197"/>
      <c r="W354" s="197"/>
      <c r="X354" s="197"/>
      <c r="Y354" s="197"/>
      <c r="Z354" s="197"/>
    </row>
    <row r="355" spans="1:26">
      <c r="A355" s="197"/>
      <c r="B355" s="197"/>
      <c r="C355" s="197"/>
      <c r="D355" s="197"/>
      <c r="E355" s="197"/>
      <c r="F355" s="197"/>
      <c r="G355" s="197"/>
      <c r="H355" s="197"/>
      <c r="I355" s="197"/>
      <c r="J355" s="197"/>
      <c r="K355" s="197"/>
      <c r="L355" s="197"/>
      <c r="M355" s="197"/>
      <c r="N355" s="197"/>
      <c r="O355" s="197"/>
      <c r="P355" s="197"/>
      <c r="Q355" s="197"/>
      <c r="R355" s="197"/>
      <c r="S355" s="197"/>
      <c r="T355" s="198"/>
      <c r="U355" s="197"/>
      <c r="V355" s="197"/>
      <c r="W355" s="197"/>
      <c r="X355" s="197"/>
      <c r="Y355" s="197"/>
      <c r="Z355" s="197"/>
    </row>
    <row r="356" spans="1:26">
      <c r="A356" s="197"/>
      <c r="B356" s="211" t="s">
        <v>472</v>
      </c>
      <c r="C356" s="197"/>
      <c r="D356" s="197"/>
      <c r="E356" s="197"/>
      <c r="F356" s="197"/>
      <c r="G356" s="197"/>
      <c r="H356" s="308"/>
      <c r="I356" s="254" t="e">
        <f t="shared" ref="I356:N356" si="185">I351+I341</f>
        <v>#VALUE!</v>
      </c>
      <c r="J356" s="254" t="e">
        <f t="shared" si="185"/>
        <v>#VALUE!</v>
      </c>
      <c r="K356" s="254" t="e">
        <f t="shared" si="185"/>
        <v>#VALUE!</v>
      </c>
      <c r="L356" s="254" t="e">
        <f t="shared" si="185"/>
        <v>#VALUE!</v>
      </c>
      <c r="M356" s="254" t="e">
        <f t="shared" si="185"/>
        <v>#VALUE!</v>
      </c>
      <c r="N356" s="254" t="e">
        <f t="shared" si="185"/>
        <v>#VALUE!</v>
      </c>
      <c r="O356" s="197"/>
      <c r="P356" s="197"/>
      <c r="Q356" s="197"/>
      <c r="R356" s="197"/>
      <c r="S356" s="197"/>
      <c r="T356" s="198"/>
      <c r="U356" s="197"/>
      <c r="V356" s="197"/>
      <c r="W356" s="197"/>
      <c r="X356" s="197"/>
      <c r="Y356" s="197"/>
      <c r="Z356" s="197"/>
    </row>
    <row r="357" spans="1:26">
      <c r="A357" s="197"/>
      <c r="B357" s="259" t="s">
        <v>357</v>
      </c>
      <c r="C357" s="197"/>
      <c r="D357" s="197"/>
      <c r="E357" s="197"/>
      <c r="F357" s="197"/>
      <c r="G357" s="197"/>
      <c r="H357" s="227"/>
      <c r="I357" s="218" t="e">
        <f t="shared" ref="I357:N357" si="186">1-I356/I125</f>
        <v>#VALUE!</v>
      </c>
      <c r="J357" s="218" t="e">
        <f t="shared" si="186"/>
        <v>#VALUE!</v>
      </c>
      <c r="K357" s="218" t="e">
        <f t="shared" si="186"/>
        <v>#VALUE!</v>
      </c>
      <c r="L357" s="218" t="e">
        <f t="shared" si="186"/>
        <v>#VALUE!</v>
      </c>
      <c r="M357" s="218" t="e">
        <f t="shared" si="186"/>
        <v>#VALUE!</v>
      </c>
      <c r="N357" s="218" t="e">
        <f t="shared" si="186"/>
        <v>#VALUE!</v>
      </c>
      <c r="O357" s="197"/>
      <c r="P357" s="197"/>
      <c r="Q357" s="197"/>
      <c r="R357" s="197"/>
      <c r="S357" s="197"/>
      <c r="T357" s="198"/>
      <c r="U357" s="197"/>
      <c r="V357" s="197"/>
      <c r="W357" s="197"/>
      <c r="X357" s="197"/>
      <c r="Y357" s="197"/>
      <c r="Z357" s="197"/>
    </row>
    <row r="358" spans="1:26">
      <c r="A358" s="197"/>
      <c r="B358" s="197"/>
      <c r="C358" s="197"/>
      <c r="D358" s="197"/>
      <c r="E358" s="197"/>
      <c r="F358" s="197"/>
      <c r="G358" s="197"/>
      <c r="H358" s="197"/>
      <c r="I358" s="197"/>
      <c r="J358" s="197"/>
      <c r="K358" s="197"/>
      <c r="L358" s="197"/>
      <c r="M358" s="197"/>
      <c r="N358" s="197"/>
      <c r="O358" s="197"/>
      <c r="P358" s="197"/>
      <c r="Q358" s="197"/>
      <c r="R358" s="197"/>
      <c r="S358" s="197"/>
      <c r="T358" s="198"/>
      <c r="U358" s="197"/>
      <c r="V358" s="197"/>
      <c r="W358" s="197"/>
      <c r="X358" s="197"/>
      <c r="Y358" s="197"/>
      <c r="Z358" s="197"/>
    </row>
    <row r="359" spans="1:26">
      <c r="A359" s="197"/>
      <c r="B359" s="197"/>
      <c r="C359" s="197"/>
      <c r="D359" s="197"/>
      <c r="E359" s="197"/>
      <c r="F359" s="197"/>
      <c r="G359" s="197"/>
      <c r="H359" s="197"/>
      <c r="I359" s="197"/>
      <c r="J359" s="197"/>
      <c r="K359" s="197"/>
      <c r="L359" s="197"/>
      <c r="M359" s="197"/>
      <c r="N359" s="197"/>
      <c r="O359" s="197"/>
      <c r="P359" s="197"/>
      <c r="Q359" s="197"/>
      <c r="R359" s="197"/>
      <c r="S359" s="197"/>
      <c r="T359" s="198"/>
      <c r="U359" s="197"/>
      <c r="V359" s="197"/>
      <c r="W359" s="197"/>
      <c r="X359" s="197"/>
      <c r="Y359" s="197"/>
      <c r="Z359" s="197"/>
    </row>
    <row r="360" spans="1:26">
      <c r="A360" s="197"/>
      <c r="B360" s="197"/>
      <c r="C360" s="197"/>
      <c r="D360" s="197"/>
      <c r="E360" s="197"/>
      <c r="F360" s="197"/>
      <c r="G360" s="197"/>
      <c r="H360" s="197"/>
      <c r="I360" s="197"/>
      <c r="J360" s="197"/>
      <c r="K360" s="197"/>
      <c r="L360" s="197"/>
      <c r="M360" s="197"/>
      <c r="N360" s="197"/>
      <c r="O360" s="197"/>
      <c r="P360" s="197"/>
      <c r="Q360" s="197"/>
      <c r="R360" s="197"/>
      <c r="S360" s="197"/>
      <c r="T360" s="198"/>
      <c r="U360" s="197"/>
      <c r="V360" s="197"/>
      <c r="W360" s="197"/>
      <c r="X360" s="197"/>
      <c r="Y360" s="197"/>
      <c r="Z360" s="197"/>
    </row>
    <row r="361" spans="1:26">
      <c r="A361" s="197"/>
      <c r="B361" s="197"/>
      <c r="C361" s="197"/>
      <c r="D361" s="197"/>
      <c r="E361" s="197"/>
      <c r="F361" s="197"/>
      <c r="G361" s="197"/>
      <c r="H361" s="197"/>
      <c r="I361" s="197"/>
      <c r="J361" s="197"/>
      <c r="K361" s="197"/>
      <c r="L361" s="197"/>
      <c r="M361" s="197"/>
      <c r="N361" s="197"/>
      <c r="O361" s="197"/>
      <c r="P361" s="197"/>
      <c r="Q361" s="197"/>
      <c r="R361" s="197"/>
      <c r="S361" s="197"/>
      <c r="T361" s="198"/>
      <c r="U361" s="197"/>
      <c r="V361" s="197"/>
      <c r="W361" s="197"/>
      <c r="X361" s="197"/>
      <c r="Y361" s="197"/>
      <c r="Z361" s="197"/>
    </row>
    <row r="362" spans="1:26">
      <c r="A362" s="197"/>
      <c r="B362" s="197"/>
      <c r="C362" s="197"/>
      <c r="D362" s="197"/>
      <c r="E362" s="197"/>
      <c r="F362" s="197"/>
      <c r="G362" s="197"/>
      <c r="H362" s="197"/>
      <c r="I362" s="197"/>
      <c r="J362" s="197"/>
      <c r="K362" s="197"/>
      <c r="L362" s="197"/>
      <c r="M362" s="197"/>
      <c r="N362" s="197"/>
      <c r="O362" s="197"/>
      <c r="P362" s="197"/>
      <c r="Q362" s="197"/>
      <c r="R362" s="197"/>
      <c r="S362" s="197"/>
      <c r="T362" s="198"/>
      <c r="U362" s="197"/>
      <c r="V362" s="197"/>
      <c r="W362" s="197"/>
      <c r="X362" s="197"/>
      <c r="Y362" s="197"/>
      <c r="Z362" s="197"/>
    </row>
    <row r="363" spans="1:26">
      <c r="A363" s="197"/>
      <c r="B363" s="197"/>
      <c r="C363" s="197"/>
      <c r="D363" s="197"/>
      <c r="E363" s="197"/>
      <c r="F363" s="197"/>
      <c r="G363" s="197"/>
      <c r="H363" s="197"/>
      <c r="I363" s="197"/>
      <c r="J363" s="197"/>
      <c r="K363" s="197"/>
      <c r="L363" s="197"/>
      <c r="M363" s="197"/>
      <c r="N363" s="197"/>
      <c r="O363" s="197"/>
      <c r="P363" s="197"/>
      <c r="Q363" s="197"/>
      <c r="R363" s="197"/>
      <c r="S363" s="197"/>
      <c r="T363" s="198"/>
      <c r="U363" s="197"/>
      <c r="V363" s="197"/>
      <c r="W363" s="197"/>
      <c r="X363" s="197"/>
      <c r="Y363" s="197"/>
      <c r="Z363" s="197"/>
    </row>
    <row r="364" spans="1:26">
      <c r="A364" s="197"/>
      <c r="B364" s="197"/>
      <c r="C364" s="197"/>
      <c r="D364" s="197"/>
      <c r="E364" s="197"/>
      <c r="F364" s="197"/>
      <c r="G364" s="197"/>
      <c r="H364" s="197"/>
      <c r="I364" s="197"/>
      <c r="J364" s="197"/>
      <c r="K364" s="197"/>
      <c r="L364" s="197"/>
      <c r="M364" s="197"/>
      <c r="N364" s="197"/>
      <c r="O364" s="197"/>
      <c r="P364" s="197"/>
      <c r="Q364" s="197"/>
      <c r="R364" s="197"/>
      <c r="S364" s="197"/>
      <c r="T364" s="198"/>
      <c r="U364" s="197"/>
      <c r="V364" s="197"/>
      <c r="W364" s="197"/>
      <c r="X364" s="197"/>
      <c r="Y364" s="197"/>
      <c r="Z364" s="197"/>
    </row>
    <row r="365" spans="1:26">
      <c r="A365" s="197"/>
      <c r="B365" s="197"/>
      <c r="C365" s="197"/>
      <c r="D365" s="197"/>
      <c r="E365" s="197"/>
      <c r="F365" s="197"/>
      <c r="G365" s="197"/>
      <c r="H365" s="197"/>
      <c r="I365" s="197"/>
      <c r="J365" s="197"/>
      <c r="K365" s="197"/>
      <c r="L365" s="197"/>
      <c r="M365" s="197"/>
      <c r="N365" s="197"/>
      <c r="O365" s="197"/>
      <c r="P365" s="197"/>
      <c r="Q365" s="197"/>
      <c r="R365" s="197"/>
      <c r="S365" s="197"/>
      <c r="T365" s="198"/>
      <c r="U365" s="197"/>
      <c r="V365" s="197"/>
      <c r="W365" s="197"/>
      <c r="X365" s="197"/>
      <c r="Y365" s="197"/>
      <c r="Z365" s="197"/>
    </row>
    <row r="366" spans="1:26">
      <c r="A366" s="197"/>
      <c r="B366" s="197"/>
      <c r="C366" s="197"/>
      <c r="D366" s="197"/>
      <c r="E366" s="197"/>
      <c r="F366" s="197"/>
      <c r="G366" s="197"/>
      <c r="H366" s="197"/>
      <c r="I366" s="197"/>
      <c r="J366" s="197"/>
      <c r="K366" s="197"/>
      <c r="L366" s="197"/>
      <c r="M366" s="197"/>
      <c r="N366" s="197"/>
      <c r="O366" s="197"/>
      <c r="P366" s="197"/>
      <c r="Q366" s="197"/>
      <c r="R366" s="197"/>
      <c r="S366" s="197"/>
      <c r="T366" s="198"/>
      <c r="U366" s="197"/>
      <c r="V366" s="197"/>
      <c r="W366" s="197"/>
      <c r="X366" s="197"/>
      <c r="Y366" s="197"/>
      <c r="Z366" s="197"/>
    </row>
    <row r="367" spans="1:26">
      <c r="A367" s="197"/>
      <c r="B367" s="197"/>
      <c r="C367" s="197"/>
      <c r="D367" s="197"/>
      <c r="E367" s="197"/>
      <c r="F367" s="197"/>
      <c r="G367" s="197"/>
      <c r="H367" s="197"/>
      <c r="I367" s="197"/>
      <c r="J367" s="197"/>
      <c r="K367" s="197"/>
      <c r="L367" s="197"/>
      <c r="M367" s="197"/>
      <c r="N367" s="197"/>
      <c r="O367" s="197"/>
      <c r="P367" s="197"/>
      <c r="Q367" s="197"/>
      <c r="R367" s="197"/>
      <c r="S367" s="197"/>
      <c r="T367" s="198"/>
      <c r="U367" s="197"/>
      <c r="V367" s="197"/>
      <c r="W367" s="197"/>
      <c r="X367" s="197"/>
      <c r="Y367" s="197"/>
      <c r="Z367" s="197"/>
    </row>
    <row r="368" spans="1:26">
      <c r="A368" s="197"/>
      <c r="B368" s="197"/>
      <c r="C368" s="197"/>
      <c r="D368" s="197"/>
      <c r="E368" s="197"/>
      <c r="F368" s="197"/>
      <c r="G368" s="197"/>
      <c r="H368" s="197"/>
      <c r="I368" s="197"/>
      <c r="J368" s="197"/>
      <c r="K368" s="197"/>
      <c r="L368" s="197"/>
      <c r="M368" s="197"/>
      <c r="N368" s="197"/>
      <c r="O368" s="197"/>
      <c r="P368" s="197"/>
      <c r="Q368" s="197"/>
      <c r="R368" s="197"/>
      <c r="S368" s="197"/>
      <c r="T368" s="198"/>
      <c r="U368" s="197"/>
      <c r="V368" s="197"/>
      <c r="W368" s="197"/>
      <c r="X368" s="197"/>
      <c r="Y368" s="197"/>
      <c r="Z368" s="197"/>
    </row>
    <row r="369" spans="1:26">
      <c r="A369" s="197"/>
      <c r="B369" s="197"/>
      <c r="C369" s="197"/>
      <c r="D369" s="197"/>
      <c r="E369" s="197"/>
      <c r="F369" s="197"/>
      <c r="G369" s="197"/>
      <c r="H369" s="197"/>
      <c r="I369" s="197"/>
      <c r="J369" s="197"/>
      <c r="K369" s="197"/>
      <c r="L369" s="197"/>
      <c r="M369" s="197"/>
      <c r="N369" s="197"/>
      <c r="O369" s="197"/>
      <c r="P369" s="197"/>
      <c r="Q369" s="197"/>
      <c r="R369" s="197"/>
      <c r="S369" s="197"/>
      <c r="T369" s="198"/>
      <c r="U369" s="197"/>
      <c r="V369" s="197"/>
      <c r="W369" s="197"/>
      <c r="X369" s="197"/>
      <c r="Y369" s="197"/>
      <c r="Z369" s="197"/>
    </row>
    <row r="370" spans="1:26">
      <c r="A370" s="197"/>
      <c r="B370" s="197"/>
      <c r="C370" s="197"/>
      <c r="D370" s="197"/>
      <c r="E370" s="197"/>
      <c r="F370" s="197"/>
      <c r="G370" s="197"/>
      <c r="H370" s="197"/>
      <c r="I370" s="197"/>
      <c r="J370" s="197"/>
      <c r="K370" s="197"/>
      <c r="L370" s="197"/>
      <c r="M370" s="197"/>
      <c r="N370" s="197"/>
      <c r="O370" s="197"/>
      <c r="P370" s="197"/>
      <c r="Q370" s="197"/>
      <c r="R370" s="197"/>
      <c r="S370" s="197"/>
      <c r="T370" s="198"/>
      <c r="U370" s="197"/>
      <c r="V370" s="197"/>
      <c r="W370" s="197"/>
      <c r="X370" s="197"/>
      <c r="Y370" s="197"/>
      <c r="Z370" s="197"/>
    </row>
    <row r="371" spans="1:26">
      <c r="A371" s="197"/>
      <c r="B371" s="197"/>
      <c r="C371" s="197"/>
      <c r="D371" s="197"/>
      <c r="E371" s="197"/>
      <c r="F371" s="197"/>
      <c r="G371" s="197"/>
      <c r="H371" s="197"/>
      <c r="I371" s="197"/>
      <c r="J371" s="197"/>
      <c r="K371" s="197"/>
      <c r="L371" s="197"/>
      <c r="M371" s="197"/>
      <c r="N371" s="197"/>
      <c r="O371" s="197"/>
      <c r="P371" s="197"/>
      <c r="Q371" s="197"/>
      <c r="R371" s="197"/>
      <c r="S371" s="197"/>
      <c r="T371" s="198"/>
      <c r="U371" s="197"/>
      <c r="V371" s="197"/>
      <c r="W371" s="197"/>
      <c r="X371" s="197"/>
      <c r="Y371" s="197"/>
      <c r="Z371" s="197"/>
    </row>
    <row r="372" spans="1:26">
      <c r="A372" s="197"/>
      <c r="B372" s="197"/>
      <c r="C372" s="197"/>
      <c r="D372" s="197"/>
      <c r="E372" s="197"/>
      <c r="F372" s="197"/>
      <c r="G372" s="197"/>
      <c r="H372" s="197"/>
      <c r="I372" s="197"/>
      <c r="J372" s="197"/>
      <c r="K372" s="197"/>
      <c r="L372" s="197"/>
      <c r="M372" s="197"/>
      <c r="N372" s="197"/>
      <c r="O372" s="197"/>
      <c r="P372" s="197"/>
      <c r="Q372" s="197"/>
      <c r="R372" s="197"/>
      <c r="S372" s="197"/>
      <c r="T372" s="198"/>
      <c r="U372" s="197"/>
      <c r="V372" s="197"/>
      <c r="W372" s="197"/>
      <c r="X372" s="197"/>
      <c r="Y372" s="197"/>
      <c r="Z372" s="197"/>
    </row>
    <row r="373" spans="1:26">
      <c r="A373" s="197"/>
      <c r="B373" s="197"/>
      <c r="C373" s="197"/>
      <c r="D373" s="197"/>
      <c r="E373" s="197"/>
      <c r="F373" s="197"/>
      <c r="G373" s="197"/>
      <c r="H373" s="197"/>
      <c r="I373" s="197"/>
      <c r="J373" s="197"/>
      <c r="K373" s="197"/>
      <c r="L373" s="197"/>
      <c r="M373" s="197"/>
      <c r="N373" s="197"/>
      <c r="O373" s="197"/>
      <c r="P373" s="197"/>
      <c r="Q373" s="197"/>
      <c r="R373" s="197"/>
      <c r="S373" s="197"/>
      <c r="T373" s="198"/>
      <c r="U373" s="197"/>
      <c r="V373" s="197"/>
      <c r="W373" s="197"/>
      <c r="X373" s="197"/>
      <c r="Y373" s="197"/>
      <c r="Z373" s="197"/>
    </row>
    <row r="374" spans="1:26">
      <c r="A374" s="197"/>
      <c r="B374" s="197"/>
      <c r="C374" s="197"/>
      <c r="D374" s="197"/>
      <c r="E374" s="197"/>
      <c r="F374" s="197"/>
      <c r="G374" s="197"/>
      <c r="H374" s="197"/>
      <c r="I374" s="197"/>
      <c r="J374" s="197"/>
      <c r="K374" s="197"/>
      <c r="L374" s="197"/>
      <c r="M374" s="197"/>
      <c r="N374" s="197"/>
      <c r="O374" s="197"/>
      <c r="P374" s="197"/>
      <c r="Q374" s="197"/>
      <c r="R374" s="197"/>
      <c r="S374" s="197"/>
      <c r="T374" s="198"/>
      <c r="U374" s="197"/>
      <c r="V374" s="197"/>
      <c r="W374" s="197"/>
      <c r="X374" s="197"/>
      <c r="Y374" s="197"/>
      <c r="Z374" s="197"/>
    </row>
    <row r="375" spans="1:26">
      <c r="A375" s="197"/>
      <c r="B375" s="197"/>
      <c r="C375" s="197"/>
      <c r="D375" s="197"/>
      <c r="E375" s="197"/>
      <c r="F375" s="197"/>
      <c r="G375" s="197"/>
      <c r="H375" s="197"/>
      <c r="I375" s="197"/>
      <c r="J375" s="197"/>
      <c r="K375" s="197"/>
      <c r="L375" s="197"/>
      <c r="M375" s="197"/>
      <c r="N375" s="197"/>
      <c r="O375" s="197"/>
      <c r="P375" s="197"/>
      <c r="Q375" s="197"/>
      <c r="R375" s="197"/>
      <c r="S375" s="197"/>
      <c r="T375" s="198"/>
      <c r="U375" s="197"/>
      <c r="V375" s="197"/>
      <c r="W375" s="197"/>
      <c r="X375" s="197"/>
      <c r="Y375" s="197"/>
      <c r="Z375" s="197"/>
    </row>
    <row r="376" spans="1:26">
      <c r="A376" s="197"/>
      <c r="B376" s="197"/>
      <c r="C376" s="197"/>
      <c r="D376" s="197"/>
      <c r="E376" s="197"/>
      <c r="F376" s="197"/>
      <c r="G376" s="197"/>
      <c r="H376" s="197"/>
      <c r="I376" s="197"/>
      <c r="J376" s="197"/>
      <c r="K376" s="197"/>
      <c r="L376" s="197"/>
      <c r="M376" s="197"/>
      <c r="N376" s="197"/>
      <c r="O376" s="197"/>
      <c r="P376" s="197"/>
      <c r="Q376" s="197"/>
      <c r="R376" s="197"/>
      <c r="S376" s="197"/>
      <c r="T376" s="198"/>
      <c r="U376" s="197"/>
      <c r="V376" s="197"/>
      <c r="W376" s="197"/>
      <c r="X376" s="197"/>
      <c r="Y376" s="197"/>
      <c r="Z376" s="197"/>
    </row>
    <row r="377" spans="1:26">
      <c r="A377" s="197"/>
      <c r="B377" s="197"/>
      <c r="C377" s="197"/>
      <c r="D377" s="197"/>
      <c r="E377" s="197"/>
      <c r="F377" s="197"/>
      <c r="G377" s="197"/>
      <c r="H377" s="197"/>
      <c r="I377" s="197"/>
      <c r="J377" s="197"/>
      <c r="K377" s="197"/>
      <c r="L377" s="197"/>
      <c r="M377" s="197"/>
      <c r="N377" s="197"/>
      <c r="O377" s="197"/>
      <c r="P377" s="197"/>
      <c r="Q377" s="197"/>
      <c r="R377" s="197"/>
      <c r="S377" s="197"/>
      <c r="T377" s="198"/>
      <c r="U377" s="197"/>
      <c r="V377" s="197"/>
      <c r="W377" s="197"/>
      <c r="X377" s="197"/>
      <c r="Y377" s="197"/>
      <c r="Z377" s="197"/>
    </row>
    <row r="378" spans="1:26">
      <c r="A378" s="197"/>
      <c r="B378" s="197"/>
      <c r="C378" s="197"/>
      <c r="D378" s="197"/>
      <c r="E378" s="197"/>
      <c r="F378" s="197"/>
      <c r="G378" s="197"/>
      <c r="H378" s="197"/>
      <c r="I378" s="197"/>
      <c r="J378" s="197"/>
      <c r="K378" s="197"/>
      <c r="L378" s="197"/>
      <c r="M378" s="197"/>
      <c r="N378" s="197"/>
      <c r="O378" s="197"/>
      <c r="P378" s="197"/>
      <c r="Q378" s="197"/>
      <c r="R378" s="197"/>
      <c r="S378" s="197"/>
      <c r="T378" s="198"/>
      <c r="U378" s="197"/>
      <c r="V378" s="197"/>
      <c r="W378" s="197"/>
      <c r="X378" s="197"/>
      <c r="Y378" s="197"/>
      <c r="Z378" s="197"/>
    </row>
    <row r="379" spans="1:26">
      <c r="A379" s="197"/>
      <c r="B379" s="197"/>
      <c r="C379" s="197"/>
      <c r="D379" s="197"/>
      <c r="E379" s="197"/>
      <c r="F379" s="197"/>
      <c r="G379" s="197"/>
      <c r="H379" s="197"/>
      <c r="I379" s="197"/>
      <c r="J379" s="197"/>
      <c r="K379" s="197"/>
      <c r="L379" s="197"/>
      <c r="M379" s="197"/>
      <c r="N379" s="197"/>
      <c r="O379" s="197"/>
      <c r="P379" s="197"/>
      <c r="Q379" s="197"/>
      <c r="R379" s="197"/>
      <c r="S379" s="197"/>
      <c r="T379" s="198"/>
      <c r="U379" s="197"/>
      <c r="V379" s="197"/>
      <c r="W379" s="197"/>
      <c r="X379" s="197"/>
      <c r="Y379" s="197"/>
      <c r="Z379" s="197"/>
    </row>
    <row r="380" spans="1:26">
      <c r="A380" s="197"/>
      <c r="B380" s="197"/>
      <c r="C380" s="197"/>
      <c r="D380" s="197"/>
      <c r="E380" s="197"/>
      <c r="F380" s="197"/>
      <c r="G380" s="197"/>
      <c r="H380" s="197"/>
      <c r="I380" s="197"/>
      <c r="J380" s="197"/>
      <c r="K380" s="197"/>
      <c r="L380" s="197"/>
      <c r="M380" s="197"/>
      <c r="N380" s="197"/>
      <c r="O380" s="197"/>
      <c r="P380" s="197"/>
      <c r="Q380" s="197"/>
      <c r="R380" s="197"/>
      <c r="S380" s="197"/>
      <c r="T380" s="198"/>
      <c r="U380" s="197"/>
      <c r="V380" s="197"/>
      <c r="W380" s="197"/>
      <c r="X380" s="197"/>
      <c r="Y380" s="197"/>
      <c r="Z380" s="197"/>
    </row>
    <row r="381" spans="1:26">
      <c r="A381" s="197"/>
      <c r="B381" s="197"/>
      <c r="C381" s="197"/>
      <c r="D381" s="197"/>
      <c r="E381" s="197"/>
      <c r="F381" s="197"/>
      <c r="G381" s="197"/>
      <c r="H381" s="197"/>
      <c r="I381" s="197"/>
      <c r="J381" s="197"/>
      <c r="K381" s="197"/>
      <c r="L381" s="197"/>
      <c r="M381" s="197"/>
      <c r="N381" s="197"/>
      <c r="O381" s="197"/>
      <c r="P381" s="197"/>
      <c r="Q381" s="197"/>
      <c r="R381" s="197"/>
      <c r="S381" s="197"/>
      <c r="T381" s="198"/>
      <c r="U381" s="197"/>
      <c r="V381" s="197"/>
      <c r="W381" s="197"/>
      <c r="X381" s="197"/>
      <c r="Y381" s="197"/>
      <c r="Z381" s="197"/>
    </row>
    <row r="382" spans="1:26">
      <c r="A382" s="197"/>
      <c r="B382" s="197"/>
      <c r="C382" s="197"/>
      <c r="D382" s="197"/>
      <c r="E382" s="197"/>
      <c r="F382" s="197"/>
      <c r="G382" s="197"/>
      <c r="H382" s="197"/>
      <c r="I382" s="197"/>
      <c r="J382" s="197"/>
      <c r="K382" s="197"/>
      <c r="L382" s="197"/>
      <c r="M382" s="197"/>
      <c r="N382" s="197"/>
      <c r="O382" s="197"/>
      <c r="P382" s="197"/>
      <c r="Q382" s="197"/>
      <c r="R382" s="197"/>
      <c r="S382" s="197"/>
      <c r="T382" s="198"/>
      <c r="U382" s="197"/>
      <c r="V382" s="197"/>
      <c r="W382" s="197"/>
      <c r="X382" s="197"/>
      <c r="Y382" s="197"/>
      <c r="Z382" s="197"/>
    </row>
    <row r="383" spans="1:26">
      <c r="A383" s="197"/>
      <c r="B383" s="197"/>
      <c r="C383" s="197"/>
      <c r="D383" s="197"/>
      <c r="E383" s="197"/>
      <c r="F383" s="197"/>
      <c r="G383" s="197"/>
      <c r="H383" s="197"/>
      <c r="I383" s="197"/>
      <c r="J383" s="197"/>
      <c r="K383" s="197"/>
      <c r="L383" s="197"/>
      <c r="M383" s="197"/>
      <c r="N383" s="197"/>
      <c r="O383" s="197"/>
      <c r="P383" s="197"/>
      <c r="Q383" s="197"/>
      <c r="R383" s="197"/>
      <c r="S383" s="197"/>
      <c r="T383" s="198"/>
      <c r="U383" s="197"/>
      <c r="V383" s="197"/>
      <c r="W383" s="197"/>
      <c r="X383" s="197"/>
      <c r="Y383" s="197"/>
      <c r="Z383" s="197"/>
    </row>
    <row r="384" spans="1:26">
      <c r="A384" s="197"/>
      <c r="B384" s="197"/>
      <c r="C384" s="197"/>
      <c r="D384" s="197"/>
      <c r="E384" s="197"/>
      <c r="F384" s="197"/>
      <c r="G384" s="197"/>
      <c r="H384" s="197"/>
      <c r="I384" s="197"/>
      <c r="J384" s="197"/>
      <c r="K384" s="197"/>
      <c r="L384" s="197"/>
      <c r="M384" s="197"/>
      <c r="N384" s="197"/>
      <c r="O384" s="197"/>
      <c r="P384" s="197"/>
      <c r="Q384" s="197"/>
      <c r="R384" s="197"/>
      <c r="S384" s="197"/>
      <c r="T384" s="198"/>
      <c r="U384" s="197"/>
      <c r="V384" s="197"/>
      <c r="W384" s="197"/>
      <c r="X384" s="197"/>
      <c r="Y384" s="197"/>
      <c r="Z384" s="197"/>
    </row>
    <row r="385" spans="1:26">
      <c r="A385" s="197"/>
      <c r="B385" s="197"/>
      <c r="C385" s="197"/>
      <c r="D385" s="197"/>
      <c r="E385" s="197"/>
      <c r="F385" s="197"/>
      <c r="G385" s="197"/>
      <c r="H385" s="197"/>
      <c r="I385" s="197"/>
      <c r="J385" s="197"/>
      <c r="K385" s="197"/>
      <c r="L385" s="197"/>
      <c r="M385" s="197"/>
      <c r="N385" s="197"/>
      <c r="O385" s="197"/>
      <c r="P385" s="197"/>
      <c r="Q385" s="197"/>
      <c r="R385" s="197"/>
      <c r="S385" s="197"/>
      <c r="T385" s="198"/>
      <c r="U385" s="197"/>
      <c r="V385" s="197"/>
      <c r="W385" s="197"/>
      <c r="X385" s="197"/>
      <c r="Y385" s="197"/>
      <c r="Z385" s="197"/>
    </row>
    <row r="386" spans="1:26">
      <c r="A386" s="197"/>
      <c r="B386" s="197"/>
      <c r="C386" s="197"/>
      <c r="D386" s="197"/>
      <c r="E386" s="197"/>
      <c r="F386" s="197"/>
      <c r="G386" s="197"/>
      <c r="H386" s="197"/>
      <c r="I386" s="197"/>
      <c r="J386" s="197"/>
      <c r="K386" s="197"/>
      <c r="L386" s="197"/>
      <c r="M386" s="197"/>
      <c r="N386" s="197"/>
      <c r="O386" s="197"/>
      <c r="P386" s="197"/>
      <c r="Q386" s="197"/>
      <c r="R386" s="197"/>
      <c r="S386" s="197"/>
      <c r="T386" s="198"/>
      <c r="U386" s="197"/>
      <c r="V386" s="197"/>
      <c r="W386" s="197"/>
      <c r="X386" s="197"/>
      <c r="Y386" s="197"/>
      <c r="Z386" s="197"/>
    </row>
    <row r="387" spans="1:26">
      <c r="A387" s="197"/>
      <c r="B387" s="197"/>
      <c r="C387" s="197"/>
      <c r="D387" s="197"/>
      <c r="E387" s="197"/>
      <c r="F387" s="197"/>
      <c r="G387" s="197"/>
      <c r="H387" s="197"/>
      <c r="I387" s="197"/>
      <c r="J387" s="197"/>
      <c r="K387" s="197"/>
      <c r="L387" s="197"/>
      <c r="M387" s="197"/>
      <c r="N387" s="197"/>
      <c r="O387" s="197"/>
      <c r="P387" s="197"/>
      <c r="Q387" s="197"/>
      <c r="R387" s="197"/>
      <c r="S387" s="197"/>
      <c r="T387" s="198"/>
      <c r="U387" s="197"/>
      <c r="V387" s="197"/>
      <c r="W387" s="197"/>
      <c r="X387" s="197"/>
      <c r="Y387" s="197"/>
      <c r="Z387" s="197"/>
    </row>
    <row r="388" spans="1:26">
      <c r="A388" s="197"/>
      <c r="B388" s="197"/>
      <c r="C388" s="197"/>
      <c r="D388" s="197"/>
      <c r="E388" s="197"/>
      <c r="F388" s="197"/>
      <c r="G388" s="197"/>
      <c r="H388" s="197"/>
      <c r="I388" s="197"/>
      <c r="J388" s="197"/>
      <c r="K388" s="197"/>
      <c r="L388" s="197"/>
      <c r="M388" s="197"/>
      <c r="N388" s="197"/>
      <c r="O388" s="197"/>
      <c r="P388" s="197"/>
      <c r="Q388" s="197"/>
      <c r="R388" s="197"/>
      <c r="S388" s="197"/>
      <c r="T388" s="198"/>
      <c r="U388" s="197"/>
      <c r="V388" s="197"/>
      <c r="W388" s="197"/>
      <c r="X388" s="197"/>
      <c r="Y388" s="197"/>
      <c r="Z388" s="197"/>
    </row>
    <row r="389" spans="1:26">
      <c r="A389" s="197"/>
      <c r="B389" s="197"/>
      <c r="C389" s="197"/>
      <c r="D389" s="197"/>
      <c r="E389" s="197"/>
      <c r="F389" s="197"/>
      <c r="G389" s="197"/>
      <c r="H389" s="197"/>
      <c r="I389" s="197"/>
      <c r="J389" s="197"/>
      <c r="K389" s="197"/>
      <c r="L389" s="197"/>
      <c r="M389" s="197"/>
      <c r="N389" s="197"/>
      <c r="O389" s="197"/>
      <c r="P389" s="197"/>
      <c r="Q389" s="197"/>
      <c r="R389" s="197"/>
      <c r="S389" s="197"/>
      <c r="T389" s="198"/>
      <c r="U389" s="197"/>
      <c r="V389" s="197"/>
      <c r="W389" s="197"/>
      <c r="X389" s="197"/>
      <c r="Y389" s="197"/>
      <c r="Z389" s="197"/>
    </row>
    <row r="390" spans="1:26">
      <c r="A390" s="197"/>
      <c r="B390" s="197"/>
      <c r="C390" s="197"/>
      <c r="D390" s="197"/>
      <c r="E390" s="197"/>
      <c r="F390" s="197"/>
      <c r="G390" s="197"/>
      <c r="H390" s="197"/>
      <c r="I390" s="197"/>
      <c r="J390" s="197"/>
      <c r="K390" s="197"/>
      <c r="L390" s="197"/>
      <c r="M390" s="197"/>
      <c r="N390" s="197"/>
      <c r="O390" s="197"/>
      <c r="P390" s="197"/>
      <c r="Q390" s="197"/>
      <c r="R390" s="197"/>
      <c r="S390" s="197"/>
      <c r="T390" s="198"/>
      <c r="U390" s="197"/>
      <c r="V390" s="197"/>
      <c r="W390" s="197"/>
      <c r="X390" s="197"/>
      <c r="Y390" s="197"/>
      <c r="Z390" s="197"/>
    </row>
    <row r="391" spans="1:26">
      <c r="A391" s="197"/>
      <c r="B391" s="197"/>
      <c r="C391" s="197"/>
      <c r="D391" s="197"/>
      <c r="E391" s="197"/>
      <c r="F391" s="197"/>
      <c r="G391" s="197"/>
      <c r="H391" s="197"/>
      <c r="I391" s="197"/>
      <c r="J391" s="197"/>
      <c r="K391" s="197"/>
      <c r="L391" s="197"/>
      <c r="M391" s="197"/>
      <c r="N391" s="197"/>
      <c r="O391" s="197"/>
      <c r="P391" s="197"/>
      <c r="Q391" s="197"/>
      <c r="R391" s="197"/>
      <c r="S391" s="197"/>
      <c r="T391" s="198"/>
      <c r="U391" s="197"/>
      <c r="V391" s="197"/>
      <c r="W391" s="197"/>
      <c r="X391" s="197"/>
      <c r="Y391" s="197"/>
      <c r="Z391" s="197"/>
    </row>
    <row r="392" spans="1:26">
      <c r="A392" s="197"/>
      <c r="B392" s="197"/>
      <c r="C392" s="197"/>
      <c r="D392" s="197"/>
      <c r="E392" s="197"/>
      <c r="F392" s="197"/>
      <c r="G392" s="197"/>
      <c r="H392" s="197"/>
      <c r="I392" s="197"/>
      <c r="J392" s="197"/>
      <c r="K392" s="197"/>
      <c r="L392" s="197"/>
      <c r="M392" s="197"/>
      <c r="N392" s="197"/>
      <c r="O392" s="197"/>
      <c r="P392" s="197"/>
      <c r="Q392" s="197"/>
      <c r="R392" s="197"/>
      <c r="S392" s="197"/>
      <c r="T392" s="198"/>
      <c r="U392" s="197"/>
      <c r="V392" s="197"/>
      <c r="W392" s="197"/>
      <c r="X392" s="197"/>
      <c r="Y392" s="197"/>
      <c r="Z392" s="197"/>
    </row>
    <row r="393" spans="1:26">
      <c r="A393" s="197"/>
      <c r="B393" s="197"/>
      <c r="C393" s="197"/>
      <c r="D393" s="197"/>
      <c r="E393" s="197"/>
      <c r="F393" s="197"/>
      <c r="G393" s="197"/>
      <c r="H393" s="197"/>
      <c r="I393" s="197"/>
      <c r="J393" s="197"/>
      <c r="K393" s="197"/>
      <c r="L393" s="197"/>
      <c r="M393" s="197"/>
      <c r="N393" s="197"/>
      <c r="O393" s="197"/>
      <c r="P393" s="197"/>
      <c r="Q393" s="197"/>
      <c r="R393" s="197"/>
      <c r="S393" s="197"/>
      <c r="T393" s="198"/>
      <c r="U393" s="197"/>
      <c r="V393" s="197"/>
      <c r="W393" s="197"/>
      <c r="X393" s="197"/>
      <c r="Y393" s="197"/>
      <c r="Z393" s="197"/>
    </row>
    <row r="394" spans="1:26">
      <c r="A394" s="197"/>
      <c r="B394" s="197"/>
      <c r="C394" s="197"/>
      <c r="D394" s="197"/>
      <c r="E394" s="197"/>
      <c r="F394" s="197"/>
      <c r="G394" s="197"/>
      <c r="H394" s="197"/>
      <c r="I394" s="197"/>
      <c r="J394" s="197"/>
      <c r="K394" s="197"/>
      <c r="L394" s="197"/>
      <c r="M394" s="197"/>
      <c r="N394" s="197"/>
      <c r="O394" s="197"/>
      <c r="P394" s="197"/>
      <c r="Q394" s="197"/>
      <c r="R394" s="197"/>
      <c r="S394" s="197"/>
      <c r="T394" s="198"/>
      <c r="U394" s="197"/>
      <c r="V394" s="197"/>
      <c r="W394" s="197"/>
      <c r="X394" s="197"/>
      <c r="Y394" s="197"/>
      <c r="Z394" s="197"/>
    </row>
    <row r="395" spans="1:26">
      <c r="A395" s="197"/>
      <c r="B395" s="197"/>
      <c r="C395" s="197"/>
      <c r="D395" s="197"/>
      <c r="E395" s="197"/>
      <c r="F395" s="197"/>
      <c r="G395" s="197"/>
      <c r="H395" s="197"/>
      <c r="I395" s="197"/>
      <c r="J395" s="197"/>
      <c r="K395" s="197"/>
      <c r="L395" s="197"/>
      <c r="M395" s="197"/>
      <c r="N395" s="197"/>
      <c r="O395" s="197"/>
      <c r="P395" s="197"/>
      <c r="Q395" s="197"/>
      <c r="R395" s="197"/>
      <c r="S395" s="197"/>
      <c r="T395" s="198"/>
      <c r="U395" s="197"/>
      <c r="V395" s="197"/>
      <c r="W395" s="197"/>
      <c r="X395" s="197"/>
      <c r="Y395" s="197"/>
      <c r="Z395" s="197"/>
    </row>
    <row r="396" spans="1:26">
      <c r="A396" s="197"/>
      <c r="B396" s="197"/>
      <c r="C396" s="197"/>
      <c r="D396" s="197"/>
      <c r="E396" s="197"/>
      <c r="F396" s="197"/>
      <c r="G396" s="197"/>
      <c r="H396" s="197"/>
      <c r="I396" s="197"/>
      <c r="J396" s="197"/>
      <c r="K396" s="197"/>
      <c r="L396" s="197"/>
      <c r="M396" s="197"/>
      <c r="N396" s="197"/>
      <c r="O396" s="197"/>
      <c r="P396" s="197"/>
      <c r="Q396" s="197"/>
      <c r="R396" s="197"/>
      <c r="S396" s="197"/>
      <c r="T396" s="198"/>
      <c r="U396" s="197"/>
      <c r="V396" s="197"/>
      <c r="W396" s="197"/>
      <c r="X396" s="197"/>
      <c r="Y396" s="197"/>
      <c r="Z396" s="197"/>
    </row>
    <row r="397" spans="1:26">
      <c r="A397" s="197"/>
      <c r="B397" s="197"/>
      <c r="C397" s="197"/>
      <c r="D397" s="197"/>
      <c r="E397" s="197"/>
      <c r="F397" s="197"/>
      <c r="G397" s="197"/>
      <c r="H397" s="197"/>
      <c r="I397" s="197"/>
      <c r="J397" s="197"/>
      <c r="K397" s="197"/>
      <c r="L397" s="197"/>
      <c r="M397" s="197"/>
      <c r="N397" s="197"/>
      <c r="O397" s="197"/>
      <c r="P397" s="197"/>
      <c r="Q397" s="197"/>
      <c r="R397" s="197"/>
      <c r="S397" s="197"/>
      <c r="T397" s="198"/>
      <c r="U397" s="197"/>
      <c r="V397" s="197"/>
      <c r="W397" s="197"/>
      <c r="X397" s="197"/>
      <c r="Y397" s="197"/>
      <c r="Z397" s="197"/>
    </row>
    <row r="398" spans="1:26">
      <c r="A398" s="197"/>
      <c r="B398" s="197"/>
      <c r="C398" s="197"/>
      <c r="D398" s="197"/>
      <c r="E398" s="197"/>
      <c r="F398" s="197"/>
      <c r="G398" s="197"/>
      <c r="H398" s="197"/>
      <c r="I398" s="197"/>
      <c r="J398" s="197"/>
      <c r="K398" s="197"/>
      <c r="L398" s="197"/>
      <c r="M398" s="197"/>
      <c r="N398" s="197"/>
      <c r="O398" s="197"/>
      <c r="P398" s="197"/>
      <c r="Q398" s="197"/>
      <c r="R398" s="197"/>
      <c r="S398" s="197"/>
      <c r="T398" s="198"/>
      <c r="U398" s="197"/>
      <c r="V398" s="197"/>
      <c r="W398" s="197"/>
      <c r="X398" s="197"/>
      <c r="Y398" s="197"/>
      <c r="Z398" s="197"/>
    </row>
    <row r="399" spans="1:26">
      <c r="A399" s="197"/>
      <c r="B399" s="197"/>
      <c r="C399" s="197"/>
      <c r="D399" s="197"/>
      <c r="E399" s="197"/>
      <c r="F399" s="197"/>
      <c r="G399" s="197"/>
      <c r="H399" s="197"/>
      <c r="I399" s="197"/>
      <c r="J399" s="197"/>
      <c r="K399" s="197"/>
      <c r="L399" s="197"/>
      <c r="M399" s="197"/>
      <c r="N399" s="197"/>
      <c r="O399" s="197"/>
      <c r="P399" s="197"/>
      <c r="Q399" s="197"/>
      <c r="R399" s="197"/>
      <c r="S399" s="197"/>
      <c r="T399" s="198"/>
      <c r="U399" s="197"/>
      <c r="V399" s="197"/>
      <c r="W399" s="197"/>
      <c r="X399" s="197"/>
      <c r="Y399" s="197"/>
      <c r="Z399" s="197"/>
    </row>
    <row r="400" spans="1:26">
      <c r="A400" s="197"/>
      <c r="B400" s="197"/>
      <c r="C400" s="197"/>
      <c r="D400" s="197"/>
      <c r="E400" s="197"/>
      <c r="F400" s="197"/>
      <c r="G400" s="197"/>
      <c r="H400" s="197"/>
      <c r="I400" s="197"/>
      <c r="J400" s="197"/>
      <c r="K400" s="197"/>
      <c r="L400" s="197"/>
      <c r="M400" s="197"/>
      <c r="N400" s="197"/>
      <c r="O400" s="197"/>
      <c r="P400" s="197"/>
      <c r="Q400" s="197"/>
      <c r="R400" s="197"/>
      <c r="S400" s="197"/>
      <c r="T400" s="198"/>
      <c r="U400" s="197"/>
      <c r="V400" s="197"/>
      <c r="W400" s="197"/>
      <c r="X400" s="197"/>
      <c r="Y400" s="197"/>
      <c r="Z400" s="197"/>
    </row>
    <row r="401" spans="1:26">
      <c r="A401" s="197"/>
      <c r="B401" s="197"/>
      <c r="C401" s="197"/>
      <c r="D401" s="197"/>
      <c r="E401" s="197"/>
      <c r="F401" s="197"/>
      <c r="G401" s="197"/>
      <c r="H401" s="197"/>
      <c r="I401" s="197"/>
      <c r="J401" s="197"/>
      <c r="K401" s="197"/>
      <c r="L401" s="197"/>
      <c r="M401" s="197"/>
      <c r="N401" s="197"/>
      <c r="O401" s="197"/>
      <c r="P401" s="197"/>
      <c r="Q401" s="197"/>
      <c r="R401" s="197"/>
      <c r="S401" s="197"/>
      <c r="T401" s="198"/>
      <c r="U401" s="197"/>
      <c r="V401" s="197"/>
      <c r="W401" s="197"/>
      <c r="X401" s="197"/>
      <c r="Y401" s="197"/>
      <c r="Z401" s="197"/>
    </row>
    <row r="402" spans="1:26">
      <c r="A402" s="197"/>
      <c r="B402" s="197"/>
      <c r="C402" s="197"/>
      <c r="D402" s="197"/>
      <c r="E402" s="197"/>
      <c r="F402" s="197"/>
      <c r="G402" s="197"/>
      <c r="H402" s="197"/>
      <c r="I402" s="197"/>
      <c r="J402" s="197"/>
      <c r="K402" s="197"/>
      <c r="L402" s="197"/>
      <c r="M402" s="197"/>
      <c r="N402" s="197"/>
      <c r="O402" s="197"/>
      <c r="P402" s="197"/>
      <c r="Q402" s="197"/>
      <c r="R402" s="197"/>
      <c r="S402" s="197"/>
      <c r="T402" s="198"/>
      <c r="U402" s="197"/>
      <c r="V402" s="197"/>
      <c r="W402" s="197"/>
      <c r="X402" s="197"/>
      <c r="Y402" s="197"/>
      <c r="Z402" s="197"/>
    </row>
    <row r="403" spans="1:26">
      <c r="A403" s="197"/>
      <c r="B403" s="197"/>
      <c r="C403" s="197"/>
      <c r="D403" s="197"/>
      <c r="E403" s="197"/>
      <c r="F403" s="197"/>
      <c r="G403" s="197"/>
      <c r="H403" s="197"/>
      <c r="I403" s="197"/>
      <c r="J403" s="197"/>
      <c r="K403" s="197"/>
      <c r="L403" s="197"/>
      <c r="M403" s="197"/>
      <c r="N403" s="197"/>
      <c r="O403" s="197"/>
      <c r="P403" s="197"/>
      <c r="Q403" s="197"/>
      <c r="R403" s="197"/>
      <c r="S403" s="197"/>
      <c r="T403" s="198"/>
      <c r="U403" s="197"/>
      <c r="V403" s="197"/>
      <c r="W403" s="197"/>
      <c r="X403" s="197"/>
      <c r="Y403" s="197"/>
      <c r="Z403" s="197"/>
    </row>
    <row r="404" spans="1:26">
      <c r="A404" s="197"/>
      <c r="B404" s="197"/>
      <c r="C404" s="197"/>
      <c r="D404" s="197"/>
      <c r="E404" s="197"/>
      <c r="F404" s="197"/>
      <c r="G404" s="197"/>
      <c r="H404" s="197"/>
      <c r="I404" s="197"/>
      <c r="J404" s="197"/>
      <c r="K404" s="197"/>
      <c r="L404" s="197"/>
      <c r="M404" s="197"/>
      <c r="N404" s="197"/>
      <c r="O404" s="197"/>
      <c r="P404" s="197"/>
      <c r="Q404" s="197"/>
      <c r="R404" s="197"/>
      <c r="S404" s="197"/>
      <c r="T404" s="198"/>
      <c r="U404" s="197"/>
      <c r="V404" s="197"/>
      <c r="W404" s="197"/>
      <c r="X404" s="197"/>
      <c r="Y404" s="197"/>
      <c r="Z404" s="197"/>
    </row>
    <row r="405" spans="1:26">
      <c r="A405" s="197"/>
      <c r="B405" s="197"/>
      <c r="C405" s="197"/>
      <c r="D405" s="197"/>
      <c r="E405" s="197"/>
      <c r="F405" s="197"/>
      <c r="G405" s="197"/>
      <c r="H405" s="197"/>
      <c r="I405" s="197"/>
      <c r="J405" s="197"/>
      <c r="K405" s="197"/>
      <c r="L405" s="197"/>
      <c r="M405" s="197"/>
      <c r="N405" s="197"/>
      <c r="O405" s="197"/>
      <c r="P405" s="197"/>
      <c r="Q405" s="197"/>
      <c r="R405" s="197"/>
      <c r="S405" s="197"/>
      <c r="T405" s="198"/>
      <c r="U405" s="197"/>
      <c r="V405" s="197"/>
      <c r="W405" s="197"/>
      <c r="X405" s="197"/>
      <c r="Y405" s="197"/>
      <c r="Z405" s="197"/>
    </row>
    <row r="406" spans="1:26">
      <c r="A406" s="197"/>
      <c r="B406" s="197"/>
      <c r="C406" s="197"/>
      <c r="D406" s="197"/>
      <c r="E406" s="197"/>
      <c r="F406" s="197"/>
      <c r="G406" s="197"/>
      <c r="H406" s="197"/>
      <c r="I406" s="197"/>
      <c r="J406" s="197"/>
      <c r="K406" s="197"/>
      <c r="L406" s="197"/>
      <c r="M406" s="197"/>
      <c r="N406" s="197"/>
      <c r="O406" s="197"/>
      <c r="P406" s="197"/>
      <c r="Q406" s="197"/>
      <c r="R406" s="197"/>
      <c r="S406" s="197"/>
      <c r="T406" s="198"/>
      <c r="U406" s="197"/>
      <c r="V406" s="197"/>
      <c r="W406" s="197"/>
      <c r="X406" s="197"/>
      <c r="Y406" s="197"/>
      <c r="Z406" s="197"/>
    </row>
    <row r="407" spans="1:26">
      <c r="A407" s="197"/>
      <c r="B407" s="197"/>
      <c r="C407" s="197"/>
      <c r="D407" s="197"/>
      <c r="E407" s="197"/>
      <c r="F407" s="197"/>
      <c r="G407" s="197"/>
      <c r="H407" s="197"/>
      <c r="I407" s="197"/>
      <c r="J407" s="197"/>
      <c r="K407" s="197"/>
      <c r="L407" s="197"/>
      <c r="M407" s="197"/>
      <c r="N407" s="197"/>
      <c r="O407" s="197"/>
      <c r="P407" s="197"/>
      <c r="Q407" s="197"/>
      <c r="R407" s="197"/>
      <c r="S407" s="197"/>
      <c r="T407" s="198"/>
      <c r="U407" s="197"/>
      <c r="V407" s="197"/>
      <c r="W407" s="197"/>
      <c r="X407" s="197"/>
      <c r="Y407" s="197"/>
      <c r="Z407" s="197"/>
    </row>
    <row r="408" spans="1:26">
      <c r="A408" s="197"/>
      <c r="B408" s="197"/>
      <c r="C408" s="197"/>
      <c r="D408" s="197"/>
      <c r="E408" s="197"/>
      <c r="F408" s="197"/>
      <c r="G408" s="197"/>
      <c r="H408" s="197"/>
      <c r="I408" s="197"/>
      <c r="J408" s="197"/>
      <c r="K408" s="197"/>
      <c r="L408" s="197"/>
      <c r="M408" s="197"/>
      <c r="N408" s="197"/>
      <c r="O408" s="197"/>
      <c r="P408" s="197"/>
      <c r="Q408" s="197"/>
      <c r="R408" s="197"/>
      <c r="S408" s="197"/>
      <c r="T408" s="198"/>
      <c r="U408" s="197"/>
      <c r="V408" s="197"/>
      <c r="W408" s="197"/>
      <c r="X408" s="197"/>
      <c r="Y408" s="197"/>
      <c r="Z408" s="197"/>
    </row>
    <row r="409" spans="1:26">
      <c r="A409" s="197"/>
      <c r="B409" s="197"/>
      <c r="C409" s="197"/>
      <c r="D409" s="197"/>
      <c r="E409" s="197"/>
      <c r="F409" s="197"/>
      <c r="G409" s="197"/>
      <c r="H409" s="197"/>
      <c r="I409" s="197"/>
      <c r="J409" s="197"/>
      <c r="K409" s="197"/>
      <c r="L409" s="197"/>
      <c r="M409" s="197"/>
      <c r="N409" s="197"/>
      <c r="O409" s="197"/>
      <c r="P409" s="197"/>
      <c r="Q409" s="197"/>
      <c r="R409" s="197"/>
      <c r="S409" s="197"/>
      <c r="T409" s="198"/>
      <c r="U409" s="197"/>
      <c r="V409" s="197"/>
      <c r="W409" s="197"/>
      <c r="X409" s="197"/>
      <c r="Y409" s="197"/>
      <c r="Z409" s="197"/>
    </row>
    <row r="410" spans="1:26">
      <c r="A410" s="197"/>
      <c r="B410" s="197"/>
      <c r="C410" s="197"/>
      <c r="D410" s="197"/>
      <c r="E410" s="197"/>
      <c r="F410" s="197"/>
      <c r="G410" s="197"/>
      <c r="H410" s="197"/>
      <c r="I410" s="197"/>
      <c r="J410" s="197"/>
      <c r="K410" s="197"/>
      <c r="L410" s="197"/>
      <c r="M410" s="197"/>
      <c r="N410" s="197"/>
      <c r="O410" s="197"/>
      <c r="P410" s="197"/>
      <c r="Q410" s="197"/>
      <c r="R410" s="197"/>
      <c r="S410" s="197"/>
      <c r="T410" s="198"/>
      <c r="U410" s="197"/>
      <c r="V410" s="197"/>
      <c r="W410" s="197"/>
      <c r="X410" s="197"/>
      <c r="Y410" s="197"/>
      <c r="Z410" s="197"/>
    </row>
    <row r="411" spans="1:26">
      <c r="A411" s="197"/>
      <c r="B411" s="197"/>
      <c r="C411" s="197"/>
      <c r="D411" s="197"/>
      <c r="E411" s="197"/>
      <c r="F411" s="197"/>
      <c r="G411" s="197"/>
      <c r="H411" s="197"/>
      <c r="I411" s="197"/>
      <c r="J411" s="197"/>
      <c r="K411" s="197"/>
      <c r="L411" s="197"/>
      <c r="M411" s="197"/>
      <c r="N411" s="197"/>
      <c r="O411" s="197"/>
      <c r="P411" s="197"/>
      <c r="Q411" s="197"/>
      <c r="R411" s="197"/>
      <c r="S411" s="197"/>
      <c r="T411" s="198"/>
      <c r="U411" s="197"/>
      <c r="V411" s="197"/>
      <c r="W411" s="197"/>
      <c r="X411" s="197"/>
      <c r="Y411" s="197"/>
      <c r="Z411" s="197"/>
    </row>
    <row r="412" spans="1:26">
      <c r="A412" s="197"/>
      <c r="B412" s="197"/>
      <c r="C412" s="197"/>
      <c r="D412" s="197"/>
      <c r="E412" s="197"/>
      <c r="F412" s="197"/>
      <c r="G412" s="197"/>
      <c r="H412" s="197"/>
      <c r="I412" s="197"/>
      <c r="J412" s="197"/>
      <c r="K412" s="197"/>
      <c r="L412" s="197"/>
      <c r="M412" s="197"/>
      <c r="N412" s="197"/>
      <c r="O412" s="197"/>
      <c r="P412" s="197"/>
      <c r="Q412" s="197"/>
      <c r="R412" s="197"/>
      <c r="S412" s="197"/>
      <c r="T412" s="198"/>
      <c r="U412" s="197"/>
      <c r="V412" s="197"/>
      <c r="W412" s="197"/>
      <c r="X412" s="197"/>
      <c r="Y412" s="197"/>
      <c r="Z412" s="197"/>
    </row>
    <row r="413" spans="1:26">
      <c r="A413" s="197"/>
      <c r="B413" s="197"/>
      <c r="C413" s="197"/>
      <c r="D413" s="197"/>
      <c r="E413" s="197"/>
      <c r="F413" s="197"/>
      <c r="G413" s="197"/>
      <c r="H413" s="197"/>
      <c r="I413" s="197"/>
      <c r="J413" s="197"/>
      <c r="K413" s="197"/>
      <c r="L413" s="197"/>
      <c r="M413" s="197"/>
      <c r="N413" s="197"/>
      <c r="O413" s="197"/>
      <c r="P413" s="197"/>
      <c r="Q413" s="197"/>
      <c r="R413" s="197"/>
      <c r="S413" s="197"/>
      <c r="T413" s="198"/>
      <c r="U413" s="197"/>
      <c r="V413" s="197"/>
      <c r="W413" s="197"/>
      <c r="X413" s="197"/>
      <c r="Y413" s="197"/>
      <c r="Z413" s="197"/>
    </row>
    <row r="414" spans="1:26">
      <c r="A414" s="197"/>
      <c r="B414" s="197"/>
      <c r="C414" s="197"/>
      <c r="D414" s="197"/>
      <c r="E414" s="197"/>
      <c r="F414" s="197"/>
      <c r="G414" s="197"/>
      <c r="H414" s="197"/>
      <c r="I414" s="197"/>
      <c r="J414" s="197"/>
      <c r="K414" s="197"/>
      <c r="L414" s="197"/>
      <c r="M414" s="197"/>
      <c r="N414" s="197"/>
      <c r="O414" s="197"/>
      <c r="P414" s="197"/>
      <c r="Q414" s="197"/>
      <c r="R414" s="197"/>
      <c r="S414" s="197"/>
      <c r="T414" s="198"/>
      <c r="U414" s="197"/>
      <c r="V414" s="197"/>
      <c r="W414" s="197"/>
      <c r="X414" s="197"/>
      <c r="Y414" s="197"/>
      <c r="Z414" s="197"/>
    </row>
    <row r="415" spans="1:26">
      <c r="A415" s="197"/>
      <c r="B415" s="197"/>
      <c r="C415" s="197"/>
      <c r="D415" s="197"/>
      <c r="E415" s="197"/>
      <c r="F415" s="197"/>
      <c r="G415" s="197"/>
      <c r="H415" s="197"/>
      <c r="I415" s="197"/>
      <c r="J415" s="197"/>
      <c r="K415" s="197"/>
      <c r="L415" s="197"/>
      <c r="M415" s="197"/>
      <c r="N415" s="197"/>
      <c r="O415" s="197"/>
      <c r="P415" s="197"/>
      <c r="Q415" s="197"/>
      <c r="R415" s="197"/>
      <c r="S415" s="197"/>
      <c r="T415" s="198"/>
      <c r="U415" s="197"/>
      <c r="V415" s="197"/>
      <c r="W415" s="197"/>
      <c r="X415" s="197"/>
      <c r="Y415" s="197"/>
      <c r="Z415" s="197"/>
    </row>
    <row r="416" spans="1:26">
      <c r="A416" s="197"/>
      <c r="B416" s="197"/>
      <c r="C416" s="197"/>
      <c r="D416" s="197"/>
      <c r="E416" s="197"/>
      <c r="F416" s="197"/>
      <c r="G416" s="197"/>
      <c r="H416" s="197"/>
      <c r="I416" s="197"/>
      <c r="J416" s="197"/>
      <c r="K416" s="197"/>
      <c r="L416" s="197"/>
      <c r="M416" s="197"/>
      <c r="N416" s="197"/>
      <c r="O416" s="197"/>
      <c r="P416" s="197"/>
      <c r="Q416" s="197"/>
      <c r="R416" s="197"/>
      <c r="S416" s="197"/>
      <c r="T416" s="198"/>
      <c r="U416" s="197"/>
      <c r="V416" s="197"/>
      <c r="W416" s="197"/>
      <c r="X416" s="197"/>
      <c r="Y416" s="197"/>
      <c r="Z416" s="197"/>
    </row>
    <row r="417" spans="1:26">
      <c r="A417" s="197"/>
      <c r="B417" s="197"/>
      <c r="C417" s="197"/>
      <c r="D417" s="197"/>
      <c r="E417" s="197"/>
      <c r="F417" s="197"/>
      <c r="G417" s="197"/>
      <c r="H417" s="197"/>
      <c r="I417" s="197"/>
      <c r="J417" s="197"/>
      <c r="K417" s="197"/>
      <c r="L417" s="197"/>
      <c r="M417" s="197"/>
      <c r="N417" s="197"/>
      <c r="O417" s="197"/>
      <c r="P417" s="197"/>
      <c r="Q417" s="197"/>
      <c r="R417" s="197"/>
      <c r="S417" s="197"/>
      <c r="T417" s="198"/>
      <c r="U417" s="197"/>
      <c r="V417" s="197"/>
      <c r="W417" s="197"/>
      <c r="X417" s="197"/>
      <c r="Y417" s="197"/>
      <c r="Z417" s="197"/>
    </row>
    <row r="418" spans="1:26">
      <c r="A418" s="197"/>
      <c r="B418" s="197"/>
      <c r="C418" s="197"/>
      <c r="D418" s="197"/>
      <c r="E418" s="197"/>
      <c r="F418" s="197"/>
      <c r="G418" s="197"/>
      <c r="H418" s="197"/>
      <c r="I418" s="197"/>
      <c r="J418" s="197"/>
      <c r="K418" s="197"/>
      <c r="L418" s="197"/>
      <c r="M418" s="197"/>
      <c r="N418" s="197"/>
      <c r="O418" s="197"/>
      <c r="P418" s="197"/>
      <c r="Q418" s="197"/>
      <c r="R418" s="197"/>
      <c r="S418" s="197"/>
      <c r="T418" s="198"/>
      <c r="U418" s="197"/>
      <c r="V418" s="197"/>
      <c r="W418" s="197"/>
      <c r="X418" s="197"/>
      <c r="Y418" s="197"/>
      <c r="Z418" s="197"/>
    </row>
    <row r="419" spans="1:26">
      <c r="A419" s="197"/>
      <c r="B419" s="197"/>
      <c r="C419" s="197"/>
      <c r="D419" s="197"/>
      <c r="E419" s="197"/>
      <c r="F419" s="197"/>
      <c r="G419" s="197"/>
      <c r="H419" s="197"/>
      <c r="I419" s="197"/>
      <c r="J419" s="197"/>
      <c r="K419" s="197"/>
      <c r="L419" s="197"/>
      <c r="M419" s="197"/>
      <c r="N419" s="197"/>
      <c r="O419" s="197"/>
      <c r="P419" s="197"/>
      <c r="Q419" s="197"/>
      <c r="R419" s="197"/>
      <c r="S419" s="197"/>
      <c r="T419" s="198"/>
      <c r="U419" s="197"/>
      <c r="V419" s="197"/>
      <c r="W419" s="197"/>
      <c r="X419" s="197"/>
      <c r="Y419" s="197"/>
      <c r="Z419" s="197"/>
    </row>
    <row r="420" spans="1:26">
      <c r="A420" s="197"/>
      <c r="B420" s="197"/>
      <c r="C420" s="197"/>
      <c r="D420" s="197"/>
      <c r="E420" s="197"/>
      <c r="F420" s="197"/>
      <c r="G420" s="197"/>
      <c r="H420" s="197"/>
      <c r="I420" s="197"/>
      <c r="J420" s="197"/>
      <c r="K420" s="197"/>
      <c r="L420" s="197"/>
      <c r="M420" s="197"/>
      <c r="N420" s="197"/>
      <c r="O420" s="197"/>
      <c r="P420" s="197"/>
      <c r="Q420" s="197"/>
      <c r="R420" s="197"/>
      <c r="S420" s="197"/>
      <c r="T420" s="198"/>
      <c r="U420" s="197"/>
      <c r="V420" s="197"/>
      <c r="W420" s="197"/>
      <c r="X420" s="197"/>
      <c r="Y420" s="197"/>
      <c r="Z420" s="197"/>
    </row>
    <row r="421" spans="1:26">
      <c r="A421" s="197"/>
      <c r="B421" s="197"/>
      <c r="C421" s="197"/>
      <c r="D421" s="197"/>
      <c r="E421" s="197"/>
      <c r="F421" s="197"/>
      <c r="G421" s="197"/>
      <c r="H421" s="197"/>
      <c r="I421" s="197"/>
      <c r="J421" s="197"/>
      <c r="K421" s="197"/>
      <c r="L421" s="197"/>
      <c r="M421" s="197"/>
      <c r="N421" s="197"/>
      <c r="O421" s="197"/>
      <c r="P421" s="197"/>
      <c r="Q421" s="197"/>
      <c r="R421" s="197"/>
      <c r="S421" s="197"/>
      <c r="T421" s="198"/>
      <c r="U421" s="197"/>
      <c r="V421" s="197"/>
      <c r="W421" s="197"/>
      <c r="X421" s="197"/>
      <c r="Y421" s="197"/>
      <c r="Z421" s="197"/>
    </row>
    <row r="422" spans="1:26">
      <c r="A422" s="197"/>
      <c r="B422" s="197"/>
      <c r="C422" s="197"/>
      <c r="D422" s="197"/>
      <c r="E422" s="197"/>
      <c r="F422" s="197"/>
      <c r="G422" s="197"/>
      <c r="H422" s="197"/>
      <c r="I422" s="197"/>
      <c r="J422" s="197"/>
      <c r="K422" s="197"/>
      <c r="L422" s="197"/>
      <c r="M422" s="197"/>
      <c r="N422" s="197"/>
      <c r="O422" s="197"/>
      <c r="P422" s="197"/>
      <c r="Q422" s="197"/>
      <c r="R422" s="197"/>
      <c r="S422" s="197"/>
      <c r="T422" s="198"/>
      <c r="U422" s="197"/>
      <c r="V422" s="197"/>
      <c r="W422" s="197"/>
      <c r="X422" s="197"/>
      <c r="Y422" s="197"/>
      <c r="Z422" s="197"/>
    </row>
    <row r="423" spans="1:26">
      <c r="A423" s="197"/>
      <c r="B423" s="197"/>
      <c r="C423" s="197"/>
      <c r="D423" s="197"/>
      <c r="E423" s="197"/>
      <c r="F423" s="197"/>
      <c r="G423" s="197"/>
      <c r="H423" s="197"/>
      <c r="I423" s="197"/>
      <c r="J423" s="197"/>
      <c r="K423" s="197"/>
      <c r="L423" s="197"/>
      <c r="M423" s="197"/>
      <c r="N423" s="197"/>
      <c r="O423" s="197"/>
      <c r="P423" s="197"/>
      <c r="Q423" s="197"/>
      <c r="R423" s="197"/>
      <c r="S423" s="197"/>
      <c r="T423" s="198"/>
      <c r="U423" s="197"/>
      <c r="V423" s="197"/>
      <c r="W423" s="197"/>
      <c r="X423" s="197"/>
      <c r="Y423" s="197"/>
      <c r="Z423" s="197"/>
    </row>
    <row r="424" spans="1:26">
      <c r="A424" s="197"/>
      <c r="B424" s="197"/>
      <c r="C424" s="197"/>
      <c r="D424" s="197"/>
      <c r="E424" s="197"/>
      <c r="F424" s="197"/>
      <c r="G424" s="197"/>
      <c r="H424" s="197"/>
      <c r="I424" s="197"/>
      <c r="J424" s="197"/>
      <c r="K424" s="197"/>
      <c r="L424" s="197"/>
      <c r="M424" s="197"/>
      <c r="N424" s="197"/>
      <c r="O424" s="197"/>
      <c r="P424" s="197"/>
      <c r="Q424" s="197"/>
      <c r="R424" s="197"/>
      <c r="S424" s="197"/>
      <c r="T424" s="198"/>
      <c r="U424" s="197"/>
      <c r="V424" s="197"/>
      <c r="W424" s="197"/>
      <c r="X424" s="197"/>
      <c r="Y424" s="197"/>
      <c r="Z424" s="197"/>
    </row>
    <row r="425" spans="1:26">
      <c r="A425" s="197"/>
      <c r="B425" s="197"/>
      <c r="C425" s="197"/>
      <c r="D425" s="197"/>
      <c r="E425" s="197"/>
      <c r="F425" s="197"/>
      <c r="G425" s="197"/>
      <c r="H425" s="197"/>
      <c r="I425" s="197"/>
      <c r="J425" s="197"/>
      <c r="K425" s="197"/>
      <c r="L425" s="197"/>
      <c r="M425" s="197"/>
      <c r="N425" s="197"/>
      <c r="O425" s="197"/>
      <c r="P425" s="197"/>
      <c r="Q425" s="197"/>
      <c r="R425" s="197"/>
      <c r="S425" s="197"/>
      <c r="T425" s="198"/>
      <c r="U425" s="197"/>
      <c r="V425" s="197"/>
      <c r="W425" s="197"/>
      <c r="X425" s="197"/>
      <c r="Y425" s="197"/>
      <c r="Z425" s="197"/>
    </row>
    <row r="426" spans="1:26">
      <c r="A426" s="197"/>
      <c r="B426" s="197"/>
      <c r="C426" s="197"/>
      <c r="D426" s="197"/>
      <c r="E426" s="197"/>
      <c r="F426" s="197"/>
      <c r="G426" s="197"/>
      <c r="H426" s="197"/>
      <c r="I426" s="197"/>
      <c r="J426" s="197"/>
      <c r="K426" s="197"/>
      <c r="L426" s="197"/>
      <c r="M426" s="197"/>
      <c r="N426" s="197"/>
      <c r="O426" s="197"/>
      <c r="P426" s="197"/>
      <c r="Q426" s="197"/>
      <c r="R426" s="197"/>
      <c r="S426" s="197"/>
      <c r="T426" s="198"/>
      <c r="U426" s="197"/>
      <c r="V426" s="197"/>
      <c r="W426" s="197"/>
      <c r="X426" s="197"/>
      <c r="Y426" s="197"/>
      <c r="Z426" s="197"/>
    </row>
    <row r="427" spans="1:26">
      <c r="A427" s="197"/>
      <c r="B427" s="197"/>
      <c r="C427" s="197"/>
      <c r="D427" s="197"/>
      <c r="E427" s="197"/>
      <c r="F427" s="197"/>
      <c r="G427" s="197"/>
      <c r="H427" s="197"/>
      <c r="I427" s="197"/>
      <c r="J427" s="197"/>
      <c r="K427" s="197"/>
      <c r="L427" s="197"/>
      <c r="M427" s="197"/>
      <c r="N427" s="197"/>
      <c r="O427" s="197"/>
      <c r="P427" s="197"/>
      <c r="Q427" s="197"/>
      <c r="R427" s="197"/>
      <c r="S427" s="197"/>
      <c r="T427" s="198"/>
      <c r="U427" s="197"/>
      <c r="V427" s="197"/>
      <c r="W427" s="197"/>
      <c r="X427" s="197"/>
      <c r="Y427" s="197"/>
      <c r="Z427" s="197"/>
    </row>
    <row r="428" spans="1:26">
      <c r="A428" s="197"/>
      <c r="B428" s="197"/>
      <c r="C428" s="197"/>
      <c r="D428" s="197"/>
      <c r="E428" s="197"/>
      <c r="F428" s="197"/>
      <c r="G428" s="197"/>
      <c r="H428" s="197"/>
      <c r="I428" s="197"/>
      <c r="J428" s="197"/>
      <c r="K428" s="197"/>
      <c r="L428" s="197"/>
      <c r="M428" s="197"/>
      <c r="N428" s="197"/>
      <c r="O428" s="197"/>
      <c r="P428" s="197"/>
      <c r="Q428" s="197"/>
      <c r="R428" s="197"/>
      <c r="S428" s="197"/>
      <c r="T428" s="198"/>
      <c r="U428" s="197"/>
      <c r="V428" s="197"/>
      <c r="W428" s="197"/>
      <c r="X428" s="197"/>
      <c r="Y428" s="197"/>
      <c r="Z428" s="197"/>
    </row>
    <row r="429" spans="1:26">
      <c r="A429" s="197"/>
      <c r="B429" s="197"/>
      <c r="C429" s="197"/>
      <c r="D429" s="197"/>
      <c r="E429" s="197"/>
      <c r="F429" s="197"/>
      <c r="G429" s="197"/>
      <c r="H429" s="197"/>
      <c r="I429" s="197"/>
      <c r="J429" s="197"/>
      <c r="K429" s="197"/>
      <c r="L429" s="197"/>
      <c r="M429" s="197"/>
      <c r="N429" s="197"/>
      <c r="O429" s="197"/>
      <c r="P429" s="197"/>
      <c r="Q429" s="197"/>
      <c r="R429" s="197"/>
      <c r="S429" s="197"/>
      <c r="T429" s="198"/>
      <c r="U429" s="197"/>
      <c r="V429" s="197"/>
      <c r="W429" s="197"/>
      <c r="X429" s="197"/>
      <c r="Y429" s="197"/>
      <c r="Z429" s="197"/>
    </row>
    <row r="430" spans="1:26">
      <c r="A430" s="197"/>
      <c r="B430" s="197"/>
      <c r="C430" s="197"/>
      <c r="D430" s="197"/>
      <c r="E430" s="197"/>
      <c r="F430" s="197"/>
      <c r="G430" s="197"/>
      <c r="H430" s="197"/>
      <c r="I430" s="197"/>
      <c r="J430" s="197"/>
      <c r="K430" s="197"/>
      <c r="L430" s="197"/>
      <c r="M430" s="197"/>
      <c r="N430" s="197"/>
      <c r="O430" s="197"/>
      <c r="P430" s="197"/>
      <c r="Q430" s="197"/>
      <c r="R430" s="197"/>
      <c r="S430" s="197"/>
      <c r="T430" s="198"/>
      <c r="U430" s="197"/>
      <c r="V430" s="197"/>
      <c r="W430" s="197"/>
      <c r="X430" s="197"/>
      <c r="Y430" s="197"/>
      <c r="Z430" s="197"/>
    </row>
    <row r="431" spans="1:26">
      <c r="A431" s="197"/>
      <c r="B431" s="197"/>
      <c r="C431" s="197"/>
      <c r="D431" s="197"/>
      <c r="E431" s="197"/>
      <c r="F431" s="197"/>
      <c r="G431" s="197"/>
      <c r="H431" s="197"/>
      <c r="I431" s="197"/>
      <c r="J431" s="197"/>
      <c r="K431" s="197"/>
      <c r="L431" s="197"/>
      <c r="M431" s="197"/>
      <c r="N431" s="197"/>
      <c r="O431" s="197"/>
      <c r="P431" s="197"/>
      <c r="Q431" s="197"/>
      <c r="R431" s="197"/>
      <c r="S431" s="197"/>
      <c r="T431" s="198"/>
      <c r="U431" s="197"/>
      <c r="V431" s="197"/>
      <c r="W431" s="197"/>
      <c r="X431" s="197"/>
      <c r="Y431" s="197"/>
      <c r="Z431" s="197"/>
    </row>
    <row r="432" spans="1:26">
      <c r="A432" s="197"/>
      <c r="B432" s="197"/>
      <c r="C432" s="197"/>
      <c r="D432" s="197"/>
      <c r="E432" s="197"/>
      <c r="F432" s="197"/>
      <c r="G432" s="197"/>
      <c r="H432" s="197"/>
      <c r="I432" s="197"/>
      <c r="J432" s="197"/>
      <c r="K432" s="197"/>
      <c r="L432" s="197"/>
      <c r="M432" s="197"/>
      <c r="N432" s="197"/>
      <c r="O432" s="197"/>
      <c r="P432" s="197"/>
      <c r="Q432" s="197"/>
      <c r="R432" s="197"/>
      <c r="S432" s="197"/>
      <c r="T432" s="198"/>
      <c r="U432" s="197"/>
      <c r="V432" s="197"/>
      <c r="W432" s="197"/>
      <c r="X432" s="197"/>
      <c r="Y432" s="197"/>
      <c r="Z432" s="197"/>
    </row>
    <row r="433" spans="1:26">
      <c r="A433" s="197"/>
      <c r="B433" s="197"/>
      <c r="C433" s="197"/>
      <c r="D433" s="197"/>
      <c r="E433" s="197"/>
      <c r="F433" s="197"/>
      <c r="G433" s="197"/>
      <c r="H433" s="197"/>
      <c r="I433" s="197"/>
      <c r="J433" s="197"/>
      <c r="K433" s="197"/>
      <c r="L433" s="197"/>
      <c r="M433" s="197"/>
      <c r="N433" s="197"/>
      <c r="O433" s="197"/>
      <c r="P433" s="197"/>
      <c r="Q433" s="197"/>
      <c r="R433" s="197"/>
      <c r="S433" s="197"/>
      <c r="T433" s="198"/>
      <c r="U433" s="197"/>
      <c r="V433" s="197"/>
      <c r="W433" s="197"/>
      <c r="X433" s="197"/>
      <c r="Y433" s="197"/>
      <c r="Z433" s="197"/>
    </row>
    <row r="434" spans="1:26">
      <c r="A434" s="197"/>
      <c r="B434" s="197"/>
      <c r="C434" s="197"/>
      <c r="D434" s="197"/>
      <c r="E434" s="197"/>
      <c r="F434" s="197"/>
      <c r="G434" s="197"/>
      <c r="H434" s="197"/>
      <c r="I434" s="197"/>
      <c r="J434" s="197"/>
      <c r="K434" s="197"/>
      <c r="L434" s="197"/>
      <c r="M434" s="197"/>
      <c r="N434" s="197"/>
      <c r="O434" s="197"/>
      <c r="P434" s="197"/>
      <c r="Q434" s="197"/>
      <c r="R434" s="197"/>
      <c r="S434" s="197"/>
      <c r="T434" s="198"/>
      <c r="U434" s="197"/>
      <c r="V434" s="197"/>
      <c r="W434" s="197"/>
      <c r="X434" s="197"/>
      <c r="Y434" s="197"/>
      <c r="Z434" s="197"/>
    </row>
    <row r="435" spans="1:26">
      <c r="A435" s="197"/>
      <c r="B435" s="197"/>
      <c r="C435" s="197"/>
      <c r="D435" s="197"/>
      <c r="E435" s="197"/>
      <c r="F435" s="197"/>
      <c r="G435" s="197"/>
      <c r="H435" s="197"/>
      <c r="I435" s="197"/>
      <c r="J435" s="197"/>
      <c r="K435" s="197"/>
      <c r="L435" s="197"/>
      <c r="M435" s="197"/>
      <c r="N435" s="197"/>
      <c r="O435" s="197"/>
      <c r="P435" s="197"/>
      <c r="Q435" s="197"/>
      <c r="R435" s="197"/>
      <c r="S435" s="197"/>
      <c r="T435" s="198"/>
      <c r="U435" s="197"/>
      <c r="V435" s="197"/>
      <c r="W435" s="197"/>
      <c r="X435" s="197"/>
      <c r="Y435" s="197"/>
      <c r="Z435" s="197"/>
    </row>
    <row r="436" spans="1:26">
      <c r="A436" s="197"/>
      <c r="B436" s="197"/>
      <c r="C436" s="197"/>
      <c r="D436" s="197"/>
      <c r="E436" s="197"/>
      <c r="F436" s="197"/>
      <c r="G436" s="197"/>
      <c r="H436" s="197"/>
      <c r="I436" s="197"/>
      <c r="J436" s="197"/>
      <c r="K436" s="197"/>
      <c r="L436" s="197"/>
      <c r="M436" s="197"/>
      <c r="N436" s="197"/>
      <c r="O436" s="197"/>
      <c r="P436" s="197"/>
      <c r="Q436" s="197"/>
      <c r="R436" s="197"/>
      <c r="S436" s="197"/>
      <c r="T436" s="198"/>
      <c r="U436" s="197"/>
      <c r="V436" s="197"/>
      <c r="W436" s="197"/>
      <c r="X436" s="197"/>
      <c r="Y436" s="197"/>
      <c r="Z436" s="197"/>
    </row>
    <row r="437" spans="1:26">
      <c r="A437" s="197"/>
      <c r="B437" s="197"/>
      <c r="C437" s="197"/>
      <c r="D437" s="197"/>
      <c r="E437" s="197"/>
      <c r="F437" s="197"/>
      <c r="G437" s="197"/>
      <c r="H437" s="197"/>
      <c r="I437" s="197"/>
      <c r="J437" s="197"/>
      <c r="K437" s="197"/>
      <c r="L437" s="197"/>
      <c r="M437" s="197"/>
      <c r="N437" s="197"/>
      <c r="O437" s="197"/>
      <c r="P437" s="197"/>
      <c r="Q437" s="197"/>
      <c r="R437" s="197"/>
      <c r="S437" s="197"/>
      <c r="T437" s="198"/>
      <c r="U437" s="197"/>
      <c r="V437" s="197"/>
      <c r="W437" s="197"/>
      <c r="X437" s="197"/>
      <c r="Y437" s="197"/>
      <c r="Z437" s="197"/>
    </row>
    <row r="438" spans="1:26">
      <c r="A438" s="197"/>
      <c r="B438" s="197"/>
      <c r="C438" s="197"/>
      <c r="D438" s="197"/>
      <c r="E438" s="197"/>
      <c r="F438" s="197"/>
      <c r="G438" s="197"/>
      <c r="H438" s="197"/>
      <c r="I438" s="197"/>
      <c r="J438" s="197"/>
      <c r="K438" s="197"/>
      <c r="L438" s="197"/>
      <c r="M438" s="197"/>
      <c r="N438" s="197"/>
      <c r="O438" s="197"/>
      <c r="P438" s="197"/>
      <c r="Q438" s="197"/>
      <c r="R438" s="197"/>
      <c r="S438" s="197"/>
      <c r="T438" s="198"/>
      <c r="U438" s="197"/>
      <c r="V438" s="197"/>
      <c r="W438" s="197"/>
      <c r="X438" s="197"/>
      <c r="Y438" s="197"/>
      <c r="Z438" s="197"/>
    </row>
    <row r="439" spans="1:26">
      <c r="A439" s="197"/>
      <c r="B439" s="197"/>
      <c r="C439" s="197"/>
      <c r="D439" s="197"/>
      <c r="E439" s="197"/>
      <c r="F439" s="197"/>
      <c r="G439" s="197"/>
      <c r="H439" s="197"/>
      <c r="I439" s="197"/>
      <c r="J439" s="197"/>
      <c r="K439" s="197"/>
      <c r="L439" s="197"/>
      <c r="M439" s="197"/>
      <c r="N439" s="197"/>
      <c r="O439" s="197"/>
      <c r="P439" s="197"/>
      <c r="Q439" s="197"/>
      <c r="R439" s="197"/>
      <c r="S439" s="197"/>
      <c r="T439" s="198"/>
      <c r="U439" s="197"/>
      <c r="V439" s="197"/>
      <c r="W439" s="197"/>
      <c r="X439" s="197"/>
      <c r="Y439" s="197"/>
      <c r="Z439" s="197"/>
    </row>
    <row r="440" spans="1:26">
      <c r="A440" s="197"/>
      <c r="B440" s="197"/>
      <c r="C440" s="197"/>
      <c r="D440" s="197"/>
      <c r="E440" s="197"/>
      <c r="F440" s="197"/>
      <c r="G440" s="197"/>
      <c r="H440" s="197"/>
      <c r="I440" s="197"/>
      <c r="J440" s="197"/>
      <c r="K440" s="197"/>
      <c r="L440" s="197"/>
      <c r="M440" s="197"/>
      <c r="N440" s="197"/>
      <c r="O440" s="197"/>
      <c r="P440" s="197"/>
      <c r="Q440" s="197"/>
      <c r="R440" s="197"/>
      <c r="S440" s="197"/>
      <c r="T440" s="198"/>
      <c r="U440" s="197"/>
      <c r="V440" s="197"/>
      <c r="W440" s="197"/>
      <c r="X440" s="197"/>
      <c r="Y440" s="197"/>
      <c r="Z440" s="197"/>
    </row>
    <row r="441" spans="1:26">
      <c r="A441" s="197"/>
      <c r="B441" s="197"/>
      <c r="C441" s="197"/>
      <c r="D441" s="197"/>
      <c r="E441" s="197"/>
      <c r="F441" s="197"/>
      <c r="G441" s="197"/>
      <c r="H441" s="197"/>
      <c r="I441" s="197"/>
      <c r="J441" s="197"/>
      <c r="K441" s="197"/>
      <c r="L441" s="197"/>
      <c r="M441" s="197"/>
      <c r="N441" s="197"/>
      <c r="O441" s="197"/>
      <c r="P441" s="197"/>
      <c r="Q441" s="197"/>
      <c r="R441" s="197"/>
      <c r="S441" s="197"/>
      <c r="T441" s="198"/>
      <c r="U441" s="197"/>
      <c r="V441" s="197"/>
      <c r="W441" s="197"/>
      <c r="X441" s="197"/>
      <c r="Y441" s="197"/>
      <c r="Z441" s="197"/>
    </row>
    <row r="442" spans="1:26">
      <c r="A442" s="197"/>
      <c r="B442" s="197"/>
      <c r="C442" s="197"/>
      <c r="D442" s="197"/>
      <c r="E442" s="197"/>
      <c r="F442" s="197"/>
      <c r="G442" s="197"/>
      <c r="H442" s="197"/>
      <c r="I442" s="197"/>
      <c r="J442" s="197"/>
      <c r="K442" s="197"/>
      <c r="L442" s="197"/>
      <c r="M442" s="197"/>
      <c r="N442" s="197"/>
      <c r="O442" s="197"/>
      <c r="P442" s="197"/>
      <c r="Q442" s="197"/>
      <c r="R442" s="197"/>
      <c r="S442" s="197"/>
      <c r="T442" s="198"/>
      <c r="U442" s="197"/>
      <c r="V442" s="197"/>
      <c r="W442" s="197"/>
      <c r="X442" s="197"/>
      <c r="Y442" s="197"/>
      <c r="Z442" s="197"/>
    </row>
    <row r="443" spans="1:26">
      <c r="A443" s="197"/>
      <c r="B443" s="197"/>
      <c r="C443" s="197"/>
      <c r="D443" s="197"/>
      <c r="E443" s="197"/>
      <c r="F443" s="197"/>
      <c r="G443" s="197"/>
      <c r="H443" s="197"/>
      <c r="I443" s="197"/>
      <c r="J443" s="197"/>
      <c r="K443" s="197"/>
      <c r="L443" s="197"/>
      <c r="M443" s="197"/>
      <c r="N443" s="197"/>
      <c r="O443" s="197"/>
      <c r="P443" s="197"/>
      <c r="Q443" s="197"/>
      <c r="R443" s="197"/>
      <c r="S443" s="197"/>
      <c r="T443" s="198"/>
      <c r="U443" s="197"/>
      <c r="V443" s="197"/>
      <c r="W443" s="197"/>
      <c r="X443" s="197"/>
      <c r="Y443" s="197"/>
      <c r="Z443" s="197"/>
    </row>
    <row r="444" spans="1:26">
      <c r="A444" s="197"/>
      <c r="B444" s="197"/>
      <c r="C444" s="197"/>
      <c r="D444" s="197"/>
      <c r="E444" s="197"/>
      <c r="F444" s="197"/>
      <c r="G444" s="197"/>
      <c r="H444" s="197"/>
      <c r="I444" s="197"/>
      <c r="J444" s="197"/>
      <c r="K444" s="197"/>
      <c r="L444" s="197"/>
      <c r="M444" s="197"/>
      <c r="N444" s="197"/>
      <c r="O444" s="197"/>
      <c r="P444" s="197"/>
      <c r="Q444" s="197"/>
      <c r="R444" s="197"/>
      <c r="S444" s="197"/>
      <c r="T444" s="198"/>
      <c r="U444" s="197"/>
      <c r="V444" s="197"/>
      <c r="W444" s="197"/>
      <c r="X444" s="197"/>
      <c r="Y444" s="197"/>
      <c r="Z444" s="197"/>
    </row>
    <row r="445" spans="1:26">
      <c r="A445" s="197"/>
      <c r="B445" s="197"/>
      <c r="C445" s="197"/>
      <c r="D445" s="197"/>
      <c r="E445" s="197"/>
      <c r="F445" s="197"/>
      <c r="G445" s="197"/>
      <c r="H445" s="197"/>
      <c r="I445" s="197"/>
      <c r="J445" s="197"/>
      <c r="K445" s="197"/>
      <c r="L445" s="197"/>
      <c r="M445" s="197"/>
      <c r="N445" s="197"/>
      <c r="O445" s="197"/>
      <c r="P445" s="197"/>
      <c r="Q445" s="197"/>
      <c r="R445" s="197"/>
      <c r="S445" s="197"/>
      <c r="T445" s="198"/>
      <c r="U445" s="197"/>
      <c r="V445" s="197"/>
      <c r="W445" s="197"/>
      <c r="X445" s="197"/>
      <c r="Y445" s="197"/>
      <c r="Z445" s="197"/>
    </row>
    <row r="446" spans="1:26">
      <c r="A446" s="197"/>
      <c r="B446" s="197"/>
      <c r="C446" s="197"/>
      <c r="D446" s="197"/>
      <c r="E446" s="197"/>
      <c r="F446" s="197"/>
      <c r="G446" s="197"/>
      <c r="H446" s="197"/>
      <c r="I446" s="197"/>
      <c r="J446" s="197"/>
      <c r="K446" s="197"/>
      <c r="L446" s="197"/>
      <c r="M446" s="197"/>
      <c r="N446" s="197"/>
      <c r="O446" s="197"/>
      <c r="P446" s="197"/>
      <c r="Q446" s="197"/>
      <c r="R446" s="197"/>
      <c r="S446" s="197"/>
      <c r="T446" s="198"/>
      <c r="U446" s="197"/>
      <c r="V446" s="197"/>
      <c r="W446" s="197"/>
      <c r="X446" s="197"/>
      <c r="Y446" s="197"/>
      <c r="Z446" s="197"/>
    </row>
    <row r="447" spans="1:26">
      <c r="A447" s="197"/>
      <c r="B447" s="197"/>
      <c r="C447" s="197"/>
      <c r="D447" s="197"/>
      <c r="E447" s="197"/>
      <c r="F447" s="197"/>
      <c r="G447" s="197"/>
      <c r="H447" s="197"/>
      <c r="I447" s="197"/>
      <c r="J447" s="197"/>
      <c r="K447" s="197"/>
      <c r="L447" s="197"/>
      <c r="M447" s="197"/>
      <c r="N447" s="197"/>
      <c r="O447" s="197"/>
      <c r="P447" s="197"/>
      <c r="Q447" s="197"/>
      <c r="R447" s="197"/>
      <c r="S447" s="197"/>
      <c r="T447" s="198"/>
      <c r="U447" s="197"/>
      <c r="V447" s="197"/>
      <c r="W447" s="197"/>
      <c r="X447" s="197"/>
      <c r="Y447" s="197"/>
      <c r="Z447" s="197"/>
    </row>
    <row r="448" spans="1:26">
      <c r="A448" s="197"/>
      <c r="B448" s="197"/>
      <c r="C448" s="197"/>
      <c r="D448" s="197"/>
      <c r="E448" s="197"/>
      <c r="F448" s="197"/>
      <c r="G448" s="197"/>
      <c r="H448" s="197"/>
      <c r="I448" s="197"/>
      <c r="J448" s="197"/>
      <c r="K448" s="197"/>
      <c r="L448" s="197"/>
      <c r="M448" s="197"/>
      <c r="N448" s="197"/>
      <c r="O448" s="197"/>
      <c r="P448" s="197"/>
      <c r="Q448" s="197"/>
      <c r="R448" s="197"/>
      <c r="S448" s="197"/>
      <c r="T448" s="198"/>
      <c r="U448" s="197"/>
      <c r="V448" s="197"/>
      <c r="W448" s="197"/>
      <c r="X448" s="197"/>
      <c r="Y448" s="197"/>
      <c r="Z448" s="197"/>
    </row>
    <row r="449" spans="1:26">
      <c r="A449" s="197"/>
      <c r="B449" s="197"/>
      <c r="C449" s="197"/>
      <c r="D449" s="197"/>
      <c r="E449" s="197"/>
      <c r="F449" s="197"/>
      <c r="G449" s="197"/>
      <c r="H449" s="197"/>
      <c r="I449" s="197"/>
      <c r="J449" s="197"/>
      <c r="K449" s="197"/>
      <c r="L449" s="197"/>
      <c r="M449" s="197"/>
      <c r="N449" s="197"/>
      <c r="O449" s="197"/>
      <c r="P449" s="197"/>
      <c r="Q449" s="197"/>
      <c r="R449" s="197"/>
      <c r="S449" s="197"/>
      <c r="T449" s="198"/>
      <c r="U449" s="197"/>
      <c r="V449" s="197"/>
      <c r="W449" s="197"/>
      <c r="X449" s="197"/>
      <c r="Y449" s="197"/>
      <c r="Z449" s="197"/>
    </row>
    <row r="450" spans="1:26">
      <c r="A450" s="197"/>
      <c r="B450" s="197"/>
      <c r="C450" s="197"/>
      <c r="D450" s="197"/>
      <c r="E450" s="197"/>
      <c r="F450" s="197"/>
      <c r="G450" s="197"/>
      <c r="H450" s="197"/>
      <c r="I450" s="197"/>
      <c r="J450" s="197"/>
      <c r="K450" s="197"/>
      <c r="L450" s="197"/>
      <c r="M450" s="197"/>
      <c r="N450" s="197"/>
      <c r="O450" s="197"/>
      <c r="P450" s="197"/>
      <c r="Q450" s="197"/>
      <c r="R450" s="197"/>
      <c r="S450" s="197"/>
      <c r="T450" s="198"/>
      <c r="U450" s="197"/>
      <c r="V450" s="197"/>
      <c r="W450" s="197"/>
      <c r="X450" s="197"/>
      <c r="Y450" s="197"/>
      <c r="Z450" s="197"/>
    </row>
    <row r="451" spans="1:26">
      <c r="A451" s="197"/>
      <c r="B451" s="197"/>
      <c r="C451" s="197"/>
      <c r="D451" s="197"/>
      <c r="E451" s="197"/>
      <c r="F451" s="197"/>
      <c r="G451" s="197"/>
      <c r="H451" s="197"/>
      <c r="I451" s="197"/>
      <c r="J451" s="197"/>
      <c r="K451" s="197"/>
      <c r="L451" s="197"/>
      <c r="M451" s="197"/>
      <c r="N451" s="197"/>
      <c r="O451" s="197"/>
      <c r="P451" s="197"/>
      <c r="Q451" s="197"/>
      <c r="R451" s="197"/>
      <c r="S451" s="197"/>
      <c r="T451" s="198"/>
      <c r="U451" s="197"/>
      <c r="V451" s="197"/>
      <c r="W451" s="197"/>
      <c r="X451" s="197"/>
      <c r="Y451" s="197"/>
      <c r="Z451" s="197"/>
    </row>
    <row r="452" spans="1:26">
      <c r="A452" s="197"/>
      <c r="B452" s="197"/>
      <c r="C452" s="197"/>
      <c r="D452" s="197"/>
      <c r="E452" s="197"/>
      <c r="F452" s="197"/>
      <c r="G452" s="197"/>
      <c r="H452" s="197"/>
      <c r="I452" s="197"/>
      <c r="J452" s="197"/>
      <c r="K452" s="197"/>
      <c r="L452" s="197"/>
      <c r="M452" s="197"/>
      <c r="N452" s="197"/>
      <c r="O452" s="197"/>
      <c r="P452" s="197"/>
      <c r="Q452" s="197"/>
      <c r="R452" s="197"/>
      <c r="S452" s="197"/>
      <c r="T452" s="198"/>
      <c r="U452" s="197"/>
      <c r="V452" s="197"/>
      <c r="W452" s="197"/>
      <c r="X452" s="197"/>
      <c r="Y452" s="197"/>
      <c r="Z452" s="197"/>
    </row>
    <row r="453" spans="1:26">
      <c r="A453" s="197"/>
      <c r="B453" s="197"/>
      <c r="C453" s="197"/>
      <c r="D453" s="197"/>
      <c r="E453" s="197"/>
      <c r="F453" s="197"/>
      <c r="G453" s="197"/>
      <c r="H453" s="197"/>
      <c r="I453" s="197"/>
      <c r="J453" s="197"/>
      <c r="K453" s="197"/>
      <c r="L453" s="197"/>
      <c r="M453" s="197"/>
      <c r="N453" s="197"/>
      <c r="O453" s="197"/>
      <c r="P453" s="197"/>
      <c r="Q453" s="197"/>
      <c r="R453" s="197"/>
      <c r="S453" s="197"/>
      <c r="T453" s="198"/>
      <c r="U453" s="197"/>
      <c r="V453" s="197"/>
      <c r="W453" s="197"/>
      <c r="X453" s="197"/>
      <c r="Y453" s="197"/>
      <c r="Z453" s="197"/>
    </row>
    <row r="454" spans="1:26">
      <c r="A454" s="197"/>
      <c r="B454" s="197"/>
      <c r="C454" s="197"/>
      <c r="D454" s="197"/>
      <c r="E454" s="197"/>
      <c r="F454" s="197"/>
      <c r="G454" s="197"/>
      <c r="H454" s="197"/>
      <c r="I454" s="197"/>
      <c r="J454" s="197"/>
      <c r="K454" s="197"/>
      <c r="L454" s="197"/>
      <c r="M454" s="197"/>
      <c r="N454" s="197"/>
      <c r="O454" s="197"/>
      <c r="P454" s="197"/>
      <c r="Q454" s="197"/>
      <c r="R454" s="197"/>
      <c r="S454" s="197"/>
      <c r="T454" s="198"/>
      <c r="U454" s="197"/>
      <c r="V454" s="197"/>
      <c r="W454" s="197"/>
      <c r="X454" s="197"/>
      <c r="Y454" s="197"/>
      <c r="Z454" s="197"/>
    </row>
    <row r="455" spans="1:26">
      <c r="A455" s="197"/>
      <c r="B455" s="197"/>
      <c r="C455" s="197"/>
      <c r="D455" s="197"/>
      <c r="E455" s="197"/>
      <c r="F455" s="197"/>
      <c r="G455" s="197"/>
      <c r="H455" s="197"/>
      <c r="I455" s="197"/>
      <c r="J455" s="197"/>
      <c r="K455" s="197"/>
      <c r="L455" s="197"/>
      <c r="M455" s="197"/>
      <c r="N455" s="197"/>
      <c r="O455" s="197"/>
      <c r="P455" s="197"/>
      <c r="Q455" s="197"/>
      <c r="R455" s="197"/>
      <c r="S455" s="197"/>
      <c r="T455" s="198"/>
      <c r="U455" s="197"/>
      <c r="V455" s="197"/>
      <c r="W455" s="197"/>
      <c r="X455" s="197"/>
      <c r="Y455" s="197"/>
      <c r="Z455" s="197"/>
    </row>
    <row r="456" spans="1:26">
      <c r="A456" s="197"/>
      <c r="B456" s="197"/>
      <c r="C456" s="197"/>
      <c r="D456" s="197"/>
      <c r="E456" s="197"/>
      <c r="F456" s="197"/>
      <c r="G456" s="197"/>
      <c r="H456" s="197"/>
      <c r="I456" s="197"/>
      <c r="J456" s="197"/>
      <c r="K456" s="197"/>
      <c r="L456" s="197"/>
      <c r="M456" s="197"/>
      <c r="N456" s="197"/>
      <c r="O456" s="197"/>
      <c r="P456" s="197"/>
      <c r="Q456" s="197"/>
      <c r="R456" s="197"/>
      <c r="S456" s="197"/>
      <c r="T456" s="198"/>
      <c r="U456" s="197"/>
      <c r="V456" s="197"/>
      <c r="W456" s="197"/>
      <c r="X456" s="197"/>
      <c r="Y456" s="197"/>
      <c r="Z456" s="197"/>
    </row>
    <row r="457" spans="1:26">
      <c r="A457" s="197"/>
      <c r="B457" s="197"/>
      <c r="C457" s="197"/>
      <c r="D457" s="197"/>
      <c r="E457" s="197"/>
      <c r="F457" s="197"/>
      <c r="G457" s="197"/>
      <c r="H457" s="197"/>
      <c r="I457" s="197"/>
      <c r="J457" s="197"/>
      <c r="K457" s="197"/>
      <c r="L457" s="197"/>
      <c r="M457" s="197"/>
      <c r="N457" s="197"/>
      <c r="O457" s="197"/>
      <c r="P457" s="197"/>
      <c r="Q457" s="197"/>
      <c r="R457" s="197"/>
      <c r="S457" s="197"/>
      <c r="T457" s="198"/>
      <c r="U457" s="197"/>
      <c r="V457" s="197"/>
      <c r="W457" s="197"/>
      <c r="X457" s="197"/>
      <c r="Y457" s="197"/>
      <c r="Z457" s="197"/>
    </row>
    <row r="458" spans="1:26">
      <c r="A458" s="197"/>
      <c r="B458" s="197"/>
      <c r="C458" s="197"/>
      <c r="D458" s="197"/>
      <c r="E458" s="197"/>
      <c r="F458" s="197"/>
      <c r="G458" s="197"/>
      <c r="H458" s="197"/>
      <c r="I458" s="197"/>
      <c r="J458" s="197"/>
      <c r="K458" s="197"/>
      <c r="L458" s="197"/>
      <c r="M458" s="197"/>
      <c r="N458" s="197"/>
      <c r="O458" s="197"/>
      <c r="P458" s="197"/>
      <c r="Q458" s="197"/>
      <c r="R458" s="197"/>
      <c r="S458" s="197"/>
      <c r="T458" s="198"/>
      <c r="U458" s="197"/>
      <c r="V458" s="197"/>
      <c r="W458" s="197"/>
      <c r="X458" s="197"/>
      <c r="Y458" s="197"/>
      <c r="Z458" s="197"/>
    </row>
    <row r="459" spans="1:26">
      <c r="A459" s="197"/>
      <c r="B459" s="197"/>
      <c r="C459" s="197"/>
      <c r="D459" s="197"/>
      <c r="E459" s="197"/>
      <c r="F459" s="197"/>
      <c r="G459" s="197"/>
      <c r="H459" s="197"/>
      <c r="I459" s="197"/>
      <c r="J459" s="197"/>
      <c r="K459" s="197"/>
      <c r="L459" s="197"/>
      <c r="M459" s="197"/>
      <c r="N459" s="197"/>
      <c r="O459" s="197"/>
      <c r="P459" s="197"/>
      <c r="Q459" s="197"/>
      <c r="R459" s="197"/>
      <c r="S459" s="197"/>
      <c r="T459" s="198"/>
      <c r="U459" s="197"/>
      <c r="V459" s="197"/>
      <c r="W459" s="197"/>
      <c r="X459" s="197"/>
      <c r="Y459" s="197"/>
      <c r="Z459" s="197"/>
    </row>
    <row r="460" spans="1:26">
      <c r="A460" s="197"/>
      <c r="B460" s="197"/>
      <c r="C460" s="197"/>
      <c r="D460" s="197"/>
      <c r="E460" s="197"/>
      <c r="F460" s="197"/>
      <c r="G460" s="197"/>
      <c r="H460" s="197"/>
      <c r="I460" s="197"/>
      <c r="J460" s="197"/>
      <c r="K460" s="197"/>
      <c r="L460" s="197"/>
      <c r="M460" s="197"/>
      <c r="N460" s="197"/>
      <c r="O460" s="197"/>
      <c r="P460" s="197"/>
      <c r="Q460" s="197"/>
      <c r="R460" s="197"/>
      <c r="S460" s="197"/>
      <c r="T460" s="198"/>
      <c r="U460" s="197"/>
      <c r="V460" s="197"/>
      <c r="W460" s="197"/>
      <c r="X460" s="197"/>
      <c r="Y460" s="197"/>
      <c r="Z460" s="197"/>
    </row>
    <row r="461" spans="1:26">
      <c r="A461" s="197"/>
      <c r="B461" s="197"/>
      <c r="C461" s="197"/>
      <c r="D461" s="197"/>
      <c r="E461" s="197"/>
      <c r="F461" s="197"/>
      <c r="G461" s="197"/>
      <c r="H461" s="197"/>
      <c r="I461" s="197"/>
      <c r="J461" s="197"/>
      <c r="K461" s="197"/>
      <c r="L461" s="197"/>
      <c r="M461" s="197"/>
      <c r="N461" s="197"/>
      <c r="O461" s="197"/>
      <c r="P461" s="197"/>
      <c r="Q461" s="197"/>
      <c r="R461" s="197"/>
      <c r="S461" s="197"/>
      <c r="T461" s="198"/>
      <c r="U461" s="197"/>
      <c r="V461" s="197"/>
      <c r="W461" s="197"/>
      <c r="X461" s="197"/>
      <c r="Y461" s="197"/>
      <c r="Z461" s="197"/>
    </row>
    <row r="462" spans="1:26">
      <c r="A462" s="197"/>
      <c r="B462" s="197"/>
      <c r="C462" s="197"/>
      <c r="D462" s="197"/>
      <c r="E462" s="197"/>
      <c r="F462" s="197"/>
      <c r="G462" s="197"/>
      <c r="H462" s="197"/>
      <c r="I462" s="197"/>
      <c r="J462" s="197"/>
      <c r="K462" s="197"/>
      <c r="L462" s="197"/>
      <c r="M462" s="197"/>
      <c r="N462" s="197"/>
      <c r="O462" s="197"/>
      <c r="P462" s="197"/>
      <c r="Q462" s="197"/>
      <c r="R462" s="197"/>
      <c r="S462" s="197"/>
      <c r="T462" s="198"/>
      <c r="U462" s="197"/>
      <c r="V462" s="197"/>
      <c r="W462" s="197"/>
      <c r="X462" s="197"/>
      <c r="Y462" s="197"/>
      <c r="Z462" s="197"/>
    </row>
    <row r="463" spans="1:26">
      <c r="A463" s="197"/>
      <c r="B463" s="197"/>
      <c r="C463" s="197"/>
      <c r="D463" s="197"/>
      <c r="E463" s="197"/>
      <c r="F463" s="197"/>
      <c r="G463" s="197"/>
      <c r="H463" s="197"/>
      <c r="I463" s="197"/>
      <c r="J463" s="197"/>
      <c r="K463" s="197"/>
      <c r="L463" s="197"/>
      <c r="M463" s="197"/>
      <c r="N463" s="197"/>
      <c r="O463" s="197"/>
      <c r="P463" s="197"/>
      <c r="Q463" s="197"/>
      <c r="R463" s="197"/>
      <c r="S463" s="197"/>
      <c r="T463" s="198"/>
      <c r="U463" s="197"/>
      <c r="V463" s="197"/>
      <c r="W463" s="197"/>
      <c r="X463" s="197"/>
      <c r="Y463" s="197"/>
      <c r="Z463" s="197"/>
    </row>
    <row r="464" spans="1:26">
      <c r="A464" s="197"/>
      <c r="B464" s="197"/>
      <c r="C464" s="197"/>
      <c r="D464" s="197"/>
      <c r="E464" s="197"/>
      <c r="F464" s="197"/>
      <c r="G464" s="197"/>
      <c r="H464" s="197"/>
      <c r="I464" s="197"/>
      <c r="J464" s="197"/>
      <c r="K464" s="197"/>
      <c r="L464" s="197"/>
      <c r="M464" s="197"/>
      <c r="N464" s="197"/>
      <c r="O464" s="197"/>
      <c r="P464" s="197"/>
      <c r="Q464" s="197"/>
      <c r="R464" s="197"/>
      <c r="S464" s="197"/>
      <c r="T464" s="198"/>
      <c r="U464" s="197"/>
      <c r="V464" s="197"/>
      <c r="W464" s="197"/>
      <c r="X464" s="197"/>
      <c r="Y464" s="197"/>
      <c r="Z464" s="197"/>
    </row>
    <row r="465" spans="1:26">
      <c r="A465" s="197"/>
      <c r="B465" s="197"/>
      <c r="C465" s="197"/>
      <c r="D465" s="197"/>
      <c r="E465" s="197"/>
      <c r="F465" s="197"/>
      <c r="G465" s="197"/>
      <c r="H465" s="197"/>
      <c r="I465" s="197"/>
      <c r="J465" s="197"/>
      <c r="K465" s="197"/>
      <c r="L465" s="197"/>
      <c r="M465" s="197"/>
      <c r="N465" s="197"/>
      <c r="O465" s="197"/>
      <c r="P465" s="197"/>
      <c r="Q465" s="197"/>
      <c r="R465" s="197"/>
      <c r="S465" s="197"/>
      <c r="T465" s="198"/>
      <c r="U465" s="197"/>
      <c r="V465" s="197"/>
      <c r="W465" s="197"/>
      <c r="X465" s="197"/>
      <c r="Y465" s="197"/>
      <c r="Z465" s="197"/>
    </row>
    <row r="466" spans="1:26">
      <c r="A466" s="197"/>
      <c r="B466" s="197"/>
      <c r="C466" s="197"/>
      <c r="D466" s="197"/>
      <c r="E466" s="197"/>
      <c r="F466" s="197"/>
      <c r="G466" s="197"/>
      <c r="H466" s="197"/>
      <c r="I466" s="197"/>
      <c r="J466" s="197"/>
      <c r="K466" s="197"/>
      <c r="L466" s="197"/>
      <c r="M466" s="197"/>
      <c r="N466" s="197"/>
      <c r="O466" s="197"/>
      <c r="P466" s="197"/>
      <c r="Q466" s="197"/>
      <c r="R466" s="197"/>
      <c r="S466" s="197"/>
      <c r="T466" s="198"/>
      <c r="U466" s="197"/>
      <c r="V466" s="197"/>
      <c r="W466" s="197"/>
      <c r="X466" s="197"/>
      <c r="Y466" s="197"/>
      <c r="Z466" s="197"/>
    </row>
    <row r="467" spans="1:26">
      <c r="A467" s="197"/>
      <c r="B467" s="197"/>
      <c r="C467" s="197"/>
      <c r="D467" s="197"/>
      <c r="E467" s="197"/>
      <c r="F467" s="197"/>
      <c r="G467" s="197"/>
      <c r="H467" s="197"/>
      <c r="I467" s="197"/>
      <c r="J467" s="197"/>
      <c r="K467" s="197"/>
      <c r="L467" s="197"/>
      <c r="M467" s="197"/>
      <c r="N467" s="197"/>
      <c r="O467" s="197"/>
      <c r="P467" s="197"/>
      <c r="Q467" s="197"/>
      <c r="R467" s="197"/>
      <c r="S467" s="197"/>
      <c r="T467" s="198"/>
      <c r="U467" s="197"/>
      <c r="V467" s="197"/>
      <c r="W467" s="197"/>
      <c r="X467" s="197"/>
      <c r="Y467" s="197"/>
      <c r="Z467" s="197"/>
    </row>
    <row r="468" spans="1:26">
      <c r="A468" s="197"/>
      <c r="B468" s="197"/>
      <c r="C468" s="197"/>
      <c r="D468" s="197"/>
      <c r="E468" s="197"/>
      <c r="F468" s="197"/>
      <c r="G468" s="197"/>
      <c r="H468" s="197"/>
      <c r="I468" s="197"/>
      <c r="J468" s="197"/>
      <c r="K468" s="197"/>
      <c r="L468" s="197"/>
      <c r="M468" s="197"/>
      <c r="N468" s="197"/>
      <c r="O468" s="197"/>
      <c r="P468" s="197"/>
      <c r="Q468" s="197"/>
      <c r="R468" s="197"/>
      <c r="S468" s="197"/>
      <c r="T468" s="198"/>
      <c r="U468" s="197"/>
      <c r="V468" s="197"/>
      <c r="W468" s="197"/>
      <c r="X468" s="197"/>
      <c r="Y468" s="197"/>
      <c r="Z468" s="197"/>
    </row>
    <row r="469" spans="1:26">
      <c r="A469" s="197"/>
      <c r="B469" s="197"/>
      <c r="C469" s="197"/>
      <c r="D469" s="197"/>
      <c r="E469" s="197"/>
      <c r="F469" s="197"/>
      <c r="G469" s="197"/>
      <c r="H469" s="197"/>
      <c r="I469" s="197"/>
      <c r="J469" s="197"/>
      <c r="K469" s="197"/>
      <c r="L469" s="197"/>
      <c r="M469" s="197"/>
      <c r="N469" s="197"/>
      <c r="O469" s="197"/>
      <c r="P469" s="197"/>
      <c r="Q469" s="197"/>
      <c r="R469" s="197"/>
      <c r="S469" s="197"/>
      <c r="T469" s="198"/>
      <c r="U469" s="197"/>
      <c r="V469" s="197"/>
      <c r="W469" s="197"/>
      <c r="X469" s="197"/>
      <c r="Y469" s="197"/>
      <c r="Z469" s="197"/>
    </row>
    <row r="470" spans="1:26">
      <c r="A470" s="197"/>
      <c r="B470" s="197"/>
      <c r="C470" s="197"/>
      <c r="D470" s="197"/>
      <c r="E470" s="197"/>
      <c r="F470" s="197"/>
      <c r="G470" s="197"/>
      <c r="H470" s="197"/>
      <c r="I470" s="197"/>
      <c r="J470" s="197"/>
      <c r="K470" s="197"/>
      <c r="L470" s="197"/>
      <c r="M470" s="197"/>
      <c r="N470" s="197"/>
      <c r="O470" s="197"/>
      <c r="P470" s="197"/>
      <c r="Q470" s="197"/>
      <c r="R470" s="197"/>
      <c r="S470" s="197"/>
      <c r="T470" s="198"/>
      <c r="U470" s="197"/>
      <c r="V470" s="197"/>
      <c r="W470" s="197"/>
      <c r="X470" s="197"/>
      <c r="Y470" s="197"/>
      <c r="Z470" s="197"/>
    </row>
    <row r="471" spans="1:26">
      <c r="A471" s="197"/>
      <c r="B471" s="197"/>
      <c r="C471" s="197"/>
      <c r="D471" s="197"/>
      <c r="E471" s="197"/>
      <c r="F471" s="197"/>
      <c r="G471" s="197"/>
      <c r="H471" s="197"/>
      <c r="I471" s="197"/>
      <c r="J471" s="197"/>
      <c r="K471" s="197"/>
      <c r="L471" s="197"/>
      <c r="M471" s="197"/>
      <c r="N471" s="197"/>
      <c r="O471" s="197"/>
      <c r="P471" s="197"/>
      <c r="Q471" s="197"/>
      <c r="R471" s="197"/>
      <c r="S471" s="197"/>
      <c r="T471" s="198"/>
      <c r="U471" s="197"/>
      <c r="V471" s="197"/>
      <c r="W471" s="197"/>
      <c r="X471" s="197"/>
      <c r="Y471" s="197"/>
      <c r="Z471" s="197"/>
    </row>
    <row r="472" spans="1:26">
      <c r="A472" s="197"/>
      <c r="B472" s="197"/>
      <c r="C472" s="197"/>
      <c r="D472" s="197"/>
      <c r="E472" s="197"/>
      <c r="F472" s="197"/>
      <c r="G472" s="197"/>
      <c r="H472" s="197"/>
      <c r="I472" s="197"/>
      <c r="J472" s="197"/>
      <c r="K472" s="197"/>
      <c r="L472" s="197"/>
      <c r="M472" s="197"/>
      <c r="N472" s="197"/>
      <c r="O472" s="197"/>
      <c r="P472" s="197"/>
      <c r="Q472" s="197"/>
      <c r="R472" s="197"/>
      <c r="S472" s="197"/>
      <c r="T472" s="198"/>
      <c r="U472" s="197"/>
      <c r="V472" s="197"/>
      <c r="W472" s="197"/>
      <c r="X472" s="197"/>
      <c r="Y472" s="197"/>
      <c r="Z472" s="197"/>
    </row>
    <row r="473" spans="1:26">
      <c r="A473" s="197"/>
      <c r="B473" s="197"/>
      <c r="C473" s="197"/>
      <c r="D473" s="197"/>
      <c r="E473" s="197"/>
      <c r="F473" s="197"/>
      <c r="G473" s="197"/>
      <c r="H473" s="197"/>
      <c r="I473" s="197"/>
      <c r="J473" s="197"/>
      <c r="K473" s="197"/>
      <c r="L473" s="197"/>
      <c r="M473" s="197"/>
      <c r="N473" s="197"/>
      <c r="O473" s="197"/>
      <c r="P473" s="197"/>
      <c r="Q473" s="197"/>
      <c r="R473" s="197"/>
      <c r="S473" s="197"/>
      <c r="T473" s="198"/>
      <c r="U473" s="197"/>
      <c r="V473" s="197"/>
      <c r="W473" s="197"/>
      <c r="X473" s="197"/>
      <c r="Y473" s="197"/>
      <c r="Z473" s="197"/>
    </row>
    <row r="474" spans="1:26">
      <c r="A474" s="197"/>
      <c r="B474" s="197"/>
      <c r="C474" s="197"/>
      <c r="D474" s="197"/>
      <c r="E474" s="197"/>
      <c r="F474" s="197"/>
      <c r="G474" s="197"/>
      <c r="H474" s="197"/>
      <c r="I474" s="197"/>
      <c r="J474" s="197"/>
      <c r="K474" s="197"/>
      <c r="L474" s="197"/>
      <c r="M474" s="197"/>
      <c r="N474" s="197"/>
      <c r="O474" s="197"/>
      <c r="P474" s="197"/>
      <c r="Q474" s="197"/>
      <c r="R474" s="197"/>
      <c r="S474" s="197"/>
      <c r="T474" s="198"/>
      <c r="U474" s="197"/>
      <c r="V474" s="197"/>
      <c r="W474" s="197"/>
      <c r="X474" s="197"/>
      <c r="Y474" s="197"/>
      <c r="Z474" s="197"/>
    </row>
    <row r="475" spans="1:26">
      <c r="A475" s="197"/>
      <c r="B475" s="197"/>
      <c r="C475" s="197"/>
      <c r="D475" s="197"/>
      <c r="E475" s="197"/>
      <c r="F475" s="197"/>
      <c r="G475" s="197"/>
      <c r="H475" s="197"/>
      <c r="I475" s="197"/>
      <c r="J475" s="197"/>
      <c r="K475" s="197"/>
      <c r="L475" s="197"/>
      <c r="M475" s="197"/>
      <c r="N475" s="197"/>
      <c r="O475" s="197"/>
      <c r="P475" s="197"/>
      <c r="Q475" s="197"/>
      <c r="R475" s="197"/>
      <c r="S475" s="197"/>
      <c r="T475" s="198"/>
      <c r="U475" s="197"/>
      <c r="V475" s="197"/>
      <c r="W475" s="197"/>
      <c r="X475" s="197"/>
      <c r="Y475" s="197"/>
      <c r="Z475" s="197"/>
    </row>
    <row r="476" spans="1:26">
      <c r="A476" s="197"/>
      <c r="B476" s="197"/>
      <c r="C476" s="197"/>
      <c r="D476" s="197"/>
      <c r="E476" s="197"/>
      <c r="F476" s="197"/>
      <c r="G476" s="197"/>
      <c r="H476" s="197"/>
      <c r="I476" s="197"/>
      <c r="J476" s="197"/>
      <c r="K476" s="197"/>
      <c r="L476" s="197"/>
      <c r="M476" s="197"/>
      <c r="N476" s="197"/>
      <c r="O476" s="197"/>
      <c r="P476" s="197"/>
      <c r="Q476" s="197"/>
      <c r="R476" s="197"/>
      <c r="S476" s="197"/>
      <c r="T476" s="198"/>
      <c r="U476" s="197"/>
      <c r="V476" s="197"/>
      <c r="W476" s="197"/>
      <c r="X476" s="197"/>
      <c r="Y476" s="197"/>
      <c r="Z476" s="197"/>
    </row>
    <row r="477" spans="1:26">
      <c r="A477" s="197"/>
      <c r="B477" s="197"/>
      <c r="C477" s="197"/>
      <c r="D477" s="197"/>
      <c r="E477" s="197"/>
      <c r="F477" s="197"/>
      <c r="G477" s="197"/>
      <c r="H477" s="197"/>
      <c r="I477" s="197"/>
      <c r="J477" s="197"/>
      <c r="K477" s="197"/>
      <c r="L477" s="197"/>
      <c r="M477" s="197"/>
      <c r="N477" s="197"/>
      <c r="O477" s="197"/>
      <c r="P477" s="197"/>
      <c r="Q477" s="197"/>
      <c r="R477" s="197"/>
      <c r="S477" s="197"/>
      <c r="T477" s="198"/>
      <c r="U477" s="197"/>
      <c r="V477" s="197"/>
      <c r="W477" s="197"/>
      <c r="X477" s="197"/>
      <c r="Y477" s="197"/>
      <c r="Z477" s="197"/>
    </row>
    <row r="478" spans="1:26">
      <c r="A478" s="197"/>
      <c r="B478" s="197"/>
      <c r="C478" s="197"/>
      <c r="D478" s="197"/>
      <c r="E478" s="197"/>
      <c r="F478" s="197"/>
      <c r="G478" s="197"/>
      <c r="H478" s="197"/>
      <c r="I478" s="197"/>
      <c r="J478" s="197"/>
      <c r="K478" s="197"/>
      <c r="L478" s="197"/>
      <c r="M478" s="197"/>
      <c r="N478" s="197"/>
      <c r="O478" s="197"/>
      <c r="P478" s="197"/>
      <c r="Q478" s="197"/>
      <c r="R478" s="197"/>
      <c r="S478" s="197"/>
      <c r="T478" s="198"/>
      <c r="U478" s="197"/>
      <c r="V478" s="197"/>
      <c r="W478" s="197"/>
      <c r="X478" s="197"/>
      <c r="Y478" s="197"/>
      <c r="Z478" s="197"/>
    </row>
    <row r="479" spans="1:26">
      <c r="A479" s="197"/>
      <c r="B479" s="197"/>
      <c r="C479" s="197"/>
      <c r="D479" s="197"/>
      <c r="E479" s="197"/>
      <c r="F479" s="197"/>
      <c r="G479" s="197"/>
      <c r="H479" s="197"/>
      <c r="I479" s="197"/>
      <c r="J479" s="197"/>
      <c r="K479" s="197"/>
      <c r="L479" s="197"/>
      <c r="M479" s="197"/>
      <c r="N479" s="197"/>
      <c r="O479" s="197"/>
      <c r="P479" s="197"/>
      <c r="Q479" s="197"/>
      <c r="R479" s="197"/>
      <c r="S479" s="197"/>
      <c r="T479" s="198"/>
      <c r="U479" s="197"/>
      <c r="V479" s="197"/>
      <c r="W479" s="197"/>
      <c r="X479" s="197"/>
      <c r="Y479" s="197"/>
      <c r="Z479" s="197"/>
    </row>
    <row r="480" spans="1:26">
      <c r="A480" s="197"/>
      <c r="B480" s="197"/>
      <c r="C480" s="197"/>
      <c r="D480" s="197"/>
      <c r="E480" s="197"/>
      <c r="F480" s="197"/>
      <c r="G480" s="197"/>
      <c r="H480" s="197"/>
      <c r="I480" s="197"/>
      <c r="J480" s="197"/>
      <c r="K480" s="197"/>
      <c r="L480" s="197"/>
      <c r="M480" s="197"/>
      <c r="N480" s="197"/>
      <c r="O480" s="197"/>
      <c r="P480" s="197"/>
      <c r="Q480" s="197"/>
      <c r="R480" s="197"/>
      <c r="S480" s="197"/>
      <c r="T480" s="198"/>
      <c r="U480" s="197"/>
      <c r="V480" s="197"/>
      <c r="W480" s="197"/>
      <c r="X480" s="197"/>
      <c r="Y480" s="197"/>
      <c r="Z480" s="197"/>
    </row>
    <row r="481" spans="1:26">
      <c r="A481" s="197"/>
      <c r="B481" s="197"/>
      <c r="C481" s="197"/>
      <c r="D481" s="197"/>
      <c r="E481" s="197"/>
      <c r="F481" s="197"/>
      <c r="G481" s="197"/>
      <c r="H481" s="197"/>
      <c r="I481" s="197"/>
      <c r="J481" s="197"/>
      <c r="K481" s="197"/>
      <c r="L481" s="197"/>
      <c r="M481" s="197"/>
      <c r="N481" s="197"/>
      <c r="O481" s="197"/>
      <c r="P481" s="197"/>
      <c r="Q481" s="197"/>
      <c r="R481" s="197"/>
      <c r="S481" s="197"/>
      <c r="T481" s="198"/>
      <c r="U481" s="197"/>
      <c r="V481" s="197"/>
      <c r="W481" s="197"/>
      <c r="X481" s="197"/>
      <c r="Y481" s="197"/>
      <c r="Z481" s="197"/>
    </row>
    <row r="482" spans="1:26">
      <c r="A482" s="197"/>
      <c r="B482" s="197"/>
      <c r="C482" s="197"/>
      <c r="D482" s="197"/>
      <c r="E482" s="197"/>
      <c r="F482" s="197"/>
      <c r="G482" s="197"/>
      <c r="H482" s="197"/>
      <c r="I482" s="197"/>
      <c r="J482" s="197"/>
      <c r="K482" s="197"/>
      <c r="L482" s="197"/>
      <c r="M482" s="197"/>
      <c r="N482" s="197"/>
      <c r="O482" s="197"/>
      <c r="P482" s="197"/>
      <c r="Q482" s="197"/>
      <c r="R482" s="197"/>
      <c r="S482" s="197"/>
      <c r="T482" s="198"/>
      <c r="U482" s="197"/>
      <c r="V482" s="197"/>
      <c r="W482" s="197"/>
      <c r="X482" s="197"/>
      <c r="Y482" s="197"/>
      <c r="Z482" s="197"/>
    </row>
    <row r="483" spans="1:26">
      <c r="A483" s="197"/>
      <c r="B483" s="197"/>
      <c r="C483" s="197"/>
      <c r="D483" s="197"/>
      <c r="E483" s="197"/>
      <c r="F483" s="197"/>
      <c r="G483" s="197"/>
      <c r="H483" s="197"/>
      <c r="I483" s="197"/>
      <c r="J483" s="197"/>
      <c r="K483" s="197"/>
      <c r="L483" s="197"/>
      <c r="M483" s="197"/>
      <c r="N483" s="197"/>
      <c r="O483" s="197"/>
      <c r="P483" s="197"/>
      <c r="Q483" s="197"/>
      <c r="R483" s="197"/>
      <c r="S483" s="197"/>
      <c r="T483" s="198"/>
      <c r="U483" s="197"/>
      <c r="V483" s="197"/>
      <c r="W483" s="197"/>
      <c r="X483" s="197"/>
      <c r="Y483" s="197"/>
      <c r="Z483" s="197"/>
    </row>
    <row r="484" spans="1:26">
      <c r="A484" s="197"/>
      <c r="B484" s="197"/>
      <c r="C484" s="197"/>
      <c r="D484" s="197"/>
      <c r="E484" s="197"/>
      <c r="F484" s="197"/>
      <c r="G484" s="197"/>
      <c r="H484" s="197"/>
      <c r="I484" s="197"/>
      <c r="J484" s="197"/>
      <c r="K484" s="197"/>
      <c r="L484" s="197"/>
      <c r="M484" s="197"/>
      <c r="N484" s="197"/>
      <c r="O484" s="197"/>
      <c r="P484" s="197"/>
      <c r="Q484" s="197"/>
      <c r="R484" s="197"/>
      <c r="S484" s="197"/>
      <c r="T484" s="198"/>
      <c r="U484" s="197"/>
      <c r="V484" s="197"/>
      <c r="W484" s="197"/>
      <c r="X484" s="197"/>
      <c r="Y484" s="197"/>
      <c r="Z484" s="197"/>
    </row>
    <row r="485" spans="1:26">
      <c r="A485" s="197"/>
      <c r="B485" s="197"/>
      <c r="C485" s="197"/>
      <c r="D485" s="197"/>
      <c r="E485" s="197"/>
      <c r="F485" s="197"/>
      <c r="G485" s="197"/>
      <c r="H485" s="197"/>
      <c r="I485" s="197"/>
      <c r="J485" s="197"/>
      <c r="K485" s="197"/>
      <c r="L485" s="197"/>
      <c r="M485" s="197"/>
      <c r="N485" s="197"/>
      <c r="O485" s="197"/>
      <c r="P485" s="197"/>
      <c r="Q485" s="197"/>
      <c r="R485" s="197"/>
      <c r="S485" s="197"/>
      <c r="T485" s="198"/>
      <c r="U485" s="197"/>
      <c r="V485" s="197"/>
      <c r="W485" s="197"/>
      <c r="X485" s="197"/>
      <c r="Y485" s="197"/>
      <c r="Z485" s="197"/>
    </row>
    <row r="486" spans="1:26">
      <c r="A486" s="197"/>
      <c r="B486" s="197"/>
      <c r="C486" s="197"/>
      <c r="D486" s="197"/>
      <c r="E486" s="197"/>
      <c r="F486" s="197"/>
      <c r="G486" s="197"/>
      <c r="H486" s="197"/>
      <c r="I486" s="197"/>
      <c r="J486" s="197"/>
      <c r="K486" s="197"/>
      <c r="L486" s="197"/>
      <c r="M486" s="197"/>
      <c r="N486" s="197"/>
      <c r="O486" s="197"/>
      <c r="P486" s="197"/>
      <c r="Q486" s="197"/>
      <c r="R486" s="197"/>
      <c r="S486" s="197"/>
      <c r="T486" s="198"/>
      <c r="U486" s="197"/>
      <c r="V486" s="197"/>
      <c r="W486" s="197"/>
      <c r="X486" s="197"/>
      <c r="Y486" s="197"/>
      <c r="Z486" s="197"/>
    </row>
    <row r="487" spans="1:26">
      <c r="A487" s="197"/>
      <c r="B487" s="197"/>
      <c r="C487" s="197"/>
      <c r="D487" s="197"/>
      <c r="E487" s="197"/>
      <c r="F487" s="197"/>
      <c r="G487" s="197"/>
      <c r="H487" s="197"/>
      <c r="I487" s="197"/>
      <c r="J487" s="197"/>
      <c r="K487" s="197"/>
      <c r="L487" s="197"/>
      <c r="M487" s="197"/>
      <c r="N487" s="197"/>
      <c r="O487" s="197"/>
      <c r="P487" s="197"/>
      <c r="Q487" s="197"/>
      <c r="R487" s="197"/>
      <c r="S487" s="197"/>
      <c r="T487" s="198"/>
      <c r="U487" s="197"/>
      <c r="V487" s="197"/>
      <c r="W487" s="197"/>
      <c r="X487" s="197"/>
      <c r="Y487" s="197"/>
      <c r="Z487" s="197"/>
    </row>
    <row r="488" spans="1:26">
      <c r="A488" s="197"/>
      <c r="B488" s="197"/>
      <c r="C488" s="197"/>
      <c r="D488" s="197"/>
      <c r="E488" s="197"/>
      <c r="F488" s="197"/>
      <c r="G488" s="197"/>
      <c r="H488" s="197"/>
      <c r="I488" s="197"/>
      <c r="J488" s="197"/>
      <c r="K488" s="197"/>
      <c r="L488" s="197"/>
      <c r="M488" s="197"/>
      <c r="N488" s="197"/>
      <c r="O488" s="197"/>
      <c r="P488" s="197"/>
      <c r="Q488" s="197"/>
      <c r="R488" s="197"/>
      <c r="S488" s="197"/>
      <c r="T488" s="198"/>
      <c r="U488" s="197"/>
      <c r="V488" s="197"/>
      <c r="W488" s="197"/>
      <c r="X488" s="197"/>
      <c r="Y488" s="197"/>
      <c r="Z488" s="197"/>
    </row>
    <row r="489" spans="1:26">
      <c r="A489" s="197"/>
      <c r="B489" s="197"/>
      <c r="C489" s="197"/>
      <c r="D489" s="197"/>
      <c r="E489" s="197"/>
      <c r="F489" s="197"/>
      <c r="G489" s="197"/>
      <c r="H489" s="197"/>
      <c r="I489" s="197"/>
      <c r="J489" s="197"/>
      <c r="K489" s="197"/>
      <c r="L489" s="197"/>
      <c r="M489" s="197"/>
      <c r="N489" s="197"/>
      <c r="O489" s="197"/>
      <c r="P489" s="197"/>
      <c r="Q489" s="197"/>
      <c r="R489" s="197"/>
      <c r="S489" s="197"/>
      <c r="T489" s="198"/>
      <c r="U489" s="197"/>
      <c r="V489" s="197"/>
      <c r="W489" s="197"/>
      <c r="X489" s="197"/>
      <c r="Y489" s="197"/>
      <c r="Z489" s="197"/>
    </row>
    <row r="490" spans="1:26">
      <c r="A490" s="197"/>
      <c r="B490" s="197"/>
      <c r="C490" s="197"/>
      <c r="D490" s="197"/>
      <c r="E490" s="197"/>
      <c r="F490" s="197"/>
      <c r="G490" s="197"/>
      <c r="H490" s="197"/>
      <c r="I490" s="197"/>
      <c r="J490" s="197"/>
      <c r="K490" s="197"/>
      <c r="L490" s="197"/>
      <c r="M490" s="197"/>
      <c r="N490" s="197"/>
      <c r="O490" s="197"/>
      <c r="P490" s="197"/>
      <c r="Q490" s="197"/>
      <c r="R490" s="197"/>
      <c r="S490" s="197"/>
      <c r="T490" s="198"/>
      <c r="U490" s="197"/>
      <c r="V490" s="197"/>
      <c r="W490" s="197"/>
      <c r="X490" s="197"/>
      <c r="Y490" s="197"/>
      <c r="Z490" s="197"/>
    </row>
    <row r="491" spans="1:26">
      <c r="A491" s="197"/>
      <c r="B491" s="197"/>
      <c r="C491" s="197"/>
      <c r="D491" s="197"/>
      <c r="E491" s="197"/>
      <c r="F491" s="197"/>
      <c r="G491" s="197"/>
      <c r="H491" s="197"/>
      <c r="I491" s="197"/>
      <c r="J491" s="197"/>
      <c r="K491" s="197"/>
      <c r="L491" s="197"/>
      <c r="M491" s="197"/>
      <c r="N491" s="197"/>
      <c r="O491" s="197"/>
      <c r="P491" s="197"/>
      <c r="Q491" s="197"/>
      <c r="R491" s="197"/>
      <c r="S491" s="197"/>
      <c r="T491" s="198"/>
      <c r="U491" s="197"/>
      <c r="V491" s="197"/>
      <c r="W491" s="197"/>
      <c r="X491" s="197"/>
      <c r="Y491" s="197"/>
      <c r="Z491" s="197"/>
    </row>
    <row r="492" spans="1:26">
      <c r="A492" s="197"/>
      <c r="B492" s="197"/>
      <c r="C492" s="197"/>
      <c r="D492" s="197"/>
      <c r="E492" s="197"/>
      <c r="F492" s="197"/>
      <c r="G492" s="197"/>
      <c r="H492" s="197"/>
      <c r="I492" s="197"/>
      <c r="J492" s="197"/>
      <c r="K492" s="197"/>
      <c r="L492" s="197"/>
      <c r="M492" s="197"/>
      <c r="N492" s="197"/>
      <c r="O492" s="197"/>
      <c r="P492" s="197"/>
      <c r="Q492" s="197"/>
      <c r="R492" s="197"/>
      <c r="S492" s="197"/>
      <c r="T492" s="198"/>
      <c r="U492" s="197"/>
      <c r="V492" s="197"/>
      <c r="W492" s="197"/>
      <c r="X492" s="197"/>
      <c r="Y492" s="197"/>
      <c r="Z492" s="197"/>
    </row>
    <row r="493" spans="1:26">
      <c r="A493" s="197"/>
      <c r="B493" s="197"/>
      <c r="C493" s="197"/>
      <c r="D493" s="197"/>
      <c r="E493" s="197"/>
      <c r="F493" s="197"/>
      <c r="G493" s="197"/>
      <c r="H493" s="197"/>
      <c r="I493" s="197"/>
      <c r="J493" s="197"/>
      <c r="K493" s="197"/>
      <c r="L493" s="197"/>
      <c r="M493" s="197"/>
      <c r="N493" s="197"/>
      <c r="O493" s="197"/>
      <c r="P493" s="197"/>
      <c r="Q493" s="197"/>
      <c r="R493" s="197"/>
      <c r="S493" s="197"/>
      <c r="T493" s="198"/>
      <c r="U493" s="197"/>
      <c r="V493" s="197"/>
      <c r="W493" s="197"/>
      <c r="X493" s="197"/>
      <c r="Y493" s="197"/>
      <c r="Z493" s="197"/>
    </row>
    <row r="494" spans="1:26">
      <c r="A494" s="197"/>
      <c r="B494" s="197"/>
      <c r="C494" s="197"/>
      <c r="D494" s="197"/>
      <c r="E494" s="197"/>
      <c r="F494" s="197"/>
      <c r="G494" s="197"/>
      <c r="H494" s="197"/>
      <c r="I494" s="197"/>
      <c r="J494" s="197"/>
      <c r="K494" s="197"/>
      <c r="L494" s="197"/>
      <c r="M494" s="197"/>
      <c r="N494" s="197"/>
      <c r="O494" s="197"/>
      <c r="P494" s="197"/>
      <c r="Q494" s="197"/>
      <c r="R494" s="197"/>
      <c r="S494" s="197"/>
      <c r="T494" s="198"/>
      <c r="U494" s="197"/>
      <c r="V494" s="197"/>
      <c r="W494" s="197"/>
      <c r="X494" s="197"/>
      <c r="Y494" s="197"/>
      <c r="Z494" s="197"/>
    </row>
    <row r="495" spans="1:26">
      <c r="A495" s="197"/>
      <c r="B495" s="197"/>
      <c r="C495" s="197"/>
      <c r="D495" s="197"/>
      <c r="E495" s="197"/>
      <c r="F495" s="197"/>
      <c r="G495" s="197"/>
      <c r="H495" s="197"/>
      <c r="I495" s="197"/>
      <c r="J495" s="197"/>
      <c r="K495" s="197"/>
      <c r="L495" s="197"/>
      <c r="M495" s="197"/>
      <c r="N495" s="197"/>
      <c r="O495" s="197"/>
      <c r="P495" s="197"/>
      <c r="Q495" s="197"/>
      <c r="R495" s="197"/>
      <c r="S495" s="197"/>
      <c r="T495" s="198"/>
      <c r="U495" s="197"/>
      <c r="V495" s="197"/>
      <c r="W495" s="197"/>
      <c r="X495" s="197"/>
      <c r="Y495" s="197"/>
      <c r="Z495" s="197"/>
    </row>
    <row r="496" spans="1:26">
      <c r="A496" s="197"/>
      <c r="B496" s="197"/>
      <c r="C496" s="197"/>
      <c r="D496" s="197"/>
      <c r="E496" s="197"/>
      <c r="F496" s="197"/>
      <c r="G496" s="197"/>
      <c r="H496" s="197"/>
      <c r="I496" s="197"/>
      <c r="J496" s="197"/>
      <c r="K496" s="197"/>
      <c r="L496" s="197"/>
      <c r="M496" s="197"/>
      <c r="N496" s="197"/>
      <c r="O496" s="197"/>
      <c r="P496" s="197"/>
      <c r="Q496" s="197"/>
      <c r="R496" s="197"/>
      <c r="S496" s="197"/>
      <c r="T496" s="198"/>
      <c r="U496" s="197"/>
      <c r="V496" s="197"/>
      <c r="W496" s="197"/>
      <c r="X496" s="197"/>
      <c r="Y496" s="197"/>
      <c r="Z496" s="197"/>
    </row>
    <row r="497" spans="1:26">
      <c r="A497" s="197"/>
      <c r="B497" s="197"/>
      <c r="C497" s="197"/>
      <c r="D497" s="197"/>
      <c r="E497" s="197"/>
      <c r="F497" s="197"/>
      <c r="G497" s="197"/>
      <c r="H497" s="197"/>
      <c r="I497" s="197"/>
      <c r="J497" s="197"/>
      <c r="K497" s="197"/>
      <c r="L497" s="197"/>
      <c r="M497" s="197"/>
      <c r="N497" s="197"/>
      <c r="O497" s="197"/>
      <c r="P497" s="197"/>
      <c r="Q497" s="197"/>
      <c r="R497" s="197"/>
      <c r="S497" s="197"/>
      <c r="T497" s="198"/>
      <c r="U497" s="197"/>
      <c r="V497" s="197"/>
      <c r="W497" s="197"/>
      <c r="X497" s="197"/>
      <c r="Y497" s="197"/>
      <c r="Z497" s="197"/>
    </row>
    <row r="498" spans="1:26">
      <c r="A498" s="197"/>
      <c r="B498" s="197"/>
      <c r="C498" s="197"/>
      <c r="D498" s="197"/>
      <c r="E498" s="197"/>
      <c r="F498" s="197"/>
      <c r="G498" s="197"/>
      <c r="H498" s="197"/>
      <c r="I498" s="197"/>
      <c r="J498" s="197"/>
      <c r="K498" s="197"/>
      <c r="L498" s="197"/>
      <c r="M498" s="197"/>
      <c r="N498" s="197"/>
      <c r="O498" s="197"/>
      <c r="P498" s="197"/>
      <c r="Q498" s="197"/>
      <c r="R498" s="197"/>
      <c r="S498" s="197"/>
      <c r="T498" s="198"/>
      <c r="U498" s="197"/>
      <c r="V498" s="197"/>
      <c r="W498" s="197"/>
      <c r="X498" s="197"/>
      <c r="Y498" s="197"/>
      <c r="Z498" s="197"/>
    </row>
    <row r="499" spans="1:26">
      <c r="A499" s="197"/>
      <c r="B499" s="197"/>
      <c r="C499" s="197"/>
      <c r="D499" s="197"/>
      <c r="E499" s="197"/>
      <c r="F499" s="197"/>
      <c r="G499" s="197"/>
      <c r="H499" s="197"/>
      <c r="I499" s="197"/>
      <c r="J499" s="197"/>
      <c r="K499" s="197"/>
      <c r="L499" s="197"/>
      <c r="M499" s="197"/>
      <c r="N499" s="197"/>
      <c r="O499" s="197"/>
      <c r="P499" s="197"/>
      <c r="Q499" s="197"/>
      <c r="R499" s="197"/>
      <c r="S499" s="197"/>
      <c r="T499" s="198"/>
      <c r="U499" s="197"/>
      <c r="V499" s="197"/>
      <c r="W499" s="197"/>
      <c r="X499" s="197"/>
      <c r="Y499" s="197"/>
      <c r="Z499" s="197"/>
    </row>
    <row r="500" spans="1:26">
      <c r="A500" s="197"/>
      <c r="B500" s="197"/>
      <c r="C500" s="197"/>
      <c r="D500" s="197"/>
      <c r="E500" s="197"/>
      <c r="F500" s="197"/>
      <c r="G500" s="197"/>
      <c r="H500" s="197"/>
      <c r="I500" s="197"/>
      <c r="J500" s="197"/>
      <c r="K500" s="197"/>
      <c r="L500" s="197"/>
      <c r="M500" s="197"/>
      <c r="N500" s="197"/>
      <c r="O500" s="197"/>
      <c r="P500" s="197"/>
      <c r="Q500" s="197"/>
      <c r="R500" s="197"/>
      <c r="S500" s="197"/>
      <c r="T500" s="198"/>
      <c r="U500" s="197"/>
      <c r="V500" s="197"/>
      <c r="W500" s="197"/>
      <c r="X500" s="197"/>
      <c r="Y500" s="197"/>
      <c r="Z500" s="197"/>
    </row>
    <row r="501" spans="1:26">
      <c r="A501" s="197"/>
      <c r="B501" s="197"/>
      <c r="C501" s="197"/>
      <c r="D501" s="197"/>
      <c r="E501" s="197"/>
      <c r="F501" s="197"/>
      <c r="G501" s="197"/>
      <c r="H501" s="197"/>
      <c r="I501" s="197"/>
      <c r="J501" s="197"/>
      <c r="K501" s="197"/>
      <c r="L501" s="197"/>
      <c r="M501" s="197"/>
      <c r="N501" s="197"/>
      <c r="O501" s="197"/>
      <c r="P501" s="197"/>
      <c r="Q501" s="197"/>
      <c r="R501" s="197"/>
      <c r="S501" s="197"/>
      <c r="T501" s="198"/>
      <c r="U501" s="197"/>
      <c r="V501" s="197"/>
      <c r="W501" s="197"/>
      <c r="X501" s="197"/>
      <c r="Y501" s="197"/>
      <c r="Z501" s="197"/>
    </row>
    <row r="502" spans="1:26">
      <c r="A502" s="197"/>
      <c r="B502" s="197"/>
      <c r="C502" s="197"/>
      <c r="D502" s="197"/>
      <c r="E502" s="197"/>
      <c r="F502" s="197"/>
      <c r="G502" s="197"/>
      <c r="H502" s="197"/>
      <c r="I502" s="197"/>
      <c r="J502" s="197"/>
      <c r="K502" s="197"/>
      <c r="L502" s="197"/>
      <c r="M502" s="197"/>
      <c r="N502" s="197"/>
      <c r="O502" s="197"/>
      <c r="P502" s="197"/>
      <c r="Q502" s="197"/>
      <c r="R502" s="197"/>
      <c r="S502" s="197"/>
      <c r="T502" s="198"/>
      <c r="U502" s="197"/>
      <c r="V502" s="197"/>
      <c r="W502" s="197"/>
      <c r="X502" s="197"/>
      <c r="Y502" s="197"/>
      <c r="Z502" s="197"/>
    </row>
    <row r="503" spans="1:26">
      <c r="A503" s="197"/>
      <c r="B503" s="197"/>
      <c r="C503" s="197"/>
      <c r="D503" s="197"/>
      <c r="E503" s="197"/>
      <c r="F503" s="197"/>
      <c r="G503" s="197"/>
      <c r="H503" s="197"/>
      <c r="I503" s="197"/>
      <c r="J503" s="197"/>
      <c r="K503" s="197"/>
      <c r="L503" s="197"/>
      <c r="M503" s="197"/>
      <c r="N503" s="197"/>
      <c r="O503" s="197"/>
      <c r="P503" s="197"/>
      <c r="Q503" s="197"/>
      <c r="R503" s="197"/>
      <c r="S503" s="197"/>
      <c r="T503" s="198"/>
      <c r="U503" s="197"/>
      <c r="V503" s="197"/>
      <c r="W503" s="197"/>
      <c r="X503" s="197"/>
      <c r="Y503" s="197"/>
      <c r="Z503" s="197"/>
    </row>
    <row r="504" spans="1:26">
      <c r="A504" s="197"/>
      <c r="B504" s="197"/>
      <c r="C504" s="197"/>
      <c r="D504" s="197"/>
      <c r="E504" s="197"/>
      <c r="F504" s="197"/>
      <c r="G504" s="197"/>
      <c r="H504" s="197"/>
      <c r="I504" s="197"/>
      <c r="J504" s="197"/>
      <c r="K504" s="197"/>
      <c r="L504" s="197"/>
      <c r="M504" s="197"/>
      <c r="N504" s="197"/>
      <c r="O504" s="197"/>
      <c r="P504" s="197"/>
      <c r="Q504" s="197"/>
      <c r="R504" s="197"/>
      <c r="S504" s="197"/>
      <c r="T504" s="198"/>
      <c r="U504" s="197"/>
      <c r="V504" s="197"/>
      <c r="W504" s="197"/>
      <c r="X504" s="197"/>
      <c r="Y504" s="197"/>
      <c r="Z504" s="197"/>
    </row>
    <row r="505" spans="1:26">
      <c r="A505" s="197"/>
      <c r="B505" s="197"/>
      <c r="C505" s="197"/>
      <c r="D505" s="197"/>
      <c r="E505" s="197"/>
      <c r="F505" s="197"/>
      <c r="G505" s="197"/>
      <c r="H505" s="197"/>
      <c r="I505" s="197"/>
      <c r="J505" s="197"/>
      <c r="K505" s="197"/>
      <c r="L505" s="197"/>
      <c r="M505" s="197"/>
      <c r="N505" s="197"/>
      <c r="O505" s="197"/>
      <c r="P505" s="197"/>
      <c r="Q505" s="197"/>
      <c r="R505" s="197"/>
      <c r="S505" s="197"/>
      <c r="T505" s="198"/>
      <c r="U505" s="197"/>
      <c r="V505" s="197"/>
      <c r="W505" s="197"/>
      <c r="X505" s="197"/>
      <c r="Y505" s="197"/>
      <c r="Z505" s="197"/>
    </row>
    <row r="506" spans="1:26">
      <c r="A506" s="197"/>
      <c r="B506" s="197"/>
      <c r="C506" s="197"/>
      <c r="D506" s="197"/>
      <c r="E506" s="197"/>
      <c r="F506" s="197"/>
      <c r="G506" s="197"/>
      <c r="H506" s="197"/>
      <c r="I506" s="197"/>
      <c r="J506" s="197"/>
      <c r="K506" s="197"/>
      <c r="L506" s="197"/>
      <c r="M506" s="197"/>
      <c r="N506" s="197"/>
      <c r="O506" s="197"/>
      <c r="P506" s="197"/>
      <c r="Q506" s="197"/>
      <c r="R506" s="197"/>
      <c r="S506" s="197"/>
      <c r="T506" s="198"/>
      <c r="U506" s="197"/>
      <c r="V506" s="197"/>
      <c r="W506" s="197"/>
      <c r="X506" s="197"/>
      <c r="Y506" s="197"/>
      <c r="Z506" s="197"/>
    </row>
    <row r="507" spans="1:26">
      <c r="A507" s="197"/>
      <c r="B507" s="197"/>
      <c r="C507" s="197"/>
      <c r="D507" s="197"/>
      <c r="E507" s="197"/>
      <c r="F507" s="197"/>
      <c r="G507" s="197"/>
      <c r="H507" s="197"/>
      <c r="I507" s="197"/>
      <c r="J507" s="197"/>
      <c r="K507" s="197"/>
      <c r="L507" s="197"/>
      <c r="M507" s="197"/>
      <c r="N507" s="197"/>
      <c r="O507" s="197"/>
      <c r="P507" s="197"/>
      <c r="Q507" s="197"/>
      <c r="R507" s="197"/>
      <c r="S507" s="197"/>
      <c r="T507" s="198"/>
      <c r="U507" s="197"/>
      <c r="V507" s="197"/>
      <c r="W507" s="197"/>
      <c r="X507" s="197"/>
      <c r="Y507" s="197"/>
      <c r="Z507" s="197"/>
    </row>
    <row r="508" spans="1:26">
      <c r="A508" s="197"/>
      <c r="B508" s="197"/>
      <c r="C508" s="197"/>
      <c r="D508" s="197"/>
      <c r="E508" s="197"/>
      <c r="F508" s="197"/>
      <c r="G508" s="197"/>
      <c r="H508" s="197"/>
      <c r="I508" s="197"/>
      <c r="J508" s="197"/>
      <c r="K508" s="197"/>
      <c r="L508" s="197"/>
      <c r="M508" s="197"/>
      <c r="N508" s="197"/>
      <c r="O508" s="197"/>
      <c r="P508" s="197"/>
      <c r="Q508" s="197"/>
      <c r="R508" s="197"/>
      <c r="S508" s="197"/>
      <c r="T508" s="198"/>
      <c r="U508" s="197"/>
      <c r="V508" s="197"/>
      <c r="W508" s="197"/>
      <c r="X508" s="197"/>
      <c r="Y508" s="197"/>
      <c r="Z508" s="197"/>
    </row>
    <row r="509" spans="1:26">
      <c r="A509" s="197"/>
      <c r="B509" s="197"/>
      <c r="C509" s="197"/>
      <c r="D509" s="197"/>
      <c r="E509" s="197"/>
      <c r="F509" s="197"/>
      <c r="G509" s="197"/>
      <c r="H509" s="197"/>
      <c r="I509" s="197"/>
      <c r="J509" s="197"/>
      <c r="K509" s="197"/>
      <c r="L509" s="197"/>
      <c r="M509" s="197"/>
      <c r="N509" s="197"/>
      <c r="O509" s="197"/>
      <c r="P509" s="197"/>
      <c r="Q509" s="197"/>
      <c r="R509" s="197"/>
      <c r="S509" s="197"/>
      <c r="T509" s="198"/>
      <c r="U509" s="197"/>
      <c r="V509" s="197"/>
      <c r="W509" s="197"/>
      <c r="X509" s="197"/>
      <c r="Y509" s="197"/>
      <c r="Z509" s="197"/>
    </row>
    <row r="510" spans="1:26">
      <c r="A510" s="197"/>
      <c r="B510" s="197"/>
      <c r="C510" s="197"/>
      <c r="D510" s="197"/>
      <c r="E510" s="197"/>
      <c r="F510" s="197"/>
      <c r="G510" s="197"/>
      <c r="H510" s="197"/>
      <c r="I510" s="197"/>
      <c r="J510" s="197"/>
      <c r="K510" s="197"/>
      <c r="L510" s="197"/>
      <c r="M510" s="197"/>
      <c r="N510" s="197"/>
      <c r="O510" s="197"/>
      <c r="P510" s="197"/>
      <c r="Q510" s="197"/>
      <c r="R510" s="197"/>
      <c r="S510" s="197"/>
      <c r="T510" s="198"/>
      <c r="U510" s="197"/>
      <c r="V510" s="197"/>
      <c r="W510" s="197"/>
      <c r="X510" s="197"/>
      <c r="Y510" s="197"/>
      <c r="Z510" s="197"/>
    </row>
    <row r="511" spans="1:26">
      <c r="A511" s="197"/>
      <c r="B511" s="197"/>
      <c r="C511" s="197"/>
      <c r="D511" s="197"/>
      <c r="E511" s="197"/>
      <c r="F511" s="197"/>
      <c r="G511" s="197"/>
      <c r="H511" s="197"/>
      <c r="I511" s="197"/>
      <c r="J511" s="197"/>
      <c r="K511" s="197"/>
      <c r="L511" s="197"/>
      <c r="M511" s="197"/>
      <c r="N511" s="197"/>
      <c r="O511" s="197"/>
      <c r="P511" s="197"/>
      <c r="Q511" s="197"/>
      <c r="R511" s="197"/>
      <c r="S511" s="197"/>
      <c r="T511" s="198"/>
      <c r="U511" s="197"/>
      <c r="V511" s="197"/>
      <c r="W511" s="197"/>
      <c r="X511" s="197"/>
      <c r="Y511" s="197"/>
      <c r="Z511" s="197"/>
    </row>
    <row r="512" spans="1:26">
      <c r="A512" s="197"/>
      <c r="B512" s="197"/>
      <c r="C512" s="197"/>
      <c r="D512" s="197"/>
      <c r="E512" s="197"/>
      <c r="F512" s="197"/>
      <c r="G512" s="197"/>
      <c r="H512" s="197"/>
      <c r="I512" s="197"/>
      <c r="J512" s="197"/>
      <c r="K512" s="197"/>
      <c r="L512" s="197"/>
      <c r="M512" s="197"/>
      <c r="N512" s="197"/>
      <c r="O512" s="197"/>
      <c r="P512" s="197"/>
      <c r="Q512" s="197"/>
      <c r="R512" s="197"/>
      <c r="S512" s="197"/>
      <c r="T512" s="198"/>
      <c r="U512" s="197"/>
      <c r="V512" s="197"/>
      <c r="W512" s="197"/>
      <c r="X512" s="197"/>
      <c r="Y512" s="197"/>
      <c r="Z512" s="197"/>
    </row>
    <row r="513" spans="1:26">
      <c r="A513" s="197"/>
      <c r="B513" s="197"/>
      <c r="C513" s="197"/>
      <c r="D513" s="197"/>
      <c r="E513" s="197"/>
      <c r="F513" s="197"/>
      <c r="G513" s="197"/>
      <c r="H513" s="197"/>
      <c r="I513" s="197"/>
      <c r="J513" s="197"/>
      <c r="K513" s="197"/>
      <c r="L513" s="197"/>
      <c r="M513" s="197"/>
      <c r="N513" s="197"/>
      <c r="O513" s="197"/>
      <c r="P513" s="197"/>
      <c r="Q513" s="197"/>
      <c r="R513" s="197"/>
      <c r="S513" s="197"/>
      <c r="T513" s="198"/>
      <c r="U513" s="197"/>
      <c r="V513" s="197"/>
      <c r="W513" s="197"/>
      <c r="X513" s="197"/>
      <c r="Y513" s="197"/>
      <c r="Z513" s="197"/>
    </row>
    <row r="514" spans="1:26">
      <c r="A514" s="197"/>
      <c r="B514" s="197"/>
      <c r="C514" s="197"/>
      <c r="D514" s="197"/>
      <c r="E514" s="197"/>
      <c r="F514" s="197"/>
      <c r="G514" s="197"/>
      <c r="H514" s="197"/>
      <c r="I514" s="197"/>
      <c r="J514" s="197"/>
      <c r="K514" s="197"/>
      <c r="L514" s="197"/>
      <c r="M514" s="197"/>
      <c r="N514" s="197"/>
      <c r="O514" s="197"/>
      <c r="P514" s="197"/>
      <c r="Q514" s="197"/>
      <c r="R514" s="197"/>
      <c r="S514" s="197"/>
      <c r="T514" s="198"/>
      <c r="U514" s="197"/>
      <c r="V514" s="197"/>
      <c r="W514" s="197"/>
      <c r="X514" s="197"/>
      <c r="Y514" s="197"/>
      <c r="Z514" s="197"/>
    </row>
    <row r="515" spans="1:26">
      <c r="A515" s="197"/>
      <c r="B515" s="197"/>
      <c r="C515" s="197"/>
      <c r="D515" s="197"/>
      <c r="E515" s="197"/>
      <c r="F515" s="197"/>
      <c r="G515" s="197"/>
      <c r="H515" s="197"/>
      <c r="I515" s="197"/>
      <c r="J515" s="197"/>
      <c r="K515" s="197"/>
      <c r="L515" s="197"/>
      <c r="M515" s="197"/>
      <c r="N515" s="197"/>
      <c r="O515" s="197"/>
      <c r="P515" s="197"/>
      <c r="Q515" s="197"/>
      <c r="R515" s="197"/>
      <c r="S515" s="197"/>
      <c r="T515" s="198"/>
      <c r="U515" s="197"/>
      <c r="V515" s="197"/>
      <c r="W515" s="197"/>
      <c r="X515" s="197"/>
      <c r="Y515" s="197"/>
      <c r="Z515" s="197"/>
    </row>
    <row r="516" spans="1:26">
      <c r="A516" s="197"/>
      <c r="B516" s="197"/>
      <c r="C516" s="197"/>
      <c r="D516" s="197"/>
      <c r="E516" s="197"/>
      <c r="F516" s="197"/>
      <c r="G516" s="197"/>
      <c r="H516" s="197"/>
      <c r="I516" s="197"/>
      <c r="J516" s="197"/>
      <c r="K516" s="197"/>
      <c r="L516" s="197"/>
      <c r="M516" s="197"/>
      <c r="N516" s="197"/>
      <c r="O516" s="197"/>
      <c r="P516" s="197"/>
      <c r="Q516" s="197"/>
      <c r="R516" s="197"/>
      <c r="S516" s="197"/>
      <c r="T516" s="198"/>
      <c r="U516" s="197"/>
      <c r="V516" s="197"/>
      <c r="W516" s="197"/>
      <c r="X516" s="197"/>
      <c r="Y516" s="197"/>
      <c r="Z516" s="197"/>
    </row>
    <row r="517" spans="1:26">
      <c r="A517" s="197"/>
      <c r="B517" s="197"/>
      <c r="C517" s="197"/>
      <c r="D517" s="197"/>
      <c r="E517" s="197"/>
      <c r="F517" s="197"/>
      <c r="G517" s="197"/>
      <c r="H517" s="197"/>
      <c r="I517" s="197"/>
      <c r="J517" s="197"/>
      <c r="K517" s="197"/>
      <c r="L517" s="197"/>
      <c r="M517" s="197"/>
      <c r="N517" s="197"/>
      <c r="O517" s="197"/>
      <c r="P517" s="197"/>
      <c r="Q517" s="197"/>
      <c r="R517" s="197"/>
      <c r="S517" s="197"/>
      <c r="T517" s="198"/>
      <c r="U517" s="197"/>
      <c r="V517" s="197"/>
      <c r="W517" s="197"/>
      <c r="X517" s="197"/>
      <c r="Y517" s="197"/>
      <c r="Z517" s="197"/>
    </row>
    <row r="518" spans="1:26">
      <c r="A518" s="197"/>
      <c r="B518" s="197"/>
      <c r="C518" s="197"/>
      <c r="D518" s="197"/>
      <c r="E518" s="197"/>
      <c r="F518" s="197"/>
      <c r="G518" s="197"/>
      <c r="H518" s="197"/>
      <c r="I518" s="197"/>
      <c r="J518" s="197"/>
      <c r="K518" s="197"/>
      <c r="L518" s="197"/>
      <c r="M518" s="197"/>
      <c r="N518" s="197"/>
      <c r="O518" s="197"/>
      <c r="P518" s="197"/>
      <c r="Q518" s="197"/>
      <c r="R518" s="197"/>
      <c r="S518" s="197"/>
      <c r="T518" s="198"/>
      <c r="U518" s="197"/>
      <c r="V518" s="197"/>
      <c r="W518" s="197"/>
      <c r="X518" s="197"/>
      <c r="Y518" s="197"/>
      <c r="Z518" s="197"/>
    </row>
    <row r="519" spans="1:26">
      <c r="A519" s="197"/>
      <c r="B519" s="197"/>
      <c r="C519" s="197"/>
      <c r="D519" s="197"/>
      <c r="E519" s="197"/>
      <c r="F519" s="197"/>
      <c r="G519" s="197"/>
      <c r="H519" s="197"/>
      <c r="I519" s="197"/>
      <c r="J519" s="197"/>
      <c r="K519" s="197"/>
      <c r="L519" s="197"/>
      <c r="M519" s="197"/>
      <c r="N519" s="197"/>
      <c r="O519" s="197"/>
      <c r="P519" s="197"/>
      <c r="Q519" s="197"/>
      <c r="R519" s="197"/>
      <c r="S519" s="197"/>
      <c r="T519" s="198"/>
      <c r="U519" s="197"/>
      <c r="V519" s="197"/>
      <c r="W519" s="197"/>
      <c r="X519" s="197"/>
      <c r="Y519" s="197"/>
      <c r="Z519" s="197"/>
    </row>
    <row r="520" spans="1:26">
      <c r="A520" s="197"/>
      <c r="B520" s="197"/>
      <c r="C520" s="197"/>
      <c r="D520" s="197"/>
      <c r="E520" s="197"/>
      <c r="F520" s="197"/>
      <c r="G520" s="197"/>
      <c r="H520" s="197"/>
      <c r="I520" s="197"/>
      <c r="J520" s="197"/>
      <c r="K520" s="197"/>
      <c r="L520" s="197"/>
      <c r="M520" s="197"/>
      <c r="N520" s="197"/>
      <c r="O520" s="197"/>
      <c r="P520" s="197"/>
      <c r="Q520" s="197"/>
      <c r="R520" s="197"/>
      <c r="S520" s="197"/>
      <c r="T520" s="198"/>
      <c r="U520" s="197"/>
      <c r="V520" s="197"/>
      <c r="W520" s="197"/>
      <c r="X520" s="197"/>
      <c r="Y520" s="197"/>
      <c r="Z520" s="197"/>
    </row>
    <row r="521" spans="1:26">
      <c r="A521" s="197"/>
      <c r="B521" s="197"/>
      <c r="C521" s="197"/>
      <c r="D521" s="197"/>
      <c r="E521" s="197"/>
      <c r="F521" s="197"/>
      <c r="G521" s="197"/>
      <c r="H521" s="197"/>
      <c r="I521" s="197"/>
      <c r="J521" s="197"/>
      <c r="K521" s="197"/>
      <c r="L521" s="197"/>
      <c r="M521" s="197"/>
      <c r="N521" s="197"/>
      <c r="O521" s="197"/>
      <c r="P521" s="197"/>
      <c r="Q521" s="197"/>
      <c r="R521" s="197"/>
      <c r="S521" s="197"/>
      <c r="T521" s="198"/>
      <c r="U521" s="197"/>
      <c r="V521" s="197"/>
      <c r="W521" s="197"/>
      <c r="X521" s="197"/>
      <c r="Y521" s="197"/>
      <c r="Z521" s="197"/>
    </row>
    <row r="522" spans="1:26">
      <c r="A522" s="197"/>
      <c r="B522" s="197"/>
      <c r="C522" s="197"/>
      <c r="D522" s="197"/>
      <c r="E522" s="197"/>
      <c r="F522" s="197"/>
      <c r="G522" s="197"/>
      <c r="H522" s="197"/>
      <c r="I522" s="197"/>
      <c r="J522" s="197"/>
      <c r="K522" s="197"/>
      <c r="L522" s="197"/>
      <c r="M522" s="197"/>
      <c r="N522" s="197"/>
      <c r="O522" s="197"/>
      <c r="P522" s="197"/>
      <c r="Q522" s="197"/>
      <c r="R522" s="197"/>
      <c r="S522" s="197"/>
      <c r="T522" s="198"/>
      <c r="U522" s="197"/>
      <c r="V522" s="197"/>
      <c r="W522" s="197"/>
      <c r="X522" s="197"/>
      <c r="Y522" s="197"/>
      <c r="Z522" s="197"/>
    </row>
    <row r="523" spans="1:26">
      <c r="A523" s="197"/>
      <c r="B523" s="197"/>
      <c r="C523" s="197"/>
      <c r="D523" s="197"/>
      <c r="E523" s="197"/>
      <c r="F523" s="197"/>
      <c r="G523" s="197"/>
      <c r="H523" s="197"/>
      <c r="I523" s="197"/>
      <c r="J523" s="197"/>
      <c r="K523" s="197"/>
      <c r="L523" s="197"/>
      <c r="M523" s="197"/>
      <c r="N523" s="197"/>
      <c r="O523" s="197"/>
      <c r="P523" s="197"/>
      <c r="Q523" s="197"/>
      <c r="R523" s="197"/>
      <c r="S523" s="197"/>
      <c r="T523" s="198"/>
      <c r="U523" s="197"/>
      <c r="V523" s="197"/>
      <c r="W523" s="197"/>
      <c r="X523" s="197"/>
      <c r="Y523" s="197"/>
      <c r="Z523" s="197"/>
    </row>
    <row r="524" spans="1:26">
      <c r="A524" s="197"/>
      <c r="B524" s="197"/>
      <c r="C524" s="197"/>
      <c r="D524" s="197"/>
      <c r="E524" s="197"/>
      <c r="F524" s="197"/>
      <c r="G524" s="197"/>
      <c r="H524" s="197"/>
      <c r="I524" s="197"/>
      <c r="J524" s="197"/>
      <c r="K524" s="197"/>
      <c r="L524" s="197"/>
      <c r="M524" s="197"/>
      <c r="N524" s="197"/>
      <c r="O524" s="197"/>
      <c r="P524" s="197"/>
      <c r="Q524" s="197"/>
      <c r="R524" s="197"/>
      <c r="S524" s="197"/>
      <c r="T524" s="198"/>
      <c r="U524" s="197"/>
      <c r="V524" s="197"/>
      <c r="W524" s="197"/>
      <c r="X524" s="197"/>
      <c r="Y524" s="197"/>
      <c r="Z524" s="197"/>
    </row>
    <row r="525" spans="1:26">
      <c r="A525" s="197"/>
      <c r="B525" s="197"/>
      <c r="C525" s="197"/>
      <c r="D525" s="197"/>
      <c r="E525" s="197"/>
      <c r="F525" s="197"/>
      <c r="G525" s="197"/>
      <c r="H525" s="197"/>
      <c r="I525" s="197"/>
      <c r="J525" s="197"/>
      <c r="K525" s="197"/>
      <c r="L525" s="197"/>
      <c r="M525" s="197"/>
      <c r="N525" s="197"/>
      <c r="O525" s="197"/>
      <c r="P525" s="197"/>
      <c r="Q525" s="197"/>
      <c r="R525" s="197"/>
      <c r="S525" s="197"/>
      <c r="T525" s="198"/>
      <c r="U525" s="197"/>
      <c r="V525" s="197"/>
      <c r="W525" s="197"/>
      <c r="X525" s="197"/>
      <c r="Y525" s="197"/>
      <c r="Z525" s="197"/>
    </row>
    <row r="526" spans="1:26">
      <c r="A526" s="197"/>
      <c r="B526" s="197"/>
      <c r="C526" s="197"/>
      <c r="D526" s="197"/>
      <c r="E526" s="197"/>
      <c r="F526" s="197"/>
      <c r="G526" s="197"/>
      <c r="H526" s="197"/>
      <c r="I526" s="197"/>
      <c r="J526" s="197"/>
      <c r="K526" s="197"/>
      <c r="L526" s="197"/>
      <c r="M526" s="197"/>
      <c r="N526" s="197"/>
      <c r="O526" s="197"/>
      <c r="P526" s="197"/>
      <c r="Q526" s="197"/>
      <c r="R526" s="197"/>
      <c r="S526" s="197"/>
      <c r="T526" s="198"/>
      <c r="U526" s="197"/>
      <c r="V526" s="197"/>
      <c r="W526" s="197"/>
      <c r="X526" s="197"/>
      <c r="Y526" s="197"/>
      <c r="Z526" s="197"/>
    </row>
    <row r="527" spans="1:26">
      <c r="A527" s="197"/>
      <c r="B527" s="197"/>
      <c r="C527" s="197"/>
      <c r="D527" s="197"/>
      <c r="E527" s="197"/>
      <c r="F527" s="197"/>
      <c r="G527" s="197"/>
      <c r="H527" s="197"/>
      <c r="I527" s="197"/>
      <c r="J527" s="197"/>
      <c r="K527" s="197"/>
      <c r="L527" s="197"/>
      <c r="M527" s="197"/>
      <c r="N527" s="197"/>
      <c r="O527" s="197"/>
      <c r="P527" s="197"/>
      <c r="Q527" s="197"/>
      <c r="R527" s="197"/>
      <c r="S527" s="197"/>
      <c r="T527" s="198"/>
      <c r="U527" s="197"/>
      <c r="V527" s="197"/>
      <c r="W527" s="197"/>
      <c r="X527" s="197"/>
      <c r="Y527" s="197"/>
      <c r="Z527" s="197"/>
    </row>
    <row r="528" spans="1:26">
      <c r="A528" s="197"/>
      <c r="B528" s="197"/>
      <c r="C528" s="197"/>
      <c r="D528" s="197"/>
      <c r="E528" s="197"/>
      <c r="F528" s="197"/>
      <c r="G528" s="197"/>
      <c r="H528" s="197"/>
      <c r="I528" s="197"/>
      <c r="J528" s="197"/>
      <c r="K528" s="197"/>
      <c r="L528" s="197"/>
      <c r="M528" s="197"/>
      <c r="N528" s="197"/>
      <c r="O528" s="197"/>
      <c r="P528" s="197"/>
      <c r="Q528" s="197"/>
      <c r="R528" s="197"/>
      <c r="S528" s="197"/>
      <c r="T528" s="198"/>
      <c r="U528" s="197"/>
      <c r="V528" s="197"/>
      <c r="W528" s="197"/>
      <c r="X528" s="197"/>
      <c r="Y528" s="197"/>
      <c r="Z528" s="197"/>
    </row>
    <row r="529" spans="1:26">
      <c r="A529" s="197"/>
      <c r="B529" s="197"/>
      <c r="C529" s="197"/>
      <c r="D529" s="197"/>
      <c r="E529" s="197"/>
      <c r="F529" s="197"/>
      <c r="G529" s="197"/>
      <c r="H529" s="197"/>
      <c r="I529" s="197"/>
      <c r="J529" s="197"/>
      <c r="K529" s="197"/>
      <c r="L529" s="197"/>
      <c r="M529" s="197"/>
      <c r="N529" s="197"/>
      <c r="O529" s="197"/>
      <c r="P529" s="197"/>
      <c r="Q529" s="197"/>
      <c r="R529" s="197"/>
      <c r="S529" s="197"/>
      <c r="T529" s="198"/>
      <c r="U529" s="197"/>
      <c r="V529" s="197"/>
      <c r="W529" s="197"/>
      <c r="X529" s="197"/>
      <c r="Y529" s="197"/>
      <c r="Z529" s="197"/>
    </row>
    <row r="530" spans="1:26">
      <c r="A530" s="197"/>
      <c r="B530" s="197"/>
      <c r="C530" s="197"/>
      <c r="D530" s="197"/>
      <c r="E530" s="197"/>
      <c r="F530" s="197"/>
      <c r="G530" s="197"/>
      <c r="H530" s="197"/>
      <c r="I530" s="197"/>
      <c r="J530" s="197"/>
      <c r="K530" s="197"/>
      <c r="L530" s="197"/>
      <c r="M530" s="197"/>
      <c r="N530" s="197"/>
      <c r="O530" s="197"/>
      <c r="P530" s="197"/>
      <c r="Q530" s="197"/>
      <c r="R530" s="197"/>
      <c r="S530" s="197"/>
      <c r="T530" s="198"/>
      <c r="U530" s="197"/>
      <c r="V530" s="197"/>
      <c r="W530" s="197"/>
      <c r="X530" s="197"/>
      <c r="Y530" s="197"/>
      <c r="Z530" s="197"/>
    </row>
    <row r="531" spans="1:26">
      <c r="A531" s="197"/>
      <c r="B531" s="197"/>
      <c r="C531" s="197"/>
      <c r="D531" s="197"/>
      <c r="E531" s="197"/>
      <c r="F531" s="197"/>
      <c r="G531" s="197"/>
      <c r="H531" s="197"/>
      <c r="I531" s="197"/>
      <c r="J531" s="197"/>
      <c r="K531" s="197"/>
      <c r="L531" s="197"/>
      <c r="M531" s="197"/>
      <c r="N531" s="197"/>
      <c r="O531" s="197"/>
      <c r="P531" s="197"/>
      <c r="Q531" s="197"/>
      <c r="R531" s="197"/>
      <c r="S531" s="197"/>
      <c r="T531" s="198"/>
      <c r="U531" s="197"/>
      <c r="V531" s="197"/>
      <c r="W531" s="197"/>
      <c r="X531" s="197"/>
      <c r="Y531" s="197"/>
      <c r="Z531" s="197"/>
    </row>
    <row r="532" spans="1:26">
      <c r="A532" s="197"/>
      <c r="B532" s="197"/>
      <c r="C532" s="197"/>
      <c r="D532" s="197"/>
      <c r="E532" s="197"/>
      <c r="F532" s="197"/>
      <c r="G532" s="197"/>
      <c r="H532" s="197"/>
      <c r="I532" s="197"/>
      <c r="J532" s="197"/>
      <c r="K532" s="197"/>
      <c r="L532" s="197"/>
      <c r="M532" s="197"/>
      <c r="N532" s="197"/>
      <c r="O532" s="197"/>
      <c r="P532" s="197"/>
      <c r="Q532" s="197"/>
      <c r="R532" s="197"/>
      <c r="S532" s="197"/>
      <c r="T532" s="198"/>
      <c r="U532" s="197"/>
      <c r="V532" s="197"/>
      <c r="W532" s="197"/>
      <c r="X532" s="197"/>
      <c r="Y532" s="197"/>
      <c r="Z532" s="197"/>
    </row>
    <row r="533" spans="1:26">
      <c r="A533" s="197"/>
      <c r="B533" s="197"/>
      <c r="C533" s="197"/>
      <c r="D533" s="197"/>
      <c r="E533" s="197"/>
      <c r="F533" s="197"/>
      <c r="G533" s="197"/>
      <c r="H533" s="197"/>
      <c r="I533" s="197"/>
      <c r="J533" s="197"/>
      <c r="K533" s="197"/>
      <c r="L533" s="197"/>
      <c r="M533" s="197"/>
      <c r="N533" s="197"/>
      <c r="O533" s="197"/>
      <c r="P533" s="197"/>
      <c r="Q533" s="197"/>
      <c r="R533" s="197"/>
      <c r="S533" s="197"/>
      <c r="T533" s="198"/>
      <c r="U533" s="197"/>
      <c r="V533" s="197"/>
      <c r="W533" s="197"/>
      <c r="X533" s="197"/>
      <c r="Y533" s="197"/>
      <c r="Z533" s="197"/>
    </row>
    <row r="534" spans="1:26">
      <c r="A534" s="197"/>
      <c r="B534" s="197"/>
      <c r="C534" s="197"/>
      <c r="D534" s="197"/>
      <c r="E534" s="197"/>
      <c r="F534" s="197"/>
      <c r="G534" s="197"/>
      <c r="H534" s="197"/>
      <c r="I534" s="197"/>
      <c r="J534" s="197"/>
      <c r="K534" s="197"/>
      <c r="L534" s="197"/>
      <c r="M534" s="197"/>
      <c r="N534" s="197"/>
      <c r="O534" s="197"/>
      <c r="P534" s="197"/>
      <c r="Q534" s="197"/>
      <c r="R534" s="197"/>
      <c r="S534" s="197"/>
      <c r="T534" s="198"/>
      <c r="U534" s="197"/>
      <c r="V534" s="197"/>
      <c r="W534" s="197"/>
      <c r="X534" s="197"/>
      <c r="Y534" s="197"/>
      <c r="Z534" s="197"/>
    </row>
    <row r="535" spans="1:26">
      <c r="A535" s="197"/>
      <c r="B535" s="197"/>
      <c r="C535" s="197"/>
      <c r="D535" s="197"/>
      <c r="E535" s="197"/>
      <c r="F535" s="197"/>
      <c r="G535" s="197"/>
      <c r="H535" s="197"/>
      <c r="I535" s="197"/>
      <c r="J535" s="197"/>
      <c r="K535" s="197"/>
      <c r="L535" s="197"/>
      <c r="M535" s="197"/>
      <c r="N535" s="197"/>
      <c r="O535" s="197"/>
      <c r="P535" s="197"/>
      <c r="Q535" s="197"/>
      <c r="R535" s="197"/>
      <c r="S535" s="197"/>
      <c r="T535" s="198"/>
      <c r="U535" s="197"/>
      <c r="V535" s="197"/>
      <c r="W535" s="197"/>
      <c r="X535" s="197"/>
      <c r="Y535" s="197"/>
      <c r="Z535" s="197"/>
    </row>
    <row r="536" spans="1:26">
      <c r="A536" s="197"/>
      <c r="B536" s="197"/>
      <c r="C536" s="197"/>
      <c r="D536" s="197"/>
      <c r="E536" s="197"/>
      <c r="F536" s="197"/>
      <c r="G536" s="197"/>
      <c r="H536" s="197"/>
      <c r="I536" s="197"/>
      <c r="J536" s="197"/>
      <c r="K536" s="197"/>
      <c r="L536" s="197"/>
      <c r="M536" s="197"/>
      <c r="N536" s="197"/>
      <c r="O536" s="197"/>
      <c r="P536" s="197"/>
      <c r="Q536" s="197"/>
      <c r="R536" s="197"/>
      <c r="S536" s="197"/>
      <c r="T536" s="198"/>
      <c r="U536" s="197"/>
      <c r="V536" s="197"/>
      <c r="W536" s="197"/>
      <c r="X536" s="197"/>
      <c r="Y536" s="197"/>
      <c r="Z536" s="197"/>
    </row>
    <row r="537" spans="1:26">
      <c r="A537" s="197"/>
      <c r="B537" s="197"/>
      <c r="C537" s="197"/>
      <c r="D537" s="197"/>
      <c r="E537" s="197"/>
      <c r="F537" s="197"/>
      <c r="G537" s="197"/>
      <c r="H537" s="197"/>
      <c r="I537" s="197"/>
      <c r="J537" s="197"/>
      <c r="K537" s="197"/>
      <c r="L537" s="197"/>
      <c r="M537" s="197"/>
      <c r="N537" s="197"/>
      <c r="O537" s="197"/>
      <c r="P537" s="197"/>
      <c r="Q537" s="197"/>
      <c r="R537" s="197"/>
      <c r="S537" s="197"/>
      <c r="T537" s="198"/>
      <c r="U537" s="197"/>
      <c r="V537" s="197"/>
      <c r="W537" s="197"/>
      <c r="X537" s="197"/>
      <c r="Y537" s="197"/>
      <c r="Z537" s="197"/>
    </row>
    <row r="538" spans="1:26">
      <c r="A538" s="197"/>
      <c r="B538" s="197"/>
      <c r="C538" s="197"/>
      <c r="D538" s="197"/>
      <c r="E538" s="197"/>
      <c r="F538" s="197"/>
      <c r="G538" s="197"/>
      <c r="H538" s="197"/>
      <c r="I538" s="197"/>
      <c r="J538" s="197"/>
      <c r="K538" s="197"/>
      <c r="L538" s="197"/>
      <c r="M538" s="197"/>
      <c r="N538" s="197"/>
      <c r="O538" s="197"/>
      <c r="P538" s="197"/>
      <c r="Q538" s="197"/>
      <c r="R538" s="197"/>
      <c r="S538" s="197"/>
      <c r="T538" s="198"/>
      <c r="U538" s="197"/>
      <c r="V538" s="197"/>
      <c r="W538" s="197"/>
      <c r="X538" s="197"/>
      <c r="Y538" s="197"/>
      <c r="Z538" s="197"/>
    </row>
    <row r="539" spans="1:26">
      <c r="A539" s="197"/>
      <c r="B539" s="197"/>
      <c r="C539" s="197"/>
      <c r="D539" s="197"/>
      <c r="E539" s="197"/>
      <c r="F539" s="197"/>
      <c r="G539" s="197"/>
      <c r="H539" s="197"/>
      <c r="I539" s="197"/>
      <c r="J539" s="197"/>
      <c r="K539" s="197"/>
      <c r="L539" s="197"/>
      <c r="M539" s="197"/>
      <c r="N539" s="197"/>
      <c r="O539" s="197"/>
      <c r="P539" s="197"/>
      <c r="Q539" s="197"/>
      <c r="R539" s="197"/>
      <c r="S539" s="197"/>
      <c r="T539" s="198"/>
      <c r="U539" s="197"/>
      <c r="V539" s="197"/>
      <c r="W539" s="197"/>
      <c r="X539" s="197"/>
      <c r="Y539" s="197"/>
      <c r="Z539" s="197"/>
    </row>
    <row r="540" spans="1:26">
      <c r="A540" s="197"/>
      <c r="B540" s="197"/>
      <c r="C540" s="197"/>
      <c r="D540" s="197"/>
      <c r="E540" s="197"/>
      <c r="F540" s="197"/>
      <c r="G540" s="197"/>
      <c r="H540" s="197"/>
      <c r="I540" s="197"/>
      <c r="J540" s="197"/>
      <c r="K540" s="197"/>
      <c r="L540" s="197"/>
      <c r="M540" s="197"/>
      <c r="N540" s="197"/>
      <c r="O540" s="197"/>
      <c r="P540" s="197"/>
      <c r="Q540" s="197"/>
      <c r="R540" s="197"/>
      <c r="S540" s="197"/>
      <c r="T540" s="198"/>
      <c r="U540" s="197"/>
      <c r="V540" s="197"/>
      <c r="W540" s="197"/>
      <c r="X540" s="197"/>
      <c r="Y540" s="197"/>
      <c r="Z540" s="197"/>
    </row>
    <row r="541" spans="1:26">
      <c r="A541" s="197"/>
      <c r="B541" s="197"/>
      <c r="C541" s="197"/>
      <c r="D541" s="197"/>
      <c r="E541" s="197"/>
      <c r="F541" s="197"/>
      <c r="G541" s="197"/>
      <c r="H541" s="197"/>
      <c r="I541" s="197"/>
      <c r="J541" s="197"/>
      <c r="K541" s="197"/>
      <c r="L541" s="197"/>
      <c r="M541" s="197"/>
      <c r="N541" s="197"/>
      <c r="O541" s="197"/>
      <c r="P541" s="197"/>
      <c r="Q541" s="197"/>
      <c r="R541" s="197"/>
      <c r="S541" s="197"/>
      <c r="T541" s="198"/>
      <c r="U541" s="197"/>
      <c r="V541" s="197"/>
      <c r="W541" s="197"/>
      <c r="X541" s="197"/>
      <c r="Y541" s="197"/>
      <c r="Z541" s="197"/>
    </row>
    <row r="542" spans="1:26">
      <c r="A542" s="197"/>
      <c r="B542" s="197"/>
      <c r="C542" s="197"/>
      <c r="D542" s="197"/>
      <c r="E542" s="197"/>
      <c r="F542" s="197"/>
      <c r="G542" s="197"/>
      <c r="H542" s="197"/>
      <c r="I542" s="197"/>
      <c r="J542" s="197"/>
      <c r="K542" s="197"/>
      <c r="L542" s="197"/>
      <c r="M542" s="197"/>
      <c r="N542" s="197"/>
      <c r="O542" s="197"/>
      <c r="P542" s="197"/>
      <c r="Q542" s="197"/>
      <c r="R542" s="197"/>
      <c r="S542" s="197"/>
      <c r="T542" s="198"/>
      <c r="U542" s="197"/>
      <c r="V542" s="197"/>
      <c r="W542" s="197"/>
      <c r="X542" s="197"/>
      <c r="Y542" s="197"/>
      <c r="Z542" s="197"/>
    </row>
    <row r="543" spans="1:26">
      <c r="A543" s="197"/>
      <c r="B543" s="197"/>
      <c r="C543" s="197"/>
      <c r="D543" s="197"/>
      <c r="E543" s="197"/>
      <c r="F543" s="197"/>
      <c r="G543" s="197"/>
      <c r="H543" s="197"/>
      <c r="I543" s="197"/>
      <c r="J543" s="197"/>
      <c r="K543" s="197"/>
      <c r="L543" s="197"/>
      <c r="M543" s="197"/>
      <c r="N543" s="197"/>
      <c r="O543" s="197"/>
      <c r="P543" s="197"/>
      <c r="Q543" s="197"/>
      <c r="R543" s="197"/>
      <c r="S543" s="197"/>
      <c r="T543" s="198"/>
      <c r="U543" s="197"/>
      <c r="V543" s="197"/>
      <c r="W543" s="197"/>
      <c r="X543" s="197"/>
      <c r="Y543" s="197"/>
      <c r="Z543" s="197"/>
    </row>
    <row r="544" spans="1:26">
      <c r="A544" s="197"/>
      <c r="B544" s="197"/>
      <c r="C544" s="197"/>
      <c r="D544" s="197"/>
      <c r="E544" s="197"/>
      <c r="F544" s="197"/>
      <c r="G544" s="197"/>
      <c r="H544" s="197"/>
      <c r="I544" s="197"/>
      <c r="J544" s="197"/>
      <c r="K544" s="197"/>
      <c r="L544" s="197"/>
      <c r="M544" s="197"/>
      <c r="N544" s="197"/>
      <c r="O544" s="197"/>
      <c r="P544" s="197"/>
      <c r="Q544" s="197"/>
      <c r="R544" s="197"/>
      <c r="S544" s="197"/>
      <c r="T544" s="198"/>
      <c r="U544" s="197"/>
      <c r="V544" s="197"/>
      <c r="W544" s="197"/>
      <c r="X544" s="197"/>
      <c r="Y544" s="197"/>
      <c r="Z544" s="197"/>
    </row>
    <row r="545" spans="1:26">
      <c r="A545" s="197"/>
      <c r="B545" s="197"/>
      <c r="C545" s="197"/>
      <c r="D545" s="197"/>
      <c r="E545" s="197"/>
      <c r="F545" s="197"/>
      <c r="G545" s="197"/>
      <c r="H545" s="197"/>
      <c r="I545" s="197"/>
      <c r="J545" s="197"/>
      <c r="K545" s="197"/>
      <c r="L545" s="197"/>
      <c r="M545" s="197"/>
      <c r="N545" s="197"/>
      <c r="O545" s="197"/>
      <c r="P545" s="197"/>
      <c r="Q545" s="197"/>
      <c r="R545" s="197"/>
      <c r="S545" s="197"/>
      <c r="T545" s="198"/>
      <c r="U545" s="197"/>
      <c r="V545" s="197"/>
      <c r="W545" s="197"/>
      <c r="X545" s="197"/>
      <c r="Y545" s="197"/>
      <c r="Z545" s="197"/>
    </row>
    <row r="546" spans="1:26">
      <c r="A546" s="197"/>
      <c r="B546" s="197"/>
      <c r="C546" s="197"/>
      <c r="D546" s="197"/>
      <c r="E546" s="197"/>
      <c r="F546" s="197"/>
      <c r="G546" s="197"/>
      <c r="H546" s="197"/>
      <c r="I546" s="197"/>
      <c r="J546" s="197"/>
      <c r="K546" s="197"/>
      <c r="L546" s="197"/>
      <c r="M546" s="197"/>
      <c r="N546" s="197"/>
      <c r="O546" s="197"/>
      <c r="P546" s="197"/>
      <c r="Q546" s="197"/>
      <c r="R546" s="197"/>
      <c r="S546" s="197"/>
      <c r="T546" s="198"/>
      <c r="U546" s="197"/>
      <c r="V546" s="197"/>
      <c r="W546" s="197"/>
      <c r="X546" s="197"/>
      <c r="Y546" s="197"/>
      <c r="Z546" s="197"/>
    </row>
    <row r="547" spans="1:26">
      <c r="A547" s="197"/>
      <c r="B547" s="197"/>
      <c r="C547" s="197"/>
      <c r="D547" s="197"/>
      <c r="E547" s="197"/>
      <c r="F547" s="197"/>
      <c r="G547" s="197"/>
      <c r="H547" s="197"/>
      <c r="I547" s="197"/>
      <c r="J547" s="197"/>
      <c r="K547" s="197"/>
      <c r="L547" s="197"/>
      <c r="M547" s="197"/>
      <c r="N547" s="197"/>
      <c r="O547" s="197"/>
      <c r="P547" s="197"/>
      <c r="Q547" s="197"/>
      <c r="R547" s="197"/>
      <c r="S547" s="197"/>
      <c r="T547" s="198"/>
      <c r="U547" s="197"/>
      <c r="V547" s="197"/>
      <c r="W547" s="197"/>
      <c r="X547" s="197"/>
      <c r="Y547" s="197"/>
      <c r="Z547" s="197"/>
    </row>
    <row r="548" spans="1:26">
      <c r="A548" s="197"/>
      <c r="B548" s="197"/>
      <c r="C548" s="197"/>
      <c r="D548" s="197"/>
      <c r="E548" s="197"/>
      <c r="F548" s="197"/>
      <c r="G548" s="197"/>
      <c r="H548" s="197"/>
      <c r="I548" s="197"/>
      <c r="J548" s="197"/>
      <c r="K548" s="197"/>
      <c r="L548" s="197"/>
      <c r="M548" s="197"/>
      <c r="N548" s="197"/>
      <c r="O548" s="197"/>
      <c r="P548" s="197"/>
      <c r="Q548" s="197"/>
      <c r="R548" s="197"/>
      <c r="S548" s="197"/>
      <c r="T548" s="198"/>
      <c r="U548" s="197"/>
      <c r="V548" s="197"/>
      <c r="W548" s="197"/>
      <c r="X548" s="197"/>
      <c r="Y548" s="197"/>
      <c r="Z548" s="197"/>
    </row>
    <row r="549" spans="1:26">
      <c r="A549" s="197"/>
      <c r="B549" s="197"/>
      <c r="C549" s="197"/>
      <c r="D549" s="197"/>
      <c r="E549" s="197"/>
      <c r="F549" s="197"/>
      <c r="G549" s="197"/>
      <c r="H549" s="197"/>
      <c r="I549" s="197"/>
      <c r="J549" s="197"/>
      <c r="K549" s="197"/>
      <c r="L549" s="197"/>
      <c r="M549" s="197"/>
      <c r="N549" s="197"/>
      <c r="O549" s="197"/>
      <c r="P549" s="197"/>
      <c r="Q549" s="197"/>
      <c r="R549" s="197"/>
      <c r="S549" s="197"/>
      <c r="T549" s="198"/>
      <c r="U549" s="197"/>
      <c r="V549" s="197"/>
      <c r="W549" s="197"/>
      <c r="X549" s="197"/>
      <c r="Y549" s="197"/>
      <c r="Z549" s="197"/>
    </row>
    <row r="550" spans="1:26">
      <c r="A550" s="197"/>
      <c r="B550" s="197"/>
      <c r="C550" s="197"/>
      <c r="D550" s="197"/>
      <c r="E550" s="197"/>
      <c r="F550" s="197"/>
      <c r="G550" s="197"/>
      <c r="H550" s="197"/>
      <c r="I550" s="197"/>
      <c r="J550" s="197"/>
      <c r="K550" s="197"/>
      <c r="L550" s="197"/>
      <c r="M550" s="197"/>
      <c r="N550" s="197"/>
      <c r="O550" s="197"/>
      <c r="P550" s="197"/>
      <c r="Q550" s="197"/>
      <c r="R550" s="197"/>
      <c r="S550" s="197"/>
      <c r="T550" s="198"/>
      <c r="U550" s="197"/>
      <c r="V550" s="197"/>
      <c r="W550" s="197"/>
      <c r="X550" s="197"/>
      <c r="Y550" s="197"/>
      <c r="Z550" s="197"/>
    </row>
    <row r="551" spans="1:26">
      <c r="A551" s="197"/>
      <c r="B551" s="197"/>
      <c r="C551" s="197"/>
      <c r="D551" s="197"/>
      <c r="E551" s="197"/>
      <c r="F551" s="197"/>
      <c r="G551" s="197"/>
      <c r="H551" s="197"/>
      <c r="I551" s="197"/>
      <c r="J551" s="197"/>
      <c r="K551" s="197"/>
      <c r="L551" s="197"/>
      <c r="M551" s="197"/>
      <c r="N551" s="197"/>
      <c r="O551" s="197"/>
      <c r="P551" s="197"/>
      <c r="Q551" s="197"/>
      <c r="R551" s="197"/>
      <c r="S551" s="197"/>
      <c r="T551" s="198"/>
      <c r="U551" s="197"/>
      <c r="V551" s="197"/>
      <c r="W551" s="197"/>
      <c r="X551" s="197"/>
      <c r="Y551" s="197"/>
      <c r="Z551" s="197"/>
    </row>
    <row r="552" spans="1:26">
      <c r="A552" s="197"/>
      <c r="B552" s="197"/>
      <c r="C552" s="197"/>
      <c r="D552" s="197"/>
      <c r="E552" s="197"/>
      <c r="F552" s="197"/>
      <c r="G552" s="197"/>
      <c r="H552" s="197"/>
      <c r="I552" s="197"/>
      <c r="J552" s="197"/>
      <c r="K552" s="197"/>
      <c r="L552" s="197"/>
      <c r="M552" s="197"/>
      <c r="N552" s="197"/>
      <c r="O552" s="197"/>
      <c r="P552" s="197"/>
      <c r="Q552" s="197"/>
      <c r="R552" s="197"/>
      <c r="S552" s="197"/>
      <c r="T552" s="198"/>
      <c r="U552" s="197"/>
      <c r="V552" s="197"/>
      <c r="W552" s="197"/>
      <c r="X552" s="197"/>
      <c r="Y552" s="197"/>
      <c r="Z552" s="197"/>
    </row>
    <row r="553" spans="1:26">
      <c r="A553" s="197"/>
      <c r="B553" s="197"/>
      <c r="C553" s="197"/>
      <c r="D553" s="197"/>
      <c r="E553" s="197"/>
      <c r="F553" s="197"/>
      <c r="G553" s="197"/>
      <c r="H553" s="197"/>
      <c r="I553" s="197"/>
      <c r="J553" s="197"/>
      <c r="K553" s="197"/>
      <c r="L553" s="197"/>
      <c r="M553" s="197"/>
      <c r="N553" s="197"/>
      <c r="O553" s="197"/>
      <c r="P553" s="197"/>
      <c r="Q553" s="197"/>
      <c r="R553" s="197"/>
      <c r="S553" s="197"/>
      <c r="T553" s="198"/>
      <c r="U553" s="197"/>
      <c r="V553" s="197"/>
      <c r="W553" s="197"/>
      <c r="X553" s="197"/>
      <c r="Y553" s="197"/>
      <c r="Z553" s="197"/>
    </row>
    <row r="554" spans="1:26">
      <c r="A554" s="197"/>
      <c r="B554" s="197"/>
      <c r="C554" s="197"/>
      <c r="D554" s="197"/>
      <c r="E554" s="197"/>
      <c r="F554" s="197"/>
      <c r="G554" s="197"/>
      <c r="H554" s="197"/>
      <c r="I554" s="197"/>
      <c r="J554" s="197"/>
      <c r="K554" s="197"/>
      <c r="L554" s="197"/>
      <c r="M554" s="197"/>
      <c r="N554" s="197"/>
      <c r="O554" s="197"/>
      <c r="P554" s="197"/>
      <c r="Q554" s="197"/>
      <c r="R554" s="197"/>
      <c r="S554" s="197"/>
      <c r="T554" s="198"/>
      <c r="U554" s="197"/>
      <c r="V554" s="197"/>
      <c r="W554" s="197"/>
      <c r="X554" s="197"/>
      <c r="Y554" s="197"/>
      <c r="Z554" s="197"/>
    </row>
    <row r="555" spans="1:26">
      <c r="A555" s="197"/>
      <c r="B555" s="197"/>
      <c r="C555" s="197"/>
      <c r="D555" s="197"/>
      <c r="E555" s="197"/>
      <c r="F555" s="197"/>
      <c r="G555" s="197"/>
      <c r="H555" s="197"/>
      <c r="I555" s="197"/>
      <c r="J555" s="197"/>
      <c r="K555" s="197"/>
      <c r="L555" s="197"/>
      <c r="M555" s="197"/>
      <c r="N555" s="197"/>
      <c r="O555" s="197"/>
      <c r="P555" s="197"/>
      <c r="Q555" s="197"/>
      <c r="R555" s="197"/>
      <c r="S555" s="197"/>
      <c r="T555" s="198"/>
      <c r="U555" s="197"/>
      <c r="V555" s="197"/>
      <c r="W555" s="197"/>
      <c r="X555" s="197"/>
      <c r="Y555" s="197"/>
      <c r="Z555" s="197"/>
    </row>
    <row r="556" spans="1:26">
      <c r="A556" s="197"/>
      <c r="B556" s="197"/>
      <c r="C556" s="197"/>
      <c r="D556" s="197"/>
      <c r="E556" s="197"/>
      <c r="F556" s="197"/>
      <c r="G556" s="197"/>
      <c r="H556" s="197"/>
      <c r="I556" s="197"/>
      <c r="J556" s="197"/>
      <c r="K556" s="197"/>
      <c r="L556" s="197"/>
      <c r="M556" s="197"/>
      <c r="N556" s="197"/>
      <c r="O556" s="197"/>
      <c r="P556" s="197"/>
      <c r="Q556" s="197"/>
      <c r="R556" s="197"/>
      <c r="S556" s="197"/>
      <c r="T556" s="198"/>
      <c r="U556" s="197"/>
      <c r="V556" s="197"/>
      <c r="W556" s="197"/>
      <c r="X556" s="197"/>
      <c r="Y556" s="197"/>
      <c r="Z556" s="197"/>
    </row>
    <row r="557" spans="1:26">
      <c r="A557" s="197"/>
      <c r="B557" s="197"/>
      <c r="C557" s="197"/>
      <c r="D557" s="197"/>
      <c r="E557" s="197"/>
      <c r="F557" s="197"/>
      <c r="G557" s="197"/>
      <c r="H557" s="197"/>
      <c r="I557" s="197"/>
      <c r="J557" s="197"/>
      <c r="K557" s="197"/>
      <c r="L557" s="197"/>
      <c r="M557" s="197"/>
      <c r="N557" s="197"/>
      <c r="O557" s="197"/>
      <c r="P557" s="197"/>
      <c r="Q557" s="197"/>
      <c r="R557" s="197"/>
      <c r="S557" s="197"/>
      <c r="T557" s="198"/>
      <c r="U557" s="197"/>
      <c r="V557" s="197"/>
      <c r="W557" s="197"/>
      <c r="X557" s="197"/>
      <c r="Y557" s="197"/>
      <c r="Z557" s="197"/>
    </row>
    <row r="558" spans="1:26">
      <c r="A558" s="197"/>
      <c r="B558" s="197"/>
      <c r="C558" s="197"/>
      <c r="D558" s="197"/>
      <c r="E558" s="197"/>
      <c r="F558" s="197"/>
      <c r="G558" s="197"/>
      <c r="H558" s="197"/>
      <c r="I558" s="197"/>
      <c r="J558" s="197"/>
      <c r="K558" s="197"/>
      <c r="L558" s="197"/>
      <c r="M558" s="197"/>
      <c r="N558" s="197"/>
      <c r="O558" s="197"/>
      <c r="P558" s="197"/>
      <c r="Q558" s="197"/>
      <c r="R558" s="197"/>
      <c r="S558" s="197"/>
      <c r="T558" s="198"/>
      <c r="U558" s="197"/>
      <c r="V558" s="197"/>
      <c r="W558" s="197"/>
      <c r="X558" s="197"/>
      <c r="Y558" s="197"/>
      <c r="Z558" s="197"/>
    </row>
    <row r="559" spans="1:26">
      <c r="A559" s="197"/>
      <c r="B559" s="197"/>
      <c r="C559" s="197"/>
      <c r="D559" s="197"/>
      <c r="E559" s="197"/>
      <c r="F559" s="197"/>
      <c r="G559" s="197"/>
      <c r="H559" s="197"/>
      <c r="I559" s="197"/>
      <c r="J559" s="197"/>
      <c r="K559" s="197"/>
      <c r="L559" s="197"/>
      <c r="M559" s="197"/>
      <c r="N559" s="197"/>
      <c r="O559" s="197"/>
      <c r="P559" s="197"/>
      <c r="Q559" s="197"/>
      <c r="R559" s="197"/>
      <c r="S559" s="197"/>
      <c r="T559" s="198"/>
      <c r="U559" s="197"/>
      <c r="V559" s="197"/>
      <c r="W559" s="197"/>
      <c r="X559" s="197"/>
      <c r="Y559" s="197"/>
      <c r="Z559" s="197"/>
    </row>
    <row r="560" spans="1:26">
      <c r="A560" s="197"/>
      <c r="B560" s="197"/>
      <c r="C560" s="197"/>
      <c r="D560" s="197"/>
      <c r="E560" s="197"/>
      <c r="F560" s="197"/>
      <c r="G560" s="197"/>
      <c r="H560" s="197"/>
      <c r="I560" s="197"/>
      <c r="J560" s="197"/>
      <c r="K560" s="197"/>
      <c r="L560" s="197"/>
      <c r="M560" s="197"/>
      <c r="N560" s="197"/>
      <c r="O560" s="197"/>
      <c r="P560" s="197"/>
      <c r="Q560" s="197"/>
      <c r="R560" s="197"/>
      <c r="S560" s="197"/>
      <c r="T560" s="198"/>
      <c r="U560" s="197"/>
      <c r="V560" s="197"/>
      <c r="W560" s="197"/>
      <c r="X560" s="197"/>
      <c r="Y560" s="197"/>
      <c r="Z560" s="197"/>
    </row>
    <row r="561" spans="1:26">
      <c r="A561" s="197"/>
      <c r="B561" s="197"/>
      <c r="C561" s="197"/>
      <c r="D561" s="197"/>
      <c r="E561" s="197"/>
      <c r="F561" s="197"/>
      <c r="G561" s="197"/>
      <c r="H561" s="197"/>
      <c r="I561" s="197"/>
      <c r="J561" s="197"/>
      <c r="K561" s="197"/>
      <c r="L561" s="197"/>
      <c r="M561" s="197"/>
      <c r="N561" s="197"/>
      <c r="O561" s="197"/>
      <c r="P561" s="197"/>
      <c r="Q561" s="197"/>
      <c r="R561" s="197"/>
      <c r="S561" s="197"/>
      <c r="T561" s="198"/>
      <c r="U561" s="197"/>
      <c r="V561" s="197"/>
      <c r="W561" s="197"/>
      <c r="X561" s="197"/>
      <c r="Y561" s="197"/>
      <c r="Z561" s="197"/>
    </row>
    <row r="562" spans="1:26">
      <c r="A562" s="197"/>
      <c r="B562" s="197"/>
      <c r="C562" s="197"/>
      <c r="D562" s="197"/>
      <c r="E562" s="197"/>
      <c r="F562" s="197"/>
      <c r="G562" s="197"/>
      <c r="H562" s="197"/>
      <c r="I562" s="197"/>
      <c r="J562" s="197"/>
      <c r="K562" s="197"/>
      <c r="L562" s="197"/>
      <c r="M562" s="197"/>
      <c r="N562" s="197"/>
      <c r="O562" s="197"/>
      <c r="P562" s="197"/>
      <c r="Q562" s="197"/>
      <c r="R562" s="197"/>
      <c r="S562" s="197"/>
      <c r="T562" s="198"/>
      <c r="U562" s="197"/>
      <c r="V562" s="197"/>
      <c r="W562" s="197"/>
      <c r="X562" s="197"/>
      <c r="Y562" s="197"/>
      <c r="Z562" s="197"/>
    </row>
    <row r="563" spans="1:26">
      <c r="A563" s="197"/>
      <c r="B563" s="197"/>
      <c r="C563" s="197"/>
      <c r="D563" s="197"/>
      <c r="E563" s="197"/>
      <c r="F563" s="197"/>
      <c r="G563" s="197"/>
      <c r="H563" s="197"/>
      <c r="I563" s="197"/>
      <c r="J563" s="197"/>
      <c r="K563" s="197"/>
      <c r="L563" s="197"/>
      <c r="M563" s="197"/>
      <c r="N563" s="197"/>
      <c r="O563" s="197"/>
      <c r="P563" s="197"/>
      <c r="Q563" s="197"/>
      <c r="R563" s="197"/>
      <c r="S563" s="197"/>
      <c r="T563" s="198"/>
      <c r="U563" s="197"/>
      <c r="V563" s="197"/>
      <c r="W563" s="197"/>
      <c r="X563" s="197"/>
      <c r="Y563" s="197"/>
      <c r="Z563" s="197"/>
    </row>
    <row r="564" spans="1:26">
      <c r="A564" s="197"/>
      <c r="B564" s="197"/>
      <c r="C564" s="197"/>
      <c r="D564" s="197"/>
      <c r="E564" s="197"/>
      <c r="F564" s="197"/>
      <c r="G564" s="197"/>
      <c r="H564" s="197"/>
      <c r="I564" s="197"/>
      <c r="J564" s="197"/>
      <c r="K564" s="197"/>
      <c r="L564" s="197"/>
      <c r="M564" s="197"/>
      <c r="N564" s="197"/>
      <c r="O564" s="197"/>
      <c r="P564" s="197"/>
      <c r="Q564" s="197"/>
      <c r="R564" s="197"/>
      <c r="S564" s="197"/>
      <c r="T564" s="198"/>
      <c r="U564" s="197"/>
      <c r="V564" s="197"/>
      <c r="W564" s="197"/>
      <c r="X564" s="197"/>
      <c r="Y564" s="197"/>
      <c r="Z564" s="197"/>
    </row>
    <row r="565" spans="1:26">
      <c r="A565" s="197"/>
      <c r="B565" s="197"/>
      <c r="C565" s="197"/>
      <c r="D565" s="197"/>
      <c r="E565" s="197"/>
      <c r="F565" s="197"/>
      <c r="G565" s="197"/>
      <c r="H565" s="197"/>
      <c r="I565" s="197"/>
      <c r="J565" s="197"/>
      <c r="K565" s="197"/>
      <c r="L565" s="197"/>
      <c r="M565" s="197"/>
      <c r="N565" s="197"/>
      <c r="O565" s="197"/>
      <c r="P565" s="197"/>
      <c r="Q565" s="197"/>
      <c r="R565" s="197"/>
      <c r="S565" s="197"/>
      <c r="T565" s="198"/>
      <c r="U565" s="197"/>
      <c r="V565" s="197"/>
      <c r="W565" s="197"/>
      <c r="X565" s="197"/>
      <c r="Y565" s="197"/>
      <c r="Z565" s="197"/>
    </row>
    <row r="566" spans="1:26">
      <c r="A566" s="197"/>
      <c r="B566" s="197"/>
      <c r="C566" s="197"/>
      <c r="D566" s="197"/>
      <c r="E566" s="197"/>
      <c r="F566" s="197"/>
      <c r="G566" s="197"/>
      <c r="H566" s="197"/>
      <c r="I566" s="197"/>
      <c r="J566" s="197"/>
      <c r="K566" s="197"/>
      <c r="L566" s="197"/>
      <c r="M566" s="197"/>
      <c r="N566" s="197"/>
      <c r="O566" s="197"/>
      <c r="P566" s="197"/>
      <c r="Q566" s="197"/>
      <c r="R566" s="197"/>
      <c r="S566" s="197"/>
      <c r="T566" s="198"/>
      <c r="U566" s="197"/>
      <c r="V566" s="197"/>
      <c r="W566" s="197"/>
      <c r="X566" s="197"/>
      <c r="Y566" s="197"/>
      <c r="Z566" s="197"/>
    </row>
    <row r="567" spans="1:26">
      <c r="A567" s="197"/>
      <c r="B567" s="197"/>
      <c r="C567" s="197"/>
      <c r="D567" s="197"/>
      <c r="E567" s="197"/>
      <c r="F567" s="197"/>
      <c r="G567" s="197"/>
      <c r="H567" s="197"/>
      <c r="I567" s="197"/>
      <c r="J567" s="197"/>
      <c r="K567" s="197"/>
      <c r="L567" s="197"/>
      <c r="M567" s="197"/>
      <c r="N567" s="197"/>
      <c r="O567" s="197"/>
      <c r="P567" s="197"/>
      <c r="Q567" s="197"/>
      <c r="R567" s="197"/>
      <c r="S567" s="197"/>
      <c r="T567" s="198"/>
      <c r="U567" s="197"/>
      <c r="V567" s="197"/>
      <c r="W567" s="197"/>
      <c r="X567" s="197"/>
      <c r="Y567" s="197"/>
      <c r="Z567" s="197"/>
    </row>
    <row r="568" spans="1:26">
      <c r="A568" s="197"/>
      <c r="B568" s="197"/>
      <c r="C568" s="197"/>
      <c r="D568" s="197"/>
      <c r="E568" s="197"/>
      <c r="F568" s="197"/>
      <c r="G568" s="197"/>
      <c r="H568" s="197"/>
      <c r="I568" s="197"/>
      <c r="J568" s="197"/>
      <c r="K568" s="197"/>
      <c r="L568" s="197"/>
      <c r="M568" s="197"/>
      <c r="N568" s="197"/>
      <c r="O568" s="197"/>
      <c r="P568" s="197"/>
      <c r="Q568" s="197"/>
      <c r="R568" s="197"/>
      <c r="S568" s="197"/>
      <c r="T568" s="198"/>
      <c r="U568" s="197"/>
      <c r="V568" s="197"/>
      <c r="W568" s="197"/>
      <c r="X568" s="197"/>
      <c r="Y568" s="197"/>
      <c r="Z568" s="197"/>
    </row>
    <row r="569" spans="1:26">
      <c r="A569" s="197"/>
      <c r="B569" s="197"/>
      <c r="C569" s="197"/>
      <c r="D569" s="197"/>
      <c r="E569" s="197"/>
      <c r="F569" s="197"/>
      <c r="G569" s="197"/>
      <c r="H569" s="197"/>
      <c r="I569" s="197"/>
      <c r="J569" s="197"/>
      <c r="K569" s="197"/>
      <c r="L569" s="197"/>
      <c r="M569" s="197"/>
      <c r="N569" s="197"/>
      <c r="O569" s="197"/>
      <c r="P569" s="197"/>
      <c r="Q569" s="197"/>
      <c r="R569" s="197"/>
      <c r="S569" s="197"/>
      <c r="T569" s="198"/>
      <c r="U569" s="197"/>
      <c r="V569" s="197"/>
      <c r="W569" s="197"/>
      <c r="X569" s="197"/>
      <c r="Y569" s="197"/>
      <c r="Z569" s="197"/>
    </row>
    <row r="570" spans="1:26">
      <c r="A570" s="197"/>
      <c r="B570" s="197"/>
      <c r="C570" s="197"/>
      <c r="D570" s="197"/>
      <c r="E570" s="197"/>
      <c r="F570" s="197"/>
      <c r="G570" s="197"/>
      <c r="H570" s="197"/>
      <c r="I570" s="197"/>
      <c r="J570" s="197"/>
      <c r="K570" s="197"/>
      <c r="L570" s="197"/>
      <c r="M570" s="197"/>
      <c r="N570" s="197"/>
      <c r="O570" s="197"/>
      <c r="P570" s="197"/>
      <c r="Q570" s="197"/>
      <c r="R570" s="197"/>
      <c r="S570" s="197"/>
      <c r="T570" s="198"/>
      <c r="U570" s="197"/>
      <c r="V570" s="197"/>
      <c r="W570" s="197"/>
      <c r="X570" s="197"/>
      <c r="Y570" s="197"/>
      <c r="Z570" s="197"/>
    </row>
    <row r="571" spans="1:26">
      <c r="A571" s="197"/>
      <c r="B571" s="197"/>
      <c r="C571" s="197"/>
      <c r="D571" s="197"/>
      <c r="E571" s="197"/>
      <c r="F571" s="197"/>
      <c r="G571" s="197"/>
      <c r="H571" s="197"/>
      <c r="I571" s="197"/>
      <c r="J571" s="197"/>
      <c r="K571" s="197"/>
      <c r="L571" s="197"/>
      <c r="M571" s="197"/>
      <c r="N571" s="197"/>
      <c r="O571" s="197"/>
      <c r="P571" s="197"/>
      <c r="Q571" s="197"/>
      <c r="R571" s="197"/>
      <c r="S571" s="197"/>
      <c r="T571" s="198"/>
      <c r="U571" s="197"/>
      <c r="V571" s="197"/>
      <c r="W571" s="197"/>
      <c r="X571" s="197"/>
      <c r="Y571" s="197"/>
      <c r="Z571" s="197"/>
    </row>
    <row r="572" spans="1:26">
      <c r="A572" s="197"/>
      <c r="B572" s="197"/>
      <c r="C572" s="197"/>
      <c r="D572" s="197"/>
      <c r="E572" s="197"/>
      <c r="F572" s="197"/>
      <c r="G572" s="197"/>
      <c r="H572" s="197"/>
      <c r="I572" s="197"/>
      <c r="J572" s="197"/>
      <c r="K572" s="197"/>
      <c r="L572" s="197"/>
      <c r="M572" s="197"/>
      <c r="N572" s="197"/>
      <c r="O572" s="197"/>
      <c r="P572" s="197"/>
      <c r="Q572" s="197"/>
      <c r="R572" s="197"/>
      <c r="S572" s="197"/>
      <c r="T572" s="198"/>
      <c r="U572" s="197"/>
      <c r="V572" s="197"/>
      <c r="W572" s="197"/>
      <c r="X572" s="197"/>
      <c r="Y572" s="197"/>
      <c r="Z572" s="197"/>
    </row>
    <row r="573" spans="1:26">
      <c r="A573" s="197"/>
      <c r="B573" s="197"/>
      <c r="C573" s="197"/>
      <c r="D573" s="197"/>
      <c r="E573" s="197"/>
      <c r="F573" s="197"/>
      <c r="G573" s="197"/>
      <c r="H573" s="197"/>
      <c r="I573" s="197"/>
      <c r="J573" s="197"/>
      <c r="K573" s="197"/>
      <c r="L573" s="197"/>
      <c r="M573" s="197"/>
      <c r="N573" s="197"/>
      <c r="O573" s="197"/>
      <c r="P573" s="197"/>
      <c r="Q573" s="197"/>
      <c r="R573" s="197"/>
      <c r="S573" s="197"/>
      <c r="T573" s="198"/>
      <c r="U573" s="197"/>
      <c r="V573" s="197"/>
      <c r="W573" s="197"/>
      <c r="X573" s="197"/>
      <c r="Y573" s="197"/>
      <c r="Z573" s="197"/>
    </row>
    <row r="574" spans="1:26">
      <c r="A574" s="197"/>
      <c r="B574" s="197"/>
      <c r="C574" s="197"/>
      <c r="D574" s="197"/>
      <c r="E574" s="197"/>
      <c r="F574" s="197"/>
      <c r="G574" s="197"/>
      <c r="H574" s="197"/>
      <c r="I574" s="197"/>
      <c r="J574" s="197"/>
      <c r="K574" s="197"/>
      <c r="L574" s="197"/>
      <c r="M574" s="197"/>
      <c r="N574" s="197"/>
      <c r="O574" s="197"/>
      <c r="P574" s="197"/>
      <c r="Q574" s="197"/>
      <c r="R574" s="197"/>
      <c r="S574" s="197"/>
      <c r="T574" s="198"/>
      <c r="U574" s="197"/>
      <c r="V574" s="197"/>
      <c r="W574" s="197"/>
      <c r="X574" s="197"/>
      <c r="Y574" s="197"/>
      <c r="Z574" s="197"/>
    </row>
    <row r="575" spans="1:26">
      <c r="A575" s="197"/>
      <c r="B575" s="197"/>
      <c r="C575" s="197"/>
      <c r="D575" s="197"/>
      <c r="E575" s="197"/>
      <c r="F575" s="197"/>
      <c r="G575" s="197"/>
      <c r="H575" s="197"/>
      <c r="I575" s="197"/>
      <c r="J575" s="197"/>
      <c r="K575" s="197"/>
      <c r="L575" s="197"/>
      <c r="M575" s="197"/>
      <c r="N575" s="197"/>
      <c r="O575" s="197"/>
      <c r="P575" s="197"/>
      <c r="Q575" s="197"/>
      <c r="R575" s="197"/>
      <c r="S575" s="197"/>
      <c r="T575" s="198"/>
      <c r="U575" s="197"/>
      <c r="V575" s="197"/>
      <c r="W575" s="197"/>
      <c r="X575" s="197"/>
      <c r="Y575" s="197"/>
      <c r="Z575" s="197"/>
    </row>
    <row r="576" spans="1:26">
      <c r="A576" s="197"/>
      <c r="B576" s="197"/>
      <c r="C576" s="197"/>
      <c r="D576" s="197"/>
      <c r="E576" s="197"/>
      <c r="F576" s="197"/>
      <c r="G576" s="197"/>
      <c r="H576" s="197"/>
      <c r="I576" s="197"/>
      <c r="J576" s="197"/>
      <c r="K576" s="197"/>
      <c r="L576" s="197"/>
      <c r="M576" s="197"/>
      <c r="N576" s="197"/>
      <c r="O576" s="197"/>
      <c r="P576" s="197"/>
      <c r="Q576" s="197"/>
      <c r="R576" s="197"/>
      <c r="S576" s="197"/>
      <c r="T576" s="198"/>
      <c r="U576" s="197"/>
      <c r="V576" s="197"/>
      <c r="W576" s="197"/>
      <c r="X576" s="197"/>
      <c r="Y576" s="197"/>
      <c r="Z576" s="197"/>
    </row>
    <row r="577" spans="1:26">
      <c r="A577" s="197"/>
      <c r="B577" s="197"/>
      <c r="C577" s="197"/>
      <c r="D577" s="197"/>
      <c r="E577" s="197"/>
      <c r="F577" s="197"/>
      <c r="G577" s="197"/>
      <c r="H577" s="197"/>
      <c r="I577" s="197"/>
      <c r="J577" s="197"/>
      <c r="K577" s="197"/>
      <c r="L577" s="197"/>
      <c r="M577" s="197"/>
      <c r="N577" s="197"/>
      <c r="O577" s="197"/>
      <c r="P577" s="197"/>
      <c r="Q577" s="197"/>
      <c r="R577" s="197"/>
      <c r="S577" s="197"/>
      <c r="T577" s="198"/>
      <c r="U577" s="197"/>
      <c r="V577" s="197"/>
      <c r="W577" s="197"/>
      <c r="X577" s="197"/>
      <c r="Y577" s="197"/>
      <c r="Z577" s="197"/>
    </row>
    <row r="578" spans="1:26">
      <c r="A578" s="197"/>
      <c r="B578" s="197"/>
      <c r="C578" s="197"/>
      <c r="D578" s="197"/>
      <c r="E578" s="197"/>
      <c r="F578" s="197"/>
      <c r="G578" s="197"/>
      <c r="H578" s="197"/>
      <c r="I578" s="197"/>
      <c r="J578" s="197"/>
      <c r="K578" s="197"/>
      <c r="L578" s="197"/>
      <c r="M578" s="197"/>
      <c r="N578" s="197"/>
      <c r="O578" s="197"/>
      <c r="P578" s="197"/>
      <c r="Q578" s="197"/>
      <c r="R578" s="197"/>
      <c r="S578" s="197"/>
      <c r="T578" s="198"/>
      <c r="U578" s="197"/>
      <c r="V578" s="197"/>
      <c r="W578" s="197"/>
      <c r="X578" s="197"/>
      <c r="Y578" s="197"/>
      <c r="Z578" s="197"/>
    </row>
    <row r="579" spans="1:26">
      <c r="A579" s="197"/>
      <c r="B579" s="197"/>
      <c r="C579" s="197"/>
      <c r="D579" s="197"/>
      <c r="E579" s="197"/>
      <c r="F579" s="197"/>
      <c r="G579" s="197"/>
      <c r="H579" s="197"/>
      <c r="I579" s="197"/>
      <c r="J579" s="197"/>
      <c r="K579" s="197"/>
      <c r="L579" s="197"/>
      <c r="M579" s="197"/>
      <c r="N579" s="197"/>
      <c r="O579" s="197"/>
      <c r="P579" s="197"/>
      <c r="Q579" s="197"/>
      <c r="R579" s="197"/>
      <c r="S579" s="197"/>
      <c r="T579" s="198"/>
      <c r="U579" s="197"/>
      <c r="V579" s="197"/>
      <c r="W579" s="197"/>
      <c r="X579" s="197"/>
      <c r="Y579" s="197"/>
      <c r="Z579" s="197"/>
    </row>
    <row r="580" spans="1:26">
      <c r="A580" s="197"/>
      <c r="B580" s="197"/>
      <c r="C580" s="197"/>
      <c r="D580" s="197"/>
      <c r="E580" s="197"/>
      <c r="F580" s="197"/>
      <c r="G580" s="197"/>
      <c r="H580" s="197"/>
      <c r="I580" s="197"/>
      <c r="J580" s="197"/>
      <c r="K580" s="197"/>
      <c r="L580" s="197"/>
      <c r="M580" s="197"/>
      <c r="N580" s="197"/>
      <c r="O580" s="197"/>
      <c r="P580" s="197"/>
      <c r="Q580" s="197"/>
      <c r="R580" s="197"/>
      <c r="S580" s="197"/>
      <c r="T580" s="198"/>
      <c r="U580" s="197"/>
      <c r="V580" s="197"/>
      <c r="W580" s="197"/>
      <c r="X580" s="197"/>
      <c r="Y580" s="197"/>
      <c r="Z580" s="197"/>
    </row>
    <row r="581" spans="1:26">
      <c r="A581" s="197"/>
      <c r="B581" s="197"/>
      <c r="C581" s="197"/>
      <c r="D581" s="197"/>
      <c r="E581" s="197"/>
      <c r="F581" s="197"/>
      <c r="G581" s="197"/>
      <c r="H581" s="197"/>
      <c r="I581" s="197"/>
      <c r="J581" s="197"/>
      <c r="K581" s="197"/>
      <c r="L581" s="197"/>
      <c r="M581" s="197"/>
      <c r="N581" s="197"/>
      <c r="O581" s="197"/>
      <c r="P581" s="197"/>
      <c r="Q581" s="197"/>
      <c r="R581" s="197"/>
      <c r="S581" s="197"/>
      <c r="T581" s="198"/>
      <c r="U581" s="197"/>
      <c r="V581" s="197"/>
      <c r="W581" s="197"/>
      <c r="X581" s="197"/>
      <c r="Y581" s="197"/>
      <c r="Z581" s="197"/>
    </row>
    <row r="582" spans="1:26">
      <c r="A582" s="197"/>
      <c r="B582" s="197"/>
      <c r="C582" s="197"/>
      <c r="D582" s="197"/>
      <c r="E582" s="197"/>
      <c r="F582" s="197"/>
      <c r="G582" s="197"/>
      <c r="H582" s="197"/>
      <c r="I582" s="197"/>
      <c r="J582" s="197"/>
      <c r="K582" s="197"/>
      <c r="L582" s="197"/>
      <c r="M582" s="197"/>
      <c r="N582" s="197"/>
      <c r="O582" s="197"/>
      <c r="P582" s="197"/>
      <c r="Q582" s="197"/>
      <c r="R582" s="197"/>
      <c r="S582" s="197"/>
      <c r="T582" s="198"/>
      <c r="U582" s="197"/>
      <c r="V582" s="197"/>
      <c r="W582" s="197"/>
      <c r="X582" s="197"/>
      <c r="Y582" s="197"/>
      <c r="Z582" s="197"/>
    </row>
    <row r="583" spans="1:26">
      <c r="A583" s="197"/>
      <c r="B583" s="197"/>
      <c r="C583" s="197"/>
      <c r="D583" s="197"/>
      <c r="E583" s="197"/>
      <c r="F583" s="197"/>
      <c r="G583" s="197"/>
      <c r="H583" s="197"/>
      <c r="I583" s="197"/>
      <c r="J583" s="197"/>
      <c r="K583" s="197"/>
      <c r="L583" s="197"/>
      <c r="M583" s="197"/>
      <c r="N583" s="197"/>
      <c r="O583" s="197"/>
      <c r="P583" s="197"/>
      <c r="Q583" s="197"/>
      <c r="R583" s="197"/>
      <c r="S583" s="197"/>
      <c r="T583" s="198"/>
      <c r="U583" s="197"/>
      <c r="V583" s="197"/>
      <c r="W583" s="197"/>
      <c r="X583" s="197"/>
      <c r="Y583" s="197"/>
      <c r="Z583" s="197"/>
    </row>
    <row r="584" spans="1:26">
      <c r="A584" s="197"/>
      <c r="B584" s="197"/>
      <c r="C584" s="197"/>
      <c r="D584" s="197"/>
      <c r="E584" s="197"/>
      <c r="F584" s="197"/>
      <c r="G584" s="197"/>
      <c r="H584" s="197"/>
      <c r="I584" s="197"/>
      <c r="J584" s="197"/>
      <c r="K584" s="197"/>
      <c r="L584" s="197"/>
      <c r="M584" s="197"/>
      <c r="N584" s="197"/>
      <c r="O584" s="197"/>
      <c r="P584" s="197"/>
      <c r="Q584" s="197"/>
      <c r="R584" s="197"/>
      <c r="S584" s="197"/>
      <c r="T584" s="198"/>
      <c r="U584" s="197"/>
      <c r="V584" s="197"/>
      <c r="W584" s="197"/>
      <c r="X584" s="197"/>
      <c r="Y584" s="197"/>
      <c r="Z584" s="197"/>
    </row>
    <row r="585" spans="1:26">
      <c r="A585" s="197"/>
      <c r="B585" s="197"/>
      <c r="C585" s="197"/>
      <c r="D585" s="197"/>
      <c r="E585" s="197"/>
      <c r="F585" s="197"/>
      <c r="G585" s="197"/>
      <c r="H585" s="197"/>
      <c r="I585" s="197"/>
      <c r="J585" s="197"/>
      <c r="K585" s="197"/>
      <c r="L585" s="197"/>
      <c r="M585" s="197"/>
      <c r="N585" s="197"/>
      <c r="O585" s="197"/>
      <c r="P585" s="197"/>
      <c r="Q585" s="197"/>
      <c r="R585" s="197"/>
      <c r="S585" s="197"/>
      <c r="T585" s="198"/>
      <c r="U585" s="197"/>
      <c r="V585" s="197"/>
      <c r="W585" s="197"/>
      <c r="X585" s="197"/>
      <c r="Y585" s="197"/>
      <c r="Z585" s="197"/>
    </row>
    <row r="586" spans="1:26">
      <c r="A586" s="197"/>
      <c r="B586" s="197"/>
      <c r="C586" s="197"/>
      <c r="D586" s="197"/>
      <c r="E586" s="197"/>
      <c r="F586" s="197"/>
      <c r="G586" s="197"/>
      <c r="H586" s="197"/>
      <c r="I586" s="197"/>
      <c r="J586" s="197"/>
      <c r="K586" s="197"/>
      <c r="L586" s="197"/>
      <c r="M586" s="197"/>
      <c r="N586" s="197"/>
      <c r="O586" s="197"/>
      <c r="P586" s="197"/>
      <c r="Q586" s="197"/>
      <c r="R586" s="197"/>
      <c r="S586" s="197"/>
      <c r="T586" s="198"/>
      <c r="U586" s="197"/>
      <c r="V586" s="197"/>
      <c r="W586" s="197"/>
      <c r="X586" s="197"/>
      <c r="Y586" s="197"/>
      <c r="Z586" s="197"/>
    </row>
    <row r="587" spans="1:26">
      <c r="A587" s="197"/>
      <c r="B587" s="197"/>
      <c r="C587" s="197"/>
      <c r="D587" s="197"/>
      <c r="E587" s="197"/>
      <c r="F587" s="197"/>
      <c r="G587" s="197"/>
      <c r="H587" s="197"/>
      <c r="I587" s="197"/>
      <c r="J587" s="197"/>
      <c r="K587" s="197"/>
      <c r="L587" s="197"/>
      <c r="M587" s="197"/>
      <c r="N587" s="197"/>
      <c r="O587" s="197"/>
      <c r="P587" s="197"/>
      <c r="Q587" s="197"/>
      <c r="R587" s="197"/>
      <c r="S587" s="197"/>
      <c r="T587" s="198"/>
      <c r="U587" s="197"/>
      <c r="V587" s="197"/>
      <c r="W587" s="197"/>
      <c r="X587" s="197"/>
      <c r="Y587" s="197"/>
      <c r="Z587" s="197"/>
    </row>
    <row r="588" spans="1:26">
      <c r="A588" s="197"/>
      <c r="B588" s="197"/>
      <c r="C588" s="197"/>
      <c r="D588" s="197"/>
      <c r="E588" s="197"/>
      <c r="F588" s="197"/>
      <c r="G588" s="197"/>
      <c r="H588" s="197"/>
      <c r="I588" s="197"/>
      <c r="J588" s="197"/>
      <c r="K588" s="197"/>
      <c r="L588" s="197"/>
      <c r="M588" s="197"/>
      <c r="N588" s="197"/>
      <c r="O588" s="197"/>
      <c r="P588" s="197"/>
      <c r="Q588" s="197"/>
      <c r="R588" s="197"/>
      <c r="S588" s="197"/>
      <c r="T588" s="198"/>
      <c r="U588" s="197"/>
      <c r="V588" s="197"/>
      <c r="W588" s="197"/>
      <c r="X588" s="197"/>
      <c r="Y588" s="197"/>
      <c r="Z588" s="197"/>
    </row>
    <row r="589" spans="1:26">
      <c r="A589" s="197"/>
      <c r="B589" s="197"/>
      <c r="C589" s="197"/>
      <c r="D589" s="197"/>
      <c r="E589" s="197"/>
      <c r="F589" s="197"/>
      <c r="G589" s="197"/>
      <c r="H589" s="197"/>
      <c r="I589" s="197"/>
      <c r="J589" s="197"/>
      <c r="K589" s="197"/>
      <c r="L589" s="197"/>
      <c r="M589" s="197"/>
      <c r="N589" s="197"/>
      <c r="O589" s="197"/>
      <c r="P589" s="197"/>
      <c r="Q589" s="197"/>
      <c r="R589" s="197"/>
      <c r="S589" s="197"/>
      <c r="T589" s="198"/>
      <c r="U589" s="197"/>
      <c r="V589" s="197"/>
      <c r="W589" s="197"/>
      <c r="X589" s="197"/>
      <c r="Y589" s="197"/>
      <c r="Z589" s="197"/>
    </row>
    <row r="590" spans="1:26">
      <c r="A590" s="197"/>
      <c r="B590" s="197"/>
      <c r="C590" s="197"/>
      <c r="D590" s="197"/>
      <c r="E590" s="197"/>
      <c r="F590" s="197"/>
      <c r="G590" s="197"/>
      <c r="H590" s="197"/>
      <c r="I590" s="197"/>
      <c r="J590" s="197"/>
      <c r="K590" s="197"/>
      <c r="L590" s="197"/>
      <c r="M590" s="197"/>
      <c r="N590" s="197"/>
      <c r="O590" s="197"/>
      <c r="P590" s="197"/>
      <c r="Q590" s="197"/>
      <c r="R590" s="197"/>
      <c r="S590" s="197"/>
      <c r="T590" s="198"/>
      <c r="U590" s="197"/>
      <c r="V590" s="197"/>
      <c r="W590" s="197"/>
      <c r="X590" s="197"/>
      <c r="Y590" s="197"/>
      <c r="Z590" s="197"/>
    </row>
    <row r="591" spans="1:26">
      <c r="A591" s="197"/>
      <c r="B591" s="197"/>
      <c r="C591" s="197"/>
      <c r="D591" s="197"/>
      <c r="E591" s="197"/>
      <c r="F591" s="197"/>
      <c r="G591" s="197"/>
      <c r="H591" s="197"/>
      <c r="I591" s="197"/>
      <c r="J591" s="197"/>
      <c r="K591" s="197"/>
      <c r="L591" s="197"/>
      <c r="M591" s="197"/>
      <c r="N591" s="197"/>
      <c r="O591" s="197"/>
      <c r="P591" s="197"/>
      <c r="Q591" s="197"/>
      <c r="R591" s="197"/>
      <c r="S591" s="197"/>
      <c r="T591" s="198"/>
      <c r="U591" s="197"/>
      <c r="V591" s="197"/>
      <c r="W591" s="197"/>
      <c r="X591" s="197"/>
      <c r="Y591" s="197"/>
      <c r="Z591" s="197"/>
    </row>
    <row r="592" spans="1:26">
      <c r="A592" s="197"/>
      <c r="B592" s="197"/>
      <c r="C592" s="197"/>
      <c r="D592" s="197"/>
      <c r="E592" s="197"/>
      <c r="F592" s="197"/>
      <c r="G592" s="197"/>
      <c r="H592" s="197"/>
      <c r="I592" s="197"/>
      <c r="J592" s="197"/>
      <c r="K592" s="197"/>
      <c r="L592" s="197"/>
      <c r="M592" s="197"/>
      <c r="N592" s="197"/>
      <c r="O592" s="197"/>
      <c r="P592" s="197"/>
      <c r="Q592" s="197"/>
      <c r="R592" s="197"/>
      <c r="S592" s="197"/>
      <c r="T592" s="198"/>
      <c r="U592" s="197"/>
      <c r="V592" s="197"/>
      <c r="W592" s="197"/>
      <c r="X592" s="197"/>
      <c r="Y592" s="197"/>
      <c r="Z592" s="197"/>
    </row>
    <row r="593" spans="1:26">
      <c r="A593" s="197"/>
      <c r="B593" s="197"/>
      <c r="C593" s="197"/>
      <c r="D593" s="197"/>
      <c r="E593" s="197"/>
      <c r="F593" s="197"/>
      <c r="G593" s="197"/>
      <c r="H593" s="197"/>
      <c r="I593" s="197"/>
      <c r="J593" s="197"/>
      <c r="K593" s="197"/>
      <c r="L593" s="197"/>
      <c r="M593" s="197"/>
      <c r="N593" s="197"/>
      <c r="O593" s="197"/>
      <c r="P593" s="197"/>
      <c r="Q593" s="197"/>
      <c r="R593" s="197"/>
      <c r="S593" s="197"/>
      <c r="T593" s="198"/>
      <c r="U593" s="197"/>
      <c r="V593" s="197"/>
      <c r="W593" s="197"/>
      <c r="X593" s="197"/>
      <c r="Y593" s="197"/>
      <c r="Z593" s="197"/>
    </row>
    <row r="594" spans="1:26">
      <c r="A594" s="197"/>
      <c r="B594" s="197"/>
      <c r="C594" s="197"/>
      <c r="D594" s="197"/>
      <c r="E594" s="197"/>
      <c r="F594" s="197"/>
      <c r="G594" s="197"/>
      <c r="H594" s="197"/>
      <c r="I594" s="197"/>
      <c r="J594" s="197"/>
      <c r="K594" s="197"/>
      <c r="L594" s="197"/>
      <c r="M594" s="197"/>
      <c r="N594" s="197"/>
      <c r="O594" s="197"/>
      <c r="P594" s="197"/>
      <c r="Q594" s="197"/>
      <c r="R594" s="197"/>
      <c r="S594" s="197"/>
      <c r="T594" s="198"/>
      <c r="U594" s="197"/>
      <c r="V594" s="197"/>
      <c r="W594" s="197"/>
      <c r="X594" s="197"/>
      <c r="Y594" s="197"/>
      <c r="Z594" s="197"/>
    </row>
    <row r="595" spans="1:26">
      <c r="A595" s="197"/>
      <c r="B595" s="197"/>
      <c r="C595" s="197"/>
      <c r="D595" s="197"/>
      <c r="E595" s="197"/>
      <c r="F595" s="197"/>
      <c r="G595" s="197"/>
      <c r="H595" s="197"/>
      <c r="I595" s="197"/>
      <c r="J595" s="197"/>
      <c r="K595" s="197"/>
      <c r="L595" s="197"/>
      <c r="M595" s="197"/>
      <c r="N595" s="197"/>
      <c r="O595" s="197"/>
      <c r="P595" s="197"/>
      <c r="Q595" s="197"/>
      <c r="R595" s="197"/>
      <c r="S595" s="197"/>
      <c r="T595" s="198"/>
      <c r="U595" s="197"/>
      <c r="V595" s="197"/>
      <c r="W595" s="197"/>
      <c r="X595" s="197"/>
      <c r="Y595" s="197"/>
      <c r="Z595" s="197"/>
    </row>
    <row r="596" spans="1:26">
      <c r="A596" s="197"/>
      <c r="B596" s="197"/>
      <c r="C596" s="197"/>
      <c r="D596" s="197"/>
      <c r="E596" s="197"/>
      <c r="F596" s="197"/>
      <c r="G596" s="197"/>
      <c r="H596" s="197"/>
      <c r="I596" s="197"/>
      <c r="J596" s="197"/>
      <c r="K596" s="197"/>
      <c r="L596" s="197"/>
      <c r="M596" s="197"/>
      <c r="N596" s="197"/>
      <c r="O596" s="197"/>
      <c r="P596" s="197"/>
      <c r="Q596" s="197"/>
      <c r="R596" s="197"/>
      <c r="S596" s="197"/>
      <c r="T596" s="198"/>
      <c r="U596" s="197"/>
      <c r="V596" s="197"/>
      <c r="W596" s="197"/>
      <c r="X596" s="197"/>
      <c r="Y596" s="197"/>
      <c r="Z596" s="197"/>
    </row>
    <row r="597" spans="1:26">
      <c r="A597" s="197"/>
      <c r="B597" s="197"/>
      <c r="C597" s="197"/>
      <c r="D597" s="197"/>
      <c r="E597" s="197"/>
      <c r="F597" s="197"/>
      <c r="G597" s="197"/>
      <c r="H597" s="197"/>
      <c r="I597" s="197"/>
      <c r="J597" s="197"/>
      <c r="K597" s="197"/>
      <c r="L597" s="197"/>
      <c r="M597" s="197"/>
      <c r="N597" s="197"/>
      <c r="O597" s="197"/>
      <c r="P597" s="197"/>
      <c r="Q597" s="197"/>
      <c r="R597" s="197"/>
      <c r="S597" s="197"/>
      <c r="T597" s="198"/>
      <c r="U597" s="197"/>
      <c r="V597" s="197"/>
      <c r="W597" s="197"/>
      <c r="X597" s="197"/>
      <c r="Y597" s="197"/>
      <c r="Z597" s="197"/>
    </row>
    <row r="598" spans="1:26">
      <c r="A598" s="197"/>
      <c r="B598" s="197"/>
      <c r="C598" s="197"/>
      <c r="D598" s="197"/>
      <c r="E598" s="197"/>
      <c r="F598" s="197"/>
      <c r="G598" s="197"/>
      <c r="H598" s="197"/>
      <c r="I598" s="197"/>
      <c r="J598" s="197"/>
      <c r="K598" s="197"/>
      <c r="L598" s="197"/>
      <c r="M598" s="197"/>
      <c r="N598" s="197"/>
      <c r="O598" s="197"/>
      <c r="P598" s="197"/>
      <c r="Q598" s="197"/>
      <c r="R598" s="197"/>
      <c r="S598" s="197"/>
      <c r="T598" s="198"/>
      <c r="U598" s="197"/>
      <c r="V598" s="197"/>
      <c r="W598" s="197"/>
      <c r="X598" s="197"/>
      <c r="Y598" s="197"/>
      <c r="Z598" s="197"/>
    </row>
    <row r="599" spans="1:26">
      <c r="A599" s="197"/>
      <c r="B599" s="197"/>
      <c r="C599" s="197"/>
      <c r="D599" s="197"/>
      <c r="E599" s="197"/>
      <c r="F599" s="197"/>
      <c r="G599" s="197"/>
      <c r="H599" s="197"/>
      <c r="I599" s="197"/>
      <c r="J599" s="197"/>
      <c r="K599" s="197"/>
      <c r="L599" s="197"/>
      <c r="M599" s="197"/>
      <c r="N599" s="197"/>
      <c r="O599" s="197"/>
      <c r="P599" s="197"/>
      <c r="Q599" s="197"/>
      <c r="R599" s="197"/>
      <c r="S599" s="197"/>
      <c r="T599" s="198"/>
      <c r="U599" s="197"/>
      <c r="V599" s="197"/>
      <c r="W599" s="197"/>
      <c r="X599" s="197"/>
      <c r="Y599" s="197"/>
      <c r="Z599" s="197"/>
    </row>
    <row r="600" spans="1:26">
      <c r="A600" s="197"/>
      <c r="B600" s="197"/>
      <c r="C600" s="197"/>
      <c r="D600" s="197"/>
      <c r="E600" s="197"/>
      <c r="F600" s="197"/>
      <c r="G600" s="197"/>
      <c r="H600" s="197"/>
      <c r="I600" s="197"/>
      <c r="J600" s="197"/>
      <c r="K600" s="197"/>
      <c r="L600" s="197"/>
      <c r="M600" s="197"/>
      <c r="N600" s="197"/>
      <c r="O600" s="197"/>
      <c r="P600" s="197"/>
      <c r="Q600" s="197"/>
      <c r="R600" s="197"/>
      <c r="S600" s="197"/>
      <c r="T600" s="198"/>
      <c r="U600" s="197"/>
      <c r="V600" s="197"/>
      <c r="W600" s="197"/>
      <c r="X600" s="197"/>
      <c r="Y600" s="197"/>
      <c r="Z600" s="197"/>
    </row>
    <row r="601" spans="1:26">
      <c r="A601" s="197"/>
      <c r="B601" s="197"/>
      <c r="C601" s="197"/>
      <c r="D601" s="197"/>
      <c r="E601" s="197"/>
      <c r="F601" s="197"/>
      <c r="G601" s="197"/>
      <c r="H601" s="197"/>
      <c r="I601" s="197"/>
      <c r="J601" s="197"/>
      <c r="K601" s="197"/>
      <c r="L601" s="197"/>
      <c r="M601" s="197"/>
      <c r="N601" s="197"/>
      <c r="O601" s="197"/>
      <c r="P601" s="197"/>
      <c r="Q601" s="197"/>
      <c r="R601" s="197"/>
      <c r="S601" s="197"/>
      <c r="T601" s="198"/>
      <c r="U601" s="197"/>
      <c r="V601" s="197"/>
      <c r="W601" s="197"/>
      <c r="X601" s="197"/>
      <c r="Y601" s="197"/>
      <c r="Z601" s="197"/>
    </row>
    <row r="602" spans="1:26">
      <c r="A602" s="197"/>
      <c r="B602" s="197"/>
      <c r="C602" s="197"/>
      <c r="D602" s="197"/>
      <c r="E602" s="197"/>
      <c r="F602" s="197"/>
      <c r="G602" s="197"/>
      <c r="H602" s="197"/>
      <c r="I602" s="197"/>
      <c r="J602" s="197"/>
      <c r="K602" s="197"/>
      <c r="L602" s="197"/>
      <c r="M602" s="197"/>
      <c r="N602" s="197"/>
      <c r="O602" s="197"/>
      <c r="P602" s="197"/>
      <c r="Q602" s="197"/>
      <c r="R602" s="197"/>
      <c r="S602" s="197"/>
      <c r="T602" s="198"/>
      <c r="U602" s="197"/>
      <c r="V602" s="197"/>
      <c r="W602" s="197"/>
      <c r="X602" s="197"/>
      <c r="Y602" s="197"/>
      <c r="Z602" s="197"/>
    </row>
    <row r="603" spans="1:26">
      <c r="A603" s="197"/>
      <c r="B603" s="197"/>
      <c r="C603" s="197"/>
      <c r="D603" s="197"/>
      <c r="E603" s="197"/>
      <c r="F603" s="197"/>
      <c r="G603" s="197"/>
      <c r="H603" s="197"/>
      <c r="I603" s="197"/>
      <c r="J603" s="197"/>
      <c r="K603" s="197"/>
      <c r="L603" s="197"/>
      <c r="M603" s="197"/>
      <c r="N603" s="197"/>
      <c r="O603" s="197"/>
      <c r="P603" s="197"/>
      <c r="Q603" s="197"/>
      <c r="R603" s="197"/>
      <c r="S603" s="197"/>
      <c r="T603" s="198"/>
      <c r="U603" s="197"/>
      <c r="V603" s="197"/>
      <c r="W603" s="197"/>
      <c r="X603" s="197"/>
      <c r="Y603" s="197"/>
      <c r="Z603" s="197"/>
    </row>
    <row r="604" spans="1:26">
      <c r="A604" s="197"/>
      <c r="B604" s="197"/>
      <c r="C604" s="197"/>
      <c r="D604" s="197"/>
      <c r="E604" s="197"/>
      <c r="F604" s="197"/>
      <c r="G604" s="197"/>
      <c r="H604" s="197"/>
      <c r="I604" s="197"/>
      <c r="J604" s="197"/>
      <c r="K604" s="197"/>
      <c r="L604" s="197"/>
      <c r="M604" s="197"/>
      <c r="N604" s="197"/>
      <c r="O604" s="197"/>
      <c r="P604" s="197"/>
      <c r="Q604" s="197"/>
      <c r="R604" s="197"/>
      <c r="S604" s="197"/>
      <c r="T604" s="198"/>
      <c r="U604" s="197"/>
      <c r="V604" s="197"/>
      <c r="W604" s="197"/>
      <c r="X604" s="197"/>
      <c r="Y604" s="197"/>
      <c r="Z604" s="197"/>
    </row>
    <row r="605" spans="1:26">
      <c r="A605" s="197"/>
      <c r="B605" s="197"/>
      <c r="C605" s="197"/>
      <c r="D605" s="197"/>
      <c r="E605" s="197"/>
      <c r="F605" s="197"/>
      <c r="G605" s="197"/>
      <c r="H605" s="197"/>
      <c r="I605" s="197"/>
      <c r="J605" s="197"/>
      <c r="K605" s="197"/>
      <c r="L605" s="197"/>
      <c r="M605" s="197"/>
      <c r="N605" s="197"/>
      <c r="O605" s="197"/>
      <c r="P605" s="197"/>
      <c r="Q605" s="197"/>
      <c r="R605" s="197"/>
      <c r="S605" s="197"/>
      <c r="T605" s="198"/>
      <c r="U605" s="197"/>
      <c r="V605" s="197"/>
      <c r="W605" s="197"/>
      <c r="X605" s="197"/>
      <c r="Y605" s="197"/>
      <c r="Z605" s="197"/>
    </row>
    <row r="606" spans="1:26">
      <c r="A606" s="197"/>
      <c r="B606" s="197"/>
      <c r="C606" s="197"/>
      <c r="D606" s="197"/>
      <c r="E606" s="197"/>
      <c r="F606" s="197"/>
      <c r="G606" s="197"/>
      <c r="H606" s="197"/>
      <c r="I606" s="197"/>
      <c r="J606" s="197"/>
      <c r="K606" s="197"/>
      <c r="L606" s="197"/>
      <c r="M606" s="197"/>
      <c r="N606" s="197"/>
      <c r="O606" s="197"/>
      <c r="P606" s="197"/>
      <c r="Q606" s="197"/>
      <c r="R606" s="197"/>
      <c r="S606" s="197"/>
      <c r="T606" s="198"/>
      <c r="U606" s="197"/>
      <c r="V606" s="197"/>
      <c r="W606" s="197"/>
      <c r="X606" s="197"/>
      <c r="Y606" s="197"/>
      <c r="Z606" s="197"/>
    </row>
    <row r="607" spans="1:26">
      <c r="A607" s="197"/>
      <c r="B607" s="197"/>
      <c r="C607" s="197"/>
      <c r="D607" s="197"/>
      <c r="E607" s="197"/>
      <c r="F607" s="197"/>
      <c r="G607" s="197"/>
      <c r="H607" s="197"/>
      <c r="I607" s="197"/>
      <c r="J607" s="197"/>
      <c r="K607" s="197"/>
      <c r="L607" s="197"/>
      <c r="M607" s="197"/>
      <c r="N607" s="197"/>
      <c r="O607" s="197"/>
      <c r="P607" s="197"/>
      <c r="Q607" s="197"/>
      <c r="R607" s="197"/>
      <c r="S607" s="197"/>
      <c r="T607" s="198"/>
      <c r="U607" s="197"/>
      <c r="V607" s="197"/>
      <c r="W607" s="197"/>
      <c r="X607" s="197"/>
      <c r="Y607" s="197"/>
      <c r="Z607" s="197"/>
    </row>
    <row r="608" spans="1:26">
      <c r="A608" s="197"/>
      <c r="B608" s="197"/>
      <c r="C608" s="197"/>
      <c r="D608" s="197"/>
      <c r="E608" s="197"/>
      <c r="F608" s="197"/>
      <c r="G608" s="197"/>
      <c r="H608" s="197"/>
      <c r="I608" s="197"/>
      <c r="J608" s="197"/>
      <c r="K608" s="197"/>
      <c r="L608" s="197"/>
      <c r="M608" s="197"/>
      <c r="N608" s="197"/>
      <c r="O608" s="197"/>
      <c r="P608" s="197"/>
      <c r="Q608" s="197"/>
      <c r="R608" s="197"/>
      <c r="S608" s="197"/>
      <c r="T608" s="198"/>
      <c r="U608" s="197"/>
      <c r="V608" s="197"/>
      <c r="W608" s="197"/>
      <c r="X608" s="197"/>
      <c r="Y608" s="197"/>
      <c r="Z608" s="197"/>
    </row>
    <row r="609" spans="1:26">
      <c r="A609" s="197"/>
      <c r="B609" s="197"/>
      <c r="C609" s="197"/>
      <c r="D609" s="197"/>
      <c r="E609" s="197"/>
      <c r="F609" s="197"/>
      <c r="G609" s="197"/>
      <c r="H609" s="197"/>
      <c r="I609" s="197"/>
      <c r="J609" s="197"/>
      <c r="K609" s="197"/>
      <c r="L609" s="197"/>
      <c r="M609" s="197"/>
      <c r="N609" s="197"/>
      <c r="O609" s="197"/>
      <c r="P609" s="197"/>
      <c r="Q609" s="197"/>
      <c r="R609" s="197"/>
      <c r="S609" s="197"/>
      <c r="T609" s="198"/>
      <c r="U609" s="197"/>
      <c r="V609" s="197"/>
      <c r="W609" s="197"/>
      <c r="X609" s="197"/>
      <c r="Y609" s="197"/>
      <c r="Z609" s="197"/>
    </row>
    <row r="610" spans="1:26">
      <c r="A610" s="197"/>
      <c r="B610" s="197"/>
      <c r="C610" s="197"/>
      <c r="D610" s="197"/>
      <c r="E610" s="197"/>
      <c r="F610" s="197"/>
      <c r="G610" s="197"/>
      <c r="H610" s="197"/>
      <c r="I610" s="197"/>
      <c r="J610" s="197"/>
      <c r="K610" s="197"/>
      <c r="L610" s="197"/>
      <c r="M610" s="197"/>
      <c r="N610" s="197"/>
      <c r="O610" s="197"/>
      <c r="P610" s="197"/>
      <c r="Q610" s="197"/>
      <c r="R610" s="197"/>
      <c r="S610" s="197"/>
      <c r="T610" s="198"/>
      <c r="U610" s="197"/>
      <c r="V610" s="197"/>
      <c r="W610" s="197"/>
      <c r="X610" s="197"/>
      <c r="Y610" s="197"/>
      <c r="Z610" s="197"/>
    </row>
    <row r="611" spans="1:26">
      <c r="A611" s="197"/>
      <c r="B611" s="197"/>
      <c r="C611" s="197"/>
      <c r="D611" s="197"/>
      <c r="E611" s="197"/>
      <c r="F611" s="197"/>
      <c r="G611" s="197"/>
      <c r="H611" s="197"/>
      <c r="I611" s="197"/>
      <c r="J611" s="197"/>
      <c r="K611" s="197"/>
      <c r="L611" s="197"/>
      <c r="M611" s="197"/>
      <c r="N611" s="197"/>
      <c r="O611" s="197"/>
      <c r="P611" s="197"/>
      <c r="Q611" s="197"/>
      <c r="R611" s="197"/>
      <c r="S611" s="197"/>
      <c r="T611" s="198"/>
      <c r="U611" s="197"/>
      <c r="V611" s="197"/>
      <c r="W611" s="197"/>
      <c r="X611" s="197"/>
      <c r="Y611" s="197"/>
      <c r="Z611" s="197"/>
    </row>
    <row r="612" spans="1:26">
      <c r="A612" s="197"/>
      <c r="B612" s="197"/>
      <c r="C612" s="197"/>
      <c r="D612" s="197"/>
      <c r="E612" s="197"/>
      <c r="F612" s="197"/>
      <c r="G612" s="197"/>
      <c r="H612" s="197"/>
      <c r="I612" s="197"/>
      <c r="J612" s="197"/>
      <c r="K612" s="197"/>
      <c r="L612" s="197"/>
      <c r="M612" s="197"/>
      <c r="N612" s="197"/>
      <c r="O612" s="197"/>
      <c r="P612" s="197"/>
      <c r="Q612" s="197"/>
      <c r="R612" s="197"/>
      <c r="S612" s="197"/>
      <c r="T612" s="198"/>
      <c r="U612" s="197"/>
      <c r="V612" s="197"/>
      <c r="W612" s="197"/>
      <c r="X612" s="197"/>
      <c r="Y612" s="197"/>
      <c r="Z612" s="197"/>
    </row>
    <row r="613" spans="1:26">
      <c r="A613" s="197"/>
      <c r="B613" s="197"/>
      <c r="C613" s="197"/>
      <c r="D613" s="197"/>
      <c r="E613" s="197"/>
      <c r="F613" s="197"/>
      <c r="G613" s="197"/>
      <c r="H613" s="197"/>
      <c r="I613" s="197"/>
      <c r="J613" s="197"/>
      <c r="K613" s="197"/>
      <c r="L613" s="197"/>
      <c r="M613" s="197"/>
      <c r="N613" s="197"/>
      <c r="O613" s="197"/>
      <c r="P613" s="197"/>
      <c r="Q613" s="197"/>
      <c r="R613" s="197"/>
      <c r="S613" s="197"/>
      <c r="T613" s="198"/>
      <c r="U613" s="197"/>
      <c r="V613" s="197"/>
      <c r="W613" s="197"/>
      <c r="X613" s="197"/>
      <c r="Y613" s="197"/>
      <c r="Z613" s="197"/>
    </row>
    <row r="614" spans="1:26">
      <c r="A614" s="197"/>
      <c r="B614" s="197"/>
      <c r="C614" s="197"/>
      <c r="D614" s="197"/>
      <c r="E614" s="197"/>
      <c r="F614" s="197"/>
      <c r="G614" s="197"/>
      <c r="H614" s="197"/>
      <c r="I614" s="197"/>
      <c r="J614" s="197"/>
      <c r="K614" s="197"/>
      <c r="L614" s="197"/>
      <c r="M614" s="197"/>
      <c r="N614" s="197"/>
      <c r="O614" s="197"/>
      <c r="P614" s="197"/>
      <c r="Q614" s="197"/>
      <c r="R614" s="197"/>
      <c r="S614" s="197"/>
      <c r="T614" s="198"/>
      <c r="U614" s="197"/>
      <c r="V614" s="197"/>
      <c r="W614" s="197"/>
      <c r="X614" s="197"/>
      <c r="Y614" s="197"/>
      <c r="Z614" s="197"/>
    </row>
    <row r="615" spans="1:26">
      <c r="A615" s="197"/>
      <c r="B615" s="197"/>
      <c r="C615" s="197"/>
      <c r="D615" s="197"/>
      <c r="E615" s="197"/>
      <c r="F615" s="197"/>
      <c r="G615" s="197"/>
      <c r="H615" s="197"/>
      <c r="I615" s="197"/>
      <c r="J615" s="197"/>
      <c r="K615" s="197"/>
      <c r="L615" s="197"/>
      <c r="M615" s="197"/>
      <c r="N615" s="197"/>
      <c r="O615" s="197"/>
      <c r="P615" s="197"/>
      <c r="Q615" s="197"/>
      <c r="R615" s="197"/>
      <c r="S615" s="197"/>
      <c r="T615" s="198"/>
      <c r="U615" s="197"/>
      <c r="V615" s="197"/>
      <c r="W615" s="197"/>
      <c r="X615" s="197"/>
      <c r="Y615" s="197"/>
      <c r="Z615" s="197"/>
    </row>
    <row r="616" spans="1:26">
      <c r="A616" s="197"/>
      <c r="B616" s="197"/>
      <c r="C616" s="197"/>
      <c r="D616" s="197"/>
      <c r="E616" s="197"/>
      <c r="F616" s="197"/>
      <c r="G616" s="197"/>
      <c r="H616" s="197"/>
      <c r="I616" s="197"/>
      <c r="J616" s="197"/>
      <c r="K616" s="197"/>
      <c r="L616" s="197"/>
      <c r="M616" s="197"/>
      <c r="N616" s="197"/>
      <c r="O616" s="197"/>
      <c r="P616" s="197"/>
      <c r="Q616" s="197"/>
      <c r="R616" s="197"/>
      <c r="S616" s="197"/>
      <c r="T616" s="198"/>
      <c r="U616" s="197"/>
      <c r="V616" s="197"/>
      <c r="W616" s="197"/>
      <c r="X616" s="197"/>
      <c r="Y616" s="197"/>
      <c r="Z616" s="197"/>
    </row>
    <row r="617" spans="1:26">
      <c r="A617" s="197"/>
      <c r="B617" s="197"/>
      <c r="C617" s="197"/>
      <c r="D617" s="197"/>
      <c r="E617" s="197"/>
      <c r="F617" s="197"/>
      <c r="G617" s="197"/>
      <c r="H617" s="197"/>
      <c r="I617" s="197"/>
      <c r="J617" s="197"/>
      <c r="K617" s="197"/>
      <c r="L617" s="197"/>
      <c r="M617" s="197"/>
      <c r="N617" s="197"/>
      <c r="O617" s="197"/>
      <c r="P617" s="197"/>
      <c r="Q617" s="197"/>
      <c r="R617" s="197"/>
      <c r="S617" s="197"/>
      <c r="T617" s="198"/>
      <c r="U617" s="197"/>
      <c r="V617" s="197"/>
      <c r="W617" s="197"/>
      <c r="X617" s="197"/>
      <c r="Y617" s="197"/>
      <c r="Z617" s="197"/>
    </row>
    <row r="618" spans="1:26">
      <c r="A618" s="197"/>
      <c r="B618" s="197"/>
      <c r="C618" s="197"/>
      <c r="D618" s="197"/>
      <c r="E618" s="197"/>
      <c r="F618" s="197"/>
      <c r="G618" s="197"/>
      <c r="H618" s="197"/>
      <c r="I618" s="197"/>
      <c r="J618" s="197"/>
      <c r="K618" s="197"/>
      <c r="L618" s="197"/>
      <c r="M618" s="197"/>
      <c r="N618" s="197"/>
      <c r="O618" s="197"/>
      <c r="P618" s="197"/>
      <c r="Q618" s="197"/>
      <c r="R618" s="197"/>
      <c r="S618" s="197"/>
      <c r="T618" s="198"/>
      <c r="U618" s="197"/>
      <c r="V618" s="197"/>
      <c r="W618" s="197"/>
      <c r="X618" s="197"/>
      <c r="Y618" s="197"/>
      <c r="Z618" s="197"/>
    </row>
    <row r="619" spans="1:26">
      <c r="A619" s="197"/>
      <c r="B619" s="197"/>
      <c r="C619" s="197"/>
      <c r="D619" s="197"/>
      <c r="E619" s="197"/>
      <c r="F619" s="197"/>
      <c r="G619" s="197"/>
      <c r="H619" s="197"/>
      <c r="I619" s="197"/>
      <c r="J619" s="197"/>
      <c r="K619" s="197"/>
      <c r="L619" s="197"/>
      <c r="M619" s="197"/>
      <c r="N619" s="197"/>
      <c r="O619" s="197"/>
      <c r="P619" s="197"/>
      <c r="Q619" s="197"/>
      <c r="R619" s="197"/>
      <c r="S619" s="197"/>
      <c r="T619" s="198"/>
      <c r="U619" s="197"/>
      <c r="V619" s="197"/>
      <c r="W619" s="197"/>
      <c r="X619" s="197"/>
      <c r="Y619" s="197"/>
      <c r="Z619" s="197"/>
    </row>
    <row r="620" spans="1:26">
      <c r="A620" s="197"/>
      <c r="B620" s="197"/>
      <c r="C620" s="197"/>
      <c r="D620" s="197"/>
      <c r="E620" s="197"/>
      <c r="F620" s="197"/>
      <c r="G620" s="197"/>
      <c r="H620" s="197"/>
      <c r="I620" s="197"/>
      <c r="J620" s="197"/>
      <c r="K620" s="197"/>
      <c r="L620" s="197"/>
      <c r="M620" s="197"/>
      <c r="N620" s="197"/>
      <c r="O620" s="197"/>
      <c r="P620" s="197"/>
      <c r="Q620" s="197"/>
      <c r="R620" s="197"/>
      <c r="S620" s="197"/>
      <c r="T620" s="198"/>
      <c r="U620" s="197"/>
      <c r="V620" s="197"/>
      <c r="W620" s="197"/>
      <c r="X620" s="197"/>
      <c r="Y620" s="197"/>
      <c r="Z620" s="197"/>
    </row>
    <row r="621" spans="1:26">
      <c r="A621" s="197"/>
      <c r="B621" s="197"/>
      <c r="C621" s="197"/>
      <c r="D621" s="197"/>
      <c r="E621" s="197"/>
      <c r="F621" s="197"/>
      <c r="G621" s="197"/>
      <c r="H621" s="197"/>
      <c r="I621" s="197"/>
      <c r="J621" s="197"/>
      <c r="K621" s="197"/>
      <c r="L621" s="197"/>
      <c r="M621" s="197"/>
      <c r="N621" s="197"/>
      <c r="O621" s="197"/>
      <c r="P621" s="197"/>
      <c r="Q621" s="197"/>
      <c r="R621" s="197"/>
      <c r="S621" s="197"/>
      <c r="T621" s="198"/>
      <c r="U621" s="197"/>
      <c r="V621" s="197"/>
      <c r="W621" s="197"/>
      <c r="X621" s="197"/>
      <c r="Y621" s="197"/>
      <c r="Z621" s="197"/>
    </row>
    <row r="622" spans="1:26">
      <c r="A622" s="197"/>
      <c r="B622" s="197"/>
      <c r="C622" s="197"/>
      <c r="D622" s="197"/>
      <c r="E622" s="197"/>
      <c r="F622" s="197"/>
      <c r="G622" s="197"/>
      <c r="H622" s="197"/>
      <c r="I622" s="197"/>
      <c r="J622" s="197"/>
      <c r="K622" s="197"/>
      <c r="L622" s="197"/>
      <c r="M622" s="197"/>
      <c r="N622" s="197"/>
      <c r="O622" s="197"/>
      <c r="P622" s="197"/>
      <c r="Q622" s="197"/>
      <c r="R622" s="197"/>
      <c r="S622" s="197"/>
      <c r="T622" s="198"/>
      <c r="U622" s="197"/>
      <c r="V622" s="197"/>
      <c r="W622" s="197"/>
      <c r="X622" s="197"/>
      <c r="Y622" s="197"/>
      <c r="Z622" s="197"/>
    </row>
    <row r="623" spans="1:26">
      <c r="A623" s="197"/>
      <c r="B623" s="197"/>
      <c r="C623" s="197"/>
      <c r="D623" s="197"/>
      <c r="E623" s="197"/>
      <c r="F623" s="197"/>
      <c r="G623" s="197"/>
      <c r="H623" s="197"/>
      <c r="I623" s="197"/>
      <c r="J623" s="197"/>
      <c r="K623" s="197"/>
      <c r="L623" s="197"/>
      <c r="M623" s="197"/>
      <c r="N623" s="197"/>
      <c r="O623" s="197"/>
      <c r="P623" s="197"/>
      <c r="Q623" s="197"/>
      <c r="R623" s="197"/>
      <c r="S623" s="197"/>
      <c r="T623" s="198"/>
      <c r="U623" s="197"/>
      <c r="V623" s="197"/>
      <c r="W623" s="197"/>
      <c r="X623" s="197"/>
      <c r="Y623" s="197"/>
      <c r="Z623" s="197"/>
    </row>
    <row r="624" spans="1:26">
      <c r="A624" s="197"/>
      <c r="B624" s="197"/>
      <c r="C624" s="197"/>
      <c r="D624" s="197"/>
      <c r="E624" s="197"/>
      <c r="F624" s="197"/>
      <c r="G624" s="197"/>
      <c r="H624" s="197"/>
      <c r="I624" s="197"/>
      <c r="J624" s="197"/>
      <c r="K624" s="197"/>
      <c r="L624" s="197"/>
      <c r="M624" s="197"/>
      <c r="N624" s="197"/>
      <c r="O624" s="197"/>
      <c r="P624" s="197"/>
      <c r="Q624" s="197"/>
      <c r="R624" s="197"/>
      <c r="S624" s="197"/>
      <c r="T624" s="198"/>
      <c r="U624" s="197"/>
      <c r="V624" s="197"/>
      <c r="W624" s="197"/>
      <c r="X624" s="197"/>
      <c r="Y624" s="197"/>
      <c r="Z624" s="197"/>
    </row>
    <row r="625" spans="1:26">
      <c r="A625" s="197"/>
      <c r="B625" s="197"/>
      <c r="C625" s="197"/>
      <c r="D625" s="197"/>
      <c r="E625" s="197"/>
      <c r="F625" s="197"/>
      <c r="G625" s="197"/>
      <c r="H625" s="197"/>
      <c r="I625" s="197"/>
      <c r="J625" s="197"/>
      <c r="K625" s="197"/>
      <c r="L625" s="197"/>
      <c r="M625" s="197"/>
      <c r="N625" s="197"/>
      <c r="O625" s="197"/>
      <c r="P625" s="197"/>
      <c r="Q625" s="197"/>
      <c r="R625" s="197"/>
      <c r="S625" s="197"/>
      <c r="T625" s="198"/>
      <c r="U625" s="197"/>
      <c r="V625" s="197"/>
      <c r="W625" s="197"/>
      <c r="X625" s="197"/>
      <c r="Y625" s="197"/>
      <c r="Z625" s="197"/>
    </row>
    <row r="626" spans="1:26">
      <c r="A626" s="197"/>
      <c r="B626" s="197"/>
      <c r="C626" s="197"/>
      <c r="D626" s="197"/>
      <c r="E626" s="197"/>
      <c r="F626" s="197"/>
      <c r="G626" s="197"/>
      <c r="H626" s="197"/>
      <c r="I626" s="197"/>
      <c r="J626" s="197"/>
      <c r="K626" s="197"/>
      <c r="L626" s="197"/>
      <c r="M626" s="197"/>
      <c r="N626" s="197"/>
      <c r="O626" s="197"/>
      <c r="P626" s="197"/>
      <c r="Q626" s="197"/>
      <c r="R626" s="197"/>
      <c r="S626" s="197"/>
      <c r="T626" s="198"/>
      <c r="U626" s="197"/>
      <c r="V626" s="197"/>
      <c r="W626" s="197"/>
      <c r="X626" s="197"/>
      <c r="Y626" s="197"/>
      <c r="Z626" s="197"/>
    </row>
    <row r="627" spans="1:26">
      <c r="A627" s="197"/>
      <c r="B627" s="197"/>
      <c r="C627" s="197"/>
      <c r="D627" s="197"/>
      <c r="E627" s="197"/>
      <c r="F627" s="197"/>
      <c r="G627" s="197"/>
      <c r="H627" s="197"/>
      <c r="I627" s="197"/>
      <c r="J627" s="197"/>
      <c r="K627" s="197"/>
      <c r="L627" s="197"/>
      <c r="M627" s="197"/>
      <c r="N627" s="197"/>
      <c r="O627" s="197"/>
      <c r="P627" s="197"/>
      <c r="Q627" s="197"/>
      <c r="R627" s="197"/>
      <c r="S627" s="197"/>
      <c r="T627" s="198"/>
      <c r="U627" s="197"/>
      <c r="V627" s="197"/>
      <c r="W627" s="197"/>
      <c r="X627" s="197"/>
      <c r="Y627" s="197"/>
      <c r="Z627" s="197"/>
    </row>
    <row r="628" spans="1:26">
      <c r="A628" s="197"/>
      <c r="B628" s="197"/>
      <c r="C628" s="197"/>
      <c r="D628" s="197"/>
      <c r="E628" s="197"/>
      <c r="F628" s="197"/>
      <c r="G628" s="197"/>
      <c r="H628" s="197"/>
      <c r="I628" s="197"/>
      <c r="J628" s="197"/>
      <c r="K628" s="197"/>
      <c r="L628" s="197"/>
      <c r="M628" s="197"/>
      <c r="N628" s="197"/>
      <c r="O628" s="197"/>
      <c r="P628" s="197"/>
      <c r="Q628" s="197"/>
      <c r="R628" s="197"/>
      <c r="S628" s="197"/>
      <c r="T628" s="198"/>
      <c r="U628" s="197"/>
      <c r="V628" s="197"/>
      <c r="W628" s="197"/>
      <c r="X628" s="197"/>
      <c r="Y628" s="197"/>
      <c r="Z628" s="197"/>
    </row>
    <row r="629" spans="1:26">
      <c r="A629" s="197"/>
      <c r="B629" s="197"/>
      <c r="C629" s="197"/>
      <c r="D629" s="197"/>
      <c r="E629" s="197"/>
      <c r="F629" s="197"/>
      <c r="G629" s="197"/>
      <c r="H629" s="197"/>
      <c r="I629" s="197"/>
      <c r="J629" s="197"/>
      <c r="K629" s="197"/>
      <c r="L629" s="197"/>
      <c r="M629" s="197"/>
      <c r="N629" s="197"/>
      <c r="O629" s="197"/>
      <c r="P629" s="197"/>
      <c r="Q629" s="197"/>
      <c r="R629" s="197"/>
      <c r="S629" s="197"/>
      <c r="T629" s="198"/>
      <c r="U629" s="197"/>
      <c r="V629" s="197"/>
      <c r="W629" s="197"/>
      <c r="X629" s="197"/>
      <c r="Y629" s="197"/>
      <c r="Z629" s="197"/>
    </row>
    <row r="630" spans="1:26">
      <c r="A630" s="197"/>
      <c r="B630" s="197"/>
      <c r="C630" s="197"/>
      <c r="D630" s="197"/>
      <c r="E630" s="197"/>
      <c r="F630" s="197"/>
      <c r="G630" s="197"/>
      <c r="H630" s="197"/>
      <c r="I630" s="197"/>
      <c r="J630" s="197"/>
      <c r="K630" s="197"/>
      <c r="L630" s="197"/>
      <c r="M630" s="197"/>
      <c r="N630" s="197"/>
      <c r="O630" s="197"/>
      <c r="P630" s="197"/>
      <c r="Q630" s="197"/>
      <c r="R630" s="197"/>
      <c r="S630" s="197"/>
      <c r="T630" s="198"/>
      <c r="U630" s="197"/>
      <c r="V630" s="197"/>
      <c r="W630" s="197"/>
      <c r="X630" s="197"/>
      <c r="Y630" s="197"/>
      <c r="Z630" s="197"/>
    </row>
    <row r="631" spans="1:26">
      <c r="A631" s="197"/>
      <c r="B631" s="197"/>
      <c r="C631" s="197"/>
      <c r="D631" s="197"/>
      <c r="E631" s="197"/>
      <c r="F631" s="197"/>
      <c r="G631" s="197"/>
      <c r="H631" s="197"/>
      <c r="I631" s="197"/>
      <c r="J631" s="197"/>
      <c r="K631" s="197"/>
      <c r="L631" s="197"/>
      <c r="M631" s="197"/>
      <c r="N631" s="197"/>
      <c r="O631" s="197"/>
      <c r="P631" s="197"/>
      <c r="Q631" s="197"/>
      <c r="R631" s="197"/>
      <c r="S631" s="197"/>
      <c r="T631" s="198"/>
      <c r="U631" s="197"/>
      <c r="V631" s="197"/>
      <c r="W631" s="197"/>
      <c r="X631" s="197"/>
      <c r="Y631" s="197"/>
      <c r="Z631" s="197"/>
    </row>
    <row r="632" spans="1:26">
      <c r="A632" s="197"/>
      <c r="B632" s="197"/>
      <c r="C632" s="197"/>
      <c r="D632" s="197"/>
      <c r="E632" s="197"/>
      <c r="F632" s="197"/>
      <c r="G632" s="197"/>
      <c r="H632" s="197"/>
      <c r="I632" s="197"/>
      <c r="J632" s="197"/>
      <c r="K632" s="197"/>
      <c r="L632" s="197"/>
      <c r="M632" s="197"/>
      <c r="N632" s="197"/>
      <c r="O632" s="197"/>
      <c r="P632" s="197"/>
      <c r="Q632" s="197"/>
      <c r="R632" s="197"/>
      <c r="S632" s="197"/>
      <c r="T632" s="198"/>
      <c r="U632" s="197"/>
      <c r="V632" s="197"/>
      <c r="W632" s="197"/>
      <c r="X632" s="197"/>
      <c r="Y632" s="197"/>
      <c r="Z632" s="197"/>
    </row>
    <row r="633" spans="1:26">
      <c r="A633" s="197"/>
      <c r="B633" s="197"/>
      <c r="C633" s="197"/>
      <c r="D633" s="197"/>
      <c r="E633" s="197"/>
      <c r="F633" s="197"/>
      <c r="G633" s="197"/>
      <c r="H633" s="197"/>
      <c r="I633" s="197"/>
      <c r="J633" s="197"/>
      <c r="K633" s="197"/>
      <c r="L633" s="197"/>
      <c r="M633" s="197"/>
      <c r="N633" s="197"/>
      <c r="O633" s="197"/>
      <c r="P633" s="197"/>
      <c r="Q633" s="197"/>
      <c r="R633" s="197"/>
      <c r="S633" s="197"/>
      <c r="T633" s="198"/>
      <c r="U633" s="197"/>
      <c r="V633" s="197"/>
      <c r="W633" s="197"/>
      <c r="X633" s="197"/>
      <c r="Y633" s="197"/>
      <c r="Z633" s="197"/>
    </row>
    <row r="634" spans="1:26">
      <c r="A634" s="197"/>
      <c r="B634" s="197"/>
      <c r="C634" s="197"/>
      <c r="D634" s="197"/>
      <c r="E634" s="197"/>
      <c r="F634" s="197"/>
      <c r="G634" s="197"/>
      <c r="H634" s="197"/>
      <c r="I634" s="197"/>
      <c r="J634" s="197"/>
      <c r="K634" s="197"/>
      <c r="L634" s="197"/>
      <c r="M634" s="197"/>
      <c r="N634" s="197"/>
      <c r="O634" s="197"/>
      <c r="P634" s="197"/>
      <c r="Q634" s="197"/>
      <c r="R634" s="197"/>
      <c r="S634" s="197"/>
      <c r="T634" s="198"/>
      <c r="U634" s="197"/>
      <c r="V634" s="197"/>
      <c r="W634" s="197"/>
      <c r="X634" s="197"/>
      <c r="Y634" s="197"/>
      <c r="Z634" s="197"/>
    </row>
    <row r="635" spans="1:26">
      <c r="A635" s="197"/>
      <c r="B635" s="197"/>
      <c r="C635" s="197"/>
      <c r="D635" s="197"/>
      <c r="E635" s="197"/>
      <c r="F635" s="197"/>
      <c r="G635" s="197"/>
      <c r="H635" s="197"/>
      <c r="I635" s="197"/>
      <c r="J635" s="197"/>
      <c r="K635" s="197"/>
      <c r="L635" s="197"/>
      <c r="M635" s="197"/>
      <c r="N635" s="197"/>
      <c r="O635" s="197"/>
      <c r="P635" s="197"/>
      <c r="Q635" s="197"/>
      <c r="R635" s="197"/>
      <c r="S635" s="197"/>
      <c r="T635" s="198"/>
      <c r="U635" s="197"/>
      <c r="V635" s="197"/>
      <c r="W635" s="197"/>
      <c r="X635" s="197"/>
      <c r="Y635" s="197"/>
      <c r="Z635" s="197"/>
    </row>
    <row r="636" spans="1:26">
      <c r="A636" s="197"/>
      <c r="B636" s="197"/>
      <c r="C636" s="197"/>
      <c r="D636" s="197"/>
      <c r="E636" s="197"/>
      <c r="F636" s="197"/>
      <c r="G636" s="197"/>
      <c r="H636" s="197"/>
      <c r="I636" s="197"/>
      <c r="J636" s="197"/>
      <c r="K636" s="197"/>
      <c r="L636" s="197"/>
      <c r="M636" s="197"/>
      <c r="N636" s="197"/>
      <c r="O636" s="197"/>
      <c r="P636" s="197"/>
      <c r="Q636" s="197"/>
      <c r="R636" s="197"/>
      <c r="S636" s="197"/>
      <c r="T636" s="198"/>
      <c r="U636" s="197"/>
      <c r="V636" s="197"/>
      <c r="W636" s="197"/>
      <c r="X636" s="197"/>
      <c r="Y636" s="197"/>
      <c r="Z636" s="197"/>
    </row>
    <row r="637" spans="1:26">
      <c r="A637" s="197"/>
      <c r="B637" s="197"/>
      <c r="C637" s="197"/>
      <c r="D637" s="197"/>
      <c r="E637" s="197"/>
      <c r="F637" s="197"/>
      <c r="G637" s="197"/>
      <c r="H637" s="197"/>
      <c r="I637" s="197"/>
      <c r="J637" s="197"/>
      <c r="K637" s="197"/>
      <c r="L637" s="197"/>
      <c r="M637" s="197"/>
      <c r="N637" s="197"/>
      <c r="O637" s="197"/>
      <c r="P637" s="197"/>
      <c r="Q637" s="197"/>
      <c r="R637" s="197"/>
      <c r="S637" s="197"/>
      <c r="T637" s="198"/>
      <c r="U637" s="197"/>
      <c r="V637" s="197"/>
      <c r="W637" s="197"/>
      <c r="X637" s="197"/>
      <c r="Y637" s="197"/>
      <c r="Z637" s="197"/>
    </row>
    <row r="638" spans="1:26">
      <c r="A638" s="197"/>
      <c r="B638" s="197"/>
      <c r="C638" s="197"/>
      <c r="D638" s="197"/>
      <c r="E638" s="197"/>
      <c r="F638" s="197"/>
      <c r="G638" s="197"/>
      <c r="H638" s="197"/>
      <c r="I638" s="197"/>
      <c r="J638" s="197"/>
      <c r="K638" s="197"/>
      <c r="L638" s="197"/>
      <c r="M638" s="197"/>
      <c r="N638" s="197"/>
      <c r="O638" s="197"/>
      <c r="P638" s="197"/>
      <c r="Q638" s="197"/>
      <c r="R638" s="197"/>
      <c r="S638" s="197"/>
      <c r="T638" s="198"/>
      <c r="U638" s="197"/>
      <c r="V638" s="197"/>
      <c r="W638" s="197"/>
      <c r="X638" s="197"/>
      <c r="Y638" s="197"/>
      <c r="Z638" s="197"/>
    </row>
    <row r="639" spans="1:26">
      <c r="A639" s="197"/>
      <c r="B639" s="197"/>
      <c r="C639" s="197"/>
      <c r="D639" s="197"/>
      <c r="E639" s="197"/>
      <c r="F639" s="197"/>
      <c r="G639" s="197"/>
      <c r="H639" s="197"/>
      <c r="I639" s="197"/>
      <c r="J639" s="197"/>
      <c r="K639" s="197"/>
      <c r="L639" s="197"/>
      <c r="M639" s="197"/>
      <c r="N639" s="197"/>
      <c r="O639" s="197"/>
      <c r="P639" s="197"/>
      <c r="Q639" s="197"/>
      <c r="R639" s="197"/>
      <c r="S639" s="197"/>
      <c r="T639" s="198"/>
      <c r="U639" s="197"/>
      <c r="V639" s="197"/>
      <c r="W639" s="197"/>
      <c r="X639" s="197"/>
      <c r="Y639" s="197"/>
      <c r="Z639" s="197"/>
    </row>
    <row r="640" spans="1:26">
      <c r="A640" s="197"/>
      <c r="B640" s="197"/>
      <c r="C640" s="197"/>
      <c r="D640" s="197"/>
      <c r="E640" s="197"/>
      <c r="F640" s="197"/>
      <c r="G640" s="197"/>
      <c r="H640" s="197"/>
      <c r="I640" s="197"/>
      <c r="J640" s="197"/>
      <c r="K640" s="197"/>
      <c r="L640" s="197"/>
      <c r="M640" s="197"/>
      <c r="N640" s="197"/>
      <c r="O640" s="197"/>
      <c r="P640" s="197"/>
      <c r="Q640" s="197"/>
      <c r="R640" s="197"/>
      <c r="S640" s="197"/>
      <c r="T640" s="198"/>
      <c r="U640" s="197"/>
      <c r="V640" s="197"/>
      <c r="W640" s="197"/>
      <c r="X640" s="197"/>
      <c r="Y640" s="197"/>
      <c r="Z640" s="197"/>
    </row>
    <row r="641" spans="1:26">
      <c r="A641" s="197"/>
      <c r="B641" s="197"/>
      <c r="C641" s="197"/>
      <c r="D641" s="197"/>
      <c r="E641" s="197"/>
      <c r="F641" s="197"/>
      <c r="G641" s="197"/>
      <c r="H641" s="197"/>
      <c r="I641" s="197"/>
      <c r="J641" s="197"/>
      <c r="K641" s="197"/>
      <c r="L641" s="197"/>
      <c r="M641" s="197"/>
      <c r="N641" s="197"/>
      <c r="O641" s="197"/>
      <c r="P641" s="197"/>
      <c r="Q641" s="197"/>
      <c r="R641" s="197"/>
      <c r="S641" s="197"/>
      <c r="T641" s="198"/>
      <c r="U641" s="197"/>
      <c r="V641" s="197"/>
      <c r="W641" s="197"/>
      <c r="X641" s="197"/>
      <c r="Y641" s="197"/>
      <c r="Z641" s="197"/>
    </row>
    <row r="642" spans="1:26">
      <c r="A642" s="197"/>
      <c r="B642" s="197"/>
      <c r="C642" s="197"/>
      <c r="D642" s="197"/>
      <c r="E642" s="197"/>
      <c r="F642" s="197"/>
      <c r="G642" s="197"/>
      <c r="H642" s="197"/>
      <c r="I642" s="197"/>
      <c r="J642" s="197"/>
      <c r="K642" s="197"/>
      <c r="L642" s="197"/>
      <c r="M642" s="197"/>
      <c r="N642" s="197"/>
      <c r="O642" s="197"/>
      <c r="P642" s="197"/>
      <c r="Q642" s="197"/>
      <c r="R642" s="197"/>
      <c r="S642" s="197"/>
      <c r="T642" s="198"/>
      <c r="U642" s="197"/>
      <c r="V642" s="197"/>
      <c r="W642" s="197"/>
      <c r="X642" s="197"/>
      <c r="Y642" s="197"/>
      <c r="Z642" s="197"/>
    </row>
    <row r="643" spans="1:26">
      <c r="A643" s="197"/>
      <c r="B643" s="197"/>
      <c r="C643" s="197"/>
      <c r="D643" s="197"/>
      <c r="E643" s="197"/>
      <c r="F643" s="197"/>
      <c r="G643" s="197"/>
      <c r="H643" s="197"/>
      <c r="I643" s="197"/>
      <c r="J643" s="197"/>
      <c r="K643" s="197"/>
      <c r="L643" s="197"/>
      <c r="M643" s="197"/>
      <c r="N643" s="197"/>
      <c r="O643" s="197"/>
      <c r="P643" s="197"/>
      <c r="Q643" s="197"/>
      <c r="R643" s="197"/>
      <c r="S643" s="197"/>
      <c r="T643" s="198"/>
      <c r="U643" s="197"/>
      <c r="V643" s="197"/>
      <c r="W643" s="197"/>
      <c r="X643" s="197"/>
      <c r="Y643" s="197"/>
      <c r="Z643" s="197"/>
    </row>
    <row r="644" spans="1:26">
      <c r="A644" s="197"/>
      <c r="B644" s="197"/>
      <c r="C644" s="197"/>
      <c r="D644" s="197"/>
      <c r="E644" s="197"/>
      <c r="F644" s="197"/>
      <c r="G644" s="197"/>
      <c r="H644" s="197"/>
      <c r="I644" s="197"/>
      <c r="J644" s="197"/>
      <c r="K644" s="197"/>
      <c r="L644" s="197"/>
      <c r="M644" s="197"/>
      <c r="N644" s="197"/>
      <c r="O644" s="197"/>
      <c r="P644" s="197"/>
      <c r="Q644" s="197"/>
      <c r="R644" s="197"/>
      <c r="S644" s="197"/>
      <c r="T644" s="198"/>
      <c r="U644" s="197"/>
      <c r="V644" s="197"/>
      <c r="W644" s="197"/>
      <c r="X644" s="197"/>
      <c r="Y644" s="197"/>
      <c r="Z644" s="197"/>
    </row>
    <row r="645" spans="1:26">
      <c r="A645" s="197"/>
      <c r="B645" s="197"/>
      <c r="C645" s="197"/>
      <c r="D645" s="197"/>
      <c r="E645" s="197"/>
      <c r="F645" s="197"/>
      <c r="G645" s="197"/>
      <c r="H645" s="197"/>
      <c r="I645" s="197"/>
      <c r="J645" s="197"/>
      <c r="K645" s="197"/>
      <c r="L645" s="197"/>
      <c r="M645" s="197"/>
      <c r="N645" s="197"/>
      <c r="O645" s="197"/>
      <c r="P645" s="197"/>
      <c r="Q645" s="197"/>
      <c r="R645" s="197"/>
      <c r="S645" s="197"/>
      <c r="T645" s="198"/>
      <c r="U645" s="197"/>
      <c r="V645" s="197"/>
      <c r="W645" s="197"/>
      <c r="X645" s="197"/>
      <c r="Y645" s="197"/>
      <c r="Z645" s="197"/>
    </row>
    <row r="646" spans="1:26">
      <c r="A646" s="197"/>
      <c r="B646" s="197"/>
      <c r="C646" s="197"/>
      <c r="D646" s="197"/>
      <c r="E646" s="197"/>
      <c r="F646" s="197"/>
      <c r="G646" s="197"/>
      <c r="H646" s="197"/>
      <c r="I646" s="197"/>
      <c r="J646" s="197"/>
      <c r="K646" s="197"/>
      <c r="L646" s="197"/>
      <c r="M646" s="197"/>
      <c r="N646" s="197"/>
      <c r="O646" s="197"/>
      <c r="P646" s="197"/>
      <c r="Q646" s="197"/>
      <c r="R646" s="197"/>
      <c r="S646" s="197"/>
      <c r="T646" s="198"/>
      <c r="U646" s="197"/>
      <c r="V646" s="197"/>
      <c r="W646" s="197"/>
      <c r="X646" s="197"/>
      <c r="Y646" s="197"/>
      <c r="Z646" s="197"/>
    </row>
    <row r="647" spans="1:26">
      <c r="A647" s="197"/>
      <c r="B647" s="197"/>
      <c r="C647" s="197"/>
      <c r="D647" s="197"/>
      <c r="E647" s="197"/>
      <c r="F647" s="197"/>
      <c r="G647" s="197"/>
      <c r="H647" s="197"/>
      <c r="I647" s="197"/>
      <c r="J647" s="197"/>
      <c r="K647" s="197"/>
      <c r="L647" s="197"/>
      <c r="M647" s="197"/>
      <c r="N647" s="197"/>
      <c r="O647" s="197"/>
      <c r="P647" s="197"/>
      <c r="Q647" s="197"/>
      <c r="R647" s="197"/>
      <c r="S647" s="197"/>
      <c r="T647" s="198"/>
      <c r="U647" s="197"/>
      <c r="V647" s="197"/>
      <c r="W647" s="197"/>
      <c r="X647" s="197"/>
      <c r="Y647" s="197"/>
      <c r="Z647" s="197"/>
    </row>
    <row r="648" spans="1:26">
      <c r="A648" s="197"/>
      <c r="B648" s="197"/>
      <c r="C648" s="197"/>
      <c r="D648" s="197"/>
      <c r="E648" s="197"/>
      <c r="F648" s="197"/>
      <c r="G648" s="197"/>
      <c r="H648" s="197"/>
      <c r="I648" s="197"/>
      <c r="J648" s="197"/>
      <c r="K648" s="197"/>
      <c r="L648" s="197"/>
      <c r="M648" s="197"/>
      <c r="N648" s="197"/>
      <c r="O648" s="197"/>
      <c r="P648" s="197"/>
      <c r="Q648" s="197"/>
      <c r="R648" s="197"/>
      <c r="S648" s="197"/>
      <c r="T648" s="198"/>
      <c r="U648" s="197"/>
      <c r="V648" s="197"/>
      <c r="W648" s="197"/>
      <c r="X648" s="197"/>
      <c r="Y648" s="197"/>
      <c r="Z648" s="197"/>
    </row>
    <row r="649" spans="1:26">
      <c r="A649" s="197"/>
      <c r="B649" s="197"/>
      <c r="C649" s="197"/>
      <c r="D649" s="197"/>
      <c r="E649" s="197"/>
      <c r="F649" s="197"/>
      <c r="G649" s="197"/>
      <c r="H649" s="197"/>
      <c r="I649" s="197"/>
      <c r="J649" s="197"/>
      <c r="K649" s="197"/>
      <c r="L649" s="197"/>
      <c r="M649" s="197"/>
      <c r="N649" s="197"/>
      <c r="O649" s="197"/>
      <c r="P649" s="197"/>
      <c r="Q649" s="197"/>
      <c r="R649" s="197"/>
      <c r="S649" s="197"/>
      <c r="T649" s="198"/>
      <c r="U649" s="197"/>
      <c r="V649" s="197"/>
      <c r="W649" s="197"/>
      <c r="X649" s="197"/>
      <c r="Y649" s="197"/>
      <c r="Z649" s="197"/>
    </row>
    <row r="650" spans="1:26">
      <c r="A650" s="197"/>
      <c r="B650" s="197"/>
      <c r="C650" s="197"/>
      <c r="D650" s="197"/>
      <c r="E650" s="197"/>
      <c r="F650" s="197"/>
      <c r="G650" s="197"/>
      <c r="H650" s="197"/>
      <c r="I650" s="197"/>
      <c r="J650" s="197"/>
      <c r="K650" s="197"/>
      <c r="L650" s="197"/>
      <c r="M650" s="197"/>
      <c r="N650" s="197"/>
      <c r="O650" s="197"/>
      <c r="P650" s="197"/>
      <c r="Q650" s="197"/>
      <c r="R650" s="197"/>
      <c r="S650" s="197"/>
      <c r="T650" s="198"/>
      <c r="U650" s="197"/>
      <c r="V650" s="197"/>
      <c r="W650" s="197"/>
      <c r="X650" s="197"/>
      <c r="Y650" s="197"/>
      <c r="Z650" s="197"/>
    </row>
    <row r="651" spans="1:26">
      <c r="A651" s="197"/>
      <c r="B651" s="197"/>
      <c r="C651" s="197"/>
      <c r="D651" s="197"/>
      <c r="E651" s="197"/>
      <c r="F651" s="197"/>
      <c r="G651" s="197"/>
      <c r="H651" s="197"/>
      <c r="I651" s="197"/>
      <c r="J651" s="197"/>
      <c r="K651" s="197"/>
      <c r="L651" s="197"/>
      <c r="M651" s="197"/>
      <c r="N651" s="197"/>
      <c r="O651" s="197"/>
      <c r="P651" s="197"/>
      <c r="Q651" s="197"/>
      <c r="R651" s="197"/>
      <c r="S651" s="197"/>
      <c r="T651" s="198"/>
      <c r="U651" s="197"/>
      <c r="V651" s="197"/>
      <c r="W651" s="197"/>
      <c r="X651" s="197"/>
      <c r="Y651" s="197"/>
      <c r="Z651" s="197"/>
    </row>
    <row r="652" spans="1:26">
      <c r="A652" s="197"/>
      <c r="B652" s="197"/>
      <c r="C652" s="197"/>
      <c r="D652" s="197"/>
      <c r="E652" s="197"/>
      <c r="F652" s="197"/>
      <c r="G652" s="197"/>
      <c r="H652" s="197"/>
      <c r="I652" s="197"/>
      <c r="J652" s="197"/>
      <c r="K652" s="197"/>
      <c r="L652" s="197"/>
      <c r="M652" s="197"/>
      <c r="N652" s="197"/>
      <c r="O652" s="197"/>
      <c r="P652" s="197"/>
      <c r="Q652" s="197"/>
      <c r="R652" s="197"/>
      <c r="S652" s="197"/>
      <c r="T652" s="198"/>
      <c r="U652" s="197"/>
      <c r="V652" s="197"/>
      <c r="W652" s="197"/>
      <c r="X652" s="197"/>
      <c r="Y652" s="197"/>
      <c r="Z652" s="197"/>
    </row>
    <row r="653" spans="1:26">
      <c r="A653" s="197"/>
      <c r="B653" s="197"/>
      <c r="C653" s="197"/>
      <c r="D653" s="197"/>
      <c r="E653" s="197"/>
      <c r="F653" s="197"/>
      <c r="G653" s="197"/>
      <c r="H653" s="197"/>
      <c r="I653" s="197"/>
      <c r="J653" s="197"/>
      <c r="K653" s="197"/>
      <c r="L653" s="197"/>
      <c r="M653" s="197"/>
      <c r="N653" s="197"/>
      <c r="O653" s="197"/>
      <c r="P653" s="197"/>
      <c r="Q653" s="197"/>
      <c r="R653" s="197"/>
      <c r="S653" s="197"/>
      <c r="T653" s="198"/>
      <c r="U653" s="197"/>
      <c r="V653" s="197"/>
      <c r="W653" s="197"/>
      <c r="X653" s="197"/>
      <c r="Y653" s="197"/>
      <c r="Z653" s="197"/>
    </row>
    <row r="654" spans="1:26">
      <c r="A654" s="197"/>
      <c r="B654" s="197"/>
      <c r="C654" s="197"/>
      <c r="D654" s="197"/>
      <c r="E654" s="197"/>
      <c r="F654" s="197"/>
      <c r="G654" s="197"/>
      <c r="H654" s="197"/>
      <c r="I654" s="197"/>
      <c r="J654" s="197"/>
      <c r="K654" s="197"/>
      <c r="L654" s="197"/>
      <c r="M654" s="197"/>
      <c r="N654" s="197"/>
      <c r="O654" s="197"/>
      <c r="P654" s="197"/>
      <c r="Q654" s="197"/>
      <c r="R654" s="197"/>
      <c r="S654" s="197"/>
      <c r="T654" s="198"/>
      <c r="U654" s="197"/>
      <c r="V654" s="197"/>
      <c r="W654" s="197"/>
      <c r="X654" s="197"/>
      <c r="Y654" s="197"/>
      <c r="Z654" s="197"/>
    </row>
    <row r="655" spans="1:26">
      <c r="A655" s="197"/>
      <c r="B655" s="197"/>
      <c r="C655" s="197"/>
      <c r="D655" s="197"/>
      <c r="E655" s="197"/>
      <c r="F655" s="197"/>
      <c r="G655" s="197"/>
      <c r="H655" s="197"/>
      <c r="I655" s="197"/>
      <c r="J655" s="197"/>
      <c r="K655" s="197"/>
      <c r="L655" s="197"/>
      <c r="M655" s="197"/>
      <c r="N655" s="197"/>
      <c r="O655" s="197"/>
      <c r="P655" s="197"/>
      <c r="Q655" s="197"/>
      <c r="R655" s="197"/>
      <c r="S655" s="197"/>
      <c r="T655" s="198"/>
      <c r="U655" s="197"/>
      <c r="V655" s="197"/>
      <c r="W655" s="197"/>
      <c r="X655" s="197"/>
      <c r="Y655" s="197"/>
      <c r="Z655" s="197"/>
    </row>
    <row r="656" spans="1:26">
      <c r="A656" s="197"/>
      <c r="B656" s="197"/>
      <c r="C656" s="197"/>
      <c r="D656" s="197"/>
      <c r="E656" s="197"/>
      <c r="F656" s="197"/>
      <c r="G656" s="197"/>
      <c r="H656" s="197"/>
      <c r="I656" s="197"/>
      <c r="J656" s="197"/>
      <c r="K656" s="197"/>
      <c r="L656" s="197"/>
      <c r="M656" s="197"/>
      <c r="N656" s="197"/>
      <c r="O656" s="197"/>
      <c r="P656" s="197"/>
      <c r="Q656" s="197"/>
      <c r="R656" s="197"/>
      <c r="S656" s="197"/>
      <c r="T656" s="198"/>
      <c r="U656" s="197"/>
      <c r="V656" s="197"/>
      <c r="W656" s="197"/>
      <c r="X656" s="197"/>
      <c r="Y656" s="197"/>
      <c r="Z656" s="197"/>
    </row>
    <row r="657" spans="1:26">
      <c r="A657" s="197"/>
      <c r="B657" s="197"/>
      <c r="C657" s="197"/>
      <c r="D657" s="197"/>
      <c r="E657" s="197"/>
      <c r="F657" s="197"/>
      <c r="G657" s="197"/>
      <c r="H657" s="197"/>
      <c r="I657" s="197"/>
      <c r="J657" s="197"/>
      <c r="K657" s="197"/>
      <c r="L657" s="197"/>
      <c r="M657" s="197"/>
      <c r="N657" s="197"/>
      <c r="O657" s="197"/>
      <c r="P657" s="197"/>
      <c r="Q657" s="197"/>
      <c r="R657" s="197"/>
      <c r="S657" s="197"/>
      <c r="T657" s="198"/>
      <c r="U657" s="197"/>
      <c r="V657" s="197"/>
      <c r="W657" s="197"/>
      <c r="X657" s="197"/>
      <c r="Y657" s="197"/>
      <c r="Z657" s="197"/>
    </row>
    <row r="658" spans="1:26">
      <c r="A658" s="197"/>
      <c r="B658" s="197"/>
      <c r="C658" s="197"/>
      <c r="D658" s="197"/>
      <c r="E658" s="197"/>
      <c r="F658" s="197"/>
      <c r="G658" s="197"/>
      <c r="H658" s="197"/>
      <c r="I658" s="197"/>
      <c r="J658" s="197"/>
      <c r="K658" s="197"/>
      <c r="L658" s="197"/>
      <c r="M658" s="197"/>
      <c r="N658" s="197"/>
      <c r="O658" s="197"/>
      <c r="P658" s="197"/>
      <c r="Q658" s="197"/>
      <c r="R658" s="197"/>
      <c r="S658" s="197"/>
      <c r="T658" s="198"/>
      <c r="U658" s="197"/>
      <c r="V658" s="197"/>
      <c r="W658" s="197"/>
      <c r="X658" s="197"/>
      <c r="Y658" s="197"/>
      <c r="Z658" s="197"/>
    </row>
    <row r="659" spans="1:26">
      <c r="A659" s="197"/>
      <c r="B659" s="197"/>
      <c r="C659" s="197"/>
      <c r="D659" s="197"/>
      <c r="E659" s="197"/>
      <c r="F659" s="197"/>
      <c r="G659" s="197"/>
      <c r="H659" s="197"/>
      <c r="I659" s="197"/>
      <c r="J659" s="197"/>
      <c r="K659" s="197"/>
      <c r="L659" s="197"/>
      <c r="M659" s="197"/>
      <c r="N659" s="197"/>
      <c r="O659" s="197"/>
      <c r="P659" s="197"/>
      <c r="Q659" s="197"/>
      <c r="R659" s="197"/>
      <c r="S659" s="197"/>
      <c r="T659" s="198"/>
      <c r="U659" s="197"/>
      <c r="V659" s="197"/>
      <c r="W659" s="197"/>
      <c r="X659" s="197"/>
      <c r="Y659" s="197"/>
      <c r="Z659" s="197"/>
    </row>
    <row r="660" spans="1:26">
      <c r="A660" s="197"/>
      <c r="B660" s="197"/>
      <c r="C660" s="197"/>
      <c r="D660" s="197"/>
      <c r="E660" s="197"/>
      <c r="F660" s="197"/>
      <c r="G660" s="197"/>
      <c r="H660" s="197"/>
      <c r="I660" s="197"/>
      <c r="J660" s="197"/>
      <c r="K660" s="197"/>
      <c r="L660" s="197"/>
      <c r="M660" s="197"/>
      <c r="N660" s="197"/>
      <c r="O660" s="197"/>
      <c r="P660" s="197"/>
      <c r="Q660" s="197"/>
      <c r="R660" s="197"/>
      <c r="S660" s="197"/>
      <c r="T660" s="198"/>
      <c r="U660" s="197"/>
      <c r="V660" s="197"/>
      <c r="W660" s="197"/>
      <c r="X660" s="197"/>
      <c r="Y660" s="197"/>
      <c r="Z660" s="197"/>
    </row>
    <row r="661" spans="1:26">
      <c r="A661" s="197"/>
      <c r="B661" s="197"/>
      <c r="C661" s="197"/>
      <c r="D661" s="197"/>
      <c r="E661" s="197"/>
      <c r="F661" s="197"/>
      <c r="G661" s="197"/>
      <c r="H661" s="197"/>
      <c r="I661" s="197"/>
      <c r="J661" s="197"/>
      <c r="K661" s="197"/>
      <c r="L661" s="197"/>
      <c r="M661" s="197"/>
      <c r="N661" s="197"/>
      <c r="O661" s="197"/>
      <c r="P661" s="197"/>
      <c r="Q661" s="197"/>
      <c r="R661" s="197"/>
      <c r="S661" s="197"/>
      <c r="T661" s="198"/>
      <c r="U661" s="197"/>
      <c r="V661" s="197"/>
      <c r="W661" s="197"/>
      <c r="X661" s="197"/>
      <c r="Y661" s="197"/>
      <c r="Z661" s="197"/>
    </row>
    <row r="662" spans="1:26">
      <c r="A662" s="197"/>
      <c r="B662" s="197"/>
      <c r="C662" s="197"/>
      <c r="D662" s="197"/>
      <c r="E662" s="197"/>
      <c r="F662" s="197"/>
      <c r="G662" s="197"/>
      <c r="H662" s="197"/>
      <c r="I662" s="197"/>
      <c r="J662" s="197"/>
      <c r="K662" s="197"/>
      <c r="L662" s="197"/>
      <c r="M662" s="197"/>
      <c r="N662" s="197"/>
      <c r="O662" s="197"/>
      <c r="P662" s="197"/>
      <c r="Q662" s="197"/>
      <c r="R662" s="197"/>
      <c r="S662" s="197"/>
      <c r="T662" s="198"/>
      <c r="U662" s="197"/>
      <c r="V662" s="197"/>
      <c r="W662" s="197"/>
      <c r="X662" s="197"/>
      <c r="Y662" s="197"/>
      <c r="Z662" s="197"/>
    </row>
    <row r="663" spans="1:26">
      <c r="A663" s="197"/>
      <c r="B663" s="197"/>
      <c r="C663" s="197"/>
      <c r="D663" s="197"/>
      <c r="E663" s="197"/>
      <c r="F663" s="197"/>
      <c r="G663" s="197"/>
      <c r="H663" s="197"/>
      <c r="I663" s="197"/>
      <c r="J663" s="197"/>
      <c r="K663" s="197"/>
      <c r="L663" s="197"/>
      <c r="M663" s="197"/>
      <c r="N663" s="197"/>
      <c r="O663" s="197"/>
      <c r="P663" s="197"/>
      <c r="Q663" s="197"/>
      <c r="R663" s="197"/>
      <c r="S663" s="197"/>
      <c r="T663" s="198"/>
      <c r="U663" s="197"/>
      <c r="V663" s="197"/>
      <c r="W663" s="197"/>
      <c r="X663" s="197"/>
      <c r="Y663" s="197"/>
      <c r="Z663" s="197"/>
    </row>
    <row r="664" spans="1:26">
      <c r="A664" s="197"/>
      <c r="B664" s="197"/>
      <c r="C664" s="197"/>
      <c r="D664" s="197"/>
      <c r="E664" s="197"/>
      <c r="F664" s="197"/>
      <c r="G664" s="197"/>
      <c r="H664" s="197"/>
      <c r="I664" s="197"/>
      <c r="J664" s="197"/>
      <c r="K664" s="197"/>
      <c r="L664" s="197"/>
      <c r="M664" s="197"/>
      <c r="N664" s="197"/>
      <c r="O664" s="197"/>
      <c r="P664" s="197"/>
      <c r="Q664" s="197"/>
      <c r="R664" s="197"/>
      <c r="S664" s="197"/>
      <c r="T664" s="198"/>
      <c r="U664" s="197"/>
      <c r="V664" s="197"/>
      <c r="W664" s="197"/>
      <c r="X664" s="197"/>
      <c r="Y664" s="197"/>
      <c r="Z664" s="197"/>
    </row>
    <row r="665" spans="1:26">
      <c r="A665" s="197"/>
      <c r="B665" s="197"/>
      <c r="C665" s="197"/>
      <c r="D665" s="197"/>
      <c r="E665" s="197"/>
      <c r="F665" s="197"/>
      <c r="G665" s="197"/>
      <c r="H665" s="197"/>
      <c r="I665" s="197"/>
      <c r="J665" s="197"/>
      <c r="K665" s="197"/>
      <c r="L665" s="197"/>
      <c r="M665" s="197"/>
      <c r="N665" s="197"/>
      <c r="O665" s="197"/>
      <c r="P665" s="197"/>
      <c r="Q665" s="197"/>
      <c r="R665" s="197"/>
      <c r="S665" s="197"/>
      <c r="T665" s="198"/>
      <c r="U665" s="197"/>
      <c r="V665" s="197"/>
      <c r="W665" s="197"/>
      <c r="X665" s="197"/>
      <c r="Y665" s="197"/>
      <c r="Z665" s="197"/>
    </row>
    <row r="666" spans="1:26">
      <c r="A666" s="197"/>
      <c r="B666" s="197"/>
      <c r="C666" s="197"/>
      <c r="D666" s="197"/>
      <c r="E666" s="197"/>
      <c r="F666" s="197"/>
      <c r="G666" s="197"/>
      <c r="H666" s="197"/>
      <c r="I666" s="197"/>
      <c r="J666" s="197"/>
      <c r="K666" s="197"/>
      <c r="L666" s="197"/>
      <c r="M666" s="197"/>
      <c r="N666" s="197"/>
      <c r="O666" s="197"/>
      <c r="P666" s="197"/>
      <c r="Q666" s="197"/>
      <c r="R666" s="197"/>
      <c r="S666" s="197"/>
      <c r="T666" s="198"/>
      <c r="U666" s="197"/>
      <c r="V666" s="197"/>
      <c r="W666" s="197"/>
      <c r="X666" s="197"/>
      <c r="Y666" s="197"/>
      <c r="Z666" s="197"/>
    </row>
    <row r="667" spans="1:26">
      <c r="A667" s="197"/>
      <c r="B667" s="197"/>
      <c r="C667" s="197"/>
      <c r="D667" s="197"/>
      <c r="E667" s="197"/>
      <c r="F667" s="197"/>
      <c r="G667" s="197"/>
      <c r="H667" s="197"/>
      <c r="I667" s="197"/>
      <c r="J667" s="197"/>
      <c r="K667" s="197"/>
      <c r="L667" s="197"/>
      <c r="M667" s="197"/>
      <c r="N667" s="197"/>
      <c r="O667" s="197"/>
      <c r="P667" s="197"/>
      <c r="Q667" s="197"/>
      <c r="R667" s="197"/>
      <c r="S667" s="197"/>
      <c r="T667" s="198"/>
      <c r="U667" s="197"/>
      <c r="V667" s="197"/>
      <c r="W667" s="197"/>
      <c r="X667" s="197"/>
      <c r="Y667" s="197"/>
      <c r="Z667" s="197"/>
    </row>
    <row r="668" spans="1:26">
      <c r="A668" s="197"/>
      <c r="B668" s="197"/>
      <c r="C668" s="197"/>
      <c r="D668" s="197"/>
      <c r="E668" s="197"/>
      <c r="F668" s="197"/>
      <c r="G668" s="197"/>
      <c r="H668" s="197"/>
      <c r="I668" s="197"/>
      <c r="J668" s="197"/>
      <c r="K668" s="197"/>
      <c r="L668" s="197"/>
      <c r="M668" s="197"/>
      <c r="N668" s="197"/>
      <c r="O668" s="197"/>
      <c r="P668" s="197"/>
      <c r="Q668" s="197"/>
      <c r="R668" s="197"/>
      <c r="S668" s="197"/>
      <c r="T668" s="198"/>
      <c r="U668" s="197"/>
      <c r="V668" s="197"/>
      <c r="W668" s="197"/>
      <c r="X668" s="197"/>
      <c r="Y668" s="197"/>
      <c r="Z668" s="197"/>
    </row>
    <row r="669" spans="1:26">
      <c r="A669" s="197"/>
      <c r="B669" s="197"/>
      <c r="C669" s="197"/>
      <c r="D669" s="197"/>
      <c r="E669" s="197"/>
      <c r="F669" s="197"/>
      <c r="G669" s="197"/>
      <c r="H669" s="197"/>
      <c r="I669" s="197"/>
      <c r="J669" s="197"/>
      <c r="K669" s="197"/>
      <c r="L669" s="197"/>
      <c r="M669" s="197"/>
      <c r="N669" s="197"/>
      <c r="O669" s="197"/>
      <c r="P669" s="197"/>
      <c r="Q669" s="197"/>
      <c r="R669" s="197"/>
      <c r="S669" s="197"/>
      <c r="T669" s="198"/>
      <c r="U669" s="197"/>
      <c r="V669" s="197"/>
      <c r="W669" s="197"/>
      <c r="X669" s="197"/>
      <c r="Y669" s="197"/>
      <c r="Z669" s="197"/>
    </row>
    <row r="670" spans="1:26">
      <c r="A670" s="197"/>
      <c r="B670" s="197"/>
      <c r="C670" s="197"/>
      <c r="D670" s="197"/>
      <c r="E670" s="197"/>
      <c r="F670" s="197"/>
      <c r="G670" s="197"/>
      <c r="H670" s="197"/>
      <c r="I670" s="197"/>
      <c r="J670" s="197"/>
      <c r="K670" s="197"/>
      <c r="L670" s="197"/>
      <c r="M670" s="197"/>
      <c r="N670" s="197"/>
      <c r="O670" s="197"/>
      <c r="P670" s="197"/>
      <c r="Q670" s="197"/>
      <c r="R670" s="197"/>
      <c r="S670" s="197"/>
      <c r="T670" s="198"/>
      <c r="U670" s="197"/>
      <c r="V670" s="197"/>
      <c r="W670" s="197"/>
      <c r="X670" s="197"/>
      <c r="Y670" s="197"/>
      <c r="Z670" s="197"/>
    </row>
    <row r="671" spans="1:26">
      <c r="A671" s="197"/>
      <c r="B671" s="197"/>
      <c r="C671" s="197"/>
      <c r="D671" s="197"/>
      <c r="E671" s="197"/>
      <c r="F671" s="197"/>
      <c r="G671" s="197"/>
      <c r="H671" s="197"/>
      <c r="I671" s="197"/>
      <c r="J671" s="197"/>
      <c r="K671" s="197"/>
      <c r="L671" s="197"/>
      <c r="M671" s="197"/>
      <c r="N671" s="197"/>
      <c r="O671" s="197"/>
      <c r="P671" s="197"/>
      <c r="Q671" s="197"/>
      <c r="R671" s="197"/>
      <c r="S671" s="197"/>
      <c r="T671" s="198"/>
      <c r="U671" s="197"/>
      <c r="V671" s="197"/>
      <c r="W671" s="197"/>
      <c r="X671" s="197"/>
      <c r="Y671" s="197"/>
      <c r="Z671" s="197"/>
    </row>
    <row r="672" spans="1:26">
      <c r="A672" s="197"/>
      <c r="B672" s="197"/>
      <c r="C672" s="197"/>
      <c r="D672" s="197"/>
      <c r="E672" s="197"/>
      <c r="F672" s="197"/>
      <c r="G672" s="197"/>
      <c r="H672" s="197"/>
      <c r="I672" s="197"/>
      <c r="J672" s="197"/>
      <c r="K672" s="197"/>
      <c r="L672" s="197"/>
      <c r="M672" s="197"/>
      <c r="N672" s="197"/>
      <c r="O672" s="197"/>
      <c r="P672" s="197"/>
      <c r="Q672" s="197"/>
      <c r="R672" s="197"/>
      <c r="S672" s="197"/>
      <c r="T672" s="198"/>
      <c r="U672" s="197"/>
      <c r="V672" s="197"/>
      <c r="W672" s="197"/>
      <c r="X672" s="197"/>
      <c r="Y672" s="197"/>
      <c r="Z672" s="197"/>
    </row>
    <row r="673" spans="1:26">
      <c r="A673" s="197"/>
      <c r="B673" s="197"/>
      <c r="C673" s="197"/>
      <c r="D673" s="197"/>
      <c r="E673" s="197"/>
      <c r="F673" s="197"/>
      <c r="G673" s="197"/>
      <c r="H673" s="197"/>
      <c r="I673" s="197"/>
      <c r="J673" s="197"/>
      <c r="K673" s="197"/>
      <c r="L673" s="197"/>
      <c r="M673" s="197"/>
      <c r="N673" s="197"/>
      <c r="O673" s="197"/>
      <c r="P673" s="197"/>
      <c r="Q673" s="197"/>
      <c r="R673" s="197"/>
      <c r="S673" s="197"/>
      <c r="T673" s="198"/>
      <c r="U673" s="197"/>
      <c r="V673" s="197"/>
      <c r="W673" s="197"/>
      <c r="X673" s="197"/>
      <c r="Y673" s="197"/>
      <c r="Z673" s="197"/>
    </row>
    <row r="674" spans="1:26">
      <c r="A674" s="197"/>
      <c r="B674" s="197"/>
      <c r="C674" s="197"/>
      <c r="D674" s="197"/>
      <c r="E674" s="197"/>
      <c r="F674" s="197"/>
      <c r="G674" s="197"/>
      <c r="H674" s="197"/>
      <c r="I674" s="197"/>
      <c r="J674" s="197"/>
      <c r="K674" s="197"/>
      <c r="L674" s="197"/>
      <c r="M674" s="197"/>
      <c r="N674" s="197"/>
      <c r="O674" s="197"/>
      <c r="P674" s="197"/>
      <c r="Q674" s="197"/>
      <c r="R674" s="197"/>
      <c r="S674" s="197"/>
      <c r="T674" s="198"/>
      <c r="U674" s="197"/>
      <c r="V674" s="197"/>
      <c r="W674" s="197"/>
      <c r="X674" s="197"/>
      <c r="Y674" s="197"/>
      <c r="Z674" s="197"/>
    </row>
    <row r="675" spans="1:26">
      <c r="A675" s="197"/>
      <c r="B675" s="197"/>
      <c r="C675" s="197"/>
      <c r="D675" s="197"/>
      <c r="E675" s="197"/>
      <c r="F675" s="197"/>
      <c r="G675" s="197"/>
      <c r="H675" s="197"/>
      <c r="I675" s="197"/>
      <c r="J675" s="197"/>
      <c r="K675" s="197"/>
      <c r="L675" s="197"/>
      <c r="M675" s="197"/>
      <c r="N675" s="197"/>
      <c r="O675" s="197"/>
      <c r="P675" s="197"/>
      <c r="Q675" s="197"/>
      <c r="R675" s="197"/>
      <c r="S675" s="197"/>
      <c r="T675" s="198"/>
      <c r="U675" s="197"/>
      <c r="V675" s="197"/>
      <c r="W675" s="197"/>
      <c r="X675" s="197"/>
      <c r="Y675" s="197"/>
      <c r="Z675" s="197"/>
    </row>
    <row r="676" spans="1:26">
      <c r="A676" s="197"/>
      <c r="B676" s="197"/>
      <c r="C676" s="197"/>
      <c r="D676" s="197"/>
      <c r="E676" s="197"/>
      <c r="F676" s="197"/>
      <c r="G676" s="197"/>
      <c r="H676" s="197"/>
      <c r="I676" s="197"/>
      <c r="J676" s="197"/>
      <c r="K676" s="197"/>
      <c r="L676" s="197"/>
      <c r="M676" s="197"/>
      <c r="N676" s="197"/>
      <c r="O676" s="197"/>
      <c r="P676" s="197"/>
      <c r="Q676" s="197"/>
      <c r="R676" s="197"/>
      <c r="S676" s="197"/>
      <c r="T676" s="198"/>
      <c r="U676" s="197"/>
      <c r="V676" s="197"/>
      <c r="W676" s="197"/>
      <c r="X676" s="197"/>
      <c r="Y676" s="197"/>
      <c r="Z676" s="197"/>
    </row>
    <row r="677" spans="1:26">
      <c r="A677" s="197"/>
      <c r="B677" s="197"/>
      <c r="C677" s="197"/>
      <c r="D677" s="197"/>
      <c r="E677" s="197"/>
      <c r="F677" s="197"/>
      <c r="G677" s="197"/>
      <c r="H677" s="197"/>
      <c r="I677" s="197"/>
      <c r="J677" s="197"/>
      <c r="K677" s="197"/>
      <c r="L677" s="197"/>
      <c r="M677" s="197"/>
      <c r="N677" s="197"/>
      <c r="O677" s="197"/>
      <c r="P677" s="197"/>
      <c r="Q677" s="197"/>
      <c r="R677" s="197"/>
      <c r="S677" s="197"/>
      <c r="T677" s="198"/>
      <c r="U677" s="197"/>
      <c r="V677" s="197"/>
      <c r="W677" s="197"/>
      <c r="X677" s="197"/>
      <c r="Y677" s="197"/>
      <c r="Z677" s="197"/>
    </row>
    <row r="678" spans="1:26">
      <c r="A678" s="197"/>
      <c r="B678" s="197"/>
      <c r="C678" s="197"/>
      <c r="D678" s="197"/>
      <c r="E678" s="197"/>
      <c r="F678" s="197"/>
      <c r="G678" s="197"/>
      <c r="H678" s="197"/>
      <c r="I678" s="197"/>
      <c r="J678" s="197"/>
      <c r="K678" s="197"/>
      <c r="L678" s="197"/>
      <c r="M678" s="197"/>
      <c r="N678" s="197"/>
      <c r="O678" s="197"/>
      <c r="P678" s="197"/>
      <c r="Q678" s="197"/>
      <c r="R678" s="197"/>
      <c r="S678" s="197"/>
      <c r="T678" s="198"/>
      <c r="U678" s="197"/>
      <c r="V678" s="197"/>
      <c r="W678" s="197"/>
      <c r="X678" s="197"/>
      <c r="Y678" s="197"/>
      <c r="Z678" s="197"/>
    </row>
    <row r="679" spans="1:26">
      <c r="A679" s="197"/>
      <c r="B679" s="197"/>
      <c r="C679" s="197"/>
      <c r="D679" s="197"/>
      <c r="E679" s="197"/>
      <c r="F679" s="197"/>
      <c r="G679" s="197"/>
      <c r="H679" s="197"/>
      <c r="I679" s="197"/>
      <c r="J679" s="197"/>
      <c r="K679" s="197"/>
      <c r="L679" s="197"/>
      <c r="M679" s="197"/>
      <c r="N679" s="197"/>
      <c r="O679" s="197"/>
      <c r="P679" s="197"/>
      <c r="Q679" s="197"/>
      <c r="R679" s="197"/>
      <c r="S679" s="197"/>
      <c r="T679" s="198"/>
      <c r="U679" s="197"/>
      <c r="V679" s="197"/>
      <c r="W679" s="197"/>
      <c r="X679" s="197"/>
      <c r="Y679" s="197"/>
      <c r="Z679" s="197"/>
    </row>
    <row r="680" spans="1:26">
      <c r="A680" s="197"/>
      <c r="B680" s="197"/>
      <c r="C680" s="197"/>
      <c r="D680" s="197"/>
      <c r="E680" s="197"/>
      <c r="F680" s="197"/>
      <c r="G680" s="197"/>
      <c r="H680" s="197"/>
      <c r="I680" s="197"/>
      <c r="J680" s="197"/>
      <c r="K680" s="197"/>
      <c r="L680" s="197"/>
      <c r="M680" s="197"/>
      <c r="N680" s="197"/>
      <c r="O680" s="197"/>
      <c r="P680" s="197"/>
      <c r="Q680" s="197"/>
      <c r="R680" s="197"/>
      <c r="S680" s="197"/>
      <c r="T680" s="198"/>
      <c r="U680" s="197"/>
      <c r="V680" s="197"/>
      <c r="W680" s="197"/>
      <c r="X680" s="197"/>
      <c r="Y680" s="197"/>
      <c r="Z680" s="197"/>
    </row>
    <row r="681" spans="1:26">
      <c r="A681" s="197"/>
      <c r="B681" s="197"/>
      <c r="C681" s="197"/>
      <c r="D681" s="197"/>
      <c r="E681" s="197"/>
      <c r="F681" s="197"/>
      <c r="G681" s="197"/>
      <c r="H681" s="197"/>
      <c r="I681" s="197"/>
      <c r="J681" s="197"/>
      <c r="K681" s="197"/>
      <c r="L681" s="197"/>
      <c r="M681" s="197"/>
      <c r="N681" s="197"/>
      <c r="O681" s="197"/>
      <c r="P681" s="197"/>
      <c r="Q681" s="197"/>
      <c r="R681" s="197"/>
      <c r="S681" s="197"/>
      <c r="T681" s="198"/>
      <c r="U681" s="197"/>
      <c r="V681" s="197"/>
      <c r="W681" s="197"/>
      <c r="X681" s="197"/>
      <c r="Y681" s="197"/>
      <c r="Z681" s="197"/>
    </row>
    <row r="682" spans="1:26">
      <c r="A682" s="197"/>
      <c r="B682" s="197"/>
      <c r="C682" s="197"/>
      <c r="D682" s="197"/>
      <c r="E682" s="197"/>
      <c r="F682" s="197"/>
      <c r="G682" s="197"/>
      <c r="H682" s="197"/>
      <c r="I682" s="197"/>
      <c r="J682" s="197"/>
      <c r="K682" s="197"/>
      <c r="L682" s="197"/>
      <c r="M682" s="197"/>
      <c r="N682" s="197"/>
      <c r="O682" s="197"/>
      <c r="P682" s="197"/>
      <c r="Q682" s="197"/>
      <c r="R682" s="197"/>
      <c r="S682" s="197"/>
      <c r="T682" s="198"/>
      <c r="U682" s="197"/>
      <c r="V682" s="197"/>
      <c r="W682" s="197"/>
      <c r="X682" s="197"/>
      <c r="Y682" s="197"/>
      <c r="Z682" s="197"/>
    </row>
    <row r="683" spans="1:26">
      <c r="A683" s="197"/>
      <c r="B683" s="197"/>
      <c r="C683" s="197"/>
      <c r="D683" s="197"/>
      <c r="E683" s="197"/>
      <c r="F683" s="197"/>
      <c r="G683" s="197"/>
      <c r="H683" s="197"/>
      <c r="I683" s="197"/>
      <c r="J683" s="197"/>
      <c r="K683" s="197"/>
      <c r="L683" s="197"/>
      <c r="M683" s="197"/>
      <c r="N683" s="197"/>
      <c r="O683" s="197"/>
      <c r="P683" s="197"/>
      <c r="Q683" s="197"/>
      <c r="R683" s="197"/>
      <c r="S683" s="197"/>
      <c r="T683" s="198"/>
      <c r="U683" s="197"/>
      <c r="V683" s="197"/>
      <c r="W683" s="197"/>
      <c r="X683" s="197"/>
      <c r="Y683" s="197"/>
      <c r="Z683" s="197"/>
    </row>
    <row r="684" spans="1:26">
      <c r="A684" s="197"/>
      <c r="B684" s="197"/>
      <c r="C684" s="197"/>
      <c r="D684" s="197"/>
      <c r="E684" s="197"/>
      <c r="F684" s="197"/>
      <c r="G684" s="197"/>
      <c r="H684" s="197"/>
      <c r="I684" s="197"/>
      <c r="J684" s="197"/>
      <c r="K684" s="197"/>
      <c r="L684" s="197"/>
      <c r="M684" s="197"/>
      <c r="N684" s="197"/>
      <c r="O684" s="197"/>
      <c r="P684" s="197"/>
      <c r="Q684" s="197"/>
      <c r="R684" s="197"/>
      <c r="S684" s="197"/>
      <c r="T684" s="198"/>
      <c r="U684" s="197"/>
      <c r="V684" s="197"/>
      <c r="W684" s="197"/>
      <c r="X684" s="197"/>
      <c r="Y684" s="197"/>
      <c r="Z684" s="197"/>
    </row>
    <row r="685" spans="1:26">
      <c r="A685" s="197"/>
      <c r="B685" s="197"/>
      <c r="C685" s="197"/>
      <c r="D685" s="197"/>
      <c r="E685" s="197"/>
      <c r="F685" s="197"/>
      <c r="G685" s="197"/>
      <c r="H685" s="197"/>
      <c r="I685" s="197"/>
      <c r="J685" s="197"/>
      <c r="K685" s="197"/>
      <c r="L685" s="197"/>
      <c r="M685" s="197"/>
      <c r="N685" s="197"/>
      <c r="O685" s="197"/>
      <c r="P685" s="197"/>
      <c r="Q685" s="197"/>
      <c r="R685" s="197"/>
      <c r="S685" s="197"/>
      <c r="T685" s="198"/>
      <c r="U685" s="197"/>
      <c r="V685" s="197"/>
      <c r="W685" s="197"/>
      <c r="X685" s="197"/>
      <c r="Y685" s="197"/>
      <c r="Z685" s="197"/>
    </row>
    <row r="686" spans="1:26">
      <c r="A686" s="197"/>
      <c r="B686" s="197"/>
      <c r="C686" s="197"/>
      <c r="D686" s="197"/>
      <c r="E686" s="197"/>
      <c r="F686" s="197"/>
      <c r="G686" s="197"/>
      <c r="H686" s="197"/>
      <c r="I686" s="197"/>
      <c r="J686" s="197"/>
      <c r="K686" s="197"/>
      <c r="L686" s="197"/>
      <c r="M686" s="197"/>
      <c r="N686" s="197"/>
      <c r="O686" s="197"/>
      <c r="P686" s="197"/>
      <c r="Q686" s="197"/>
      <c r="R686" s="197"/>
      <c r="S686" s="197"/>
      <c r="T686" s="198"/>
      <c r="U686" s="197"/>
      <c r="V686" s="197"/>
      <c r="W686" s="197"/>
      <c r="X686" s="197"/>
      <c r="Y686" s="197"/>
      <c r="Z686" s="197"/>
    </row>
    <row r="687" spans="1:26">
      <c r="A687" s="197"/>
      <c r="B687" s="197"/>
      <c r="C687" s="197"/>
      <c r="D687" s="197"/>
      <c r="E687" s="197"/>
      <c r="F687" s="197"/>
      <c r="G687" s="197"/>
      <c r="H687" s="197"/>
      <c r="I687" s="197"/>
      <c r="J687" s="197"/>
      <c r="K687" s="197"/>
      <c r="L687" s="197"/>
      <c r="M687" s="197"/>
      <c r="N687" s="197"/>
      <c r="O687" s="197"/>
      <c r="P687" s="197"/>
      <c r="Q687" s="197"/>
      <c r="R687" s="197"/>
      <c r="S687" s="197"/>
      <c r="T687" s="198"/>
      <c r="U687" s="197"/>
      <c r="V687" s="197"/>
      <c r="W687" s="197"/>
      <c r="X687" s="197"/>
      <c r="Y687" s="197"/>
      <c r="Z687" s="197"/>
    </row>
    <row r="688" spans="1:26">
      <c r="A688" s="197"/>
      <c r="B688" s="197"/>
      <c r="C688" s="197"/>
      <c r="D688" s="197"/>
      <c r="E688" s="197"/>
      <c r="F688" s="197"/>
      <c r="G688" s="197"/>
      <c r="H688" s="197"/>
      <c r="I688" s="197"/>
      <c r="J688" s="197"/>
      <c r="K688" s="197"/>
      <c r="L688" s="197"/>
      <c r="M688" s="197"/>
      <c r="N688" s="197"/>
      <c r="O688" s="197"/>
      <c r="P688" s="197"/>
      <c r="Q688" s="197"/>
      <c r="R688" s="197"/>
      <c r="S688" s="197"/>
      <c r="T688" s="198"/>
      <c r="U688" s="197"/>
      <c r="V688" s="197"/>
      <c r="W688" s="197"/>
      <c r="X688" s="197"/>
      <c r="Y688" s="197"/>
      <c r="Z688" s="197"/>
    </row>
    <row r="689" spans="1:26">
      <c r="A689" s="197"/>
      <c r="B689" s="197"/>
      <c r="C689" s="197"/>
      <c r="D689" s="197"/>
      <c r="E689" s="197"/>
      <c r="F689" s="197"/>
      <c r="G689" s="197"/>
      <c r="H689" s="197"/>
      <c r="I689" s="197"/>
      <c r="J689" s="197"/>
      <c r="K689" s="197"/>
      <c r="L689" s="197"/>
      <c r="M689" s="197"/>
      <c r="N689" s="197"/>
      <c r="O689" s="197"/>
      <c r="P689" s="197"/>
      <c r="Q689" s="197"/>
      <c r="R689" s="197"/>
      <c r="S689" s="197"/>
      <c r="T689" s="198"/>
      <c r="U689" s="197"/>
      <c r="V689" s="197"/>
      <c r="W689" s="197"/>
      <c r="X689" s="197"/>
      <c r="Y689" s="197"/>
      <c r="Z689" s="197"/>
    </row>
    <row r="690" spans="1:26">
      <c r="A690" s="197"/>
      <c r="B690" s="197"/>
      <c r="C690" s="197"/>
      <c r="D690" s="197"/>
      <c r="E690" s="197"/>
      <c r="F690" s="197"/>
      <c r="G690" s="197"/>
      <c r="H690" s="197"/>
      <c r="I690" s="197"/>
      <c r="J690" s="197"/>
      <c r="K690" s="197"/>
      <c r="L690" s="197"/>
      <c r="M690" s="197"/>
      <c r="N690" s="197"/>
      <c r="O690" s="197"/>
      <c r="P690" s="197"/>
      <c r="Q690" s="197"/>
      <c r="R690" s="197"/>
      <c r="S690" s="197"/>
      <c r="T690" s="198"/>
      <c r="U690" s="197"/>
      <c r="V690" s="197"/>
      <c r="W690" s="197"/>
      <c r="X690" s="197"/>
      <c r="Y690" s="197"/>
      <c r="Z690" s="197"/>
    </row>
    <row r="691" spans="1:26">
      <c r="A691" s="197"/>
      <c r="B691" s="197"/>
      <c r="C691" s="197"/>
      <c r="D691" s="197"/>
      <c r="E691" s="197"/>
      <c r="F691" s="197"/>
      <c r="G691" s="197"/>
      <c r="H691" s="197"/>
      <c r="I691" s="197"/>
      <c r="J691" s="197"/>
      <c r="K691" s="197"/>
      <c r="L691" s="197"/>
      <c r="M691" s="197"/>
      <c r="N691" s="197"/>
      <c r="O691" s="197"/>
      <c r="P691" s="197"/>
      <c r="Q691" s="197"/>
      <c r="R691" s="197"/>
      <c r="S691" s="197"/>
      <c r="T691" s="198"/>
      <c r="U691" s="197"/>
      <c r="V691" s="197"/>
      <c r="W691" s="197"/>
      <c r="X691" s="197"/>
      <c r="Y691" s="197"/>
      <c r="Z691" s="197"/>
    </row>
    <row r="692" spans="1:26">
      <c r="A692" s="197"/>
      <c r="B692" s="197"/>
      <c r="C692" s="197"/>
      <c r="D692" s="197"/>
      <c r="E692" s="197"/>
      <c r="F692" s="197"/>
      <c r="G692" s="197"/>
      <c r="H692" s="197"/>
      <c r="I692" s="197"/>
      <c r="J692" s="197"/>
      <c r="K692" s="197"/>
      <c r="L692" s="197"/>
      <c r="M692" s="197"/>
      <c r="N692" s="197"/>
      <c r="O692" s="197"/>
      <c r="P692" s="197"/>
      <c r="Q692" s="197"/>
      <c r="R692" s="197"/>
      <c r="S692" s="197"/>
      <c r="T692" s="198"/>
      <c r="U692" s="197"/>
      <c r="V692" s="197"/>
      <c r="W692" s="197"/>
      <c r="X692" s="197"/>
      <c r="Y692" s="197"/>
      <c r="Z692" s="197"/>
    </row>
    <row r="693" spans="1:26">
      <c r="A693" s="197"/>
      <c r="B693" s="197"/>
      <c r="C693" s="197"/>
      <c r="D693" s="197"/>
      <c r="E693" s="197"/>
      <c r="F693" s="197"/>
      <c r="G693" s="197"/>
      <c r="H693" s="197"/>
      <c r="I693" s="197"/>
      <c r="J693" s="197"/>
      <c r="K693" s="197"/>
      <c r="L693" s="197"/>
      <c r="M693" s="197"/>
      <c r="N693" s="197"/>
      <c r="O693" s="197"/>
      <c r="P693" s="197"/>
      <c r="Q693" s="197"/>
      <c r="R693" s="197"/>
      <c r="S693" s="197"/>
      <c r="T693" s="198"/>
      <c r="U693" s="197"/>
      <c r="V693" s="197"/>
      <c r="W693" s="197"/>
      <c r="X693" s="197"/>
      <c r="Y693" s="197"/>
      <c r="Z693" s="197"/>
    </row>
    <row r="694" spans="1:26">
      <c r="A694" s="197"/>
      <c r="B694" s="197"/>
      <c r="C694" s="197"/>
      <c r="D694" s="197"/>
      <c r="E694" s="197"/>
      <c r="F694" s="197"/>
      <c r="G694" s="197"/>
      <c r="H694" s="197"/>
      <c r="I694" s="197"/>
      <c r="J694" s="197"/>
      <c r="K694" s="197"/>
      <c r="L694" s="197"/>
      <c r="M694" s="197"/>
      <c r="N694" s="197"/>
      <c r="O694" s="197"/>
      <c r="P694" s="197"/>
      <c r="Q694" s="197"/>
      <c r="R694" s="197"/>
      <c r="S694" s="197"/>
      <c r="T694" s="198"/>
      <c r="U694" s="197"/>
      <c r="V694" s="197"/>
      <c r="W694" s="197"/>
      <c r="X694" s="197"/>
      <c r="Y694" s="197"/>
      <c r="Z694" s="197"/>
    </row>
    <row r="695" spans="1:26">
      <c r="A695" s="197"/>
      <c r="B695" s="197"/>
      <c r="C695" s="197"/>
      <c r="D695" s="197"/>
      <c r="E695" s="197"/>
      <c r="F695" s="197"/>
      <c r="G695" s="197"/>
      <c r="H695" s="197"/>
      <c r="I695" s="197"/>
      <c r="J695" s="197"/>
      <c r="K695" s="197"/>
      <c r="L695" s="197"/>
      <c r="M695" s="197"/>
      <c r="N695" s="197"/>
      <c r="O695" s="197"/>
      <c r="P695" s="197"/>
      <c r="Q695" s="197"/>
      <c r="R695" s="197"/>
      <c r="S695" s="197"/>
      <c r="T695" s="198"/>
      <c r="U695" s="197"/>
      <c r="V695" s="197"/>
      <c r="W695" s="197"/>
      <c r="X695" s="197"/>
      <c r="Y695" s="197"/>
      <c r="Z695" s="197"/>
    </row>
    <row r="696" spans="1:26">
      <c r="A696" s="197"/>
      <c r="B696" s="197"/>
      <c r="C696" s="197"/>
      <c r="D696" s="197"/>
      <c r="E696" s="197"/>
      <c r="F696" s="197"/>
      <c r="G696" s="197"/>
      <c r="H696" s="197"/>
      <c r="I696" s="197"/>
      <c r="J696" s="197"/>
      <c r="K696" s="197"/>
      <c r="L696" s="197"/>
      <c r="M696" s="197"/>
      <c r="N696" s="197"/>
      <c r="O696" s="197"/>
      <c r="P696" s="197"/>
      <c r="Q696" s="197"/>
      <c r="R696" s="197"/>
      <c r="S696" s="197"/>
      <c r="T696" s="198"/>
      <c r="U696" s="197"/>
      <c r="V696" s="197"/>
      <c r="W696" s="197"/>
      <c r="X696" s="197"/>
      <c r="Y696" s="197"/>
      <c r="Z696" s="197"/>
    </row>
    <row r="697" spans="1:26">
      <c r="A697" s="197"/>
      <c r="B697" s="197"/>
      <c r="C697" s="197"/>
      <c r="D697" s="197"/>
      <c r="E697" s="197"/>
      <c r="F697" s="197"/>
      <c r="G697" s="197"/>
      <c r="H697" s="197"/>
      <c r="I697" s="197"/>
      <c r="J697" s="197"/>
      <c r="K697" s="197"/>
      <c r="L697" s="197"/>
      <c r="M697" s="197"/>
      <c r="N697" s="197"/>
      <c r="O697" s="197"/>
      <c r="P697" s="197"/>
      <c r="Q697" s="197"/>
      <c r="R697" s="197"/>
      <c r="S697" s="197"/>
      <c r="T697" s="198"/>
      <c r="U697" s="197"/>
      <c r="V697" s="197"/>
      <c r="W697" s="197"/>
      <c r="X697" s="197"/>
      <c r="Y697" s="197"/>
      <c r="Z697" s="197"/>
    </row>
    <row r="698" spans="1:26">
      <c r="A698" s="197"/>
      <c r="B698" s="197"/>
      <c r="C698" s="197"/>
      <c r="D698" s="197"/>
      <c r="E698" s="197"/>
      <c r="F698" s="197"/>
      <c r="G698" s="197"/>
      <c r="H698" s="197"/>
      <c r="I698" s="197"/>
      <c r="J698" s="197"/>
      <c r="K698" s="197"/>
      <c r="L698" s="197"/>
      <c r="M698" s="197"/>
      <c r="N698" s="197"/>
      <c r="O698" s="197"/>
      <c r="P698" s="197"/>
      <c r="Q698" s="197"/>
      <c r="R698" s="197"/>
      <c r="S698" s="197"/>
      <c r="T698" s="198"/>
      <c r="U698" s="197"/>
      <c r="V698" s="197"/>
      <c r="W698" s="197"/>
      <c r="X698" s="197"/>
      <c r="Y698" s="197"/>
      <c r="Z698" s="197"/>
    </row>
    <row r="699" spans="1:26">
      <c r="A699" s="197"/>
      <c r="B699" s="197"/>
      <c r="C699" s="197"/>
      <c r="D699" s="197"/>
      <c r="E699" s="197"/>
      <c r="F699" s="197"/>
      <c r="G699" s="197"/>
      <c r="H699" s="197"/>
      <c r="I699" s="197"/>
      <c r="J699" s="197"/>
      <c r="K699" s="197"/>
      <c r="L699" s="197"/>
      <c r="M699" s="197"/>
      <c r="N699" s="197"/>
      <c r="O699" s="197"/>
      <c r="P699" s="197"/>
      <c r="Q699" s="197"/>
      <c r="R699" s="197"/>
      <c r="S699" s="197"/>
      <c r="T699" s="198"/>
      <c r="U699" s="197"/>
      <c r="V699" s="197"/>
      <c r="W699" s="197"/>
      <c r="X699" s="197"/>
      <c r="Y699" s="197"/>
      <c r="Z699" s="197"/>
    </row>
    <row r="700" spans="1:26">
      <c r="A700" s="197"/>
      <c r="B700" s="197"/>
      <c r="C700" s="197"/>
      <c r="D700" s="197"/>
      <c r="E700" s="197"/>
      <c r="F700" s="197"/>
      <c r="G700" s="197"/>
      <c r="H700" s="197"/>
      <c r="I700" s="197"/>
      <c r="J700" s="197"/>
      <c r="K700" s="197"/>
      <c r="L700" s="197"/>
      <c r="M700" s="197"/>
      <c r="N700" s="197"/>
      <c r="O700" s="197"/>
      <c r="P700" s="197"/>
      <c r="Q700" s="197"/>
      <c r="R700" s="197"/>
      <c r="S700" s="197"/>
      <c r="T700" s="198"/>
      <c r="U700" s="197"/>
      <c r="V700" s="197"/>
      <c r="W700" s="197"/>
      <c r="X700" s="197"/>
      <c r="Y700" s="197"/>
      <c r="Z700" s="197"/>
    </row>
    <row r="701" spans="1:26">
      <c r="A701" s="197"/>
      <c r="B701" s="197"/>
      <c r="C701" s="197"/>
      <c r="D701" s="197"/>
      <c r="E701" s="197"/>
      <c r="F701" s="197"/>
      <c r="G701" s="197"/>
      <c r="H701" s="197"/>
      <c r="I701" s="197"/>
      <c r="J701" s="197"/>
      <c r="K701" s="197"/>
      <c r="L701" s="197"/>
      <c r="M701" s="197"/>
      <c r="N701" s="197"/>
      <c r="O701" s="197"/>
      <c r="P701" s="197"/>
      <c r="Q701" s="197"/>
      <c r="R701" s="197"/>
      <c r="S701" s="197"/>
      <c r="T701" s="198"/>
      <c r="U701" s="197"/>
      <c r="V701" s="197"/>
      <c r="W701" s="197"/>
      <c r="X701" s="197"/>
      <c r="Y701" s="197"/>
      <c r="Z701" s="197"/>
    </row>
    <row r="702" spans="1:26">
      <c r="A702" s="197"/>
      <c r="B702" s="197"/>
      <c r="C702" s="197"/>
      <c r="D702" s="197"/>
      <c r="E702" s="197"/>
      <c r="F702" s="197"/>
      <c r="G702" s="197"/>
      <c r="H702" s="197"/>
      <c r="I702" s="197"/>
      <c r="J702" s="197"/>
      <c r="K702" s="197"/>
      <c r="L702" s="197"/>
      <c r="M702" s="197"/>
      <c r="N702" s="197"/>
      <c r="O702" s="197"/>
      <c r="P702" s="197"/>
      <c r="Q702" s="197"/>
      <c r="R702" s="197"/>
      <c r="S702" s="197"/>
      <c r="T702" s="198"/>
      <c r="U702" s="197"/>
      <c r="V702" s="197"/>
      <c r="W702" s="197"/>
      <c r="X702" s="197"/>
      <c r="Y702" s="197"/>
      <c r="Z702" s="197"/>
    </row>
    <row r="703" spans="1:26">
      <c r="A703" s="197"/>
      <c r="B703" s="197"/>
      <c r="C703" s="197"/>
      <c r="D703" s="197"/>
      <c r="E703" s="197"/>
      <c r="F703" s="197"/>
      <c r="G703" s="197"/>
      <c r="H703" s="197"/>
      <c r="I703" s="197"/>
      <c r="J703" s="197"/>
      <c r="K703" s="197"/>
      <c r="L703" s="197"/>
      <c r="M703" s="197"/>
      <c r="N703" s="197"/>
      <c r="O703" s="197"/>
      <c r="P703" s="197"/>
      <c r="Q703" s="197"/>
      <c r="R703" s="197"/>
      <c r="S703" s="197"/>
      <c r="T703" s="198"/>
      <c r="U703" s="197"/>
      <c r="V703" s="197"/>
      <c r="W703" s="197"/>
      <c r="X703" s="197"/>
      <c r="Y703" s="197"/>
      <c r="Z703" s="197"/>
    </row>
    <row r="704" spans="1:26">
      <c r="A704" s="197"/>
      <c r="B704" s="197"/>
      <c r="C704" s="197"/>
      <c r="D704" s="197"/>
      <c r="E704" s="197"/>
      <c r="F704" s="197"/>
      <c r="G704" s="197"/>
      <c r="H704" s="197"/>
      <c r="I704" s="197"/>
      <c r="J704" s="197"/>
      <c r="K704" s="197"/>
      <c r="L704" s="197"/>
      <c r="M704" s="197"/>
      <c r="N704" s="197"/>
      <c r="O704" s="197"/>
      <c r="P704" s="197"/>
      <c r="Q704" s="197"/>
      <c r="R704" s="197"/>
      <c r="S704" s="197"/>
      <c r="T704" s="198"/>
      <c r="U704" s="197"/>
      <c r="V704" s="197"/>
      <c r="W704" s="197"/>
      <c r="X704" s="197"/>
      <c r="Y704" s="197"/>
      <c r="Z704" s="197"/>
    </row>
    <row r="705" spans="1:26">
      <c r="A705" s="197"/>
      <c r="B705" s="197"/>
      <c r="C705" s="197"/>
      <c r="D705" s="197"/>
      <c r="E705" s="197"/>
      <c r="F705" s="197"/>
      <c r="G705" s="197"/>
      <c r="H705" s="197"/>
      <c r="I705" s="197"/>
      <c r="J705" s="197"/>
      <c r="K705" s="197"/>
      <c r="L705" s="197"/>
      <c r="M705" s="197"/>
      <c r="N705" s="197"/>
      <c r="O705" s="197"/>
      <c r="P705" s="197"/>
      <c r="Q705" s="197"/>
      <c r="R705" s="197"/>
      <c r="S705" s="197"/>
      <c r="T705" s="198"/>
      <c r="U705" s="197"/>
      <c r="V705" s="197"/>
      <c r="W705" s="197"/>
      <c r="X705" s="197"/>
      <c r="Y705" s="197"/>
      <c r="Z705" s="197"/>
    </row>
    <row r="706" spans="1:26">
      <c r="A706" s="197"/>
      <c r="B706" s="197"/>
      <c r="C706" s="197"/>
      <c r="D706" s="197"/>
      <c r="E706" s="197"/>
      <c r="F706" s="197"/>
      <c r="G706" s="197"/>
      <c r="H706" s="197"/>
      <c r="I706" s="197"/>
      <c r="J706" s="197"/>
      <c r="K706" s="197"/>
      <c r="L706" s="197"/>
      <c r="M706" s="197"/>
      <c r="N706" s="197"/>
      <c r="O706" s="197"/>
      <c r="P706" s="197"/>
      <c r="Q706" s="197"/>
      <c r="R706" s="197"/>
      <c r="S706" s="197"/>
      <c r="T706" s="198"/>
      <c r="U706" s="197"/>
      <c r="V706" s="197"/>
      <c r="W706" s="197"/>
      <c r="X706" s="197"/>
      <c r="Y706" s="197"/>
      <c r="Z706" s="197"/>
    </row>
    <row r="707" spans="1:26">
      <c r="A707" s="197"/>
      <c r="B707" s="197"/>
      <c r="C707" s="197"/>
      <c r="D707" s="197"/>
      <c r="E707" s="197"/>
      <c r="F707" s="197"/>
      <c r="G707" s="197"/>
      <c r="H707" s="197"/>
      <c r="I707" s="197"/>
      <c r="J707" s="197"/>
      <c r="K707" s="197"/>
      <c r="L707" s="197"/>
      <c r="M707" s="197"/>
      <c r="N707" s="197"/>
      <c r="O707" s="197"/>
      <c r="P707" s="197"/>
      <c r="Q707" s="197"/>
      <c r="R707" s="197"/>
      <c r="S707" s="197"/>
      <c r="T707" s="198"/>
      <c r="U707" s="197"/>
      <c r="V707" s="197"/>
      <c r="W707" s="197"/>
      <c r="X707" s="197"/>
      <c r="Y707" s="197"/>
      <c r="Z707" s="197"/>
    </row>
    <row r="708" spans="1:26">
      <c r="A708" s="197"/>
      <c r="B708" s="197"/>
      <c r="C708" s="197"/>
      <c r="D708" s="197"/>
      <c r="E708" s="197"/>
      <c r="F708" s="197"/>
      <c r="G708" s="197"/>
      <c r="H708" s="197"/>
      <c r="I708" s="197"/>
      <c r="J708" s="197"/>
      <c r="K708" s="197"/>
      <c r="L708" s="197"/>
      <c r="M708" s="197"/>
      <c r="N708" s="197"/>
      <c r="O708" s="197"/>
      <c r="P708" s="197"/>
      <c r="Q708" s="197"/>
      <c r="R708" s="197"/>
      <c r="S708" s="197"/>
      <c r="T708" s="198"/>
      <c r="U708" s="197"/>
      <c r="V708" s="197"/>
      <c r="W708" s="197"/>
      <c r="X708" s="197"/>
      <c r="Y708" s="197"/>
      <c r="Z708" s="197"/>
    </row>
    <row r="709" spans="1:26">
      <c r="A709" s="197"/>
      <c r="B709" s="197"/>
      <c r="C709" s="197"/>
      <c r="D709" s="197"/>
      <c r="E709" s="197"/>
      <c r="F709" s="197"/>
      <c r="G709" s="197"/>
      <c r="H709" s="197"/>
      <c r="I709" s="197"/>
      <c r="J709" s="197"/>
      <c r="K709" s="197"/>
      <c r="L709" s="197"/>
      <c r="M709" s="197"/>
      <c r="N709" s="197"/>
      <c r="O709" s="197"/>
      <c r="P709" s="197"/>
      <c r="Q709" s="197"/>
      <c r="R709" s="197"/>
      <c r="S709" s="197"/>
      <c r="T709" s="198"/>
      <c r="U709" s="197"/>
      <c r="V709" s="197"/>
      <c r="W709" s="197"/>
      <c r="X709" s="197"/>
      <c r="Y709" s="197"/>
      <c r="Z709" s="197"/>
    </row>
    <row r="710" spans="1:26">
      <c r="A710" s="197"/>
      <c r="B710" s="197"/>
      <c r="C710" s="197"/>
      <c r="D710" s="197"/>
      <c r="E710" s="197"/>
      <c r="F710" s="197"/>
      <c r="G710" s="197"/>
      <c r="H710" s="197"/>
      <c r="I710" s="197"/>
      <c r="J710" s="197"/>
      <c r="K710" s="197"/>
      <c r="L710" s="197"/>
      <c r="M710" s="197"/>
      <c r="N710" s="197"/>
      <c r="O710" s="197"/>
      <c r="P710" s="197"/>
      <c r="Q710" s="197"/>
      <c r="R710" s="197"/>
      <c r="S710" s="197"/>
      <c r="T710" s="198"/>
      <c r="U710" s="197"/>
      <c r="V710" s="197"/>
      <c r="W710" s="197"/>
      <c r="X710" s="197"/>
      <c r="Y710" s="197"/>
      <c r="Z710" s="197"/>
    </row>
    <row r="711" spans="1:26">
      <c r="A711" s="197"/>
      <c r="B711" s="197"/>
      <c r="C711" s="197"/>
      <c r="D711" s="197"/>
      <c r="E711" s="197"/>
      <c r="F711" s="197"/>
      <c r="G711" s="197"/>
      <c r="H711" s="197"/>
      <c r="I711" s="197"/>
      <c r="J711" s="197"/>
      <c r="K711" s="197"/>
      <c r="L711" s="197"/>
      <c r="M711" s="197"/>
      <c r="N711" s="197"/>
      <c r="O711" s="197"/>
      <c r="P711" s="197"/>
      <c r="Q711" s="197"/>
      <c r="R711" s="197"/>
      <c r="S711" s="197"/>
      <c r="T711" s="198"/>
      <c r="U711" s="197"/>
      <c r="V711" s="197"/>
      <c r="W711" s="197"/>
      <c r="X711" s="197"/>
      <c r="Y711" s="197"/>
      <c r="Z711" s="197"/>
    </row>
    <row r="712" spans="1:26">
      <c r="A712" s="197"/>
      <c r="B712" s="197"/>
      <c r="C712" s="197"/>
      <c r="D712" s="197"/>
      <c r="E712" s="197"/>
      <c r="F712" s="197"/>
      <c r="G712" s="197"/>
      <c r="H712" s="197"/>
      <c r="I712" s="197"/>
      <c r="J712" s="197"/>
      <c r="K712" s="197"/>
      <c r="L712" s="197"/>
      <c r="M712" s="197"/>
      <c r="N712" s="197"/>
      <c r="O712" s="197"/>
      <c r="P712" s="197"/>
      <c r="Q712" s="197"/>
      <c r="R712" s="197"/>
      <c r="S712" s="197"/>
      <c r="T712" s="198"/>
      <c r="U712" s="197"/>
      <c r="V712" s="197"/>
      <c r="W712" s="197"/>
      <c r="X712" s="197"/>
      <c r="Y712" s="197"/>
      <c r="Z712" s="197"/>
    </row>
    <row r="713" spans="1:26">
      <c r="A713" s="197"/>
      <c r="B713" s="197"/>
      <c r="C713" s="197"/>
      <c r="D713" s="197"/>
      <c r="E713" s="197"/>
      <c r="F713" s="197"/>
      <c r="G713" s="197"/>
      <c r="H713" s="197"/>
      <c r="I713" s="197"/>
      <c r="J713" s="197"/>
      <c r="K713" s="197"/>
      <c r="L713" s="197"/>
      <c r="M713" s="197"/>
      <c r="N713" s="197"/>
      <c r="O713" s="197"/>
      <c r="P713" s="197"/>
      <c r="Q713" s="197"/>
      <c r="R713" s="197"/>
      <c r="S713" s="197"/>
      <c r="T713" s="198"/>
      <c r="U713" s="197"/>
      <c r="V713" s="197"/>
      <c r="W713" s="197"/>
      <c r="X713" s="197"/>
      <c r="Y713" s="197"/>
      <c r="Z713" s="197"/>
    </row>
    <row r="714" spans="1:26">
      <c r="A714" s="197"/>
      <c r="B714" s="197"/>
      <c r="C714" s="197"/>
      <c r="D714" s="197"/>
      <c r="E714" s="197"/>
      <c r="F714" s="197"/>
      <c r="G714" s="197"/>
      <c r="H714" s="197"/>
      <c r="I714" s="197"/>
      <c r="J714" s="197"/>
      <c r="K714" s="197"/>
      <c r="L714" s="197"/>
      <c r="M714" s="197"/>
      <c r="N714" s="197"/>
      <c r="O714" s="197"/>
      <c r="P714" s="197"/>
      <c r="Q714" s="197"/>
      <c r="R714" s="197"/>
      <c r="S714" s="197"/>
      <c r="T714" s="198"/>
      <c r="U714" s="197"/>
      <c r="V714" s="197"/>
      <c r="W714" s="197"/>
      <c r="X714" s="197"/>
      <c r="Y714" s="197"/>
      <c r="Z714" s="197"/>
    </row>
    <row r="715" spans="1:26">
      <c r="A715" s="197"/>
      <c r="B715" s="197"/>
      <c r="C715" s="197"/>
      <c r="D715" s="197"/>
      <c r="E715" s="197"/>
      <c r="F715" s="197"/>
      <c r="G715" s="197"/>
      <c r="H715" s="197"/>
      <c r="I715" s="197"/>
      <c r="J715" s="197"/>
      <c r="K715" s="197"/>
      <c r="L715" s="197"/>
      <c r="M715" s="197"/>
      <c r="N715" s="197"/>
      <c r="O715" s="197"/>
      <c r="P715" s="197"/>
      <c r="Q715" s="197"/>
      <c r="R715" s="197"/>
      <c r="S715" s="197"/>
      <c r="T715" s="198"/>
      <c r="U715" s="197"/>
      <c r="V715" s="197"/>
      <c r="W715" s="197"/>
      <c r="X715" s="197"/>
      <c r="Y715" s="197"/>
      <c r="Z715" s="197"/>
    </row>
    <row r="716" spans="1:26">
      <c r="A716" s="197"/>
      <c r="B716" s="197"/>
      <c r="C716" s="197"/>
      <c r="D716" s="197"/>
      <c r="E716" s="197"/>
      <c r="F716" s="197"/>
      <c r="G716" s="197"/>
      <c r="H716" s="197"/>
      <c r="I716" s="197"/>
      <c r="J716" s="197"/>
      <c r="K716" s="197"/>
      <c r="L716" s="197"/>
      <c r="M716" s="197"/>
      <c r="N716" s="197"/>
      <c r="O716" s="197"/>
      <c r="P716" s="197"/>
      <c r="Q716" s="197"/>
      <c r="R716" s="197"/>
      <c r="S716" s="197"/>
      <c r="T716" s="198"/>
      <c r="U716" s="197"/>
      <c r="V716" s="197"/>
      <c r="W716" s="197"/>
      <c r="X716" s="197"/>
      <c r="Y716" s="197"/>
      <c r="Z716" s="197"/>
    </row>
    <row r="717" spans="1:26">
      <c r="A717" s="197"/>
      <c r="B717" s="197"/>
      <c r="C717" s="197"/>
      <c r="D717" s="197"/>
      <c r="E717" s="197"/>
      <c r="F717" s="197"/>
      <c r="G717" s="197"/>
      <c r="H717" s="197"/>
      <c r="I717" s="197"/>
      <c r="J717" s="197"/>
      <c r="K717" s="197"/>
      <c r="L717" s="197"/>
      <c r="M717" s="197"/>
      <c r="N717" s="197"/>
      <c r="O717" s="197"/>
      <c r="P717" s="197"/>
      <c r="Q717" s="197"/>
      <c r="R717" s="197"/>
      <c r="S717" s="197"/>
      <c r="T717" s="198"/>
      <c r="U717" s="197"/>
      <c r="V717" s="197"/>
      <c r="W717" s="197"/>
      <c r="X717" s="197"/>
      <c r="Y717" s="197"/>
      <c r="Z717" s="197"/>
    </row>
    <row r="718" spans="1:26">
      <c r="A718" s="197"/>
      <c r="B718" s="197"/>
      <c r="C718" s="197"/>
      <c r="D718" s="197"/>
      <c r="E718" s="197"/>
      <c r="F718" s="197"/>
      <c r="G718" s="197"/>
      <c r="H718" s="197"/>
      <c r="I718" s="197"/>
      <c r="J718" s="197"/>
      <c r="K718" s="197"/>
      <c r="L718" s="197"/>
      <c r="M718" s="197"/>
      <c r="N718" s="197"/>
      <c r="O718" s="197"/>
      <c r="P718" s="197"/>
      <c r="Q718" s="197"/>
      <c r="R718" s="197"/>
      <c r="S718" s="197"/>
      <c r="T718" s="198"/>
      <c r="U718" s="197"/>
      <c r="V718" s="197"/>
      <c r="W718" s="197"/>
      <c r="X718" s="197"/>
      <c r="Y718" s="197"/>
      <c r="Z718" s="197"/>
    </row>
    <row r="719" spans="1:26">
      <c r="A719" s="197"/>
      <c r="B719" s="197"/>
      <c r="C719" s="197"/>
      <c r="D719" s="197"/>
      <c r="E719" s="197"/>
      <c r="F719" s="197"/>
      <c r="G719" s="197"/>
      <c r="H719" s="197"/>
      <c r="I719" s="197"/>
      <c r="J719" s="197"/>
      <c r="K719" s="197"/>
      <c r="L719" s="197"/>
      <c r="M719" s="197"/>
      <c r="N719" s="197"/>
      <c r="O719" s="197"/>
      <c r="P719" s="197"/>
      <c r="Q719" s="197"/>
      <c r="R719" s="197"/>
      <c r="S719" s="197"/>
      <c r="T719" s="198"/>
      <c r="U719" s="197"/>
      <c r="V719" s="197"/>
      <c r="W719" s="197"/>
      <c r="X719" s="197"/>
      <c r="Y719" s="197"/>
      <c r="Z719" s="197"/>
    </row>
    <row r="720" spans="1:26">
      <c r="A720" s="197"/>
      <c r="B720" s="197"/>
      <c r="C720" s="197"/>
      <c r="D720" s="197"/>
      <c r="E720" s="197"/>
      <c r="F720" s="197"/>
      <c r="G720" s="197"/>
      <c r="H720" s="197"/>
      <c r="I720" s="197"/>
      <c r="J720" s="197"/>
      <c r="K720" s="197"/>
      <c r="L720" s="197"/>
      <c r="M720" s="197"/>
      <c r="N720" s="197"/>
      <c r="O720" s="197"/>
      <c r="P720" s="197"/>
      <c r="Q720" s="197"/>
      <c r="R720" s="197"/>
      <c r="S720" s="197"/>
      <c r="T720" s="198"/>
      <c r="U720" s="197"/>
      <c r="V720" s="197"/>
      <c r="W720" s="197"/>
      <c r="X720" s="197"/>
      <c r="Y720" s="197"/>
      <c r="Z720" s="197"/>
    </row>
    <row r="721" spans="1:26">
      <c r="A721" s="197"/>
      <c r="B721" s="197"/>
      <c r="C721" s="197"/>
      <c r="D721" s="197"/>
      <c r="E721" s="197"/>
      <c r="F721" s="197"/>
      <c r="G721" s="197"/>
      <c r="H721" s="197"/>
      <c r="I721" s="197"/>
      <c r="J721" s="197"/>
      <c r="K721" s="197"/>
      <c r="L721" s="197"/>
      <c r="M721" s="197"/>
      <c r="N721" s="197"/>
      <c r="O721" s="197"/>
      <c r="P721" s="197"/>
      <c r="Q721" s="197"/>
      <c r="R721" s="197"/>
      <c r="S721" s="197"/>
      <c r="T721" s="198"/>
      <c r="U721" s="197"/>
      <c r="V721" s="197"/>
      <c r="W721" s="197"/>
      <c r="X721" s="197"/>
      <c r="Y721" s="197"/>
      <c r="Z721" s="197"/>
    </row>
    <row r="722" spans="1:26">
      <c r="A722" s="197"/>
      <c r="B722" s="197"/>
      <c r="C722" s="197"/>
      <c r="D722" s="197"/>
      <c r="E722" s="197"/>
      <c r="F722" s="197"/>
      <c r="G722" s="197"/>
      <c r="H722" s="197"/>
      <c r="I722" s="197"/>
      <c r="J722" s="197"/>
      <c r="K722" s="197"/>
      <c r="L722" s="197"/>
      <c r="M722" s="197"/>
      <c r="N722" s="197"/>
      <c r="O722" s="197"/>
      <c r="P722" s="197"/>
      <c r="Q722" s="197"/>
      <c r="R722" s="197"/>
      <c r="S722" s="197"/>
      <c r="T722" s="198"/>
      <c r="U722" s="197"/>
      <c r="V722" s="197"/>
      <c r="W722" s="197"/>
      <c r="X722" s="197"/>
      <c r="Y722" s="197"/>
      <c r="Z722" s="197"/>
    </row>
    <row r="723" spans="1:26">
      <c r="A723" s="197"/>
      <c r="B723" s="197"/>
      <c r="C723" s="197"/>
      <c r="D723" s="197"/>
      <c r="E723" s="197"/>
      <c r="F723" s="197"/>
      <c r="G723" s="197"/>
      <c r="H723" s="197"/>
      <c r="I723" s="197"/>
      <c r="J723" s="197"/>
      <c r="K723" s="197"/>
      <c r="L723" s="197"/>
      <c r="M723" s="197"/>
      <c r="N723" s="197"/>
      <c r="O723" s="197"/>
      <c r="P723" s="197"/>
      <c r="Q723" s="197"/>
      <c r="R723" s="197"/>
      <c r="S723" s="197"/>
      <c r="T723" s="198"/>
      <c r="U723" s="197"/>
      <c r="V723" s="197"/>
      <c r="W723" s="197"/>
      <c r="X723" s="197"/>
      <c r="Y723" s="197"/>
      <c r="Z723" s="197"/>
    </row>
    <row r="724" spans="1:26">
      <c r="A724" s="197"/>
      <c r="B724" s="197"/>
      <c r="C724" s="197"/>
      <c r="D724" s="197"/>
      <c r="E724" s="197"/>
      <c r="F724" s="197"/>
      <c r="G724" s="197"/>
      <c r="H724" s="197"/>
      <c r="I724" s="197"/>
      <c r="J724" s="197"/>
      <c r="K724" s="197"/>
      <c r="L724" s="197"/>
      <c r="M724" s="197"/>
      <c r="N724" s="197"/>
      <c r="O724" s="197"/>
      <c r="P724" s="197"/>
      <c r="Q724" s="197"/>
      <c r="R724" s="197"/>
      <c r="S724" s="197"/>
      <c r="T724" s="198"/>
      <c r="U724" s="197"/>
      <c r="V724" s="197"/>
      <c r="W724" s="197"/>
      <c r="X724" s="197"/>
      <c r="Y724" s="197"/>
      <c r="Z724" s="197"/>
    </row>
    <row r="725" spans="1:26">
      <c r="A725" s="197"/>
      <c r="B725" s="197"/>
      <c r="C725" s="197"/>
      <c r="D725" s="197"/>
      <c r="E725" s="197"/>
      <c r="F725" s="197"/>
      <c r="G725" s="197"/>
      <c r="H725" s="197"/>
      <c r="I725" s="197"/>
      <c r="J725" s="197"/>
      <c r="K725" s="197"/>
      <c r="L725" s="197"/>
      <c r="M725" s="197"/>
      <c r="N725" s="197"/>
      <c r="O725" s="197"/>
      <c r="P725" s="197"/>
      <c r="Q725" s="197"/>
      <c r="R725" s="197"/>
      <c r="S725" s="197"/>
      <c r="T725" s="198"/>
      <c r="U725" s="197"/>
      <c r="V725" s="197"/>
      <c r="W725" s="197"/>
      <c r="X725" s="197"/>
      <c r="Y725" s="197"/>
      <c r="Z725" s="197"/>
    </row>
    <row r="726" spans="1:26">
      <c r="A726" s="197"/>
      <c r="B726" s="197"/>
      <c r="C726" s="197"/>
      <c r="D726" s="197"/>
      <c r="E726" s="197"/>
      <c r="F726" s="197"/>
      <c r="G726" s="197"/>
      <c r="H726" s="197"/>
      <c r="I726" s="197"/>
      <c r="J726" s="197"/>
      <c r="K726" s="197"/>
      <c r="L726" s="197"/>
      <c r="M726" s="197"/>
      <c r="N726" s="197"/>
      <c r="O726" s="197"/>
      <c r="P726" s="197"/>
      <c r="Q726" s="197"/>
      <c r="R726" s="197"/>
      <c r="S726" s="197"/>
      <c r="T726" s="198"/>
      <c r="U726" s="197"/>
      <c r="V726" s="197"/>
      <c r="W726" s="197"/>
      <c r="X726" s="197"/>
      <c r="Y726" s="197"/>
      <c r="Z726" s="197"/>
    </row>
    <row r="727" spans="1:26">
      <c r="A727" s="197"/>
      <c r="B727" s="197"/>
      <c r="C727" s="197"/>
      <c r="D727" s="197"/>
      <c r="E727" s="197"/>
      <c r="F727" s="197"/>
      <c r="G727" s="197"/>
      <c r="H727" s="197"/>
      <c r="I727" s="197"/>
      <c r="J727" s="197"/>
      <c r="K727" s="197"/>
      <c r="L727" s="197"/>
      <c r="M727" s="197"/>
      <c r="N727" s="197"/>
      <c r="O727" s="197"/>
      <c r="P727" s="197"/>
      <c r="Q727" s="197"/>
      <c r="R727" s="197"/>
      <c r="S727" s="197"/>
      <c r="T727" s="198"/>
      <c r="U727" s="197"/>
      <c r="V727" s="197"/>
      <c r="W727" s="197"/>
      <c r="X727" s="197"/>
      <c r="Y727" s="197"/>
      <c r="Z727" s="197"/>
    </row>
    <row r="728" spans="1:26">
      <c r="A728" s="197"/>
      <c r="B728" s="197"/>
      <c r="C728" s="197"/>
      <c r="D728" s="197"/>
      <c r="E728" s="197"/>
      <c r="F728" s="197"/>
      <c r="G728" s="197"/>
      <c r="H728" s="197"/>
      <c r="I728" s="197"/>
      <c r="J728" s="197"/>
      <c r="K728" s="197"/>
      <c r="L728" s="197"/>
      <c r="M728" s="197"/>
      <c r="N728" s="197"/>
      <c r="O728" s="197"/>
      <c r="P728" s="197"/>
      <c r="Q728" s="197"/>
      <c r="R728" s="197"/>
      <c r="S728" s="197"/>
      <c r="T728" s="198"/>
      <c r="U728" s="197"/>
      <c r="V728" s="197"/>
      <c r="W728" s="197"/>
      <c r="X728" s="197"/>
      <c r="Y728" s="197"/>
      <c r="Z728" s="197"/>
    </row>
    <row r="729" spans="1:26">
      <c r="A729" s="197"/>
      <c r="B729" s="197"/>
      <c r="C729" s="197"/>
      <c r="D729" s="197"/>
      <c r="E729" s="197"/>
      <c r="F729" s="197"/>
      <c r="G729" s="197"/>
      <c r="H729" s="197"/>
      <c r="I729" s="197"/>
      <c r="J729" s="197"/>
      <c r="K729" s="197"/>
      <c r="L729" s="197"/>
      <c r="M729" s="197"/>
      <c r="N729" s="197"/>
      <c r="O729" s="197"/>
      <c r="P729" s="197"/>
      <c r="Q729" s="197"/>
      <c r="R729" s="197"/>
      <c r="S729" s="197"/>
      <c r="T729" s="198"/>
      <c r="U729" s="197"/>
      <c r="V729" s="197"/>
      <c r="W729" s="197"/>
      <c r="X729" s="197"/>
      <c r="Y729" s="197"/>
      <c r="Z729" s="197"/>
    </row>
    <row r="730" spans="1:26">
      <c r="A730" s="197"/>
      <c r="B730" s="197"/>
      <c r="C730" s="197"/>
      <c r="D730" s="197"/>
      <c r="E730" s="197"/>
      <c r="F730" s="197"/>
      <c r="G730" s="197"/>
      <c r="H730" s="197"/>
      <c r="I730" s="197"/>
      <c r="J730" s="197"/>
      <c r="K730" s="197"/>
      <c r="L730" s="197"/>
      <c r="M730" s="197"/>
      <c r="N730" s="197"/>
      <c r="O730" s="197"/>
      <c r="P730" s="197"/>
      <c r="Q730" s="197"/>
      <c r="R730" s="197"/>
      <c r="S730" s="197"/>
      <c r="T730" s="198"/>
      <c r="U730" s="197"/>
      <c r="V730" s="197"/>
      <c r="W730" s="197"/>
      <c r="X730" s="197"/>
      <c r="Y730" s="197"/>
      <c r="Z730" s="197"/>
    </row>
    <row r="731" spans="1:26">
      <c r="A731" s="197"/>
      <c r="B731" s="197"/>
      <c r="C731" s="197"/>
      <c r="D731" s="197"/>
      <c r="E731" s="197"/>
      <c r="F731" s="197"/>
      <c r="G731" s="197"/>
      <c r="H731" s="197"/>
      <c r="I731" s="197"/>
      <c r="J731" s="197"/>
      <c r="K731" s="197"/>
      <c r="L731" s="197"/>
      <c r="M731" s="197"/>
      <c r="N731" s="197"/>
      <c r="O731" s="197"/>
      <c r="P731" s="197"/>
      <c r="Q731" s="197"/>
      <c r="R731" s="197"/>
      <c r="S731" s="197"/>
      <c r="T731" s="198"/>
      <c r="U731" s="197"/>
      <c r="V731" s="197"/>
      <c r="W731" s="197"/>
      <c r="X731" s="197"/>
      <c r="Y731" s="197"/>
      <c r="Z731" s="197"/>
    </row>
    <row r="732" spans="1:26">
      <c r="A732" s="197"/>
      <c r="B732" s="197"/>
      <c r="C732" s="197"/>
      <c r="D732" s="197"/>
      <c r="E732" s="197"/>
      <c r="F732" s="197"/>
      <c r="G732" s="197"/>
      <c r="H732" s="197"/>
      <c r="I732" s="197"/>
      <c r="J732" s="197"/>
      <c r="K732" s="197"/>
      <c r="L732" s="197"/>
      <c r="M732" s="197"/>
      <c r="N732" s="197"/>
      <c r="O732" s="197"/>
      <c r="P732" s="197"/>
      <c r="Q732" s="197"/>
      <c r="R732" s="197"/>
      <c r="S732" s="197"/>
      <c r="T732" s="198"/>
      <c r="U732" s="197"/>
      <c r="V732" s="197"/>
      <c r="W732" s="197"/>
      <c r="X732" s="197"/>
      <c r="Y732" s="197"/>
      <c r="Z732" s="197"/>
    </row>
    <row r="733" spans="1:26">
      <c r="A733" s="197"/>
      <c r="B733" s="197"/>
      <c r="C733" s="197"/>
      <c r="D733" s="197"/>
      <c r="E733" s="197"/>
      <c r="F733" s="197"/>
      <c r="G733" s="197"/>
      <c r="H733" s="197"/>
      <c r="I733" s="197"/>
      <c r="J733" s="197"/>
      <c r="K733" s="197"/>
      <c r="L733" s="197"/>
      <c r="M733" s="197"/>
      <c r="N733" s="197"/>
      <c r="O733" s="197"/>
      <c r="P733" s="197"/>
      <c r="Q733" s="197"/>
      <c r="R733" s="197"/>
      <c r="S733" s="197"/>
      <c r="T733" s="198"/>
      <c r="U733" s="197"/>
      <c r="V733" s="197"/>
      <c r="W733" s="197"/>
      <c r="X733" s="197"/>
      <c r="Y733" s="197"/>
      <c r="Z733" s="197"/>
    </row>
    <row r="734" spans="1:26">
      <c r="A734" s="197"/>
      <c r="B734" s="197"/>
      <c r="C734" s="197"/>
      <c r="D734" s="197"/>
      <c r="E734" s="197"/>
      <c r="F734" s="197"/>
      <c r="G734" s="197"/>
      <c r="H734" s="197"/>
      <c r="I734" s="197"/>
      <c r="J734" s="197"/>
      <c r="K734" s="197"/>
      <c r="L734" s="197"/>
      <c r="M734" s="197"/>
      <c r="N734" s="197"/>
      <c r="O734" s="197"/>
      <c r="P734" s="197"/>
      <c r="Q734" s="197"/>
      <c r="R734" s="197"/>
      <c r="S734" s="197"/>
      <c r="T734" s="198"/>
      <c r="U734" s="197"/>
      <c r="V734" s="197"/>
      <c r="W734" s="197"/>
      <c r="X734" s="197"/>
      <c r="Y734" s="197"/>
      <c r="Z734" s="197"/>
    </row>
    <row r="735" spans="1:26">
      <c r="A735" s="197"/>
      <c r="B735" s="197"/>
      <c r="C735" s="197"/>
      <c r="D735" s="197"/>
      <c r="E735" s="197"/>
      <c r="F735" s="197"/>
      <c r="G735" s="197"/>
      <c r="H735" s="197"/>
      <c r="I735" s="197"/>
      <c r="J735" s="197"/>
      <c r="K735" s="197"/>
      <c r="L735" s="197"/>
      <c r="M735" s="197"/>
      <c r="N735" s="197"/>
      <c r="O735" s="197"/>
      <c r="P735" s="197"/>
      <c r="Q735" s="197"/>
      <c r="R735" s="197"/>
      <c r="S735" s="197"/>
      <c r="T735" s="198"/>
      <c r="U735" s="197"/>
      <c r="V735" s="197"/>
      <c r="W735" s="197"/>
      <c r="X735" s="197"/>
      <c r="Y735" s="197"/>
      <c r="Z735" s="197"/>
    </row>
    <row r="736" spans="1:26">
      <c r="A736" s="197"/>
      <c r="B736" s="197"/>
      <c r="C736" s="197"/>
      <c r="D736" s="197"/>
      <c r="E736" s="197"/>
      <c r="F736" s="197"/>
      <c r="G736" s="197"/>
      <c r="H736" s="197"/>
      <c r="I736" s="197"/>
      <c r="J736" s="197"/>
      <c r="K736" s="197"/>
      <c r="L736" s="197"/>
      <c r="M736" s="197"/>
      <c r="N736" s="197"/>
      <c r="O736" s="197"/>
      <c r="P736" s="197"/>
      <c r="Q736" s="197"/>
      <c r="R736" s="197"/>
      <c r="S736" s="197"/>
      <c r="T736" s="198"/>
      <c r="U736" s="197"/>
      <c r="V736" s="197"/>
      <c r="W736" s="197"/>
      <c r="X736" s="197"/>
      <c r="Y736" s="197"/>
      <c r="Z736" s="197"/>
    </row>
    <row r="737" spans="1:26">
      <c r="A737" s="197"/>
      <c r="B737" s="197"/>
      <c r="C737" s="197"/>
      <c r="D737" s="197"/>
      <c r="E737" s="197"/>
      <c r="F737" s="197"/>
      <c r="G737" s="197"/>
      <c r="H737" s="197"/>
      <c r="I737" s="197"/>
      <c r="J737" s="197"/>
      <c r="K737" s="197"/>
      <c r="L737" s="197"/>
      <c r="M737" s="197"/>
      <c r="N737" s="197"/>
      <c r="O737" s="197"/>
      <c r="P737" s="197"/>
      <c r="Q737" s="197"/>
      <c r="R737" s="197"/>
      <c r="S737" s="197"/>
      <c r="T737" s="198"/>
      <c r="U737" s="197"/>
      <c r="V737" s="197"/>
      <c r="W737" s="197"/>
      <c r="X737" s="197"/>
      <c r="Y737" s="197"/>
      <c r="Z737" s="197"/>
    </row>
    <row r="738" spans="1:26">
      <c r="A738" s="197"/>
      <c r="B738" s="197"/>
      <c r="C738" s="197"/>
      <c r="D738" s="197"/>
      <c r="E738" s="197"/>
      <c r="F738" s="197"/>
      <c r="G738" s="197"/>
      <c r="H738" s="197"/>
      <c r="I738" s="197"/>
      <c r="J738" s="197"/>
      <c r="K738" s="197"/>
      <c r="L738" s="197"/>
      <c r="M738" s="197"/>
      <c r="N738" s="197"/>
      <c r="O738" s="197"/>
      <c r="P738" s="197"/>
      <c r="Q738" s="197"/>
      <c r="R738" s="197"/>
      <c r="S738" s="197"/>
      <c r="T738" s="198"/>
      <c r="U738" s="197"/>
      <c r="V738" s="197"/>
      <c r="W738" s="197"/>
      <c r="X738" s="197"/>
      <c r="Y738" s="197"/>
      <c r="Z738" s="197"/>
    </row>
    <row r="739" spans="1:26">
      <c r="A739" s="197"/>
      <c r="B739" s="197"/>
      <c r="C739" s="197"/>
      <c r="D739" s="197"/>
      <c r="E739" s="197"/>
      <c r="F739" s="197"/>
      <c r="G739" s="197"/>
      <c r="H739" s="197"/>
      <c r="I739" s="197"/>
      <c r="J739" s="197"/>
      <c r="K739" s="197"/>
      <c r="L739" s="197"/>
      <c r="M739" s="197"/>
      <c r="N739" s="197"/>
      <c r="O739" s="197"/>
      <c r="P739" s="197"/>
      <c r="Q739" s="197"/>
      <c r="R739" s="197"/>
      <c r="S739" s="197"/>
      <c r="T739" s="198"/>
      <c r="U739" s="197"/>
      <c r="V739" s="197"/>
      <c r="W739" s="197"/>
      <c r="X739" s="197"/>
      <c r="Y739" s="197"/>
      <c r="Z739" s="197"/>
    </row>
    <row r="740" spans="1:26">
      <c r="A740" s="197"/>
      <c r="B740" s="197"/>
      <c r="C740" s="197"/>
      <c r="D740" s="197"/>
      <c r="E740" s="197"/>
      <c r="F740" s="197"/>
      <c r="G740" s="197"/>
      <c r="H740" s="197"/>
      <c r="I740" s="197"/>
      <c r="J740" s="197"/>
      <c r="K740" s="197"/>
      <c r="L740" s="197"/>
      <c r="M740" s="197"/>
      <c r="N740" s="197"/>
      <c r="O740" s="197"/>
      <c r="P740" s="197"/>
      <c r="Q740" s="197"/>
      <c r="R740" s="197"/>
      <c r="S740" s="197"/>
      <c r="T740" s="198"/>
      <c r="U740" s="197"/>
      <c r="V740" s="197"/>
      <c r="W740" s="197"/>
      <c r="X740" s="197"/>
      <c r="Y740" s="197"/>
      <c r="Z740" s="197"/>
    </row>
    <row r="741" spans="1:26">
      <c r="A741" s="197"/>
      <c r="B741" s="197"/>
      <c r="C741" s="197"/>
      <c r="D741" s="197"/>
      <c r="E741" s="197"/>
      <c r="F741" s="197"/>
      <c r="G741" s="197"/>
      <c r="H741" s="197"/>
      <c r="I741" s="197"/>
      <c r="J741" s="197"/>
      <c r="K741" s="197"/>
      <c r="L741" s="197"/>
      <c r="M741" s="197"/>
      <c r="N741" s="197"/>
      <c r="O741" s="197"/>
      <c r="P741" s="197"/>
      <c r="Q741" s="197"/>
      <c r="R741" s="197"/>
      <c r="S741" s="197"/>
      <c r="T741" s="198"/>
      <c r="U741" s="197"/>
      <c r="V741" s="197"/>
      <c r="W741" s="197"/>
      <c r="X741" s="197"/>
      <c r="Y741" s="197"/>
      <c r="Z741" s="197"/>
    </row>
    <row r="742" spans="1:26">
      <c r="A742" s="197"/>
      <c r="B742" s="197"/>
      <c r="C742" s="197"/>
      <c r="D742" s="197"/>
      <c r="E742" s="197"/>
      <c r="F742" s="197"/>
      <c r="G742" s="197"/>
      <c r="H742" s="197"/>
      <c r="I742" s="197"/>
      <c r="J742" s="197"/>
      <c r="K742" s="197"/>
      <c r="L742" s="197"/>
      <c r="M742" s="197"/>
      <c r="N742" s="197"/>
      <c r="O742" s="197"/>
      <c r="P742" s="197"/>
      <c r="Q742" s="197"/>
      <c r="R742" s="197"/>
      <c r="S742" s="197"/>
      <c r="T742" s="198"/>
      <c r="U742" s="197"/>
      <c r="V742" s="197"/>
      <c r="W742" s="197"/>
      <c r="X742" s="197"/>
      <c r="Y742" s="197"/>
      <c r="Z742" s="197"/>
    </row>
    <row r="743" spans="1:26">
      <c r="A743" s="197"/>
      <c r="B743" s="197"/>
      <c r="C743" s="197"/>
      <c r="D743" s="197"/>
      <c r="E743" s="197"/>
      <c r="F743" s="197"/>
      <c r="G743" s="197"/>
      <c r="H743" s="197"/>
      <c r="I743" s="197"/>
      <c r="J743" s="197"/>
      <c r="K743" s="197"/>
      <c r="L743" s="197"/>
      <c r="M743" s="197"/>
      <c r="N743" s="197"/>
      <c r="O743" s="197"/>
      <c r="P743" s="197"/>
      <c r="Q743" s="197"/>
      <c r="R743" s="197"/>
      <c r="S743" s="197"/>
      <c r="T743" s="198"/>
      <c r="U743" s="197"/>
      <c r="V743" s="197"/>
      <c r="W743" s="197"/>
      <c r="X743" s="197"/>
      <c r="Y743" s="197"/>
      <c r="Z743" s="197"/>
    </row>
    <row r="744" spans="1:26">
      <c r="A744" s="197"/>
      <c r="B744" s="197"/>
      <c r="C744" s="197"/>
      <c r="D744" s="197"/>
      <c r="E744" s="197"/>
      <c r="F744" s="197"/>
      <c r="G744" s="197"/>
      <c r="H744" s="197"/>
      <c r="I744" s="197"/>
      <c r="J744" s="197"/>
      <c r="K744" s="197"/>
      <c r="L744" s="197"/>
      <c r="M744" s="197"/>
      <c r="N744" s="197"/>
      <c r="O744" s="197"/>
      <c r="P744" s="197"/>
      <c r="Q744" s="197"/>
      <c r="R744" s="197"/>
      <c r="S744" s="197"/>
      <c r="T744" s="198"/>
      <c r="U744" s="197"/>
      <c r="V744" s="197"/>
      <c r="W744" s="197"/>
      <c r="X744" s="197"/>
      <c r="Y744" s="197"/>
      <c r="Z744" s="197"/>
    </row>
    <row r="745" spans="1:26">
      <c r="A745" s="197"/>
      <c r="B745" s="197"/>
      <c r="C745" s="197"/>
      <c r="D745" s="197"/>
      <c r="E745" s="197"/>
      <c r="F745" s="197"/>
      <c r="G745" s="197"/>
      <c r="H745" s="197"/>
      <c r="I745" s="197"/>
      <c r="J745" s="197"/>
      <c r="K745" s="197"/>
      <c r="L745" s="197"/>
      <c r="M745" s="197"/>
      <c r="N745" s="197"/>
      <c r="O745" s="197"/>
      <c r="P745" s="197"/>
      <c r="Q745" s="197"/>
      <c r="R745" s="197"/>
      <c r="S745" s="197"/>
      <c r="T745" s="198"/>
      <c r="U745" s="197"/>
      <c r="V745" s="197"/>
      <c r="W745" s="197"/>
      <c r="X745" s="197"/>
      <c r="Y745" s="197"/>
      <c r="Z745" s="197"/>
    </row>
    <row r="746" spans="1:26">
      <c r="A746" s="197"/>
      <c r="B746" s="197"/>
      <c r="C746" s="197"/>
      <c r="D746" s="197"/>
      <c r="E746" s="197"/>
      <c r="F746" s="197"/>
      <c r="G746" s="197"/>
      <c r="H746" s="197"/>
      <c r="I746" s="197"/>
      <c r="J746" s="197"/>
      <c r="K746" s="197"/>
      <c r="L746" s="197"/>
      <c r="M746" s="197"/>
      <c r="N746" s="197"/>
      <c r="O746" s="197"/>
      <c r="P746" s="197"/>
      <c r="Q746" s="197"/>
      <c r="R746" s="197"/>
      <c r="S746" s="197"/>
      <c r="T746" s="198"/>
      <c r="U746" s="197"/>
      <c r="V746" s="197"/>
      <c r="W746" s="197"/>
      <c r="X746" s="197"/>
      <c r="Y746" s="197"/>
      <c r="Z746" s="197"/>
    </row>
    <row r="747" spans="1:26">
      <c r="A747" s="197"/>
      <c r="B747" s="197"/>
      <c r="C747" s="197"/>
      <c r="D747" s="197"/>
      <c r="E747" s="197"/>
      <c r="F747" s="197"/>
      <c r="G747" s="197"/>
      <c r="H747" s="197"/>
      <c r="I747" s="197"/>
      <c r="J747" s="197"/>
      <c r="K747" s="197"/>
      <c r="L747" s="197"/>
      <c r="M747" s="197"/>
      <c r="N747" s="197"/>
      <c r="O747" s="197"/>
      <c r="P747" s="197"/>
      <c r="Q747" s="197"/>
      <c r="R747" s="197"/>
      <c r="S747" s="197"/>
      <c r="T747" s="198"/>
      <c r="U747" s="197"/>
      <c r="V747" s="197"/>
      <c r="W747" s="197"/>
      <c r="X747" s="197"/>
      <c r="Y747" s="197"/>
      <c r="Z747" s="197"/>
    </row>
    <row r="748" spans="1:26">
      <c r="A748" s="197"/>
      <c r="B748" s="197"/>
      <c r="C748" s="197"/>
      <c r="D748" s="197"/>
      <c r="E748" s="197"/>
      <c r="F748" s="197"/>
      <c r="G748" s="197"/>
      <c r="H748" s="197"/>
      <c r="I748" s="197"/>
      <c r="J748" s="197"/>
      <c r="K748" s="197"/>
      <c r="L748" s="197"/>
      <c r="M748" s="197"/>
      <c r="N748" s="197"/>
      <c r="O748" s="197"/>
      <c r="P748" s="197"/>
      <c r="Q748" s="197"/>
      <c r="R748" s="197"/>
      <c r="S748" s="197"/>
      <c r="T748" s="198"/>
      <c r="U748" s="197"/>
      <c r="V748" s="197"/>
      <c r="W748" s="197"/>
      <c r="X748" s="197"/>
      <c r="Y748" s="197"/>
      <c r="Z748" s="197"/>
    </row>
    <row r="749" spans="1:26">
      <c r="A749" s="197"/>
      <c r="B749" s="197"/>
      <c r="C749" s="197"/>
      <c r="D749" s="197"/>
      <c r="E749" s="197"/>
      <c r="F749" s="197"/>
      <c r="G749" s="197"/>
      <c r="H749" s="197"/>
      <c r="I749" s="197"/>
      <c r="J749" s="197"/>
      <c r="K749" s="197"/>
      <c r="L749" s="197"/>
      <c r="M749" s="197"/>
      <c r="N749" s="197"/>
      <c r="O749" s="197"/>
      <c r="P749" s="197"/>
      <c r="Q749" s="197"/>
      <c r="R749" s="197"/>
      <c r="S749" s="197"/>
      <c r="T749" s="198"/>
      <c r="U749" s="197"/>
      <c r="V749" s="197"/>
      <c r="W749" s="197"/>
      <c r="X749" s="197"/>
      <c r="Y749" s="197"/>
      <c r="Z749" s="197"/>
    </row>
    <row r="750" spans="1:26">
      <c r="A750" s="197"/>
      <c r="B750" s="197"/>
      <c r="C750" s="197"/>
      <c r="D750" s="197"/>
      <c r="E750" s="197"/>
      <c r="F750" s="197"/>
      <c r="G750" s="197"/>
      <c r="H750" s="197"/>
      <c r="I750" s="197"/>
      <c r="J750" s="197"/>
      <c r="K750" s="197"/>
      <c r="L750" s="197"/>
      <c r="M750" s="197"/>
      <c r="N750" s="197"/>
      <c r="O750" s="197"/>
      <c r="P750" s="197"/>
      <c r="Q750" s="197"/>
      <c r="R750" s="197"/>
      <c r="S750" s="197"/>
      <c r="T750" s="198"/>
      <c r="U750" s="197"/>
      <c r="V750" s="197"/>
      <c r="W750" s="197"/>
      <c r="X750" s="197"/>
      <c r="Y750" s="197"/>
      <c r="Z750" s="197"/>
    </row>
    <row r="751" spans="1:26">
      <c r="A751" s="197"/>
      <c r="B751" s="197"/>
      <c r="C751" s="197"/>
      <c r="D751" s="197"/>
      <c r="E751" s="197"/>
      <c r="F751" s="197"/>
      <c r="G751" s="197"/>
      <c r="H751" s="197"/>
      <c r="I751" s="197"/>
      <c r="J751" s="197"/>
      <c r="K751" s="197"/>
      <c r="L751" s="197"/>
      <c r="M751" s="197"/>
      <c r="N751" s="197"/>
      <c r="O751" s="197"/>
      <c r="P751" s="197"/>
      <c r="Q751" s="197"/>
      <c r="R751" s="197"/>
      <c r="S751" s="197"/>
      <c r="T751" s="198"/>
      <c r="U751" s="197"/>
      <c r="V751" s="197"/>
      <c r="W751" s="197"/>
      <c r="X751" s="197"/>
      <c r="Y751" s="197"/>
      <c r="Z751" s="197"/>
    </row>
    <row r="752" spans="1:26">
      <c r="A752" s="197"/>
      <c r="B752" s="197"/>
      <c r="C752" s="197"/>
      <c r="D752" s="197"/>
      <c r="E752" s="197"/>
      <c r="F752" s="197"/>
      <c r="G752" s="197"/>
      <c r="H752" s="197"/>
      <c r="I752" s="197"/>
      <c r="J752" s="197"/>
      <c r="K752" s="197"/>
      <c r="L752" s="197"/>
      <c r="M752" s="197"/>
      <c r="N752" s="197"/>
      <c r="O752" s="197"/>
      <c r="P752" s="197"/>
      <c r="Q752" s="197"/>
      <c r="R752" s="197"/>
      <c r="S752" s="197"/>
      <c r="T752" s="198"/>
      <c r="U752" s="197"/>
      <c r="V752" s="197"/>
      <c r="W752" s="197"/>
      <c r="X752" s="197"/>
      <c r="Y752" s="197"/>
      <c r="Z752" s="197"/>
    </row>
    <row r="753" spans="1:26">
      <c r="A753" s="197"/>
      <c r="B753" s="197"/>
      <c r="C753" s="197"/>
      <c r="D753" s="197"/>
      <c r="E753" s="197"/>
      <c r="F753" s="197"/>
      <c r="G753" s="197"/>
      <c r="H753" s="197"/>
      <c r="I753" s="197"/>
      <c r="J753" s="197"/>
      <c r="K753" s="197"/>
      <c r="L753" s="197"/>
      <c r="M753" s="197"/>
      <c r="N753" s="197"/>
      <c r="O753" s="197"/>
      <c r="P753" s="197"/>
      <c r="Q753" s="197"/>
      <c r="R753" s="197"/>
      <c r="S753" s="197"/>
      <c r="T753" s="198"/>
      <c r="U753" s="197"/>
      <c r="V753" s="197"/>
      <c r="W753" s="197"/>
      <c r="X753" s="197"/>
      <c r="Y753" s="197"/>
      <c r="Z753" s="197"/>
    </row>
    <row r="754" spans="1:26">
      <c r="A754" s="197"/>
      <c r="B754" s="197"/>
      <c r="C754" s="197"/>
      <c r="D754" s="197"/>
      <c r="E754" s="197"/>
      <c r="F754" s="197"/>
      <c r="G754" s="197"/>
      <c r="H754" s="197"/>
      <c r="I754" s="197"/>
      <c r="J754" s="197"/>
      <c r="K754" s="197"/>
      <c r="L754" s="197"/>
      <c r="M754" s="197"/>
      <c r="N754" s="197"/>
      <c r="O754" s="197"/>
      <c r="P754" s="197"/>
      <c r="Q754" s="197"/>
      <c r="R754" s="197"/>
      <c r="S754" s="197"/>
      <c r="T754" s="198"/>
      <c r="U754" s="197"/>
      <c r="V754" s="197"/>
      <c r="W754" s="197"/>
      <c r="X754" s="197"/>
      <c r="Y754" s="197"/>
      <c r="Z754" s="197"/>
    </row>
    <row r="755" spans="1:26">
      <c r="A755" s="197"/>
      <c r="B755" s="197"/>
      <c r="C755" s="197"/>
      <c r="D755" s="197"/>
      <c r="E755" s="197"/>
      <c r="F755" s="197"/>
      <c r="G755" s="197"/>
      <c r="H755" s="197"/>
      <c r="I755" s="197"/>
      <c r="J755" s="197"/>
      <c r="K755" s="197"/>
      <c r="L755" s="197"/>
      <c r="M755" s="197"/>
      <c r="N755" s="197"/>
      <c r="O755" s="197"/>
      <c r="P755" s="197"/>
      <c r="Q755" s="197"/>
      <c r="R755" s="197"/>
      <c r="S755" s="197"/>
      <c r="T755" s="198"/>
      <c r="U755" s="197"/>
      <c r="V755" s="197"/>
      <c r="W755" s="197"/>
      <c r="X755" s="197"/>
      <c r="Y755" s="197"/>
      <c r="Z755" s="197"/>
    </row>
    <row r="756" spans="1:26">
      <c r="A756" s="197"/>
      <c r="B756" s="197"/>
      <c r="C756" s="197"/>
      <c r="D756" s="197"/>
      <c r="E756" s="197"/>
      <c r="F756" s="197"/>
      <c r="G756" s="197"/>
      <c r="H756" s="197"/>
      <c r="I756" s="197"/>
      <c r="J756" s="197"/>
      <c r="K756" s="197"/>
      <c r="L756" s="197"/>
      <c r="M756" s="197"/>
      <c r="N756" s="197"/>
      <c r="O756" s="197"/>
      <c r="P756" s="197"/>
      <c r="Q756" s="197"/>
      <c r="R756" s="197"/>
      <c r="S756" s="197"/>
      <c r="T756" s="198"/>
      <c r="U756" s="197"/>
      <c r="V756" s="197"/>
      <c r="W756" s="197"/>
      <c r="X756" s="197"/>
      <c r="Y756" s="197"/>
      <c r="Z756" s="197"/>
    </row>
    <row r="757" spans="1:26">
      <c r="A757" s="197"/>
      <c r="B757" s="197"/>
      <c r="C757" s="197"/>
      <c r="D757" s="197"/>
      <c r="E757" s="197"/>
      <c r="F757" s="197"/>
      <c r="G757" s="197"/>
      <c r="H757" s="197"/>
      <c r="I757" s="197"/>
      <c r="J757" s="197"/>
      <c r="K757" s="197"/>
      <c r="L757" s="197"/>
      <c r="M757" s="197"/>
      <c r="N757" s="197"/>
      <c r="O757" s="197"/>
      <c r="P757" s="197"/>
      <c r="Q757" s="197"/>
      <c r="R757" s="197"/>
      <c r="S757" s="197"/>
      <c r="T757" s="198"/>
      <c r="U757" s="197"/>
      <c r="V757" s="197"/>
      <c r="W757" s="197"/>
      <c r="X757" s="197"/>
      <c r="Y757" s="197"/>
      <c r="Z757" s="197"/>
    </row>
    <row r="758" spans="1:26">
      <c r="A758" s="197"/>
      <c r="B758" s="197"/>
      <c r="C758" s="197"/>
      <c r="D758" s="197"/>
      <c r="E758" s="197"/>
      <c r="F758" s="197"/>
      <c r="G758" s="197"/>
      <c r="H758" s="197"/>
      <c r="I758" s="197"/>
      <c r="J758" s="197"/>
      <c r="K758" s="197"/>
      <c r="L758" s="197"/>
      <c r="M758" s="197"/>
      <c r="N758" s="197"/>
      <c r="O758" s="197"/>
      <c r="P758" s="197"/>
      <c r="Q758" s="197"/>
      <c r="R758" s="197"/>
      <c r="S758" s="197"/>
      <c r="T758" s="198"/>
      <c r="U758" s="197"/>
      <c r="V758" s="197"/>
      <c r="W758" s="197"/>
      <c r="X758" s="197"/>
      <c r="Y758" s="197"/>
      <c r="Z758" s="197"/>
    </row>
    <row r="759" spans="1:26">
      <c r="A759" s="197"/>
      <c r="B759" s="197"/>
      <c r="C759" s="197"/>
      <c r="D759" s="197"/>
      <c r="E759" s="197"/>
      <c r="F759" s="197"/>
      <c r="G759" s="197"/>
      <c r="H759" s="197"/>
      <c r="I759" s="197"/>
      <c r="J759" s="197"/>
      <c r="K759" s="197"/>
      <c r="L759" s="197"/>
      <c r="M759" s="197"/>
      <c r="N759" s="197"/>
      <c r="O759" s="197"/>
      <c r="P759" s="197"/>
      <c r="Q759" s="197"/>
      <c r="R759" s="197"/>
      <c r="S759" s="197"/>
      <c r="T759" s="198"/>
      <c r="U759" s="197"/>
      <c r="V759" s="197"/>
      <c r="W759" s="197"/>
      <c r="X759" s="197"/>
      <c r="Y759" s="197"/>
      <c r="Z759" s="197"/>
    </row>
    <row r="760" spans="1:26">
      <c r="A760" s="197"/>
      <c r="B760" s="197"/>
      <c r="C760" s="197"/>
      <c r="D760" s="197"/>
      <c r="E760" s="197"/>
      <c r="F760" s="197"/>
      <c r="G760" s="197"/>
      <c r="H760" s="197"/>
      <c r="I760" s="197"/>
      <c r="J760" s="197"/>
      <c r="K760" s="197"/>
      <c r="L760" s="197"/>
      <c r="M760" s="197"/>
      <c r="N760" s="197"/>
      <c r="O760" s="197"/>
      <c r="P760" s="197"/>
      <c r="Q760" s="197"/>
      <c r="R760" s="197"/>
      <c r="S760" s="197"/>
      <c r="T760" s="198"/>
      <c r="U760" s="197"/>
      <c r="V760" s="197"/>
      <c r="W760" s="197"/>
      <c r="X760" s="197"/>
      <c r="Y760" s="197"/>
      <c r="Z760" s="197"/>
    </row>
    <row r="761" spans="1:26">
      <c r="A761" s="197"/>
      <c r="B761" s="197"/>
      <c r="C761" s="197"/>
      <c r="D761" s="197"/>
      <c r="E761" s="197"/>
      <c r="F761" s="197"/>
      <c r="G761" s="197"/>
      <c r="H761" s="197"/>
      <c r="I761" s="197"/>
      <c r="J761" s="197"/>
      <c r="K761" s="197"/>
      <c r="L761" s="197"/>
      <c r="M761" s="197"/>
      <c r="N761" s="197"/>
      <c r="O761" s="197"/>
      <c r="P761" s="197"/>
      <c r="Q761" s="197"/>
      <c r="R761" s="197"/>
      <c r="S761" s="197"/>
      <c r="T761" s="198"/>
      <c r="U761" s="197"/>
      <c r="V761" s="197"/>
      <c r="W761" s="197"/>
      <c r="X761" s="197"/>
      <c r="Y761" s="197"/>
      <c r="Z761" s="197"/>
    </row>
    <row r="762" spans="1:26">
      <c r="A762" s="197"/>
      <c r="B762" s="197"/>
      <c r="C762" s="197"/>
      <c r="D762" s="197"/>
      <c r="E762" s="197"/>
      <c r="F762" s="197"/>
      <c r="G762" s="197"/>
      <c r="H762" s="197"/>
      <c r="I762" s="197"/>
      <c r="J762" s="197"/>
      <c r="K762" s="197"/>
      <c r="L762" s="197"/>
      <c r="M762" s="197"/>
      <c r="N762" s="197"/>
      <c r="O762" s="197"/>
      <c r="P762" s="197"/>
      <c r="Q762" s="197"/>
      <c r="R762" s="197"/>
      <c r="S762" s="197"/>
      <c r="T762" s="198"/>
      <c r="U762" s="197"/>
      <c r="V762" s="197"/>
      <c r="W762" s="197"/>
      <c r="X762" s="197"/>
      <c r="Y762" s="197"/>
      <c r="Z762" s="197"/>
    </row>
    <row r="763" spans="1:26">
      <c r="A763" s="197"/>
      <c r="B763" s="197"/>
      <c r="C763" s="197"/>
      <c r="D763" s="197"/>
      <c r="E763" s="197"/>
      <c r="F763" s="197"/>
      <c r="G763" s="197"/>
      <c r="H763" s="197"/>
      <c r="I763" s="197"/>
      <c r="J763" s="197"/>
      <c r="K763" s="197"/>
      <c r="L763" s="197"/>
      <c r="M763" s="197"/>
      <c r="N763" s="197"/>
      <c r="O763" s="197"/>
      <c r="P763" s="197"/>
      <c r="Q763" s="197"/>
      <c r="R763" s="197"/>
      <c r="S763" s="197"/>
      <c r="T763" s="198"/>
      <c r="U763" s="197"/>
      <c r="V763" s="197"/>
      <c r="W763" s="197"/>
      <c r="X763" s="197"/>
      <c r="Y763" s="197"/>
      <c r="Z763" s="197"/>
    </row>
    <row r="764" spans="1:26">
      <c r="A764" s="197"/>
      <c r="B764" s="197"/>
      <c r="C764" s="197"/>
      <c r="D764" s="197"/>
      <c r="E764" s="197"/>
      <c r="F764" s="197"/>
      <c r="G764" s="197"/>
      <c r="H764" s="197"/>
      <c r="I764" s="197"/>
      <c r="J764" s="197"/>
      <c r="K764" s="197"/>
      <c r="L764" s="197"/>
      <c r="M764" s="197"/>
      <c r="N764" s="197"/>
      <c r="O764" s="197"/>
      <c r="P764" s="197"/>
      <c r="Q764" s="197"/>
      <c r="R764" s="197"/>
      <c r="S764" s="197"/>
      <c r="T764" s="198"/>
      <c r="U764" s="197"/>
      <c r="V764" s="197"/>
      <c r="W764" s="197"/>
      <c r="X764" s="197"/>
      <c r="Y764" s="197"/>
      <c r="Z764" s="197"/>
    </row>
    <row r="765" spans="1:26">
      <c r="A765" s="197"/>
      <c r="B765" s="197"/>
      <c r="C765" s="197"/>
      <c r="D765" s="197"/>
      <c r="E765" s="197"/>
      <c r="F765" s="197"/>
      <c r="G765" s="197"/>
      <c r="H765" s="197"/>
      <c r="I765" s="197"/>
      <c r="J765" s="197"/>
      <c r="K765" s="197"/>
      <c r="L765" s="197"/>
      <c r="M765" s="197"/>
      <c r="N765" s="197"/>
      <c r="O765" s="197"/>
      <c r="P765" s="197"/>
      <c r="Q765" s="197"/>
      <c r="R765" s="197"/>
      <c r="S765" s="197"/>
      <c r="T765" s="198"/>
      <c r="U765" s="197"/>
      <c r="V765" s="197"/>
      <c r="W765" s="197"/>
      <c r="X765" s="197"/>
      <c r="Y765" s="197"/>
      <c r="Z765" s="197"/>
    </row>
    <row r="766" spans="1:26">
      <c r="A766" s="197"/>
      <c r="B766" s="197"/>
      <c r="C766" s="197"/>
      <c r="D766" s="197"/>
      <c r="E766" s="197"/>
      <c r="F766" s="197"/>
      <c r="G766" s="197"/>
      <c r="H766" s="197"/>
      <c r="I766" s="197"/>
      <c r="J766" s="197"/>
      <c r="K766" s="197"/>
      <c r="L766" s="197"/>
      <c r="M766" s="197"/>
      <c r="N766" s="197"/>
      <c r="O766" s="197"/>
      <c r="P766" s="197"/>
      <c r="Q766" s="197"/>
      <c r="R766" s="197"/>
      <c r="S766" s="197"/>
      <c r="T766" s="198"/>
      <c r="U766" s="197"/>
      <c r="V766" s="197"/>
      <c r="W766" s="197"/>
      <c r="X766" s="197"/>
      <c r="Y766" s="197"/>
      <c r="Z766" s="197"/>
    </row>
    <row r="767" spans="1:26">
      <c r="A767" s="197"/>
      <c r="B767" s="197"/>
      <c r="C767" s="197"/>
      <c r="D767" s="197"/>
      <c r="E767" s="197"/>
      <c r="F767" s="197"/>
      <c r="G767" s="197"/>
      <c r="H767" s="197"/>
      <c r="I767" s="197"/>
      <c r="J767" s="197"/>
      <c r="K767" s="197"/>
      <c r="L767" s="197"/>
      <c r="M767" s="197"/>
      <c r="N767" s="197"/>
      <c r="O767" s="197"/>
      <c r="P767" s="197"/>
      <c r="Q767" s="197"/>
      <c r="R767" s="197"/>
      <c r="S767" s="197"/>
      <c r="T767" s="198"/>
      <c r="U767" s="197"/>
      <c r="V767" s="197"/>
      <c r="W767" s="197"/>
      <c r="X767" s="197"/>
      <c r="Y767" s="197"/>
      <c r="Z767" s="197"/>
    </row>
    <row r="768" spans="1:26">
      <c r="A768" s="197"/>
      <c r="B768" s="197"/>
      <c r="C768" s="197"/>
      <c r="D768" s="197"/>
      <c r="E768" s="197"/>
      <c r="F768" s="197"/>
      <c r="G768" s="197"/>
      <c r="H768" s="197"/>
      <c r="I768" s="197"/>
      <c r="J768" s="197"/>
      <c r="K768" s="197"/>
      <c r="L768" s="197"/>
      <c r="M768" s="197"/>
      <c r="N768" s="197"/>
      <c r="O768" s="197"/>
      <c r="P768" s="197"/>
      <c r="Q768" s="197"/>
      <c r="R768" s="197"/>
      <c r="S768" s="197"/>
      <c r="T768" s="198"/>
      <c r="U768" s="197"/>
      <c r="V768" s="197"/>
      <c r="W768" s="197"/>
      <c r="X768" s="197"/>
      <c r="Y768" s="197"/>
      <c r="Z768" s="197"/>
    </row>
    <row r="769" spans="1:26">
      <c r="A769" s="197"/>
      <c r="B769" s="197"/>
      <c r="C769" s="197"/>
      <c r="D769" s="197"/>
      <c r="E769" s="197"/>
      <c r="F769" s="197"/>
      <c r="G769" s="197"/>
      <c r="H769" s="197"/>
      <c r="I769" s="197"/>
      <c r="J769" s="197"/>
      <c r="K769" s="197"/>
      <c r="L769" s="197"/>
      <c r="M769" s="197"/>
      <c r="N769" s="197"/>
      <c r="O769" s="197"/>
      <c r="P769" s="197"/>
      <c r="Q769" s="197"/>
      <c r="R769" s="197"/>
      <c r="S769" s="197"/>
      <c r="T769" s="198"/>
      <c r="U769" s="197"/>
      <c r="V769" s="197"/>
      <c r="W769" s="197"/>
      <c r="X769" s="197"/>
      <c r="Y769" s="197"/>
      <c r="Z769" s="197"/>
    </row>
    <row r="770" spans="1:26">
      <c r="A770" s="197"/>
      <c r="B770" s="197"/>
      <c r="C770" s="197"/>
      <c r="D770" s="197"/>
      <c r="E770" s="197"/>
      <c r="F770" s="197"/>
      <c r="G770" s="197"/>
      <c r="H770" s="197"/>
      <c r="I770" s="197"/>
      <c r="J770" s="197"/>
      <c r="K770" s="197"/>
      <c r="L770" s="197"/>
      <c r="M770" s="197"/>
      <c r="N770" s="197"/>
      <c r="O770" s="197"/>
      <c r="P770" s="197"/>
      <c r="Q770" s="197"/>
      <c r="R770" s="197"/>
      <c r="S770" s="197"/>
      <c r="T770" s="198"/>
      <c r="U770" s="197"/>
      <c r="V770" s="197"/>
      <c r="W770" s="197"/>
      <c r="X770" s="197"/>
      <c r="Y770" s="197"/>
      <c r="Z770" s="197"/>
    </row>
    <row r="771" spans="1:26">
      <c r="A771" s="197"/>
      <c r="B771" s="197"/>
      <c r="C771" s="197"/>
      <c r="D771" s="197"/>
      <c r="E771" s="197"/>
      <c r="F771" s="197"/>
      <c r="G771" s="197"/>
      <c r="H771" s="197"/>
      <c r="I771" s="197"/>
      <c r="J771" s="197"/>
      <c r="K771" s="197"/>
      <c r="L771" s="197"/>
      <c r="M771" s="197"/>
      <c r="N771" s="197"/>
      <c r="O771" s="197"/>
      <c r="P771" s="197"/>
      <c r="Q771" s="197"/>
      <c r="R771" s="197"/>
      <c r="S771" s="197"/>
      <c r="T771" s="198"/>
      <c r="U771" s="197"/>
      <c r="V771" s="197"/>
      <c r="W771" s="197"/>
      <c r="X771" s="197"/>
      <c r="Y771" s="197"/>
      <c r="Z771" s="197"/>
    </row>
    <row r="772" spans="1:26">
      <c r="A772" s="197"/>
      <c r="B772" s="197"/>
      <c r="C772" s="197"/>
      <c r="D772" s="197"/>
      <c r="E772" s="197"/>
      <c r="F772" s="197"/>
      <c r="G772" s="197"/>
      <c r="H772" s="197"/>
      <c r="I772" s="197"/>
      <c r="J772" s="197"/>
      <c r="K772" s="197"/>
      <c r="L772" s="197"/>
      <c r="M772" s="197"/>
      <c r="N772" s="197"/>
      <c r="O772" s="197"/>
      <c r="P772" s="197"/>
      <c r="Q772" s="197"/>
      <c r="R772" s="197"/>
      <c r="S772" s="197"/>
      <c r="T772" s="198"/>
      <c r="U772" s="197"/>
      <c r="V772" s="197"/>
      <c r="W772" s="197"/>
      <c r="X772" s="197"/>
      <c r="Y772" s="197"/>
      <c r="Z772" s="197"/>
    </row>
    <row r="773" spans="1:26">
      <c r="A773" s="197"/>
      <c r="B773" s="197"/>
      <c r="C773" s="197"/>
      <c r="D773" s="197"/>
      <c r="E773" s="197"/>
      <c r="F773" s="197"/>
      <c r="G773" s="197"/>
      <c r="H773" s="197"/>
      <c r="I773" s="197"/>
      <c r="J773" s="197"/>
      <c r="K773" s="197"/>
      <c r="L773" s="197"/>
      <c r="M773" s="197"/>
      <c r="N773" s="197"/>
      <c r="O773" s="197"/>
      <c r="P773" s="197"/>
      <c r="Q773" s="197"/>
      <c r="R773" s="197"/>
      <c r="S773" s="197"/>
      <c r="T773" s="198"/>
      <c r="U773" s="197"/>
      <c r="V773" s="197"/>
      <c r="W773" s="197"/>
      <c r="X773" s="197"/>
      <c r="Y773" s="197"/>
      <c r="Z773" s="197"/>
    </row>
    <row r="774" spans="1:26">
      <c r="A774" s="197"/>
      <c r="B774" s="197"/>
      <c r="C774" s="197"/>
      <c r="D774" s="197"/>
      <c r="E774" s="197"/>
      <c r="F774" s="197"/>
      <c r="G774" s="197"/>
      <c r="H774" s="197"/>
      <c r="I774" s="197"/>
      <c r="J774" s="197"/>
      <c r="K774" s="197"/>
      <c r="L774" s="197"/>
      <c r="M774" s="197"/>
      <c r="N774" s="197"/>
      <c r="O774" s="197"/>
      <c r="P774" s="197"/>
      <c r="Q774" s="197"/>
      <c r="R774" s="197"/>
      <c r="S774" s="197"/>
      <c r="T774" s="198"/>
      <c r="U774" s="197"/>
      <c r="V774" s="197"/>
      <c r="W774" s="197"/>
      <c r="X774" s="197"/>
      <c r="Y774" s="197"/>
      <c r="Z774" s="197"/>
    </row>
    <row r="775" spans="1:26">
      <c r="A775" s="197"/>
      <c r="B775" s="197"/>
      <c r="C775" s="197"/>
      <c r="D775" s="197"/>
      <c r="E775" s="197"/>
      <c r="F775" s="197"/>
      <c r="G775" s="197"/>
      <c r="H775" s="197"/>
      <c r="I775" s="197"/>
      <c r="J775" s="197"/>
      <c r="K775" s="197"/>
      <c r="L775" s="197"/>
      <c r="M775" s="197"/>
      <c r="N775" s="197"/>
      <c r="O775" s="197"/>
      <c r="P775" s="197"/>
      <c r="Q775" s="197"/>
      <c r="R775" s="197"/>
      <c r="S775" s="197"/>
      <c r="T775" s="198"/>
      <c r="U775" s="197"/>
      <c r="V775" s="197"/>
      <c r="W775" s="197"/>
      <c r="X775" s="197"/>
      <c r="Y775" s="197"/>
      <c r="Z775" s="197"/>
    </row>
    <row r="776" spans="1:26">
      <c r="A776" s="197"/>
      <c r="B776" s="197"/>
      <c r="C776" s="197"/>
      <c r="D776" s="197"/>
      <c r="E776" s="197"/>
      <c r="F776" s="197"/>
      <c r="G776" s="197"/>
      <c r="H776" s="197"/>
      <c r="I776" s="197"/>
      <c r="J776" s="197"/>
      <c r="K776" s="197"/>
      <c r="L776" s="197"/>
      <c r="M776" s="197"/>
      <c r="N776" s="197"/>
      <c r="O776" s="197"/>
      <c r="P776" s="197"/>
      <c r="Q776" s="197"/>
      <c r="R776" s="197"/>
      <c r="S776" s="197"/>
      <c r="T776" s="198"/>
      <c r="U776" s="197"/>
      <c r="V776" s="197"/>
      <c r="W776" s="197"/>
      <c r="X776" s="197"/>
      <c r="Y776" s="197"/>
      <c r="Z776" s="197"/>
    </row>
    <row r="777" spans="1:26">
      <c r="A777" s="197"/>
      <c r="B777" s="197"/>
      <c r="C777" s="197"/>
      <c r="D777" s="197"/>
      <c r="E777" s="197"/>
      <c r="F777" s="197"/>
      <c r="G777" s="197"/>
      <c r="H777" s="197"/>
      <c r="I777" s="197"/>
      <c r="J777" s="197"/>
      <c r="K777" s="197"/>
      <c r="L777" s="197"/>
      <c r="M777" s="197"/>
      <c r="N777" s="197"/>
      <c r="O777" s="197"/>
      <c r="P777" s="197"/>
      <c r="Q777" s="197"/>
      <c r="R777" s="197"/>
      <c r="S777" s="197"/>
      <c r="T777" s="198"/>
      <c r="U777" s="197"/>
      <c r="V777" s="197"/>
      <c r="W777" s="197"/>
      <c r="X777" s="197"/>
      <c r="Y777" s="197"/>
      <c r="Z777" s="197"/>
    </row>
    <row r="778" spans="1:26">
      <c r="A778" s="197"/>
      <c r="B778" s="197"/>
      <c r="C778" s="197"/>
      <c r="D778" s="197"/>
      <c r="E778" s="197"/>
      <c r="F778" s="197"/>
      <c r="G778" s="197"/>
      <c r="H778" s="197"/>
      <c r="I778" s="197"/>
      <c r="J778" s="197"/>
      <c r="K778" s="197"/>
      <c r="L778" s="197"/>
      <c r="M778" s="197"/>
      <c r="N778" s="197"/>
      <c r="O778" s="197"/>
      <c r="P778" s="197"/>
      <c r="Q778" s="197"/>
      <c r="R778" s="197"/>
      <c r="S778" s="197"/>
      <c r="T778" s="198"/>
      <c r="U778" s="197"/>
      <c r="V778" s="197"/>
      <c r="W778" s="197"/>
      <c r="X778" s="197"/>
      <c r="Y778" s="197"/>
      <c r="Z778" s="197"/>
    </row>
    <row r="779" spans="1:26">
      <c r="A779" s="197"/>
      <c r="B779" s="197"/>
      <c r="C779" s="197"/>
      <c r="D779" s="197"/>
      <c r="E779" s="197"/>
      <c r="F779" s="197"/>
      <c r="G779" s="197"/>
      <c r="H779" s="197"/>
      <c r="I779" s="197"/>
      <c r="J779" s="197"/>
      <c r="K779" s="197"/>
      <c r="L779" s="197"/>
      <c r="M779" s="197"/>
      <c r="N779" s="197"/>
      <c r="O779" s="197"/>
      <c r="P779" s="197"/>
      <c r="Q779" s="197"/>
      <c r="R779" s="197"/>
      <c r="S779" s="197"/>
      <c r="T779" s="198"/>
      <c r="U779" s="197"/>
      <c r="V779" s="197"/>
      <c r="W779" s="197"/>
      <c r="X779" s="197"/>
      <c r="Y779" s="197"/>
      <c r="Z779" s="197"/>
    </row>
    <row r="780" spans="1:26">
      <c r="A780" s="197"/>
      <c r="B780" s="197"/>
      <c r="C780" s="197"/>
      <c r="D780" s="197"/>
      <c r="E780" s="197"/>
      <c r="F780" s="197"/>
      <c r="G780" s="197"/>
      <c r="H780" s="197"/>
      <c r="I780" s="197"/>
      <c r="J780" s="197"/>
      <c r="K780" s="197"/>
      <c r="L780" s="197"/>
      <c r="M780" s="197"/>
      <c r="N780" s="197"/>
      <c r="O780" s="197"/>
      <c r="P780" s="197"/>
      <c r="Q780" s="197"/>
      <c r="R780" s="197"/>
      <c r="S780" s="197"/>
      <c r="T780" s="198"/>
      <c r="U780" s="197"/>
      <c r="V780" s="197"/>
      <c r="W780" s="197"/>
      <c r="X780" s="197"/>
      <c r="Y780" s="197"/>
      <c r="Z780" s="197"/>
    </row>
    <row r="781" spans="1:26">
      <c r="A781" s="197"/>
      <c r="B781" s="197"/>
      <c r="C781" s="197"/>
      <c r="D781" s="197"/>
      <c r="E781" s="197"/>
      <c r="F781" s="197"/>
      <c r="G781" s="197"/>
      <c r="H781" s="197"/>
      <c r="I781" s="197"/>
      <c r="J781" s="197"/>
      <c r="K781" s="197"/>
      <c r="L781" s="197"/>
      <c r="M781" s="197"/>
      <c r="N781" s="197"/>
      <c r="O781" s="197"/>
      <c r="P781" s="197"/>
      <c r="Q781" s="197"/>
      <c r="R781" s="197"/>
      <c r="S781" s="197"/>
      <c r="T781" s="198"/>
      <c r="U781" s="197"/>
      <c r="V781" s="197"/>
      <c r="W781" s="197"/>
      <c r="X781" s="197"/>
      <c r="Y781" s="197"/>
      <c r="Z781" s="197"/>
    </row>
    <row r="782" spans="1:26">
      <c r="A782" s="197"/>
      <c r="B782" s="197"/>
      <c r="C782" s="197"/>
      <c r="D782" s="197"/>
      <c r="E782" s="197"/>
      <c r="F782" s="197"/>
      <c r="G782" s="197"/>
      <c r="H782" s="197"/>
      <c r="I782" s="197"/>
      <c r="J782" s="197"/>
      <c r="K782" s="197"/>
      <c r="L782" s="197"/>
      <c r="M782" s="197"/>
      <c r="N782" s="197"/>
      <c r="O782" s="197"/>
      <c r="P782" s="197"/>
      <c r="Q782" s="197"/>
      <c r="R782" s="197"/>
      <c r="S782" s="197"/>
      <c r="T782" s="198"/>
      <c r="U782" s="197"/>
      <c r="V782" s="197"/>
      <c r="W782" s="197"/>
      <c r="X782" s="197"/>
      <c r="Y782" s="197"/>
      <c r="Z782" s="197"/>
    </row>
    <row r="783" spans="1:26">
      <c r="A783" s="197"/>
      <c r="B783" s="197"/>
      <c r="C783" s="197"/>
      <c r="D783" s="197"/>
      <c r="E783" s="197"/>
      <c r="F783" s="197"/>
      <c r="G783" s="197"/>
      <c r="H783" s="197"/>
      <c r="I783" s="197"/>
      <c r="J783" s="197"/>
      <c r="K783" s="197"/>
      <c r="L783" s="197"/>
      <c r="M783" s="197"/>
      <c r="N783" s="197"/>
      <c r="O783" s="197"/>
      <c r="P783" s="197"/>
      <c r="Q783" s="197"/>
      <c r="R783" s="197"/>
      <c r="S783" s="197"/>
      <c r="T783" s="198"/>
      <c r="U783" s="197"/>
      <c r="V783" s="197"/>
      <c r="W783" s="197"/>
      <c r="X783" s="197"/>
      <c r="Y783" s="197"/>
      <c r="Z783" s="197"/>
    </row>
    <row r="784" spans="1:26">
      <c r="A784" s="197"/>
      <c r="B784" s="197"/>
      <c r="C784" s="197"/>
      <c r="D784" s="197"/>
      <c r="E784" s="197"/>
      <c r="F784" s="197"/>
      <c r="G784" s="197"/>
      <c r="H784" s="197"/>
      <c r="I784" s="197"/>
      <c r="J784" s="197"/>
      <c r="K784" s="197"/>
      <c r="L784" s="197"/>
      <c r="M784" s="197"/>
      <c r="N784" s="197"/>
      <c r="O784" s="197"/>
      <c r="P784" s="197"/>
      <c r="Q784" s="197"/>
      <c r="R784" s="197"/>
      <c r="S784" s="197"/>
      <c r="T784" s="198"/>
      <c r="U784" s="197"/>
      <c r="V784" s="197"/>
      <c r="W784" s="197"/>
      <c r="X784" s="197"/>
      <c r="Y784" s="197"/>
      <c r="Z784" s="197"/>
    </row>
    <row r="785" spans="1:26">
      <c r="A785" s="197"/>
      <c r="B785" s="197"/>
      <c r="C785" s="197"/>
      <c r="D785" s="197"/>
      <c r="E785" s="197"/>
      <c r="F785" s="197"/>
      <c r="G785" s="197"/>
      <c r="H785" s="197"/>
      <c r="I785" s="197"/>
      <c r="J785" s="197"/>
      <c r="K785" s="197"/>
      <c r="L785" s="197"/>
      <c r="M785" s="197"/>
      <c r="N785" s="197"/>
      <c r="O785" s="197"/>
      <c r="P785" s="197"/>
      <c r="Q785" s="197"/>
      <c r="R785" s="197"/>
      <c r="S785" s="197"/>
      <c r="T785" s="198"/>
      <c r="U785" s="197"/>
      <c r="V785" s="197"/>
      <c r="W785" s="197"/>
      <c r="X785" s="197"/>
      <c r="Y785" s="197"/>
      <c r="Z785" s="197"/>
    </row>
    <row r="786" spans="1:26">
      <c r="A786" s="197"/>
      <c r="B786" s="197"/>
      <c r="C786" s="197"/>
      <c r="D786" s="197"/>
      <c r="E786" s="197"/>
      <c r="F786" s="197"/>
      <c r="G786" s="197"/>
      <c r="H786" s="197"/>
      <c r="I786" s="197"/>
      <c r="J786" s="197"/>
      <c r="K786" s="197"/>
      <c r="L786" s="197"/>
      <c r="M786" s="197"/>
      <c r="N786" s="197"/>
      <c r="O786" s="197"/>
      <c r="P786" s="197"/>
      <c r="Q786" s="197"/>
      <c r="R786" s="197"/>
      <c r="S786" s="197"/>
      <c r="T786" s="198"/>
      <c r="U786" s="197"/>
      <c r="V786" s="197"/>
      <c r="W786" s="197"/>
      <c r="X786" s="197"/>
      <c r="Y786" s="197"/>
      <c r="Z786" s="197"/>
    </row>
    <row r="787" spans="1:26">
      <c r="A787" s="197"/>
      <c r="B787" s="197"/>
      <c r="C787" s="197"/>
      <c r="D787" s="197"/>
      <c r="E787" s="197"/>
      <c r="F787" s="197"/>
      <c r="G787" s="197"/>
      <c r="H787" s="197"/>
      <c r="I787" s="197"/>
      <c r="J787" s="197"/>
      <c r="K787" s="197"/>
      <c r="L787" s="197"/>
      <c r="M787" s="197"/>
      <c r="N787" s="197"/>
      <c r="O787" s="197"/>
      <c r="P787" s="197"/>
      <c r="Q787" s="197"/>
      <c r="R787" s="197"/>
      <c r="S787" s="197"/>
      <c r="T787" s="198"/>
      <c r="U787" s="197"/>
      <c r="V787" s="197"/>
      <c r="W787" s="197"/>
      <c r="X787" s="197"/>
      <c r="Y787" s="197"/>
      <c r="Z787" s="197"/>
    </row>
    <row r="788" spans="1:26">
      <c r="A788" s="197"/>
      <c r="B788" s="197"/>
      <c r="C788" s="197"/>
      <c r="D788" s="197"/>
      <c r="E788" s="197"/>
      <c r="F788" s="197"/>
      <c r="G788" s="197"/>
      <c r="H788" s="197"/>
      <c r="I788" s="197"/>
      <c r="J788" s="197"/>
      <c r="K788" s="197"/>
      <c r="L788" s="197"/>
      <c r="M788" s="197"/>
      <c r="N788" s="197"/>
      <c r="O788" s="197"/>
      <c r="P788" s="197"/>
      <c r="Q788" s="197"/>
      <c r="R788" s="197"/>
      <c r="S788" s="197"/>
      <c r="T788" s="198"/>
      <c r="U788" s="197"/>
      <c r="V788" s="197"/>
      <c r="W788" s="197"/>
      <c r="X788" s="197"/>
      <c r="Y788" s="197"/>
      <c r="Z788" s="197"/>
    </row>
    <row r="789" spans="1:26">
      <c r="A789" s="197"/>
      <c r="B789" s="197"/>
      <c r="C789" s="197"/>
      <c r="D789" s="197"/>
      <c r="E789" s="197"/>
      <c r="F789" s="197"/>
      <c r="G789" s="197"/>
      <c r="H789" s="197"/>
      <c r="I789" s="197"/>
      <c r="J789" s="197"/>
      <c r="K789" s="197"/>
      <c r="L789" s="197"/>
      <c r="M789" s="197"/>
      <c r="N789" s="197"/>
      <c r="O789" s="197"/>
      <c r="P789" s="197"/>
      <c r="Q789" s="197"/>
      <c r="R789" s="197"/>
      <c r="S789" s="197"/>
      <c r="T789" s="198"/>
      <c r="U789" s="197"/>
      <c r="V789" s="197"/>
      <c r="W789" s="197"/>
      <c r="X789" s="197"/>
      <c r="Y789" s="197"/>
      <c r="Z789" s="197"/>
    </row>
    <row r="790" spans="1:26">
      <c r="A790" s="197"/>
      <c r="B790" s="197"/>
      <c r="C790" s="197"/>
      <c r="D790" s="197"/>
      <c r="E790" s="197"/>
      <c r="F790" s="197"/>
      <c r="G790" s="197"/>
      <c r="H790" s="197"/>
      <c r="I790" s="197"/>
      <c r="J790" s="197"/>
      <c r="K790" s="197"/>
      <c r="L790" s="197"/>
      <c r="M790" s="197"/>
      <c r="N790" s="197"/>
      <c r="O790" s="197"/>
      <c r="P790" s="197"/>
      <c r="Q790" s="197"/>
      <c r="R790" s="197"/>
      <c r="S790" s="197"/>
      <c r="T790" s="198"/>
      <c r="U790" s="197"/>
      <c r="V790" s="197"/>
      <c r="W790" s="197"/>
      <c r="X790" s="197"/>
      <c r="Y790" s="197"/>
      <c r="Z790" s="197"/>
    </row>
    <row r="791" spans="1:26">
      <c r="A791" s="197"/>
      <c r="B791" s="197"/>
      <c r="C791" s="197"/>
      <c r="D791" s="197"/>
      <c r="E791" s="197"/>
      <c r="F791" s="197"/>
      <c r="G791" s="197"/>
      <c r="H791" s="197"/>
      <c r="I791" s="197"/>
      <c r="J791" s="197"/>
      <c r="K791" s="197"/>
      <c r="L791" s="197"/>
      <c r="M791" s="197"/>
      <c r="N791" s="197"/>
      <c r="O791" s="197"/>
      <c r="P791" s="197"/>
      <c r="Q791" s="197"/>
      <c r="R791" s="197"/>
      <c r="S791" s="197"/>
      <c r="T791" s="198"/>
      <c r="U791" s="197"/>
      <c r="V791" s="197"/>
      <c r="W791" s="197"/>
      <c r="X791" s="197"/>
      <c r="Y791" s="197"/>
      <c r="Z791" s="197"/>
    </row>
    <row r="792" spans="1:26">
      <c r="A792" s="197"/>
      <c r="B792" s="197"/>
      <c r="C792" s="197"/>
      <c r="D792" s="197"/>
      <c r="E792" s="197"/>
      <c r="F792" s="197"/>
      <c r="G792" s="197"/>
      <c r="H792" s="197"/>
      <c r="I792" s="197"/>
      <c r="J792" s="197"/>
      <c r="K792" s="197"/>
      <c r="L792" s="197"/>
      <c r="M792" s="197"/>
      <c r="N792" s="197"/>
      <c r="O792" s="197"/>
      <c r="P792" s="197"/>
      <c r="Q792" s="197"/>
      <c r="R792" s="197"/>
      <c r="S792" s="197"/>
      <c r="T792" s="198"/>
      <c r="U792" s="197"/>
      <c r="V792" s="197"/>
      <c r="W792" s="197"/>
      <c r="X792" s="197"/>
      <c r="Y792" s="197"/>
      <c r="Z792" s="197"/>
    </row>
    <row r="793" spans="1:26">
      <c r="A793" s="197"/>
      <c r="B793" s="197"/>
      <c r="C793" s="197"/>
      <c r="D793" s="197"/>
      <c r="E793" s="197"/>
      <c r="F793" s="197"/>
      <c r="G793" s="197"/>
      <c r="H793" s="197"/>
      <c r="I793" s="197"/>
      <c r="J793" s="197"/>
      <c r="K793" s="197"/>
      <c r="L793" s="197"/>
      <c r="M793" s="197"/>
      <c r="N793" s="197"/>
      <c r="O793" s="197"/>
      <c r="P793" s="197"/>
      <c r="Q793" s="197"/>
      <c r="R793" s="197"/>
      <c r="S793" s="197"/>
      <c r="T793" s="198"/>
      <c r="U793" s="197"/>
      <c r="V793" s="197"/>
      <c r="W793" s="197"/>
      <c r="X793" s="197"/>
      <c r="Y793" s="197"/>
      <c r="Z793" s="197"/>
    </row>
    <row r="794" spans="1:26">
      <c r="A794" s="197"/>
      <c r="B794" s="197"/>
      <c r="C794" s="197"/>
      <c r="D794" s="197"/>
      <c r="E794" s="197"/>
      <c r="F794" s="197"/>
      <c r="G794" s="197"/>
      <c r="H794" s="197"/>
      <c r="I794" s="197"/>
      <c r="J794" s="197"/>
      <c r="K794" s="197"/>
      <c r="L794" s="197"/>
      <c r="M794" s="197"/>
      <c r="N794" s="197"/>
      <c r="O794" s="197"/>
      <c r="P794" s="197"/>
      <c r="Q794" s="197"/>
      <c r="R794" s="197"/>
      <c r="S794" s="197"/>
      <c r="T794" s="198"/>
      <c r="U794" s="197"/>
      <c r="V794" s="197"/>
      <c r="W794" s="197"/>
      <c r="X794" s="197"/>
      <c r="Y794" s="197"/>
      <c r="Z794" s="197"/>
    </row>
    <row r="795" spans="1:26">
      <c r="A795" s="197"/>
      <c r="B795" s="197"/>
      <c r="C795" s="197"/>
      <c r="D795" s="197"/>
      <c r="E795" s="197"/>
      <c r="F795" s="197"/>
      <c r="G795" s="197"/>
      <c r="H795" s="197"/>
      <c r="I795" s="197"/>
      <c r="J795" s="197"/>
      <c r="K795" s="197"/>
      <c r="L795" s="197"/>
      <c r="M795" s="197"/>
      <c r="N795" s="197"/>
      <c r="O795" s="197"/>
      <c r="P795" s="197"/>
      <c r="Q795" s="197"/>
      <c r="R795" s="197"/>
      <c r="S795" s="197"/>
      <c r="T795" s="198"/>
      <c r="U795" s="197"/>
      <c r="V795" s="197"/>
      <c r="W795" s="197"/>
      <c r="X795" s="197"/>
      <c r="Y795" s="197"/>
      <c r="Z795" s="197"/>
    </row>
    <row r="796" spans="1:26">
      <c r="A796" s="197"/>
      <c r="B796" s="197"/>
      <c r="C796" s="197"/>
      <c r="D796" s="197"/>
      <c r="E796" s="197"/>
      <c r="F796" s="197"/>
      <c r="G796" s="197"/>
      <c r="H796" s="197"/>
      <c r="I796" s="197"/>
      <c r="J796" s="197"/>
      <c r="K796" s="197"/>
      <c r="L796" s="197"/>
      <c r="M796" s="197"/>
      <c r="N796" s="197"/>
      <c r="O796" s="197"/>
      <c r="P796" s="197"/>
      <c r="Q796" s="197"/>
      <c r="R796" s="197"/>
      <c r="S796" s="197"/>
      <c r="T796" s="198"/>
      <c r="U796" s="197"/>
      <c r="V796" s="197"/>
      <c r="W796" s="197"/>
      <c r="X796" s="197"/>
      <c r="Y796" s="197"/>
      <c r="Z796" s="197"/>
    </row>
    <row r="797" spans="1:26">
      <c r="A797" s="197"/>
      <c r="B797" s="197"/>
      <c r="C797" s="197"/>
      <c r="D797" s="197"/>
      <c r="E797" s="197"/>
      <c r="F797" s="197"/>
      <c r="G797" s="197"/>
      <c r="H797" s="197"/>
      <c r="I797" s="197"/>
      <c r="J797" s="197"/>
      <c r="K797" s="197"/>
      <c r="L797" s="197"/>
      <c r="M797" s="197"/>
      <c r="N797" s="197"/>
      <c r="O797" s="197"/>
      <c r="P797" s="197"/>
      <c r="Q797" s="197"/>
      <c r="R797" s="197"/>
      <c r="S797" s="197"/>
      <c r="T797" s="198"/>
      <c r="U797" s="197"/>
      <c r="V797" s="197"/>
      <c r="W797" s="197"/>
      <c r="X797" s="197"/>
      <c r="Y797" s="197"/>
      <c r="Z797" s="197"/>
    </row>
    <row r="798" spans="1:26">
      <c r="A798" s="197"/>
      <c r="B798" s="197"/>
      <c r="C798" s="197"/>
      <c r="D798" s="197"/>
      <c r="E798" s="197"/>
      <c r="F798" s="197"/>
      <c r="G798" s="197"/>
      <c r="H798" s="197"/>
      <c r="I798" s="197"/>
      <c r="J798" s="197"/>
      <c r="K798" s="197"/>
      <c r="L798" s="197"/>
      <c r="M798" s="197"/>
      <c r="N798" s="197"/>
      <c r="O798" s="197"/>
      <c r="P798" s="197"/>
      <c r="Q798" s="197"/>
      <c r="R798" s="197"/>
      <c r="S798" s="197"/>
      <c r="T798" s="198"/>
      <c r="U798" s="197"/>
      <c r="V798" s="197"/>
      <c r="W798" s="197"/>
      <c r="X798" s="197"/>
      <c r="Y798" s="197"/>
      <c r="Z798" s="197"/>
    </row>
    <row r="799" spans="1:26">
      <c r="A799" s="197"/>
      <c r="B799" s="197"/>
      <c r="C799" s="197"/>
      <c r="D799" s="197"/>
      <c r="E799" s="197"/>
      <c r="F799" s="197"/>
      <c r="G799" s="197"/>
      <c r="H799" s="197"/>
      <c r="I799" s="197"/>
      <c r="J799" s="197"/>
      <c r="K799" s="197"/>
      <c r="L799" s="197"/>
      <c r="M799" s="197"/>
      <c r="N799" s="197"/>
      <c r="O799" s="197"/>
      <c r="P799" s="197"/>
      <c r="Q799" s="197"/>
      <c r="R799" s="197"/>
      <c r="S799" s="197"/>
      <c r="T799" s="198"/>
      <c r="U799" s="197"/>
      <c r="V799" s="197"/>
      <c r="W799" s="197"/>
      <c r="X799" s="197"/>
      <c r="Y799" s="197"/>
      <c r="Z799" s="197"/>
    </row>
    <row r="800" spans="1:26">
      <c r="A800" s="197"/>
      <c r="B800" s="197"/>
      <c r="C800" s="197"/>
      <c r="D800" s="197"/>
      <c r="E800" s="197"/>
      <c r="F800" s="197"/>
      <c r="G800" s="197"/>
      <c r="H800" s="197"/>
      <c r="I800" s="197"/>
      <c r="J800" s="197"/>
      <c r="K800" s="197"/>
      <c r="L800" s="197"/>
      <c r="M800" s="197"/>
      <c r="N800" s="197"/>
      <c r="O800" s="197"/>
      <c r="P800" s="197"/>
      <c r="Q800" s="197"/>
      <c r="R800" s="197"/>
      <c r="S800" s="197"/>
      <c r="T800" s="198"/>
      <c r="U800" s="197"/>
      <c r="V800" s="197"/>
      <c r="W800" s="197"/>
      <c r="X800" s="197"/>
      <c r="Y800" s="197"/>
      <c r="Z800" s="197"/>
    </row>
    <row r="801" spans="1:26">
      <c r="A801" s="197"/>
      <c r="B801" s="197"/>
      <c r="C801" s="197"/>
      <c r="D801" s="197"/>
      <c r="E801" s="197"/>
      <c r="F801" s="197"/>
      <c r="G801" s="197"/>
      <c r="H801" s="197"/>
      <c r="I801" s="197"/>
      <c r="J801" s="197"/>
      <c r="K801" s="197"/>
      <c r="L801" s="197"/>
      <c r="M801" s="197"/>
      <c r="N801" s="197"/>
      <c r="O801" s="197"/>
      <c r="P801" s="197"/>
      <c r="Q801" s="197"/>
      <c r="R801" s="197"/>
      <c r="S801" s="197"/>
      <c r="T801" s="198"/>
      <c r="U801" s="197"/>
      <c r="V801" s="197"/>
      <c r="W801" s="197"/>
      <c r="X801" s="197"/>
      <c r="Y801" s="197"/>
      <c r="Z801" s="197"/>
    </row>
    <row r="802" spans="1:26">
      <c r="A802" s="197"/>
      <c r="B802" s="197"/>
      <c r="C802" s="197"/>
      <c r="D802" s="197"/>
      <c r="E802" s="197"/>
      <c r="F802" s="197"/>
      <c r="G802" s="197"/>
      <c r="H802" s="197"/>
      <c r="I802" s="197"/>
      <c r="J802" s="197"/>
      <c r="K802" s="197"/>
      <c r="L802" s="197"/>
      <c r="M802" s="197"/>
      <c r="N802" s="197"/>
      <c r="O802" s="197"/>
      <c r="P802" s="197"/>
      <c r="Q802" s="197"/>
      <c r="R802" s="197"/>
      <c r="S802" s="197"/>
      <c r="T802" s="198"/>
      <c r="U802" s="197"/>
      <c r="V802" s="197"/>
      <c r="W802" s="197"/>
      <c r="X802" s="197"/>
      <c r="Y802" s="197"/>
      <c r="Z802" s="197"/>
    </row>
    <row r="803" spans="1:26">
      <c r="A803" s="197"/>
      <c r="B803" s="197"/>
      <c r="C803" s="197"/>
      <c r="D803" s="197"/>
      <c r="E803" s="197"/>
      <c r="F803" s="197"/>
      <c r="G803" s="197"/>
      <c r="H803" s="197"/>
      <c r="I803" s="197"/>
      <c r="J803" s="197"/>
      <c r="K803" s="197"/>
      <c r="L803" s="197"/>
      <c r="M803" s="197"/>
      <c r="N803" s="197"/>
      <c r="O803" s="197"/>
      <c r="P803" s="197"/>
      <c r="Q803" s="197"/>
      <c r="R803" s="197"/>
      <c r="S803" s="197"/>
      <c r="T803" s="198"/>
      <c r="U803" s="197"/>
      <c r="V803" s="197"/>
      <c r="W803" s="197"/>
      <c r="X803" s="197"/>
      <c r="Y803" s="197"/>
      <c r="Z803" s="197"/>
    </row>
    <row r="804" spans="1:26">
      <c r="A804" s="197"/>
      <c r="B804" s="197"/>
      <c r="C804" s="197"/>
      <c r="D804" s="197"/>
      <c r="E804" s="197"/>
      <c r="F804" s="197"/>
      <c r="G804" s="197"/>
      <c r="H804" s="197"/>
      <c r="I804" s="197"/>
      <c r="J804" s="197"/>
      <c r="K804" s="197"/>
      <c r="L804" s="197"/>
      <c r="M804" s="197"/>
      <c r="N804" s="197"/>
      <c r="O804" s="197"/>
      <c r="P804" s="197"/>
      <c r="Q804" s="197"/>
      <c r="R804" s="197"/>
      <c r="S804" s="197"/>
      <c r="T804" s="198"/>
      <c r="U804" s="197"/>
      <c r="V804" s="197"/>
      <c r="W804" s="197"/>
      <c r="X804" s="197"/>
      <c r="Y804" s="197"/>
      <c r="Z804" s="197"/>
    </row>
    <row r="805" spans="1:26">
      <c r="A805" s="197"/>
      <c r="B805" s="197"/>
      <c r="C805" s="197"/>
      <c r="D805" s="197"/>
      <c r="E805" s="197"/>
      <c r="F805" s="197"/>
      <c r="G805" s="197"/>
      <c r="H805" s="197"/>
      <c r="I805" s="197"/>
      <c r="J805" s="197"/>
      <c r="K805" s="197"/>
      <c r="L805" s="197"/>
      <c r="M805" s="197"/>
      <c r="N805" s="197"/>
      <c r="O805" s="197"/>
      <c r="P805" s="197"/>
      <c r="Q805" s="197"/>
      <c r="R805" s="197"/>
      <c r="S805" s="197"/>
      <c r="T805" s="198"/>
      <c r="U805" s="197"/>
      <c r="V805" s="197"/>
      <c r="W805" s="197"/>
      <c r="X805" s="197"/>
      <c r="Y805" s="197"/>
      <c r="Z805" s="197"/>
    </row>
    <row r="806" spans="1:26">
      <c r="A806" s="197"/>
      <c r="B806" s="197"/>
      <c r="C806" s="197"/>
      <c r="D806" s="197"/>
      <c r="E806" s="197"/>
      <c r="F806" s="197"/>
      <c r="G806" s="197"/>
      <c r="H806" s="197"/>
      <c r="I806" s="197"/>
      <c r="J806" s="197"/>
      <c r="K806" s="197"/>
      <c r="L806" s="197"/>
      <c r="M806" s="197"/>
      <c r="N806" s="197"/>
      <c r="O806" s="197"/>
      <c r="P806" s="197"/>
      <c r="Q806" s="197"/>
      <c r="R806" s="197"/>
      <c r="S806" s="197"/>
      <c r="T806" s="198"/>
      <c r="U806" s="197"/>
      <c r="V806" s="197"/>
      <c r="W806" s="197"/>
      <c r="X806" s="197"/>
      <c r="Y806" s="197"/>
      <c r="Z806" s="197"/>
    </row>
    <row r="807" spans="1:26">
      <c r="A807" s="197"/>
      <c r="B807" s="197"/>
      <c r="C807" s="197"/>
      <c r="D807" s="197"/>
      <c r="E807" s="197"/>
      <c r="F807" s="197"/>
      <c r="G807" s="197"/>
      <c r="H807" s="197"/>
      <c r="I807" s="197"/>
      <c r="J807" s="197"/>
      <c r="K807" s="197"/>
      <c r="L807" s="197"/>
      <c r="M807" s="197"/>
      <c r="N807" s="197"/>
      <c r="O807" s="197"/>
      <c r="P807" s="197"/>
      <c r="Q807" s="197"/>
      <c r="R807" s="197"/>
      <c r="S807" s="197"/>
      <c r="T807" s="198"/>
      <c r="U807" s="197"/>
      <c r="V807" s="197"/>
      <c r="W807" s="197"/>
      <c r="X807" s="197"/>
      <c r="Y807" s="197"/>
      <c r="Z807" s="197"/>
    </row>
    <row r="808" spans="1:26">
      <c r="A808" s="197"/>
      <c r="B808" s="197"/>
      <c r="C808" s="197"/>
      <c r="D808" s="197"/>
      <c r="E808" s="197"/>
      <c r="F808" s="197"/>
      <c r="G808" s="197"/>
      <c r="H808" s="197"/>
      <c r="I808" s="197"/>
      <c r="J808" s="197"/>
      <c r="K808" s="197"/>
      <c r="L808" s="197"/>
      <c r="M808" s="197"/>
      <c r="N808" s="197"/>
      <c r="O808" s="197"/>
      <c r="P808" s="197"/>
      <c r="Q808" s="197"/>
      <c r="R808" s="197"/>
      <c r="S808" s="197"/>
      <c r="T808" s="198"/>
      <c r="U808" s="197"/>
      <c r="V808" s="197"/>
      <c r="W808" s="197"/>
      <c r="X808" s="197"/>
      <c r="Y808" s="197"/>
      <c r="Z808" s="197"/>
    </row>
    <row r="809" spans="1:26">
      <c r="A809" s="197"/>
      <c r="B809" s="197"/>
      <c r="C809" s="197"/>
      <c r="D809" s="197"/>
      <c r="E809" s="197"/>
      <c r="F809" s="197"/>
      <c r="G809" s="197"/>
      <c r="H809" s="197"/>
      <c r="I809" s="197"/>
      <c r="J809" s="197"/>
      <c r="K809" s="197"/>
      <c r="L809" s="197"/>
      <c r="M809" s="197"/>
      <c r="N809" s="197"/>
      <c r="O809" s="197"/>
      <c r="P809" s="197"/>
      <c r="Q809" s="197"/>
      <c r="R809" s="197"/>
      <c r="S809" s="197"/>
      <c r="T809" s="198"/>
      <c r="U809" s="197"/>
      <c r="V809" s="197"/>
      <c r="W809" s="197"/>
      <c r="X809" s="197"/>
      <c r="Y809" s="197"/>
      <c r="Z809" s="197"/>
    </row>
    <row r="810" spans="1:26">
      <c r="A810" s="197"/>
      <c r="B810" s="197"/>
      <c r="C810" s="197"/>
      <c r="D810" s="197"/>
      <c r="E810" s="197"/>
      <c r="F810" s="197"/>
      <c r="G810" s="197"/>
      <c r="H810" s="197"/>
      <c r="I810" s="197"/>
      <c r="J810" s="197"/>
      <c r="K810" s="197"/>
      <c r="L810" s="197"/>
      <c r="M810" s="197"/>
      <c r="N810" s="197"/>
      <c r="O810" s="197"/>
      <c r="P810" s="197"/>
      <c r="Q810" s="197"/>
      <c r="R810" s="197"/>
      <c r="S810" s="197"/>
      <c r="T810" s="198"/>
      <c r="U810" s="197"/>
      <c r="V810" s="197"/>
      <c r="W810" s="197"/>
      <c r="X810" s="197"/>
      <c r="Y810" s="197"/>
      <c r="Z810" s="197"/>
    </row>
    <row r="811" spans="1:26">
      <c r="A811" s="197"/>
      <c r="B811" s="197"/>
      <c r="C811" s="197"/>
      <c r="D811" s="197"/>
      <c r="E811" s="197"/>
      <c r="F811" s="197"/>
      <c r="G811" s="197"/>
      <c r="H811" s="197"/>
      <c r="I811" s="197"/>
      <c r="J811" s="197"/>
      <c r="K811" s="197"/>
      <c r="L811" s="197"/>
      <c r="M811" s="197"/>
      <c r="N811" s="197"/>
      <c r="O811" s="197"/>
      <c r="P811" s="197"/>
      <c r="Q811" s="197"/>
      <c r="R811" s="197"/>
      <c r="S811" s="197"/>
      <c r="T811" s="198"/>
      <c r="U811" s="197"/>
      <c r="V811" s="197"/>
      <c r="W811" s="197"/>
      <c r="X811" s="197"/>
      <c r="Y811" s="197"/>
      <c r="Z811" s="197"/>
    </row>
    <row r="812" spans="1:26">
      <c r="A812" s="197"/>
      <c r="B812" s="197"/>
      <c r="C812" s="197"/>
      <c r="D812" s="197"/>
      <c r="E812" s="197"/>
      <c r="F812" s="197"/>
      <c r="G812" s="197"/>
      <c r="H812" s="197"/>
      <c r="I812" s="197"/>
      <c r="J812" s="197"/>
      <c r="K812" s="197"/>
      <c r="L812" s="197"/>
      <c r="M812" s="197"/>
      <c r="N812" s="197"/>
      <c r="O812" s="197"/>
      <c r="P812" s="197"/>
      <c r="Q812" s="197"/>
      <c r="R812" s="197"/>
      <c r="S812" s="197"/>
      <c r="T812" s="198"/>
      <c r="U812" s="197"/>
      <c r="V812" s="197"/>
      <c r="W812" s="197"/>
      <c r="X812" s="197"/>
      <c r="Y812" s="197"/>
      <c r="Z812" s="197"/>
    </row>
    <row r="813" spans="1:26">
      <c r="A813" s="197"/>
      <c r="B813" s="197"/>
      <c r="C813" s="197"/>
      <c r="D813" s="197"/>
      <c r="E813" s="197"/>
      <c r="F813" s="197"/>
      <c r="G813" s="197"/>
      <c r="H813" s="197"/>
      <c r="I813" s="197"/>
      <c r="J813" s="197"/>
      <c r="K813" s="197"/>
      <c r="L813" s="197"/>
      <c r="M813" s="197"/>
      <c r="N813" s="197"/>
      <c r="O813" s="197"/>
      <c r="P813" s="197"/>
      <c r="Q813" s="197"/>
      <c r="R813" s="197"/>
      <c r="S813" s="197"/>
      <c r="T813" s="198"/>
      <c r="U813" s="197"/>
      <c r="V813" s="197"/>
      <c r="W813" s="197"/>
      <c r="X813" s="197"/>
      <c r="Y813" s="197"/>
      <c r="Z813" s="197"/>
    </row>
    <row r="814" spans="1:26">
      <c r="A814" s="197"/>
      <c r="B814" s="197"/>
      <c r="C814" s="197"/>
      <c r="D814" s="197"/>
      <c r="E814" s="197"/>
      <c r="F814" s="197"/>
      <c r="G814" s="197"/>
      <c r="H814" s="197"/>
      <c r="I814" s="197"/>
      <c r="J814" s="197"/>
      <c r="K814" s="197"/>
      <c r="L814" s="197"/>
      <c r="M814" s="197"/>
      <c r="N814" s="197"/>
      <c r="O814" s="197"/>
      <c r="P814" s="197"/>
      <c r="Q814" s="197"/>
      <c r="R814" s="197"/>
      <c r="S814" s="197"/>
      <c r="T814" s="198"/>
      <c r="U814" s="197"/>
      <c r="V814" s="197"/>
      <c r="W814" s="197"/>
      <c r="X814" s="197"/>
      <c r="Y814" s="197"/>
      <c r="Z814" s="197"/>
    </row>
    <row r="815" spans="1:26">
      <c r="A815" s="197"/>
      <c r="B815" s="197"/>
      <c r="C815" s="197"/>
      <c r="D815" s="197"/>
      <c r="E815" s="197"/>
      <c r="F815" s="197"/>
      <c r="G815" s="197"/>
      <c r="H815" s="197"/>
      <c r="I815" s="197"/>
      <c r="J815" s="197"/>
      <c r="K815" s="197"/>
      <c r="L815" s="197"/>
      <c r="M815" s="197"/>
      <c r="N815" s="197"/>
      <c r="O815" s="197"/>
      <c r="P815" s="197"/>
      <c r="Q815" s="197"/>
      <c r="R815" s="197"/>
      <c r="S815" s="197"/>
      <c r="T815" s="198"/>
      <c r="U815" s="197"/>
      <c r="V815" s="197"/>
      <c r="W815" s="197"/>
      <c r="X815" s="197"/>
      <c r="Y815" s="197"/>
      <c r="Z815" s="197"/>
    </row>
    <row r="816" spans="1:26">
      <c r="A816" s="197"/>
      <c r="B816" s="197"/>
      <c r="C816" s="197"/>
      <c r="D816" s="197"/>
      <c r="E816" s="197"/>
      <c r="F816" s="197"/>
      <c r="G816" s="197"/>
      <c r="H816" s="197"/>
      <c r="I816" s="197"/>
      <c r="J816" s="197"/>
      <c r="K816" s="197"/>
      <c r="L816" s="197"/>
      <c r="M816" s="197"/>
      <c r="N816" s="197"/>
      <c r="O816" s="197"/>
      <c r="P816" s="197"/>
      <c r="Q816" s="197"/>
      <c r="R816" s="197"/>
      <c r="S816" s="197"/>
      <c r="T816" s="198"/>
      <c r="U816" s="197"/>
      <c r="V816" s="197"/>
      <c r="W816" s="197"/>
      <c r="X816" s="197"/>
      <c r="Y816" s="197"/>
      <c r="Z816" s="197"/>
    </row>
    <row r="817" spans="1:26">
      <c r="A817" s="197"/>
      <c r="B817" s="197"/>
      <c r="C817" s="197"/>
      <c r="D817" s="197"/>
      <c r="E817" s="197"/>
      <c r="F817" s="197"/>
      <c r="G817" s="197"/>
      <c r="H817" s="197"/>
      <c r="I817" s="197"/>
      <c r="J817" s="197"/>
      <c r="K817" s="197"/>
      <c r="L817" s="197"/>
      <c r="M817" s="197"/>
      <c r="N817" s="197"/>
      <c r="O817" s="197"/>
      <c r="P817" s="197"/>
      <c r="Q817" s="197"/>
      <c r="R817" s="197"/>
      <c r="S817" s="197"/>
      <c r="T817" s="198"/>
      <c r="U817" s="197"/>
      <c r="V817" s="197"/>
      <c r="W817" s="197"/>
      <c r="X817" s="197"/>
      <c r="Y817" s="197"/>
      <c r="Z817" s="197"/>
    </row>
    <row r="818" spans="1:26">
      <c r="A818" s="197"/>
      <c r="B818" s="197"/>
      <c r="C818" s="197"/>
      <c r="D818" s="197"/>
      <c r="E818" s="197"/>
      <c r="F818" s="197"/>
      <c r="G818" s="197"/>
      <c r="H818" s="197"/>
      <c r="I818" s="197"/>
      <c r="J818" s="197"/>
      <c r="K818" s="197"/>
      <c r="L818" s="197"/>
      <c r="M818" s="197"/>
      <c r="N818" s="197"/>
      <c r="O818" s="197"/>
      <c r="P818" s="197"/>
      <c r="Q818" s="197"/>
      <c r="R818" s="197"/>
      <c r="S818" s="197"/>
      <c r="T818" s="198"/>
      <c r="U818" s="197"/>
      <c r="V818" s="197"/>
      <c r="W818" s="197"/>
      <c r="X818" s="197"/>
      <c r="Y818" s="197"/>
      <c r="Z818" s="197"/>
    </row>
    <row r="819" spans="1:26">
      <c r="A819" s="197"/>
      <c r="B819" s="197"/>
      <c r="C819" s="197"/>
      <c r="D819" s="197"/>
      <c r="E819" s="197"/>
      <c r="F819" s="197"/>
      <c r="G819" s="197"/>
      <c r="H819" s="197"/>
      <c r="I819" s="197"/>
      <c r="J819" s="197"/>
      <c r="K819" s="197"/>
      <c r="L819" s="197"/>
      <c r="M819" s="197"/>
      <c r="N819" s="197"/>
      <c r="O819" s="197"/>
      <c r="P819" s="197"/>
      <c r="Q819" s="197"/>
      <c r="R819" s="197"/>
      <c r="S819" s="197"/>
      <c r="T819" s="198"/>
      <c r="U819" s="197"/>
      <c r="V819" s="197"/>
      <c r="W819" s="197"/>
      <c r="X819" s="197"/>
      <c r="Y819" s="197"/>
      <c r="Z819" s="197"/>
    </row>
    <row r="820" spans="1:26">
      <c r="A820" s="197"/>
      <c r="B820" s="197"/>
      <c r="C820" s="197"/>
      <c r="D820" s="197"/>
      <c r="E820" s="197"/>
      <c r="F820" s="197"/>
      <c r="G820" s="197"/>
      <c r="H820" s="197"/>
      <c r="I820" s="197"/>
      <c r="J820" s="197"/>
      <c r="K820" s="197"/>
      <c r="L820" s="197"/>
      <c r="M820" s="197"/>
      <c r="N820" s="197"/>
      <c r="O820" s="197"/>
      <c r="P820" s="197"/>
      <c r="Q820" s="197"/>
      <c r="R820" s="197"/>
      <c r="S820" s="197"/>
      <c r="T820" s="198"/>
      <c r="U820" s="197"/>
      <c r="V820" s="197"/>
      <c r="W820" s="197"/>
      <c r="X820" s="197"/>
      <c r="Y820" s="197"/>
      <c r="Z820" s="197"/>
    </row>
    <row r="821" spans="1:26">
      <c r="A821" s="197"/>
      <c r="B821" s="197"/>
      <c r="C821" s="197"/>
      <c r="D821" s="197"/>
      <c r="E821" s="197"/>
      <c r="F821" s="197"/>
      <c r="G821" s="197"/>
      <c r="H821" s="197"/>
      <c r="I821" s="197"/>
      <c r="J821" s="197"/>
      <c r="K821" s="197"/>
      <c r="L821" s="197"/>
      <c r="M821" s="197"/>
      <c r="N821" s="197"/>
      <c r="O821" s="197"/>
      <c r="P821" s="197"/>
      <c r="Q821" s="197"/>
      <c r="R821" s="197"/>
      <c r="S821" s="197"/>
      <c r="T821" s="198"/>
      <c r="U821" s="197"/>
      <c r="V821" s="197"/>
      <c r="W821" s="197"/>
      <c r="X821" s="197"/>
      <c r="Y821" s="197"/>
      <c r="Z821" s="197"/>
    </row>
    <row r="822" spans="1:26">
      <c r="A822" s="197"/>
      <c r="B822" s="197"/>
      <c r="C822" s="197"/>
      <c r="D822" s="197"/>
      <c r="E822" s="197"/>
      <c r="F822" s="197"/>
      <c r="G822" s="197"/>
      <c r="H822" s="197"/>
      <c r="I822" s="197"/>
      <c r="J822" s="197"/>
      <c r="K822" s="197"/>
      <c r="L822" s="197"/>
      <c r="M822" s="197"/>
      <c r="N822" s="197"/>
      <c r="O822" s="197"/>
      <c r="P822" s="197"/>
      <c r="Q822" s="197"/>
      <c r="R822" s="197"/>
      <c r="S822" s="197"/>
      <c r="T822" s="198"/>
      <c r="U822" s="197"/>
      <c r="V822" s="197"/>
      <c r="W822" s="197"/>
      <c r="X822" s="197"/>
      <c r="Y822" s="197"/>
      <c r="Z822" s="197"/>
    </row>
    <row r="823" spans="1:26">
      <c r="A823" s="197"/>
      <c r="B823" s="197"/>
      <c r="C823" s="197"/>
      <c r="D823" s="197"/>
      <c r="E823" s="197"/>
      <c r="F823" s="197"/>
      <c r="G823" s="197"/>
      <c r="H823" s="197"/>
      <c r="I823" s="197"/>
      <c r="J823" s="197"/>
      <c r="K823" s="197"/>
      <c r="L823" s="197"/>
      <c r="M823" s="197"/>
      <c r="N823" s="197"/>
      <c r="O823" s="197"/>
      <c r="P823" s="197"/>
      <c r="Q823" s="197"/>
      <c r="R823" s="197"/>
      <c r="S823" s="197"/>
      <c r="T823" s="198"/>
      <c r="U823" s="197"/>
      <c r="V823" s="197"/>
      <c r="W823" s="197"/>
      <c r="X823" s="197"/>
      <c r="Y823" s="197"/>
      <c r="Z823" s="197"/>
    </row>
    <row r="824" spans="1:26">
      <c r="A824" s="197"/>
      <c r="B824" s="197"/>
      <c r="C824" s="197"/>
      <c r="D824" s="197"/>
      <c r="E824" s="197"/>
      <c r="F824" s="197"/>
      <c r="G824" s="197"/>
      <c r="H824" s="197"/>
      <c r="I824" s="197"/>
      <c r="J824" s="197"/>
      <c r="K824" s="197"/>
      <c r="L824" s="197"/>
      <c r="M824" s="197"/>
      <c r="N824" s="197"/>
      <c r="O824" s="197"/>
      <c r="P824" s="197"/>
      <c r="Q824" s="197"/>
      <c r="R824" s="197"/>
      <c r="S824" s="197"/>
      <c r="T824" s="198"/>
      <c r="U824" s="197"/>
      <c r="V824" s="197"/>
      <c r="W824" s="197"/>
      <c r="X824" s="197"/>
      <c r="Y824" s="197"/>
      <c r="Z824" s="197"/>
    </row>
    <row r="825" spans="1:26">
      <c r="A825" s="197"/>
      <c r="B825" s="197"/>
      <c r="C825" s="197"/>
      <c r="D825" s="197"/>
      <c r="E825" s="197"/>
      <c r="F825" s="197"/>
      <c r="G825" s="197"/>
      <c r="H825" s="197"/>
      <c r="I825" s="197"/>
      <c r="J825" s="197"/>
      <c r="K825" s="197"/>
      <c r="L825" s="197"/>
      <c r="M825" s="197"/>
      <c r="N825" s="197"/>
      <c r="O825" s="197"/>
      <c r="P825" s="197"/>
      <c r="Q825" s="197"/>
      <c r="R825" s="197"/>
      <c r="S825" s="197"/>
      <c r="T825" s="198"/>
      <c r="U825" s="197"/>
      <c r="V825" s="197"/>
      <c r="W825" s="197"/>
      <c r="X825" s="197"/>
      <c r="Y825" s="197"/>
      <c r="Z825" s="197"/>
    </row>
    <row r="826" spans="1:26">
      <c r="A826" s="197"/>
      <c r="B826" s="197"/>
      <c r="C826" s="197"/>
      <c r="D826" s="197"/>
      <c r="E826" s="197"/>
      <c r="F826" s="197"/>
      <c r="G826" s="197"/>
      <c r="H826" s="197"/>
      <c r="I826" s="197"/>
      <c r="J826" s="197"/>
      <c r="K826" s="197"/>
      <c r="L826" s="197"/>
      <c r="M826" s="197"/>
      <c r="N826" s="197"/>
      <c r="O826" s="197"/>
      <c r="P826" s="197"/>
      <c r="Q826" s="197"/>
      <c r="R826" s="197"/>
      <c r="S826" s="197"/>
      <c r="T826" s="198"/>
      <c r="U826" s="197"/>
      <c r="V826" s="197"/>
      <c r="W826" s="197"/>
      <c r="X826" s="197"/>
      <c r="Y826" s="197"/>
      <c r="Z826" s="197"/>
    </row>
    <row r="827" spans="1:26">
      <c r="A827" s="197"/>
      <c r="B827" s="197"/>
      <c r="C827" s="197"/>
      <c r="D827" s="197"/>
      <c r="E827" s="197"/>
      <c r="F827" s="197"/>
      <c r="G827" s="197"/>
      <c r="H827" s="197"/>
      <c r="I827" s="197"/>
      <c r="J827" s="197"/>
      <c r="K827" s="197"/>
      <c r="L827" s="197"/>
      <c r="M827" s="197"/>
      <c r="N827" s="197"/>
      <c r="O827" s="197"/>
      <c r="P827" s="197"/>
      <c r="Q827" s="197"/>
      <c r="R827" s="197"/>
      <c r="S827" s="197"/>
      <c r="T827" s="198"/>
      <c r="U827" s="197"/>
      <c r="V827" s="197"/>
      <c r="W827" s="197"/>
      <c r="X827" s="197"/>
      <c r="Y827" s="197"/>
      <c r="Z827" s="197"/>
    </row>
    <row r="828" spans="1:26">
      <c r="A828" s="197"/>
      <c r="B828" s="197"/>
      <c r="C828" s="197"/>
      <c r="D828" s="197"/>
      <c r="E828" s="197"/>
      <c r="F828" s="197"/>
      <c r="G828" s="197"/>
      <c r="H828" s="197"/>
      <c r="I828" s="197"/>
      <c r="J828" s="197"/>
      <c r="K828" s="197"/>
      <c r="L828" s="197"/>
      <c r="M828" s="197"/>
      <c r="N828" s="197"/>
      <c r="O828" s="197"/>
      <c r="P828" s="197"/>
      <c r="Q828" s="197"/>
      <c r="R828" s="197"/>
      <c r="S828" s="197"/>
      <c r="T828" s="198"/>
      <c r="U828" s="197"/>
      <c r="V828" s="197"/>
      <c r="W828" s="197"/>
      <c r="X828" s="197"/>
      <c r="Y828" s="197"/>
      <c r="Z828" s="197"/>
    </row>
    <row r="829" spans="1:26">
      <c r="A829" s="197"/>
      <c r="B829" s="197"/>
      <c r="C829" s="197"/>
      <c r="D829" s="197"/>
      <c r="E829" s="197"/>
      <c r="F829" s="197"/>
      <c r="G829" s="197"/>
      <c r="H829" s="197"/>
      <c r="I829" s="197"/>
      <c r="J829" s="197"/>
      <c r="K829" s="197"/>
      <c r="L829" s="197"/>
      <c r="M829" s="197"/>
      <c r="N829" s="197"/>
      <c r="O829" s="197"/>
      <c r="P829" s="197"/>
      <c r="Q829" s="197"/>
      <c r="R829" s="197"/>
      <c r="S829" s="197"/>
      <c r="T829" s="198"/>
      <c r="U829" s="197"/>
      <c r="V829" s="197"/>
      <c r="W829" s="197"/>
      <c r="X829" s="197"/>
      <c r="Y829" s="197"/>
      <c r="Z829" s="197"/>
    </row>
    <row r="830" spans="1:26">
      <c r="A830" s="197"/>
      <c r="B830" s="197"/>
      <c r="C830" s="197"/>
      <c r="D830" s="197"/>
      <c r="E830" s="197"/>
      <c r="F830" s="197"/>
      <c r="G830" s="197"/>
      <c r="H830" s="197"/>
      <c r="I830" s="197"/>
      <c r="J830" s="197"/>
      <c r="K830" s="197"/>
      <c r="L830" s="197"/>
      <c r="M830" s="197"/>
      <c r="N830" s="197"/>
      <c r="O830" s="197"/>
      <c r="P830" s="197"/>
      <c r="Q830" s="197"/>
      <c r="R830" s="197"/>
      <c r="S830" s="197"/>
      <c r="T830" s="198"/>
      <c r="U830" s="197"/>
      <c r="V830" s="197"/>
      <c r="W830" s="197"/>
      <c r="X830" s="197"/>
      <c r="Y830" s="197"/>
      <c r="Z830" s="197"/>
    </row>
    <row r="831" spans="1:26">
      <c r="A831" s="197"/>
      <c r="B831" s="197"/>
      <c r="C831" s="197"/>
      <c r="D831" s="197"/>
      <c r="E831" s="197"/>
      <c r="F831" s="197"/>
      <c r="G831" s="197"/>
      <c r="H831" s="197"/>
      <c r="I831" s="197"/>
      <c r="J831" s="197"/>
      <c r="K831" s="197"/>
      <c r="L831" s="197"/>
      <c r="M831" s="197"/>
      <c r="N831" s="197"/>
      <c r="O831" s="197"/>
      <c r="P831" s="197"/>
      <c r="Q831" s="197"/>
      <c r="R831" s="197"/>
      <c r="S831" s="197"/>
      <c r="T831" s="198"/>
      <c r="U831" s="197"/>
      <c r="V831" s="197"/>
      <c r="W831" s="197"/>
      <c r="X831" s="197"/>
      <c r="Y831" s="197"/>
      <c r="Z831" s="197"/>
    </row>
    <row r="832" spans="1:26">
      <c r="A832" s="197"/>
      <c r="B832" s="197"/>
      <c r="C832" s="197"/>
      <c r="D832" s="197"/>
      <c r="E832" s="197"/>
      <c r="F832" s="197"/>
      <c r="G832" s="197"/>
      <c r="H832" s="197"/>
      <c r="I832" s="197"/>
      <c r="J832" s="197"/>
      <c r="K832" s="197"/>
      <c r="L832" s="197"/>
      <c r="M832" s="197"/>
      <c r="N832" s="197"/>
      <c r="O832" s="197"/>
      <c r="P832" s="197"/>
      <c r="Q832" s="197"/>
      <c r="R832" s="197"/>
      <c r="S832" s="197"/>
      <c r="T832" s="198"/>
      <c r="U832" s="197"/>
      <c r="V832" s="197"/>
      <c r="W832" s="197"/>
      <c r="X832" s="197"/>
      <c r="Y832" s="197"/>
      <c r="Z832" s="197"/>
    </row>
    <row r="833" spans="1:26">
      <c r="A833" s="197"/>
      <c r="B833" s="197"/>
      <c r="C833" s="197"/>
      <c r="D833" s="197"/>
      <c r="E833" s="197"/>
      <c r="F833" s="197"/>
      <c r="G833" s="197"/>
      <c r="H833" s="197"/>
      <c r="I833" s="197"/>
      <c r="J833" s="197"/>
      <c r="K833" s="197"/>
      <c r="L833" s="197"/>
      <c r="M833" s="197"/>
      <c r="N833" s="197"/>
      <c r="O833" s="197"/>
      <c r="P833" s="197"/>
      <c r="Q833" s="197"/>
      <c r="R833" s="197"/>
      <c r="S833" s="197"/>
      <c r="T833" s="198"/>
      <c r="U833" s="197"/>
      <c r="V833" s="197"/>
      <c r="W833" s="197"/>
      <c r="X833" s="197"/>
      <c r="Y833" s="197"/>
      <c r="Z833" s="197"/>
    </row>
    <row r="834" spans="1:26">
      <c r="A834" s="197"/>
      <c r="B834" s="197"/>
      <c r="C834" s="197"/>
      <c r="D834" s="197"/>
      <c r="E834" s="197"/>
      <c r="F834" s="197"/>
      <c r="G834" s="197"/>
      <c r="H834" s="197"/>
      <c r="I834" s="197"/>
      <c r="J834" s="197"/>
      <c r="K834" s="197"/>
      <c r="L834" s="197"/>
      <c r="M834" s="197"/>
      <c r="N834" s="197"/>
      <c r="O834" s="197"/>
      <c r="P834" s="197"/>
      <c r="Q834" s="197"/>
      <c r="R834" s="197"/>
      <c r="S834" s="197"/>
      <c r="T834" s="198"/>
      <c r="U834" s="197"/>
      <c r="V834" s="197"/>
      <c r="W834" s="197"/>
      <c r="X834" s="197"/>
      <c r="Y834" s="197"/>
      <c r="Z834" s="197"/>
    </row>
    <row r="835" spans="1:26">
      <c r="A835" s="197"/>
      <c r="B835" s="197"/>
      <c r="C835" s="197"/>
      <c r="D835" s="197"/>
      <c r="E835" s="197"/>
      <c r="F835" s="197"/>
      <c r="G835" s="197"/>
      <c r="H835" s="197"/>
      <c r="I835" s="197"/>
      <c r="J835" s="197"/>
      <c r="K835" s="197"/>
      <c r="L835" s="197"/>
      <c r="M835" s="197"/>
      <c r="N835" s="197"/>
      <c r="O835" s="197"/>
      <c r="P835" s="197"/>
      <c r="Q835" s="197"/>
      <c r="R835" s="197"/>
      <c r="S835" s="197"/>
      <c r="T835" s="198"/>
      <c r="U835" s="197"/>
      <c r="V835" s="197"/>
      <c r="W835" s="197"/>
      <c r="X835" s="197"/>
      <c r="Y835" s="197"/>
      <c r="Z835" s="197"/>
    </row>
    <row r="836" spans="1:26">
      <c r="A836" s="197"/>
      <c r="B836" s="197"/>
      <c r="C836" s="197"/>
      <c r="D836" s="197"/>
      <c r="E836" s="197"/>
      <c r="F836" s="197"/>
      <c r="G836" s="197"/>
      <c r="H836" s="197"/>
      <c r="I836" s="197"/>
      <c r="J836" s="197"/>
      <c r="K836" s="197"/>
      <c r="L836" s="197"/>
      <c r="M836" s="197"/>
      <c r="N836" s="197"/>
      <c r="O836" s="197"/>
      <c r="P836" s="197"/>
      <c r="Q836" s="197"/>
      <c r="R836" s="197"/>
      <c r="S836" s="197"/>
      <c r="T836" s="198"/>
      <c r="U836" s="197"/>
      <c r="V836" s="197"/>
      <c r="W836" s="197"/>
      <c r="X836" s="197"/>
      <c r="Y836" s="197"/>
      <c r="Z836" s="197"/>
    </row>
    <row r="837" spans="1:26">
      <c r="A837" s="197"/>
      <c r="B837" s="197"/>
      <c r="C837" s="197"/>
      <c r="D837" s="197"/>
      <c r="E837" s="197"/>
      <c r="F837" s="197"/>
      <c r="G837" s="197"/>
      <c r="H837" s="197"/>
      <c r="I837" s="197"/>
      <c r="J837" s="197"/>
      <c r="K837" s="197"/>
      <c r="L837" s="197"/>
      <c r="M837" s="197"/>
      <c r="N837" s="197"/>
      <c r="O837" s="197"/>
      <c r="P837" s="197"/>
      <c r="Q837" s="197"/>
      <c r="R837" s="197"/>
      <c r="S837" s="197"/>
      <c r="T837" s="198"/>
      <c r="U837" s="197"/>
      <c r="V837" s="197"/>
      <c r="W837" s="197"/>
      <c r="X837" s="197"/>
      <c r="Y837" s="197"/>
      <c r="Z837" s="197"/>
    </row>
    <row r="838" spans="1:26">
      <c r="A838" s="197"/>
      <c r="B838" s="197"/>
      <c r="C838" s="197"/>
      <c r="D838" s="197"/>
      <c r="E838" s="197"/>
      <c r="F838" s="197"/>
      <c r="G838" s="197"/>
      <c r="H838" s="197"/>
      <c r="I838" s="197"/>
      <c r="J838" s="197"/>
      <c r="K838" s="197"/>
      <c r="L838" s="197"/>
      <c r="M838" s="197"/>
      <c r="N838" s="197"/>
      <c r="O838" s="197"/>
      <c r="P838" s="197"/>
      <c r="Q838" s="197"/>
      <c r="R838" s="197"/>
      <c r="S838" s="197"/>
      <c r="T838" s="198"/>
      <c r="U838" s="197"/>
      <c r="V838" s="197"/>
      <c r="W838" s="197"/>
      <c r="X838" s="197"/>
      <c r="Y838" s="197"/>
      <c r="Z838" s="197"/>
    </row>
    <row r="839" spans="1:26">
      <c r="A839" s="197"/>
      <c r="B839" s="197"/>
      <c r="C839" s="197"/>
      <c r="D839" s="197"/>
      <c r="E839" s="197"/>
      <c r="F839" s="197"/>
      <c r="G839" s="197"/>
      <c r="H839" s="197"/>
      <c r="I839" s="197"/>
      <c r="J839" s="197"/>
      <c r="K839" s="197"/>
      <c r="L839" s="197"/>
      <c r="M839" s="197"/>
      <c r="N839" s="197"/>
      <c r="O839" s="197"/>
      <c r="P839" s="197"/>
      <c r="Q839" s="197"/>
      <c r="R839" s="197"/>
      <c r="S839" s="197"/>
      <c r="T839" s="198"/>
      <c r="U839" s="197"/>
      <c r="V839" s="197"/>
      <c r="W839" s="197"/>
      <c r="X839" s="197"/>
      <c r="Y839" s="197"/>
      <c r="Z839" s="197"/>
    </row>
    <row r="840" spans="1:26">
      <c r="A840" s="197"/>
      <c r="B840" s="197"/>
      <c r="C840" s="197"/>
      <c r="D840" s="197"/>
      <c r="E840" s="197"/>
      <c r="F840" s="197"/>
      <c r="G840" s="197"/>
      <c r="H840" s="197"/>
      <c r="I840" s="197"/>
      <c r="J840" s="197"/>
      <c r="K840" s="197"/>
      <c r="L840" s="197"/>
      <c r="M840" s="197"/>
      <c r="N840" s="197"/>
      <c r="O840" s="197"/>
      <c r="P840" s="197"/>
      <c r="Q840" s="197"/>
      <c r="R840" s="197"/>
      <c r="S840" s="197"/>
      <c r="T840" s="198"/>
      <c r="U840" s="197"/>
      <c r="V840" s="197"/>
      <c r="W840" s="197"/>
      <c r="X840" s="197"/>
      <c r="Y840" s="197"/>
      <c r="Z840" s="197"/>
    </row>
    <row r="841" spans="1:26">
      <c r="A841" s="197"/>
      <c r="B841" s="197"/>
      <c r="C841" s="197"/>
      <c r="D841" s="197"/>
      <c r="E841" s="197"/>
      <c r="F841" s="197"/>
      <c r="G841" s="197"/>
      <c r="H841" s="197"/>
      <c r="I841" s="197"/>
      <c r="J841" s="197"/>
      <c r="K841" s="197"/>
      <c r="L841" s="197"/>
      <c r="M841" s="197"/>
      <c r="N841" s="197"/>
      <c r="O841" s="197"/>
      <c r="P841" s="197"/>
      <c r="Q841" s="197"/>
      <c r="R841" s="197"/>
      <c r="S841" s="197"/>
      <c r="T841" s="198"/>
      <c r="U841" s="197"/>
      <c r="V841" s="197"/>
      <c r="W841" s="197"/>
      <c r="X841" s="197"/>
      <c r="Y841" s="197"/>
      <c r="Z841" s="197"/>
    </row>
    <row r="842" spans="1:26">
      <c r="A842" s="197"/>
      <c r="B842" s="197"/>
      <c r="C842" s="197"/>
      <c r="D842" s="197"/>
      <c r="E842" s="197"/>
      <c r="F842" s="197"/>
      <c r="G842" s="197"/>
      <c r="H842" s="197"/>
      <c r="I842" s="197"/>
      <c r="J842" s="197"/>
      <c r="K842" s="197"/>
      <c r="L842" s="197"/>
      <c r="M842" s="197"/>
      <c r="N842" s="197"/>
      <c r="O842" s="197"/>
      <c r="P842" s="197"/>
      <c r="Q842" s="197"/>
      <c r="R842" s="197"/>
      <c r="S842" s="197"/>
      <c r="T842" s="198"/>
      <c r="U842" s="197"/>
      <c r="V842" s="197"/>
      <c r="W842" s="197"/>
      <c r="X842" s="197"/>
      <c r="Y842" s="197"/>
      <c r="Z842" s="197"/>
    </row>
    <row r="843" spans="1:26">
      <c r="A843" s="197"/>
      <c r="B843" s="197"/>
      <c r="C843" s="197"/>
      <c r="D843" s="197"/>
      <c r="E843" s="197"/>
      <c r="F843" s="197"/>
      <c r="G843" s="197"/>
      <c r="H843" s="197"/>
      <c r="I843" s="197"/>
      <c r="J843" s="197"/>
      <c r="K843" s="197"/>
      <c r="L843" s="197"/>
      <c r="M843" s="197"/>
      <c r="N843" s="197"/>
      <c r="O843" s="197"/>
      <c r="P843" s="197"/>
      <c r="Q843" s="197"/>
      <c r="R843" s="197"/>
      <c r="S843" s="197"/>
      <c r="T843" s="198"/>
      <c r="U843" s="197"/>
      <c r="V843" s="197"/>
      <c r="W843" s="197"/>
      <c r="X843" s="197"/>
      <c r="Y843" s="197"/>
      <c r="Z843" s="197"/>
    </row>
    <row r="844" spans="1:26">
      <c r="A844" s="197"/>
      <c r="B844" s="197"/>
      <c r="C844" s="197"/>
      <c r="D844" s="197"/>
      <c r="E844" s="197"/>
      <c r="F844" s="197"/>
      <c r="G844" s="197"/>
      <c r="H844" s="197"/>
      <c r="I844" s="197"/>
      <c r="J844" s="197"/>
      <c r="K844" s="197"/>
      <c r="L844" s="197"/>
      <c r="M844" s="197"/>
      <c r="N844" s="197"/>
      <c r="O844" s="197"/>
      <c r="P844" s="197"/>
      <c r="Q844" s="197"/>
      <c r="R844" s="197"/>
      <c r="S844" s="197"/>
      <c r="T844" s="198"/>
      <c r="U844" s="197"/>
      <c r="V844" s="197"/>
      <c r="W844" s="197"/>
      <c r="X844" s="197"/>
      <c r="Y844" s="197"/>
      <c r="Z844" s="197"/>
    </row>
    <row r="845" spans="1:26">
      <c r="A845" s="197"/>
      <c r="B845" s="197"/>
      <c r="C845" s="197"/>
      <c r="D845" s="197"/>
      <c r="E845" s="197"/>
      <c r="F845" s="197"/>
      <c r="G845" s="197"/>
      <c r="H845" s="197"/>
      <c r="I845" s="197"/>
      <c r="J845" s="197"/>
      <c r="K845" s="197"/>
      <c r="L845" s="197"/>
      <c r="M845" s="197"/>
      <c r="N845" s="197"/>
      <c r="O845" s="197"/>
      <c r="P845" s="197"/>
      <c r="Q845" s="197"/>
      <c r="R845" s="197"/>
      <c r="S845" s="197"/>
      <c r="T845" s="198"/>
      <c r="U845" s="197"/>
      <c r="V845" s="197"/>
      <c r="W845" s="197"/>
      <c r="X845" s="197"/>
      <c r="Y845" s="197"/>
      <c r="Z845" s="197"/>
    </row>
    <row r="846" spans="1:26">
      <c r="A846" s="197"/>
      <c r="B846" s="197"/>
      <c r="C846" s="197"/>
      <c r="D846" s="197"/>
      <c r="E846" s="197"/>
      <c r="F846" s="197"/>
      <c r="G846" s="197"/>
      <c r="H846" s="197"/>
      <c r="I846" s="197"/>
      <c r="J846" s="197"/>
      <c r="K846" s="197"/>
      <c r="L846" s="197"/>
      <c r="M846" s="197"/>
      <c r="N846" s="197"/>
      <c r="O846" s="197"/>
      <c r="P846" s="197"/>
      <c r="Q846" s="197"/>
      <c r="R846" s="197"/>
      <c r="S846" s="197"/>
      <c r="T846" s="198"/>
      <c r="U846" s="197"/>
      <c r="V846" s="197"/>
      <c r="W846" s="197"/>
      <c r="X846" s="197"/>
      <c r="Y846" s="197"/>
      <c r="Z846" s="197"/>
    </row>
    <row r="847" spans="1:26">
      <c r="A847" s="197"/>
      <c r="B847" s="197"/>
      <c r="C847" s="197"/>
      <c r="D847" s="197"/>
      <c r="E847" s="197"/>
      <c r="F847" s="197"/>
      <c r="G847" s="197"/>
      <c r="H847" s="197"/>
      <c r="I847" s="197"/>
      <c r="J847" s="197"/>
      <c r="K847" s="197"/>
      <c r="L847" s="197"/>
      <c r="M847" s="197"/>
      <c r="N847" s="197"/>
      <c r="O847" s="197"/>
      <c r="P847" s="197"/>
      <c r="Q847" s="197"/>
      <c r="R847" s="197"/>
      <c r="S847" s="197"/>
      <c r="T847" s="198"/>
      <c r="U847" s="197"/>
      <c r="V847" s="197"/>
      <c r="W847" s="197"/>
      <c r="X847" s="197"/>
      <c r="Y847" s="197"/>
      <c r="Z847" s="197"/>
    </row>
    <row r="848" spans="1:26">
      <c r="A848" s="197"/>
      <c r="B848" s="197"/>
      <c r="C848" s="197"/>
      <c r="D848" s="197"/>
      <c r="E848" s="197"/>
      <c r="F848" s="197"/>
      <c r="G848" s="197"/>
      <c r="H848" s="197"/>
      <c r="I848" s="197"/>
      <c r="J848" s="197"/>
      <c r="K848" s="197"/>
      <c r="L848" s="197"/>
      <c r="M848" s="197"/>
      <c r="N848" s="197"/>
      <c r="O848" s="197"/>
      <c r="P848" s="197"/>
      <c r="Q848" s="197"/>
      <c r="R848" s="197"/>
      <c r="S848" s="197"/>
      <c r="T848" s="198"/>
      <c r="U848" s="197"/>
      <c r="V848" s="197"/>
      <c r="W848" s="197"/>
      <c r="X848" s="197"/>
      <c r="Y848" s="197"/>
      <c r="Z848" s="197"/>
    </row>
    <row r="849" spans="1:26">
      <c r="A849" s="197"/>
      <c r="B849" s="197"/>
      <c r="C849" s="197"/>
      <c r="D849" s="197"/>
      <c r="E849" s="197"/>
      <c r="F849" s="197"/>
      <c r="G849" s="197"/>
      <c r="H849" s="197"/>
      <c r="I849" s="197"/>
      <c r="J849" s="197"/>
      <c r="K849" s="197"/>
      <c r="L849" s="197"/>
      <c r="M849" s="197"/>
      <c r="N849" s="197"/>
      <c r="O849" s="197"/>
      <c r="P849" s="197"/>
      <c r="Q849" s="197"/>
      <c r="R849" s="197"/>
      <c r="S849" s="197"/>
      <c r="T849" s="198"/>
      <c r="U849" s="197"/>
      <c r="V849" s="197"/>
      <c r="W849" s="197"/>
      <c r="X849" s="197"/>
      <c r="Y849" s="197"/>
      <c r="Z849" s="197"/>
    </row>
    <row r="850" spans="1:26">
      <c r="A850" s="197"/>
      <c r="B850" s="197"/>
      <c r="C850" s="197"/>
      <c r="D850" s="197"/>
      <c r="E850" s="197"/>
      <c r="F850" s="197"/>
      <c r="G850" s="197"/>
      <c r="H850" s="197"/>
      <c r="I850" s="197"/>
      <c r="J850" s="197"/>
      <c r="K850" s="197"/>
      <c r="L850" s="197"/>
      <c r="M850" s="197"/>
      <c r="N850" s="197"/>
      <c r="O850" s="197"/>
      <c r="P850" s="197"/>
      <c r="Q850" s="197"/>
      <c r="R850" s="197"/>
      <c r="S850" s="197"/>
      <c r="T850" s="198"/>
      <c r="U850" s="197"/>
      <c r="V850" s="197"/>
      <c r="W850" s="197"/>
      <c r="X850" s="197"/>
      <c r="Y850" s="197"/>
      <c r="Z850" s="197"/>
    </row>
    <row r="851" spans="1:26">
      <c r="A851" s="197"/>
      <c r="B851" s="197"/>
      <c r="C851" s="197"/>
      <c r="D851" s="197"/>
      <c r="E851" s="197"/>
      <c r="F851" s="197"/>
      <c r="G851" s="197"/>
      <c r="H851" s="197"/>
      <c r="I851" s="197"/>
      <c r="J851" s="197"/>
      <c r="K851" s="197"/>
      <c r="L851" s="197"/>
      <c r="M851" s="197"/>
      <c r="N851" s="197"/>
      <c r="O851" s="197"/>
      <c r="P851" s="197"/>
      <c r="Q851" s="197"/>
      <c r="R851" s="197"/>
      <c r="S851" s="197"/>
      <c r="T851" s="198"/>
      <c r="U851" s="197"/>
      <c r="V851" s="197"/>
      <c r="W851" s="197"/>
      <c r="X851" s="197"/>
      <c r="Y851" s="197"/>
      <c r="Z851" s="197"/>
    </row>
    <row r="852" spans="1:26">
      <c r="A852" s="197"/>
      <c r="B852" s="197"/>
      <c r="C852" s="197"/>
      <c r="D852" s="197"/>
      <c r="E852" s="197"/>
      <c r="F852" s="197"/>
      <c r="G852" s="197"/>
      <c r="H852" s="197"/>
      <c r="I852" s="197"/>
      <c r="J852" s="197"/>
      <c r="K852" s="197"/>
      <c r="L852" s="197"/>
      <c r="M852" s="197"/>
      <c r="N852" s="197"/>
      <c r="O852" s="197"/>
      <c r="P852" s="197"/>
      <c r="Q852" s="197"/>
      <c r="R852" s="197"/>
      <c r="S852" s="197"/>
      <c r="T852" s="198"/>
      <c r="U852" s="197"/>
      <c r="V852" s="197"/>
      <c r="W852" s="197"/>
      <c r="X852" s="197"/>
      <c r="Y852" s="197"/>
      <c r="Z852" s="197"/>
    </row>
    <row r="853" spans="1:26">
      <c r="A853" s="197"/>
      <c r="B853" s="197"/>
      <c r="C853" s="197"/>
      <c r="D853" s="197"/>
      <c r="E853" s="197"/>
      <c r="F853" s="197"/>
      <c r="G853" s="197"/>
      <c r="H853" s="197"/>
      <c r="I853" s="197"/>
      <c r="J853" s="197"/>
      <c r="K853" s="197"/>
      <c r="L853" s="197"/>
      <c r="M853" s="197"/>
      <c r="N853" s="197"/>
      <c r="O853" s="197"/>
      <c r="P853" s="197"/>
      <c r="Q853" s="197"/>
      <c r="R853" s="197"/>
      <c r="S853" s="197"/>
      <c r="T853" s="198"/>
      <c r="U853" s="197"/>
      <c r="V853" s="197"/>
      <c r="W853" s="197"/>
      <c r="X853" s="197"/>
      <c r="Y853" s="197"/>
      <c r="Z853" s="197"/>
    </row>
    <row r="854" spans="1:26">
      <c r="A854" s="197"/>
      <c r="B854" s="197"/>
      <c r="C854" s="197"/>
      <c r="D854" s="197"/>
      <c r="E854" s="197"/>
      <c r="F854" s="197"/>
      <c r="G854" s="197"/>
      <c r="H854" s="197"/>
      <c r="I854" s="197"/>
      <c r="J854" s="197"/>
      <c r="K854" s="197"/>
      <c r="L854" s="197"/>
      <c r="M854" s="197"/>
      <c r="N854" s="197"/>
      <c r="O854" s="197"/>
      <c r="P854" s="197"/>
      <c r="Q854" s="197"/>
      <c r="R854" s="197"/>
      <c r="S854" s="197"/>
      <c r="T854" s="198"/>
      <c r="U854" s="197"/>
      <c r="V854" s="197"/>
      <c r="W854" s="197"/>
      <c r="X854" s="197"/>
      <c r="Y854" s="197"/>
      <c r="Z854" s="197"/>
    </row>
    <row r="855" spans="1:26">
      <c r="A855" s="197"/>
      <c r="B855" s="197"/>
      <c r="C855" s="197"/>
      <c r="D855" s="197"/>
      <c r="E855" s="197"/>
      <c r="F855" s="197"/>
      <c r="G855" s="197"/>
      <c r="H855" s="197"/>
      <c r="I855" s="197"/>
      <c r="J855" s="197"/>
      <c r="K855" s="197"/>
      <c r="L855" s="197"/>
      <c r="M855" s="197"/>
      <c r="N855" s="197"/>
      <c r="O855" s="197"/>
      <c r="P855" s="197"/>
      <c r="Q855" s="197"/>
      <c r="R855" s="197"/>
      <c r="S855" s="197"/>
      <c r="T855" s="198"/>
      <c r="U855" s="197"/>
      <c r="V855" s="197"/>
      <c r="W855" s="197"/>
      <c r="X855" s="197"/>
      <c r="Y855" s="197"/>
      <c r="Z855" s="197"/>
    </row>
    <row r="856" spans="1:26">
      <c r="A856" s="197"/>
      <c r="B856" s="197"/>
      <c r="C856" s="197"/>
      <c r="D856" s="197"/>
      <c r="E856" s="197"/>
      <c r="F856" s="197"/>
      <c r="G856" s="197"/>
      <c r="H856" s="197"/>
      <c r="I856" s="197"/>
      <c r="J856" s="197"/>
      <c r="K856" s="197"/>
      <c r="L856" s="197"/>
      <c r="M856" s="197"/>
      <c r="N856" s="197"/>
      <c r="O856" s="197"/>
      <c r="P856" s="197"/>
      <c r="Q856" s="197"/>
      <c r="R856" s="197"/>
      <c r="S856" s="197"/>
      <c r="T856" s="198"/>
      <c r="U856" s="197"/>
      <c r="V856" s="197"/>
      <c r="W856" s="197"/>
      <c r="X856" s="197"/>
      <c r="Y856" s="197"/>
      <c r="Z856" s="197"/>
    </row>
    <row r="857" spans="1:26">
      <c r="A857" s="197"/>
      <c r="B857" s="197"/>
      <c r="C857" s="197"/>
      <c r="D857" s="197"/>
      <c r="E857" s="197"/>
      <c r="F857" s="197"/>
      <c r="G857" s="197"/>
      <c r="H857" s="197"/>
      <c r="I857" s="197"/>
      <c r="J857" s="197"/>
      <c r="K857" s="197"/>
      <c r="L857" s="197"/>
      <c r="M857" s="197"/>
      <c r="N857" s="197"/>
      <c r="O857" s="197"/>
      <c r="P857" s="197"/>
      <c r="Q857" s="197"/>
      <c r="R857" s="197"/>
      <c r="S857" s="197"/>
      <c r="T857" s="198"/>
      <c r="U857" s="197"/>
      <c r="V857" s="197"/>
      <c r="W857" s="197"/>
      <c r="X857" s="197"/>
      <c r="Y857" s="197"/>
      <c r="Z857" s="197"/>
    </row>
    <row r="858" spans="1:26">
      <c r="A858" s="197"/>
      <c r="B858" s="197"/>
      <c r="C858" s="197"/>
      <c r="D858" s="197"/>
      <c r="E858" s="197"/>
      <c r="F858" s="197"/>
      <c r="G858" s="197"/>
      <c r="H858" s="197"/>
      <c r="I858" s="197"/>
      <c r="J858" s="197"/>
      <c r="K858" s="197"/>
      <c r="L858" s="197"/>
      <c r="M858" s="197"/>
      <c r="N858" s="197"/>
      <c r="O858" s="197"/>
      <c r="P858" s="197"/>
      <c r="Q858" s="197"/>
      <c r="R858" s="197"/>
      <c r="S858" s="197"/>
      <c r="T858" s="198"/>
      <c r="U858" s="197"/>
      <c r="V858" s="197"/>
      <c r="W858" s="197"/>
      <c r="X858" s="197"/>
      <c r="Y858" s="197"/>
      <c r="Z858" s="197"/>
    </row>
    <row r="859" spans="1:26">
      <c r="A859" s="197"/>
      <c r="B859" s="197"/>
      <c r="C859" s="197"/>
      <c r="D859" s="197"/>
      <c r="E859" s="197"/>
      <c r="F859" s="197"/>
      <c r="G859" s="197"/>
      <c r="H859" s="197"/>
      <c r="I859" s="197"/>
      <c r="J859" s="197"/>
      <c r="K859" s="197"/>
      <c r="L859" s="197"/>
      <c r="M859" s="197"/>
      <c r="N859" s="197"/>
      <c r="O859" s="197"/>
      <c r="P859" s="197"/>
      <c r="Q859" s="197"/>
      <c r="R859" s="197"/>
      <c r="S859" s="197"/>
      <c r="T859" s="198"/>
      <c r="U859" s="197"/>
      <c r="V859" s="197"/>
      <c r="W859" s="197"/>
      <c r="X859" s="197"/>
      <c r="Y859" s="197"/>
      <c r="Z859" s="197"/>
    </row>
    <row r="860" spans="1:26">
      <c r="A860" s="197"/>
      <c r="B860" s="197"/>
      <c r="C860" s="197"/>
      <c r="D860" s="197"/>
      <c r="E860" s="197"/>
      <c r="F860" s="197"/>
      <c r="G860" s="197"/>
      <c r="H860" s="197"/>
      <c r="I860" s="197"/>
      <c r="J860" s="197"/>
      <c r="K860" s="197"/>
      <c r="L860" s="197"/>
      <c r="M860" s="197"/>
      <c r="N860" s="197"/>
      <c r="O860" s="197"/>
      <c r="P860" s="197"/>
      <c r="Q860" s="197"/>
      <c r="R860" s="197"/>
      <c r="S860" s="197"/>
      <c r="T860" s="198"/>
      <c r="U860" s="197"/>
      <c r="V860" s="197"/>
      <c r="W860" s="197"/>
      <c r="X860" s="197"/>
      <c r="Y860" s="197"/>
      <c r="Z860" s="197"/>
    </row>
    <row r="861" spans="1:26">
      <c r="A861" s="197"/>
      <c r="B861" s="197"/>
      <c r="C861" s="197"/>
      <c r="D861" s="197"/>
      <c r="E861" s="197"/>
      <c r="F861" s="197"/>
      <c r="G861" s="197"/>
      <c r="H861" s="197"/>
      <c r="I861" s="197"/>
      <c r="J861" s="197"/>
      <c r="K861" s="197"/>
      <c r="L861" s="197"/>
      <c r="M861" s="197"/>
      <c r="N861" s="197"/>
      <c r="O861" s="197"/>
      <c r="P861" s="197"/>
      <c r="Q861" s="197"/>
      <c r="R861" s="197"/>
      <c r="S861" s="197"/>
      <c r="T861" s="198"/>
      <c r="U861" s="197"/>
      <c r="V861" s="197"/>
      <c r="W861" s="197"/>
      <c r="X861" s="197"/>
      <c r="Y861" s="197"/>
      <c r="Z861" s="197"/>
    </row>
    <row r="862" spans="1:26">
      <c r="A862" s="197"/>
      <c r="B862" s="197"/>
      <c r="C862" s="197"/>
      <c r="D862" s="197"/>
      <c r="E862" s="197"/>
      <c r="F862" s="197"/>
      <c r="G862" s="197"/>
      <c r="H862" s="197"/>
      <c r="I862" s="197"/>
      <c r="J862" s="197"/>
      <c r="K862" s="197"/>
      <c r="L862" s="197"/>
      <c r="M862" s="197"/>
      <c r="N862" s="197"/>
      <c r="O862" s="197"/>
      <c r="P862" s="197"/>
      <c r="Q862" s="197"/>
      <c r="R862" s="197"/>
      <c r="S862" s="197"/>
      <c r="T862" s="198"/>
      <c r="U862" s="197"/>
      <c r="V862" s="197"/>
      <c r="W862" s="197"/>
      <c r="X862" s="197"/>
      <c r="Y862" s="197"/>
      <c r="Z862" s="197"/>
    </row>
    <row r="863" spans="1:26">
      <c r="A863" s="197"/>
      <c r="B863" s="197"/>
      <c r="C863" s="197"/>
      <c r="D863" s="197"/>
      <c r="E863" s="197"/>
      <c r="F863" s="197"/>
      <c r="G863" s="197"/>
      <c r="H863" s="197"/>
      <c r="I863" s="197"/>
      <c r="J863" s="197"/>
      <c r="K863" s="197"/>
      <c r="L863" s="197"/>
      <c r="M863" s="197"/>
      <c r="N863" s="197"/>
      <c r="O863" s="197"/>
      <c r="P863" s="197"/>
      <c r="Q863" s="197"/>
      <c r="R863" s="197"/>
      <c r="S863" s="197"/>
      <c r="T863" s="198"/>
      <c r="U863" s="197"/>
      <c r="V863" s="197"/>
      <c r="W863" s="197"/>
      <c r="X863" s="197"/>
      <c r="Y863" s="197"/>
      <c r="Z863" s="197"/>
    </row>
    <row r="864" spans="1:26">
      <c r="A864" s="197"/>
      <c r="B864" s="197"/>
      <c r="C864" s="197"/>
      <c r="D864" s="197"/>
      <c r="E864" s="197"/>
      <c r="F864" s="197"/>
      <c r="G864" s="197"/>
      <c r="H864" s="197"/>
      <c r="I864" s="197"/>
      <c r="J864" s="197"/>
      <c r="K864" s="197"/>
      <c r="L864" s="197"/>
      <c r="M864" s="197"/>
      <c r="N864" s="197"/>
      <c r="O864" s="197"/>
      <c r="P864" s="197"/>
      <c r="Q864" s="197"/>
      <c r="R864" s="197"/>
      <c r="S864" s="197"/>
      <c r="T864" s="198"/>
      <c r="U864" s="197"/>
      <c r="V864" s="197"/>
      <c r="W864" s="197"/>
      <c r="X864" s="197"/>
      <c r="Y864" s="197"/>
      <c r="Z864" s="197"/>
    </row>
    <row r="865" spans="1:26">
      <c r="A865" s="197"/>
      <c r="B865" s="197"/>
      <c r="C865" s="197"/>
      <c r="D865" s="197"/>
      <c r="E865" s="197"/>
      <c r="F865" s="197"/>
      <c r="G865" s="197"/>
      <c r="H865" s="197"/>
      <c r="I865" s="197"/>
      <c r="J865" s="197"/>
      <c r="K865" s="197"/>
      <c r="L865" s="197"/>
      <c r="M865" s="197"/>
      <c r="N865" s="197"/>
      <c r="O865" s="197"/>
      <c r="P865" s="197"/>
      <c r="Q865" s="197"/>
      <c r="R865" s="197"/>
      <c r="S865" s="197"/>
      <c r="T865" s="198"/>
      <c r="U865" s="197"/>
      <c r="V865" s="197"/>
      <c r="W865" s="197"/>
      <c r="X865" s="197"/>
      <c r="Y865" s="197"/>
      <c r="Z865" s="197"/>
    </row>
    <row r="866" spans="1:26">
      <c r="A866" s="197"/>
      <c r="B866" s="197"/>
      <c r="C866" s="197"/>
      <c r="D866" s="197"/>
      <c r="E866" s="197"/>
      <c r="F866" s="197"/>
      <c r="G866" s="197"/>
      <c r="H866" s="197"/>
      <c r="I866" s="197"/>
      <c r="J866" s="197"/>
      <c r="K866" s="197"/>
      <c r="L866" s="197"/>
      <c r="M866" s="197"/>
      <c r="N866" s="197"/>
      <c r="O866" s="197"/>
      <c r="P866" s="197"/>
      <c r="Q866" s="197"/>
      <c r="R866" s="197"/>
      <c r="S866" s="197"/>
      <c r="T866" s="198"/>
      <c r="U866" s="197"/>
      <c r="V866" s="197"/>
      <c r="W866" s="197"/>
      <c r="X866" s="197"/>
      <c r="Y866" s="197"/>
      <c r="Z866" s="197"/>
    </row>
    <row r="867" spans="1:26">
      <c r="A867" s="197"/>
      <c r="B867" s="197"/>
      <c r="C867" s="197"/>
      <c r="D867" s="197"/>
      <c r="E867" s="197"/>
      <c r="F867" s="197"/>
      <c r="G867" s="197"/>
      <c r="H867" s="197"/>
      <c r="I867" s="197"/>
      <c r="J867" s="197"/>
      <c r="K867" s="197"/>
      <c r="L867" s="197"/>
      <c r="M867" s="197"/>
      <c r="N867" s="197"/>
      <c r="O867" s="197"/>
      <c r="P867" s="197"/>
      <c r="Q867" s="197"/>
      <c r="R867" s="197"/>
      <c r="S867" s="197"/>
      <c r="T867" s="198"/>
      <c r="U867" s="197"/>
      <c r="V867" s="197"/>
      <c r="W867" s="197"/>
      <c r="X867" s="197"/>
      <c r="Y867" s="197"/>
      <c r="Z867" s="197"/>
    </row>
    <row r="868" spans="1:26">
      <c r="A868" s="197"/>
      <c r="B868" s="197"/>
      <c r="C868" s="197"/>
      <c r="D868" s="197"/>
      <c r="E868" s="197"/>
      <c r="F868" s="197"/>
      <c r="G868" s="197"/>
      <c r="H868" s="197"/>
      <c r="I868" s="197"/>
      <c r="J868" s="197"/>
      <c r="K868" s="197"/>
      <c r="L868" s="197"/>
      <c r="M868" s="197"/>
      <c r="N868" s="197"/>
      <c r="O868" s="197"/>
      <c r="P868" s="197"/>
      <c r="Q868" s="197"/>
      <c r="R868" s="197"/>
      <c r="S868" s="197"/>
      <c r="T868" s="198"/>
      <c r="U868" s="197"/>
      <c r="V868" s="197"/>
      <c r="W868" s="197"/>
      <c r="X868" s="197"/>
      <c r="Y868" s="197"/>
      <c r="Z868" s="197"/>
    </row>
    <row r="869" spans="1:26">
      <c r="A869" s="197"/>
      <c r="B869" s="197"/>
      <c r="C869" s="197"/>
      <c r="D869" s="197"/>
      <c r="E869" s="197"/>
      <c r="F869" s="197"/>
      <c r="G869" s="197"/>
      <c r="H869" s="197"/>
      <c r="I869" s="197"/>
      <c r="J869" s="197"/>
      <c r="K869" s="197"/>
      <c r="L869" s="197"/>
      <c r="M869" s="197"/>
      <c r="N869" s="197"/>
      <c r="O869" s="197"/>
      <c r="P869" s="197"/>
      <c r="Q869" s="197"/>
      <c r="R869" s="197"/>
      <c r="S869" s="197"/>
      <c r="T869" s="198"/>
      <c r="U869" s="197"/>
      <c r="V869" s="197"/>
      <c r="W869" s="197"/>
      <c r="X869" s="197"/>
      <c r="Y869" s="197"/>
      <c r="Z869" s="197"/>
    </row>
    <row r="870" spans="1:26">
      <c r="A870" s="197"/>
      <c r="B870" s="197"/>
      <c r="C870" s="197"/>
      <c r="D870" s="197"/>
      <c r="E870" s="197"/>
      <c r="F870" s="197"/>
      <c r="G870" s="197"/>
      <c r="H870" s="197"/>
      <c r="I870" s="197"/>
      <c r="J870" s="197"/>
      <c r="K870" s="197"/>
      <c r="L870" s="197"/>
      <c r="M870" s="197"/>
      <c r="N870" s="197"/>
      <c r="O870" s="197"/>
      <c r="P870" s="197"/>
      <c r="Q870" s="197"/>
      <c r="R870" s="197"/>
      <c r="S870" s="197"/>
      <c r="T870" s="198"/>
      <c r="U870" s="197"/>
      <c r="V870" s="197"/>
      <c r="W870" s="197"/>
      <c r="X870" s="197"/>
      <c r="Y870" s="197"/>
      <c r="Z870" s="197"/>
    </row>
    <row r="871" spans="1:26">
      <c r="A871" s="197"/>
      <c r="B871" s="197"/>
      <c r="C871" s="197"/>
      <c r="D871" s="197"/>
      <c r="E871" s="197"/>
      <c r="F871" s="197"/>
      <c r="G871" s="197"/>
      <c r="H871" s="197"/>
      <c r="I871" s="197"/>
      <c r="J871" s="197"/>
      <c r="K871" s="197"/>
      <c r="L871" s="197"/>
      <c r="M871" s="197"/>
      <c r="N871" s="197"/>
      <c r="O871" s="197"/>
      <c r="P871" s="197"/>
      <c r="Q871" s="197"/>
      <c r="R871" s="197"/>
      <c r="S871" s="197"/>
      <c r="T871" s="198"/>
      <c r="U871" s="197"/>
      <c r="V871" s="197"/>
      <c r="W871" s="197"/>
      <c r="X871" s="197"/>
      <c r="Y871" s="197"/>
      <c r="Z871" s="197"/>
    </row>
    <row r="872" spans="1:26">
      <c r="A872" s="197"/>
      <c r="B872" s="197"/>
      <c r="C872" s="197"/>
      <c r="D872" s="197"/>
      <c r="E872" s="197"/>
      <c r="F872" s="197"/>
      <c r="G872" s="197"/>
      <c r="H872" s="197"/>
      <c r="I872" s="197"/>
      <c r="J872" s="197"/>
      <c r="K872" s="197"/>
      <c r="L872" s="197"/>
      <c r="M872" s="197"/>
      <c r="N872" s="197"/>
      <c r="O872" s="197"/>
      <c r="P872" s="197"/>
      <c r="Q872" s="197"/>
      <c r="R872" s="197"/>
      <c r="S872" s="197"/>
      <c r="T872" s="198"/>
      <c r="U872" s="197"/>
      <c r="V872" s="197"/>
      <c r="W872" s="197"/>
      <c r="X872" s="197"/>
      <c r="Y872" s="197"/>
      <c r="Z872" s="197"/>
    </row>
    <row r="873" spans="1:26">
      <c r="A873" s="197"/>
      <c r="B873" s="197"/>
      <c r="C873" s="197"/>
      <c r="D873" s="197"/>
      <c r="E873" s="197"/>
      <c r="F873" s="197"/>
      <c r="G873" s="197"/>
      <c r="H873" s="197"/>
      <c r="I873" s="197"/>
      <c r="J873" s="197"/>
      <c r="K873" s="197"/>
      <c r="L873" s="197"/>
      <c r="M873" s="197"/>
      <c r="N873" s="197"/>
      <c r="O873" s="197"/>
      <c r="P873" s="197"/>
      <c r="Q873" s="197"/>
      <c r="R873" s="197"/>
      <c r="S873" s="197"/>
      <c r="T873" s="198"/>
      <c r="U873" s="197"/>
      <c r="V873" s="197"/>
      <c r="W873" s="197"/>
      <c r="X873" s="197"/>
      <c r="Y873" s="197"/>
      <c r="Z873" s="197"/>
    </row>
    <row r="874" spans="1:26">
      <c r="A874" s="197"/>
      <c r="B874" s="197"/>
      <c r="C874" s="197"/>
      <c r="D874" s="197"/>
      <c r="E874" s="197"/>
      <c r="F874" s="197"/>
      <c r="G874" s="197"/>
      <c r="H874" s="197"/>
      <c r="I874" s="197"/>
      <c r="J874" s="197"/>
      <c r="K874" s="197"/>
      <c r="L874" s="197"/>
      <c r="M874" s="197"/>
      <c r="N874" s="197"/>
      <c r="O874" s="197"/>
      <c r="P874" s="197"/>
      <c r="Q874" s="197"/>
      <c r="R874" s="197"/>
      <c r="S874" s="197"/>
      <c r="T874" s="198"/>
      <c r="U874" s="197"/>
      <c r="V874" s="197"/>
      <c r="W874" s="197"/>
      <c r="X874" s="197"/>
      <c r="Y874" s="197"/>
      <c r="Z874" s="197"/>
    </row>
    <row r="875" spans="1:26">
      <c r="A875" s="197"/>
      <c r="B875" s="197"/>
      <c r="C875" s="197"/>
      <c r="D875" s="197"/>
      <c r="E875" s="197"/>
      <c r="F875" s="197"/>
      <c r="G875" s="197"/>
      <c r="H875" s="197"/>
      <c r="I875" s="197"/>
      <c r="J875" s="197"/>
      <c r="K875" s="197"/>
      <c r="L875" s="197"/>
      <c r="M875" s="197"/>
      <c r="N875" s="197"/>
      <c r="O875" s="197"/>
      <c r="P875" s="197"/>
      <c r="Q875" s="197"/>
      <c r="R875" s="197"/>
      <c r="S875" s="197"/>
      <c r="T875" s="198"/>
      <c r="U875" s="197"/>
      <c r="V875" s="197"/>
      <c r="W875" s="197"/>
      <c r="X875" s="197"/>
      <c r="Y875" s="197"/>
      <c r="Z875" s="197"/>
    </row>
    <row r="876" spans="1:26">
      <c r="A876" s="197"/>
      <c r="B876" s="197"/>
      <c r="C876" s="197"/>
      <c r="D876" s="197"/>
      <c r="E876" s="197"/>
      <c r="F876" s="197"/>
      <c r="G876" s="197"/>
      <c r="H876" s="197"/>
      <c r="I876" s="197"/>
      <c r="J876" s="197"/>
      <c r="K876" s="197"/>
      <c r="L876" s="197"/>
      <c r="M876" s="197"/>
      <c r="N876" s="197"/>
      <c r="O876" s="197"/>
      <c r="P876" s="197"/>
      <c r="Q876" s="197"/>
      <c r="R876" s="197"/>
      <c r="S876" s="197"/>
      <c r="T876" s="198"/>
      <c r="U876" s="197"/>
      <c r="V876" s="197"/>
      <c r="W876" s="197"/>
      <c r="X876" s="197"/>
      <c r="Y876" s="197"/>
      <c r="Z876" s="197"/>
    </row>
    <row r="877" spans="1:26">
      <c r="A877" s="197"/>
      <c r="B877" s="197"/>
      <c r="C877" s="197"/>
      <c r="D877" s="197"/>
      <c r="E877" s="197"/>
      <c r="F877" s="197"/>
      <c r="G877" s="197"/>
      <c r="H877" s="197"/>
      <c r="I877" s="197"/>
      <c r="J877" s="197"/>
      <c r="K877" s="197"/>
      <c r="L877" s="197"/>
      <c r="M877" s="197"/>
      <c r="N877" s="197"/>
      <c r="O877" s="197"/>
      <c r="P877" s="197"/>
      <c r="Q877" s="197"/>
      <c r="R877" s="197"/>
      <c r="S877" s="197"/>
      <c r="T877" s="198"/>
      <c r="U877" s="197"/>
      <c r="V877" s="197"/>
      <c r="W877" s="197"/>
      <c r="X877" s="197"/>
      <c r="Y877" s="197"/>
      <c r="Z877" s="197"/>
    </row>
    <row r="878" spans="1:26">
      <c r="A878" s="197"/>
      <c r="B878" s="197"/>
      <c r="C878" s="197"/>
      <c r="D878" s="197"/>
      <c r="E878" s="197"/>
      <c r="F878" s="197"/>
      <c r="G878" s="197"/>
      <c r="H878" s="197"/>
      <c r="I878" s="197"/>
      <c r="J878" s="197"/>
      <c r="K878" s="197"/>
      <c r="L878" s="197"/>
      <c r="M878" s="197"/>
      <c r="N878" s="197"/>
      <c r="O878" s="197"/>
      <c r="P878" s="197"/>
      <c r="Q878" s="197"/>
      <c r="R878" s="197"/>
      <c r="S878" s="197"/>
      <c r="T878" s="198"/>
      <c r="U878" s="197"/>
      <c r="V878" s="197"/>
      <c r="W878" s="197"/>
      <c r="X878" s="197"/>
      <c r="Y878" s="197"/>
      <c r="Z878" s="197"/>
    </row>
    <row r="879" spans="1:26">
      <c r="A879" s="197"/>
      <c r="B879" s="197"/>
      <c r="C879" s="197"/>
      <c r="D879" s="197"/>
      <c r="E879" s="197"/>
      <c r="F879" s="197"/>
      <c r="G879" s="197"/>
      <c r="H879" s="197"/>
      <c r="I879" s="197"/>
      <c r="J879" s="197"/>
      <c r="K879" s="197"/>
      <c r="L879" s="197"/>
      <c r="M879" s="197"/>
      <c r="N879" s="197"/>
      <c r="O879" s="197"/>
      <c r="P879" s="197"/>
      <c r="Q879" s="197"/>
      <c r="R879" s="197"/>
      <c r="S879" s="197"/>
      <c r="T879" s="198"/>
      <c r="U879" s="197"/>
      <c r="V879" s="197"/>
      <c r="W879" s="197"/>
      <c r="X879" s="197"/>
      <c r="Y879" s="197"/>
      <c r="Z879" s="197"/>
    </row>
    <row r="880" spans="1:26">
      <c r="A880" s="197"/>
      <c r="B880" s="197"/>
      <c r="C880" s="197"/>
      <c r="D880" s="197"/>
      <c r="E880" s="197"/>
      <c r="F880" s="197"/>
      <c r="G880" s="197"/>
      <c r="H880" s="197"/>
      <c r="I880" s="197"/>
      <c r="J880" s="197"/>
      <c r="K880" s="197"/>
      <c r="L880" s="197"/>
      <c r="M880" s="197"/>
      <c r="N880" s="197"/>
      <c r="O880" s="197"/>
      <c r="P880" s="197"/>
      <c r="Q880" s="197"/>
      <c r="R880" s="197"/>
      <c r="S880" s="197"/>
      <c r="T880" s="198"/>
      <c r="U880" s="197"/>
      <c r="V880" s="197"/>
      <c r="W880" s="197"/>
      <c r="X880" s="197"/>
      <c r="Y880" s="197"/>
      <c r="Z880" s="197"/>
    </row>
    <row r="881" spans="1:26">
      <c r="A881" s="197"/>
      <c r="B881" s="197"/>
      <c r="C881" s="197"/>
      <c r="D881" s="197"/>
      <c r="E881" s="197"/>
      <c r="F881" s="197"/>
      <c r="G881" s="197"/>
      <c r="H881" s="197"/>
      <c r="I881" s="197"/>
      <c r="J881" s="197"/>
      <c r="K881" s="197"/>
      <c r="L881" s="197"/>
      <c r="M881" s="197"/>
      <c r="N881" s="197"/>
      <c r="O881" s="197"/>
      <c r="P881" s="197"/>
      <c r="Q881" s="197"/>
      <c r="R881" s="197"/>
      <c r="S881" s="197"/>
      <c r="T881" s="198"/>
      <c r="U881" s="197"/>
      <c r="V881" s="197"/>
      <c r="W881" s="197"/>
      <c r="X881" s="197"/>
      <c r="Y881" s="197"/>
      <c r="Z881" s="197"/>
    </row>
    <row r="882" spans="1:26">
      <c r="A882" s="197"/>
      <c r="B882" s="197"/>
      <c r="C882" s="197"/>
      <c r="D882" s="197"/>
      <c r="E882" s="197"/>
      <c r="F882" s="197"/>
      <c r="G882" s="197"/>
      <c r="H882" s="197"/>
      <c r="I882" s="197"/>
      <c r="J882" s="197"/>
      <c r="K882" s="197"/>
      <c r="L882" s="197"/>
      <c r="M882" s="197"/>
      <c r="N882" s="197"/>
      <c r="O882" s="197"/>
      <c r="P882" s="197"/>
      <c r="Q882" s="197"/>
      <c r="R882" s="197"/>
      <c r="S882" s="197"/>
      <c r="T882" s="198"/>
      <c r="U882" s="197"/>
      <c r="V882" s="197"/>
      <c r="W882" s="197"/>
      <c r="X882" s="197"/>
      <c r="Y882" s="197"/>
      <c r="Z882" s="197"/>
    </row>
    <row r="883" spans="1:26">
      <c r="A883" s="197"/>
      <c r="B883" s="197"/>
      <c r="C883" s="197"/>
      <c r="D883" s="197"/>
      <c r="E883" s="197"/>
      <c r="F883" s="197"/>
      <c r="G883" s="197"/>
      <c r="H883" s="197"/>
      <c r="I883" s="197"/>
      <c r="J883" s="197"/>
      <c r="K883" s="197"/>
      <c r="L883" s="197"/>
      <c r="M883" s="197"/>
      <c r="N883" s="197"/>
      <c r="O883" s="197"/>
      <c r="P883" s="197"/>
      <c r="Q883" s="197"/>
      <c r="R883" s="197"/>
      <c r="S883" s="197"/>
      <c r="T883" s="198"/>
      <c r="U883" s="197"/>
      <c r="V883" s="197"/>
      <c r="W883" s="197"/>
      <c r="X883" s="197"/>
      <c r="Y883" s="197"/>
      <c r="Z883" s="197"/>
    </row>
    <row r="884" spans="1:26">
      <c r="A884" s="197"/>
      <c r="B884" s="197"/>
      <c r="C884" s="197"/>
      <c r="D884" s="197"/>
      <c r="E884" s="197"/>
      <c r="F884" s="197"/>
      <c r="G884" s="197"/>
      <c r="H884" s="197"/>
      <c r="I884" s="197"/>
      <c r="J884" s="197"/>
      <c r="K884" s="197"/>
      <c r="L884" s="197"/>
      <c r="M884" s="197"/>
      <c r="N884" s="197"/>
      <c r="O884" s="197"/>
      <c r="P884" s="197"/>
      <c r="Q884" s="197"/>
      <c r="R884" s="197"/>
      <c r="S884" s="197"/>
      <c r="T884" s="198"/>
      <c r="U884" s="197"/>
      <c r="V884" s="197"/>
      <c r="W884" s="197"/>
      <c r="X884" s="197"/>
      <c r="Y884" s="197"/>
      <c r="Z884" s="197"/>
    </row>
    <row r="885" spans="1:26">
      <c r="A885" s="197"/>
      <c r="B885" s="197"/>
      <c r="C885" s="197"/>
      <c r="D885" s="197"/>
      <c r="E885" s="197"/>
      <c r="F885" s="197"/>
      <c r="G885" s="197"/>
      <c r="H885" s="197"/>
      <c r="I885" s="197"/>
      <c r="J885" s="197"/>
      <c r="K885" s="197"/>
      <c r="L885" s="197"/>
      <c r="M885" s="197"/>
      <c r="N885" s="197"/>
      <c r="O885" s="197"/>
      <c r="P885" s="197"/>
      <c r="Q885" s="197"/>
      <c r="R885" s="197"/>
      <c r="S885" s="197"/>
      <c r="T885" s="198"/>
      <c r="U885" s="197"/>
      <c r="V885" s="197"/>
      <c r="W885" s="197"/>
      <c r="X885" s="197"/>
      <c r="Y885" s="197"/>
      <c r="Z885" s="197"/>
    </row>
    <row r="886" spans="1:26">
      <c r="A886" s="197"/>
      <c r="B886" s="197"/>
      <c r="C886" s="197"/>
      <c r="D886" s="197"/>
      <c r="E886" s="197"/>
      <c r="F886" s="197"/>
      <c r="G886" s="197"/>
      <c r="H886" s="197"/>
      <c r="I886" s="197"/>
      <c r="J886" s="197"/>
      <c r="K886" s="197"/>
      <c r="L886" s="197"/>
      <c r="M886" s="197"/>
      <c r="N886" s="197"/>
      <c r="O886" s="197"/>
      <c r="P886" s="197"/>
      <c r="Q886" s="197"/>
      <c r="R886" s="197"/>
      <c r="S886" s="197"/>
      <c r="T886" s="198"/>
      <c r="U886" s="197"/>
      <c r="V886" s="197"/>
      <c r="W886" s="197"/>
      <c r="X886" s="197"/>
      <c r="Y886" s="197"/>
      <c r="Z886" s="197"/>
    </row>
    <row r="887" spans="1:26">
      <c r="A887" s="197"/>
      <c r="B887" s="197"/>
      <c r="C887" s="197"/>
      <c r="D887" s="197"/>
      <c r="E887" s="197"/>
      <c r="F887" s="197"/>
      <c r="G887" s="197"/>
      <c r="H887" s="197"/>
      <c r="I887" s="197"/>
      <c r="J887" s="197"/>
      <c r="K887" s="197"/>
      <c r="L887" s="197"/>
      <c r="M887" s="197"/>
      <c r="N887" s="197"/>
      <c r="O887" s="197"/>
      <c r="P887" s="197"/>
      <c r="Q887" s="197"/>
      <c r="R887" s="197"/>
      <c r="S887" s="197"/>
      <c r="T887" s="198"/>
      <c r="U887" s="197"/>
      <c r="V887" s="197"/>
      <c r="W887" s="197"/>
      <c r="X887" s="197"/>
      <c r="Y887" s="197"/>
      <c r="Z887" s="197"/>
    </row>
    <row r="888" spans="1:26">
      <c r="A888" s="197"/>
      <c r="B888" s="197"/>
      <c r="C888" s="197"/>
      <c r="D888" s="197"/>
      <c r="E888" s="197"/>
      <c r="F888" s="197"/>
      <c r="G888" s="197"/>
      <c r="H888" s="197"/>
      <c r="I888" s="197"/>
      <c r="J888" s="197"/>
      <c r="K888" s="197"/>
      <c r="L888" s="197"/>
      <c r="M888" s="197"/>
      <c r="N888" s="197"/>
      <c r="O888" s="197"/>
      <c r="P888" s="197"/>
      <c r="Q888" s="197"/>
      <c r="R888" s="197"/>
      <c r="S888" s="197"/>
      <c r="T888" s="198"/>
      <c r="U888" s="197"/>
      <c r="V888" s="197"/>
      <c r="W888" s="197"/>
      <c r="X888" s="197"/>
      <c r="Y888" s="197"/>
      <c r="Z888" s="197"/>
    </row>
    <row r="889" spans="1:26">
      <c r="A889" s="197"/>
      <c r="B889" s="197"/>
      <c r="C889" s="197"/>
      <c r="D889" s="197"/>
      <c r="E889" s="197"/>
      <c r="F889" s="197"/>
      <c r="G889" s="197"/>
      <c r="H889" s="197"/>
      <c r="I889" s="197"/>
      <c r="J889" s="197"/>
      <c r="K889" s="197"/>
      <c r="L889" s="197"/>
      <c r="M889" s="197"/>
      <c r="N889" s="197"/>
      <c r="O889" s="197"/>
      <c r="P889" s="197"/>
      <c r="Q889" s="197"/>
      <c r="R889" s="197"/>
      <c r="S889" s="197"/>
      <c r="T889" s="198"/>
      <c r="U889" s="197"/>
      <c r="V889" s="197"/>
      <c r="W889" s="197"/>
      <c r="X889" s="197"/>
      <c r="Y889" s="197"/>
      <c r="Z889" s="197"/>
    </row>
    <row r="890" spans="1:26">
      <c r="A890" s="197"/>
      <c r="B890" s="197"/>
      <c r="C890" s="197"/>
      <c r="D890" s="197"/>
      <c r="E890" s="197"/>
      <c r="F890" s="197"/>
      <c r="G890" s="197"/>
      <c r="H890" s="197"/>
      <c r="I890" s="197"/>
      <c r="J890" s="197"/>
      <c r="K890" s="197"/>
      <c r="L890" s="197"/>
      <c r="M890" s="197"/>
      <c r="N890" s="197"/>
      <c r="O890" s="197"/>
      <c r="P890" s="197"/>
      <c r="Q890" s="197"/>
      <c r="R890" s="197"/>
      <c r="S890" s="197"/>
      <c r="T890" s="198"/>
      <c r="U890" s="197"/>
      <c r="V890" s="197"/>
      <c r="W890" s="197"/>
      <c r="X890" s="197"/>
      <c r="Y890" s="197"/>
      <c r="Z890" s="197"/>
    </row>
    <row r="891" spans="1:26">
      <c r="A891" s="197"/>
      <c r="B891" s="197"/>
      <c r="C891" s="197"/>
      <c r="D891" s="197"/>
      <c r="E891" s="197"/>
      <c r="F891" s="197"/>
      <c r="G891" s="197"/>
      <c r="H891" s="197"/>
      <c r="I891" s="197"/>
      <c r="J891" s="197"/>
      <c r="K891" s="197"/>
      <c r="L891" s="197"/>
      <c r="M891" s="197"/>
      <c r="N891" s="197"/>
      <c r="O891" s="197"/>
      <c r="P891" s="197"/>
      <c r="Q891" s="197"/>
      <c r="R891" s="197"/>
      <c r="S891" s="197"/>
      <c r="T891" s="198"/>
      <c r="U891" s="197"/>
      <c r="V891" s="197"/>
      <c r="W891" s="197"/>
      <c r="X891" s="197"/>
      <c r="Y891" s="197"/>
      <c r="Z891" s="197"/>
    </row>
    <row r="892" spans="1:26">
      <c r="A892" s="197"/>
      <c r="B892" s="197"/>
      <c r="C892" s="197"/>
      <c r="D892" s="197"/>
      <c r="E892" s="197"/>
      <c r="F892" s="197"/>
      <c r="G892" s="197"/>
      <c r="H892" s="197"/>
      <c r="I892" s="197"/>
      <c r="J892" s="197"/>
      <c r="K892" s="197"/>
      <c r="L892" s="197"/>
      <c r="M892" s="197"/>
      <c r="N892" s="197"/>
      <c r="O892" s="197"/>
      <c r="P892" s="197"/>
      <c r="Q892" s="197"/>
      <c r="R892" s="197"/>
      <c r="S892" s="197"/>
      <c r="T892" s="198"/>
      <c r="U892" s="197"/>
      <c r="V892" s="197"/>
      <c r="W892" s="197"/>
      <c r="X892" s="197"/>
      <c r="Y892" s="197"/>
      <c r="Z892" s="197"/>
    </row>
    <row r="893" spans="1:26">
      <c r="A893" s="197"/>
      <c r="B893" s="197"/>
      <c r="C893" s="197"/>
      <c r="D893" s="197"/>
      <c r="E893" s="197"/>
      <c r="F893" s="197"/>
      <c r="G893" s="197"/>
      <c r="H893" s="197"/>
      <c r="I893" s="197"/>
      <c r="J893" s="197"/>
      <c r="K893" s="197"/>
      <c r="L893" s="197"/>
      <c r="M893" s="197"/>
      <c r="N893" s="197"/>
      <c r="O893" s="197"/>
      <c r="P893" s="197"/>
      <c r="Q893" s="197"/>
      <c r="R893" s="197"/>
      <c r="S893" s="197"/>
      <c r="T893" s="198"/>
      <c r="U893" s="197"/>
      <c r="V893" s="197"/>
      <c r="W893" s="197"/>
      <c r="X893" s="197"/>
      <c r="Y893" s="197"/>
      <c r="Z893" s="197"/>
    </row>
    <row r="894" spans="1:26">
      <c r="A894" s="197"/>
      <c r="B894" s="197"/>
      <c r="C894" s="197"/>
      <c r="D894" s="197"/>
      <c r="E894" s="197"/>
      <c r="F894" s="197"/>
      <c r="G894" s="197"/>
      <c r="H894" s="197"/>
      <c r="I894" s="197"/>
      <c r="J894" s="197"/>
      <c r="K894" s="197"/>
      <c r="L894" s="197"/>
      <c r="M894" s="197"/>
      <c r="N894" s="197"/>
      <c r="O894" s="197"/>
      <c r="P894" s="197"/>
      <c r="Q894" s="197"/>
      <c r="R894" s="197"/>
      <c r="S894" s="197"/>
      <c r="T894" s="198"/>
      <c r="U894" s="197"/>
      <c r="V894" s="197"/>
      <c r="W894" s="197"/>
      <c r="X894" s="197"/>
      <c r="Y894" s="197"/>
      <c r="Z894" s="197"/>
    </row>
    <row r="895" spans="1:26">
      <c r="A895" s="197"/>
      <c r="B895" s="197"/>
      <c r="C895" s="197"/>
      <c r="D895" s="197"/>
      <c r="E895" s="197"/>
      <c r="F895" s="197"/>
      <c r="G895" s="197"/>
      <c r="H895" s="197"/>
      <c r="I895" s="197"/>
      <c r="J895" s="197"/>
      <c r="K895" s="197"/>
      <c r="L895" s="197"/>
      <c r="M895" s="197"/>
      <c r="N895" s="197"/>
      <c r="O895" s="197"/>
      <c r="P895" s="197"/>
      <c r="Q895" s="197"/>
      <c r="R895" s="197"/>
      <c r="S895" s="197"/>
      <c r="T895" s="198"/>
      <c r="U895" s="197"/>
      <c r="V895" s="197"/>
      <c r="W895" s="197"/>
      <c r="X895" s="197"/>
      <c r="Y895" s="197"/>
      <c r="Z895" s="197"/>
    </row>
    <row r="896" spans="1:26">
      <c r="A896" s="197"/>
      <c r="B896" s="197"/>
      <c r="C896" s="197"/>
      <c r="D896" s="197"/>
      <c r="E896" s="197"/>
      <c r="F896" s="197"/>
      <c r="G896" s="197"/>
      <c r="H896" s="197"/>
      <c r="I896" s="197"/>
      <c r="J896" s="197"/>
      <c r="K896" s="197"/>
      <c r="L896" s="197"/>
      <c r="M896" s="197"/>
      <c r="N896" s="197"/>
      <c r="O896" s="197"/>
      <c r="P896" s="197"/>
      <c r="Q896" s="197"/>
      <c r="R896" s="197"/>
      <c r="S896" s="197"/>
      <c r="T896" s="198"/>
      <c r="U896" s="197"/>
      <c r="V896" s="197"/>
      <c r="W896" s="197"/>
      <c r="X896" s="197"/>
      <c r="Y896" s="197"/>
      <c r="Z896" s="197"/>
    </row>
    <row r="897" spans="1:26">
      <c r="A897" s="197"/>
      <c r="B897" s="197"/>
      <c r="C897" s="197"/>
      <c r="D897" s="197"/>
      <c r="E897" s="197"/>
      <c r="F897" s="197"/>
      <c r="G897" s="197"/>
      <c r="H897" s="197"/>
      <c r="I897" s="197"/>
      <c r="J897" s="197"/>
      <c r="K897" s="197"/>
      <c r="L897" s="197"/>
      <c r="M897" s="197"/>
      <c r="N897" s="197"/>
      <c r="O897" s="197"/>
      <c r="P897" s="197"/>
      <c r="Q897" s="197"/>
      <c r="R897" s="197"/>
      <c r="S897" s="197"/>
      <c r="T897" s="198"/>
      <c r="U897" s="197"/>
      <c r="V897" s="197"/>
      <c r="W897" s="197"/>
      <c r="X897" s="197"/>
      <c r="Y897" s="197"/>
      <c r="Z897" s="197"/>
    </row>
    <row r="898" spans="1:26">
      <c r="A898" s="197"/>
      <c r="B898" s="197"/>
      <c r="C898" s="197"/>
      <c r="D898" s="197"/>
      <c r="E898" s="197"/>
      <c r="F898" s="197"/>
      <c r="G898" s="197"/>
      <c r="H898" s="197"/>
      <c r="I898" s="197"/>
      <c r="J898" s="197"/>
      <c r="K898" s="197"/>
      <c r="L898" s="197"/>
      <c r="M898" s="197"/>
      <c r="N898" s="197"/>
      <c r="O898" s="197"/>
      <c r="P898" s="197"/>
      <c r="Q898" s="197"/>
      <c r="R898" s="197"/>
      <c r="S898" s="197"/>
      <c r="T898" s="198"/>
      <c r="U898" s="197"/>
      <c r="V898" s="197"/>
      <c r="W898" s="197"/>
      <c r="X898" s="197"/>
      <c r="Y898" s="197"/>
      <c r="Z898" s="197"/>
    </row>
    <row r="899" spans="1:26">
      <c r="A899" s="197"/>
      <c r="B899" s="197"/>
      <c r="C899" s="197"/>
      <c r="D899" s="197"/>
      <c r="E899" s="197"/>
      <c r="F899" s="197"/>
      <c r="G899" s="197"/>
      <c r="H899" s="197"/>
      <c r="I899" s="197"/>
      <c r="J899" s="197"/>
      <c r="K899" s="197"/>
      <c r="L899" s="197"/>
      <c r="M899" s="197"/>
      <c r="N899" s="197"/>
      <c r="O899" s="197"/>
      <c r="P899" s="197"/>
      <c r="Q899" s="197"/>
      <c r="R899" s="197"/>
      <c r="S899" s="197"/>
      <c r="T899" s="198"/>
      <c r="U899" s="197"/>
      <c r="V899" s="197"/>
      <c r="W899" s="197"/>
      <c r="X899" s="197"/>
      <c r="Y899" s="197"/>
      <c r="Z899" s="197"/>
    </row>
    <row r="900" spans="1:26">
      <c r="A900" s="197"/>
      <c r="B900" s="197"/>
      <c r="C900" s="197"/>
      <c r="D900" s="197"/>
      <c r="E900" s="197"/>
      <c r="F900" s="197"/>
      <c r="G900" s="197"/>
      <c r="H900" s="197"/>
      <c r="I900" s="197"/>
      <c r="J900" s="197"/>
      <c r="K900" s="197"/>
      <c r="L900" s="197"/>
      <c r="M900" s="197"/>
      <c r="N900" s="197"/>
      <c r="O900" s="197"/>
      <c r="P900" s="197"/>
      <c r="Q900" s="197"/>
      <c r="R900" s="197"/>
      <c r="S900" s="197"/>
      <c r="T900" s="198"/>
      <c r="U900" s="197"/>
      <c r="V900" s="197"/>
      <c r="W900" s="197"/>
      <c r="X900" s="197"/>
      <c r="Y900" s="197"/>
      <c r="Z900" s="197"/>
    </row>
    <row r="901" spans="1:26">
      <c r="A901" s="197"/>
      <c r="B901" s="197"/>
      <c r="C901" s="197"/>
      <c r="D901" s="197"/>
      <c r="E901" s="197"/>
      <c r="F901" s="197"/>
      <c r="G901" s="197"/>
      <c r="H901" s="197"/>
      <c r="I901" s="197"/>
      <c r="J901" s="197"/>
      <c r="K901" s="197"/>
      <c r="L901" s="197"/>
      <c r="M901" s="197"/>
      <c r="N901" s="197"/>
      <c r="O901" s="197"/>
      <c r="P901" s="197"/>
      <c r="Q901" s="197"/>
      <c r="R901" s="197"/>
      <c r="S901" s="197"/>
      <c r="T901" s="198"/>
      <c r="U901" s="197"/>
      <c r="V901" s="197"/>
      <c r="W901" s="197"/>
      <c r="X901" s="197"/>
      <c r="Y901" s="197"/>
      <c r="Z901" s="197"/>
    </row>
    <row r="902" spans="1:26">
      <c r="A902" s="197"/>
      <c r="B902" s="197"/>
      <c r="C902" s="197"/>
      <c r="D902" s="197"/>
      <c r="E902" s="197"/>
      <c r="F902" s="197"/>
      <c r="G902" s="197"/>
      <c r="H902" s="197"/>
      <c r="I902" s="197"/>
      <c r="J902" s="197"/>
      <c r="K902" s="197"/>
      <c r="L902" s="197"/>
      <c r="M902" s="197"/>
      <c r="N902" s="197"/>
      <c r="O902" s="197"/>
      <c r="P902" s="197"/>
      <c r="Q902" s="197"/>
      <c r="R902" s="197"/>
      <c r="S902" s="197"/>
      <c r="T902" s="198"/>
      <c r="U902" s="197"/>
      <c r="V902" s="197"/>
      <c r="W902" s="197"/>
      <c r="X902" s="197"/>
      <c r="Y902" s="197"/>
      <c r="Z902" s="197"/>
    </row>
    <row r="903" spans="1:26">
      <c r="A903" s="197"/>
      <c r="B903" s="197"/>
      <c r="C903" s="197"/>
      <c r="D903" s="197"/>
      <c r="E903" s="197"/>
      <c r="F903" s="197"/>
      <c r="G903" s="197"/>
      <c r="H903" s="197"/>
      <c r="I903" s="197"/>
      <c r="J903" s="197"/>
      <c r="K903" s="197"/>
      <c r="L903" s="197"/>
      <c r="M903" s="197"/>
      <c r="N903" s="197"/>
      <c r="O903" s="197"/>
      <c r="P903" s="197"/>
      <c r="Q903" s="197"/>
      <c r="R903" s="197"/>
      <c r="S903" s="197"/>
      <c r="T903" s="198"/>
      <c r="U903" s="197"/>
      <c r="V903" s="197"/>
      <c r="W903" s="197"/>
      <c r="X903" s="197"/>
      <c r="Y903" s="197"/>
      <c r="Z903" s="197"/>
    </row>
    <row r="904" spans="1:26">
      <c r="A904" s="197"/>
      <c r="B904" s="197"/>
      <c r="C904" s="197"/>
      <c r="D904" s="197"/>
      <c r="E904" s="197"/>
      <c r="F904" s="197"/>
      <c r="G904" s="197"/>
      <c r="H904" s="197"/>
      <c r="I904" s="197"/>
      <c r="J904" s="197"/>
      <c r="K904" s="197"/>
      <c r="L904" s="197"/>
      <c r="M904" s="197"/>
      <c r="N904" s="197"/>
      <c r="O904" s="197"/>
      <c r="P904" s="197"/>
      <c r="Q904" s="197"/>
      <c r="R904" s="197"/>
      <c r="S904" s="197"/>
      <c r="T904" s="198"/>
      <c r="U904" s="197"/>
      <c r="V904" s="197"/>
      <c r="W904" s="197"/>
      <c r="X904" s="197"/>
      <c r="Y904" s="197"/>
      <c r="Z904" s="197"/>
    </row>
    <row r="905" spans="1:26">
      <c r="A905" s="197"/>
      <c r="B905" s="197"/>
      <c r="C905" s="197"/>
      <c r="D905" s="197"/>
      <c r="E905" s="197"/>
      <c r="F905" s="197"/>
      <c r="G905" s="197"/>
      <c r="H905" s="197"/>
      <c r="I905" s="197"/>
      <c r="J905" s="197"/>
      <c r="K905" s="197"/>
      <c r="L905" s="197"/>
      <c r="M905" s="197"/>
      <c r="N905" s="197"/>
      <c r="O905" s="197"/>
      <c r="P905" s="197"/>
      <c r="Q905" s="197"/>
      <c r="R905" s="197"/>
      <c r="S905" s="197"/>
      <c r="T905" s="198"/>
      <c r="U905" s="197"/>
      <c r="V905" s="197"/>
      <c r="W905" s="197"/>
      <c r="X905" s="197"/>
      <c r="Y905" s="197"/>
      <c r="Z905" s="197"/>
    </row>
    <row r="906" spans="1:26">
      <c r="A906" s="197"/>
      <c r="B906" s="197"/>
      <c r="C906" s="197"/>
      <c r="D906" s="197"/>
      <c r="E906" s="197"/>
      <c r="F906" s="197"/>
      <c r="G906" s="197"/>
      <c r="H906" s="197"/>
      <c r="I906" s="197"/>
      <c r="J906" s="197"/>
      <c r="K906" s="197"/>
      <c r="L906" s="197"/>
      <c r="M906" s="197"/>
      <c r="N906" s="197"/>
      <c r="O906" s="197"/>
      <c r="P906" s="197"/>
      <c r="Q906" s="197"/>
      <c r="R906" s="197"/>
      <c r="S906" s="197"/>
      <c r="T906" s="198"/>
      <c r="U906" s="197"/>
      <c r="V906" s="197"/>
      <c r="W906" s="197"/>
      <c r="X906" s="197"/>
      <c r="Y906" s="197"/>
      <c r="Z906" s="197"/>
    </row>
    <row r="907" spans="1:26">
      <c r="A907" s="197"/>
      <c r="B907" s="197"/>
      <c r="C907" s="197"/>
      <c r="D907" s="197"/>
      <c r="E907" s="197"/>
      <c r="F907" s="197"/>
      <c r="G907" s="197"/>
      <c r="H907" s="197"/>
      <c r="I907" s="197"/>
      <c r="J907" s="197"/>
      <c r="K907" s="197"/>
      <c r="L907" s="197"/>
      <c r="M907" s="197"/>
      <c r="N907" s="197"/>
      <c r="O907" s="197"/>
      <c r="P907" s="197"/>
      <c r="Q907" s="197"/>
      <c r="R907" s="197"/>
      <c r="S907" s="197"/>
      <c r="T907" s="198"/>
      <c r="U907" s="197"/>
      <c r="V907" s="197"/>
      <c r="W907" s="197"/>
      <c r="X907" s="197"/>
      <c r="Y907" s="197"/>
      <c r="Z907" s="197"/>
    </row>
    <row r="908" spans="1:26">
      <c r="A908" s="197"/>
      <c r="B908" s="197"/>
      <c r="C908" s="197"/>
      <c r="D908" s="197"/>
      <c r="E908" s="197"/>
      <c r="F908" s="197"/>
      <c r="G908" s="197"/>
      <c r="H908" s="197"/>
      <c r="I908" s="197"/>
      <c r="J908" s="197"/>
      <c r="K908" s="197"/>
      <c r="L908" s="197"/>
      <c r="M908" s="197"/>
      <c r="N908" s="197"/>
      <c r="O908" s="197"/>
      <c r="P908" s="197"/>
      <c r="Q908" s="197"/>
      <c r="R908" s="197"/>
      <c r="S908" s="197"/>
      <c r="T908" s="198"/>
      <c r="U908" s="197"/>
      <c r="V908" s="197"/>
      <c r="W908" s="197"/>
      <c r="X908" s="197"/>
      <c r="Y908" s="197"/>
      <c r="Z908" s="197"/>
    </row>
    <row r="909" spans="1:26">
      <c r="A909" s="197"/>
      <c r="B909" s="197"/>
      <c r="C909" s="197"/>
      <c r="D909" s="197"/>
      <c r="E909" s="197"/>
      <c r="F909" s="197"/>
      <c r="G909" s="197"/>
      <c r="H909" s="197"/>
      <c r="I909" s="197"/>
      <c r="J909" s="197"/>
      <c r="K909" s="197"/>
      <c r="L909" s="197"/>
      <c r="M909" s="197"/>
      <c r="N909" s="197"/>
      <c r="O909" s="197"/>
      <c r="P909" s="197"/>
      <c r="Q909" s="197"/>
      <c r="R909" s="197"/>
      <c r="S909" s="197"/>
      <c r="T909" s="198"/>
      <c r="U909" s="197"/>
      <c r="V909" s="197"/>
      <c r="W909" s="197"/>
      <c r="X909" s="197"/>
      <c r="Y909" s="197"/>
      <c r="Z909" s="197"/>
    </row>
    <row r="910" spans="1:26">
      <c r="A910" s="197"/>
      <c r="B910" s="197"/>
      <c r="C910" s="197"/>
      <c r="D910" s="197"/>
      <c r="E910" s="197"/>
      <c r="F910" s="197"/>
      <c r="G910" s="197"/>
      <c r="H910" s="197"/>
      <c r="I910" s="197"/>
      <c r="J910" s="197"/>
      <c r="K910" s="197"/>
      <c r="L910" s="197"/>
      <c r="M910" s="197"/>
      <c r="N910" s="197"/>
      <c r="O910" s="197"/>
      <c r="P910" s="197"/>
      <c r="Q910" s="197"/>
      <c r="R910" s="197"/>
      <c r="S910" s="197"/>
      <c r="T910" s="198"/>
      <c r="U910" s="197"/>
      <c r="V910" s="197"/>
      <c r="W910" s="197"/>
      <c r="X910" s="197"/>
      <c r="Y910" s="197"/>
      <c r="Z910" s="197"/>
    </row>
    <row r="911" spans="1:26">
      <c r="A911" s="197"/>
      <c r="B911" s="197"/>
      <c r="C911" s="197"/>
      <c r="D911" s="197"/>
      <c r="E911" s="197"/>
      <c r="F911" s="197"/>
      <c r="G911" s="197"/>
      <c r="H911" s="197"/>
      <c r="I911" s="197"/>
      <c r="J911" s="197"/>
      <c r="K911" s="197"/>
      <c r="L911" s="197"/>
      <c r="M911" s="197"/>
      <c r="N911" s="197"/>
      <c r="O911" s="197"/>
      <c r="P911" s="197"/>
      <c r="Q911" s="197"/>
      <c r="R911" s="197"/>
      <c r="S911" s="197"/>
      <c r="T911" s="198"/>
      <c r="U911" s="197"/>
      <c r="V911" s="197"/>
      <c r="W911" s="197"/>
      <c r="X911" s="197"/>
      <c r="Y911" s="197"/>
      <c r="Z911" s="197"/>
    </row>
    <row r="912" spans="1:26">
      <c r="A912" s="197"/>
      <c r="B912" s="197"/>
      <c r="C912" s="197"/>
      <c r="D912" s="197"/>
      <c r="E912" s="197"/>
      <c r="F912" s="197"/>
      <c r="G912" s="197"/>
      <c r="H912" s="197"/>
      <c r="I912" s="197"/>
      <c r="J912" s="197"/>
      <c r="K912" s="197"/>
      <c r="L912" s="197"/>
      <c r="M912" s="197"/>
      <c r="N912" s="197"/>
      <c r="O912" s="197"/>
      <c r="P912" s="197"/>
      <c r="Q912" s="197"/>
      <c r="R912" s="197"/>
      <c r="S912" s="197"/>
      <c r="T912" s="198"/>
      <c r="U912" s="197"/>
      <c r="V912" s="197"/>
      <c r="W912" s="197"/>
      <c r="X912" s="197"/>
      <c r="Y912" s="197"/>
      <c r="Z912" s="197"/>
    </row>
    <row r="913" spans="1:26">
      <c r="A913" s="197"/>
      <c r="B913" s="197"/>
      <c r="C913" s="197"/>
      <c r="D913" s="197"/>
      <c r="E913" s="197"/>
      <c r="F913" s="197"/>
      <c r="G913" s="197"/>
      <c r="H913" s="197"/>
      <c r="I913" s="197"/>
      <c r="J913" s="197"/>
      <c r="K913" s="197"/>
      <c r="L913" s="197"/>
      <c r="M913" s="197"/>
      <c r="N913" s="197"/>
      <c r="O913" s="197"/>
      <c r="P913" s="197"/>
      <c r="Q913" s="197"/>
      <c r="R913" s="197"/>
      <c r="S913" s="197"/>
      <c r="T913" s="198"/>
      <c r="U913" s="197"/>
      <c r="V913" s="197"/>
      <c r="W913" s="197"/>
      <c r="X913" s="197"/>
      <c r="Y913" s="197"/>
      <c r="Z913" s="197"/>
    </row>
    <row r="914" spans="1:26">
      <c r="A914" s="197"/>
      <c r="B914" s="197"/>
      <c r="C914" s="197"/>
      <c r="D914" s="197"/>
      <c r="E914" s="197"/>
      <c r="F914" s="197"/>
      <c r="G914" s="197"/>
      <c r="H914" s="197"/>
      <c r="I914" s="197"/>
      <c r="J914" s="197"/>
      <c r="K914" s="197"/>
      <c r="L914" s="197"/>
      <c r="M914" s="197"/>
      <c r="N914" s="197"/>
      <c r="O914" s="197"/>
      <c r="P914" s="197"/>
      <c r="Q914" s="197"/>
      <c r="R914" s="197"/>
      <c r="S914" s="197"/>
      <c r="T914" s="198"/>
      <c r="U914" s="197"/>
      <c r="V914" s="197"/>
      <c r="W914" s="197"/>
      <c r="X914" s="197"/>
      <c r="Y914" s="197"/>
      <c r="Z914" s="197"/>
    </row>
    <row r="915" spans="1:26">
      <c r="A915" s="197"/>
      <c r="B915" s="197"/>
      <c r="C915" s="197"/>
      <c r="D915" s="197"/>
      <c r="E915" s="197"/>
      <c r="F915" s="197"/>
      <c r="G915" s="197"/>
      <c r="H915" s="197"/>
      <c r="I915" s="197"/>
      <c r="J915" s="197"/>
      <c r="K915" s="197"/>
      <c r="L915" s="197"/>
      <c r="M915" s="197"/>
      <c r="N915" s="197"/>
      <c r="O915" s="197"/>
      <c r="P915" s="197"/>
      <c r="Q915" s="197"/>
      <c r="R915" s="197"/>
      <c r="S915" s="197"/>
      <c r="T915" s="198"/>
      <c r="U915" s="197"/>
      <c r="V915" s="197"/>
      <c r="W915" s="197"/>
      <c r="X915" s="197"/>
      <c r="Y915" s="197"/>
      <c r="Z915" s="197"/>
    </row>
    <row r="916" spans="1:26">
      <c r="A916" s="197"/>
      <c r="B916" s="197"/>
      <c r="C916" s="197"/>
      <c r="D916" s="197"/>
      <c r="E916" s="197"/>
      <c r="F916" s="197"/>
      <c r="G916" s="197"/>
      <c r="H916" s="197"/>
      <c r="I916" s="197"/>
      <c r="J916" s="197"/>
      <c r="K916" s="197"/>
      <c r="L916" s="197"/>
      <c r="M916" s="197"/>
      <c r="N916" s="197"/>
      <c r="O916" s="197"/>
      <c r="P916" s="197"/>
      <c r="Q916" s="197"/>
      <c r="R916" s="197"/>
      <c r="S916" s="197"/>
      <c r="T916" s="198"/>
      <c r="U916" s="197"/>
      <c r="V916" s="197"/>
      <c r="W916" s="197"/>
      <c r="X916" s="197"/>
      <c r="Y916" s="197"/>
      <c r="Z916" s="197"/>
    </row>
    <row r="917" spans="1:26">
      <c r="A917" s="197"/>
      <c r="B917" s="197"/>
      <c r="C917" s="197"/>
      <c r="D917" s="197"/>
      <c r="E917" s="197"/>
      <c r="F917" s="197"/>
      <c r="G917" s="197"/>
      <c r="H917" s="197"/>
      <c r="I917" s="197"/>
      <c r="J917" s="197"/>
      <c r="K917" s="197"/>
      <c r="L917" s="197"/>
      <c r="M917" s="197"/>
      <c r="N917" s="197"/>
      <c r="O917" s="197"/>
      <c r="P917" s="197"/>
      <c r="Q917" s="197"/>
      <c r="R917" s="197"/>
      <c r="S917" s="197"/>
      <c r="T917" s="198"/>
      <c r="U917" s="197"/>
      <c r="V917" s="197"/>
      <c r="W917" s="197"/>
      <c r="X917" s="197"/>
      <c r="Y917" s="197"/>
      <c r="Z917" s="197"/>
    </row>
    <row r="918" spans="1:26">
      <c r="A918" s="197"/>
      <c r="B918" s="197"/>
      <c r="C918" s="197"/>
      <c r="D918" s="197"/>
      <c r="E918" s="197"/>
      <c r="F918" s="197"/>
      <c r="G918" s="197"/>
      <c r="H918" s="197"/>
      <c r="I918" s="197"/>
      <c r="J918" s="197"/>
      <c r="K918" s="197"/>
      <c r="L918" s="197"/>
      <c r="M918" s="197"/>
      <c r="N918" s="197"/>
      <c r="O918" s="197"/>
      <c r="P918" s="197"/>
      <c r="Q918" s="197"/>
      <c r="R918" s="197"/>
      <c r="S918" s="197"/>
      <c r="T918" s="198"/>
      <c r="U918" s="197"/>
      <c r="V918" s="197"/>
      <c r="W918" s="197"/>
      <c r="X918" s="197"/>
      <c r="Y918" s="197"/>
      <c r="Z918" s="197"/>
    </row>
    <row r="919" spans="1:26">
      <c r="A919" s="197"/>
      <c r="B919" s="197"/>
      <c r="C919" s="197"/>
      <c r="D919" s="197"/>
      <c r="E919" s="197"/>
      <c r="F919" s="197"/>
      <c r="G919" s="197"/>
      <c r="H919" s="197"/>
      <c r="I919" s="197"/>
      <c r="J919" s="197"/>
      <c r="K919" s="197"/>
      <c r="L919" s="197"/>
      <c r="M919" s="197"/>
      <c r="N919" s="197"/>
      <c r="O919" s="197"/>
      <c r="P919" s="197"/>
      <c r="Q919" s="197"/>
      <c r="R919" s="197"/>
      <c r="S919" s="197"/>
      <c r="T919" s="198"/>
      <c r="U919" s="197"/>
      <c r="V919" s="197"/>
      <c r="W919" s="197"/>
      <c r="X919" s="197"/>
      <c r="Y919" s="197"/>
      <c r="Z919" s="197"/>
    </row>
    <row r="920" spans="1:26">
      <c r="A920" s="197"/>
      <c r="B920" s="197"/>
      <c r="C920" s="197"/>
      <c r="D920" s="197"/>
      <c r="E920" s="197"/>
      <c r="F920" s="197"/>
      <c r="G920" s="197"/>
      <c r="H920" s="197"/>
      <c r="I920" s="197"/>
      <c r="J920" s="197"/>
      <c r="K920" s="197"/>
      <c r="L920" s="197"/>
      <c r="M920" s="197"/>
      <c r="N920" s="197"/>
      <c r="O920" s="197"/>
      <c r="P920" s="197"/>
      <c r="Q920" s="197"/>
      <c r="R920" s="197"/>
      <c r="S920" s="197"/>
      <c r="T920" s="198"/>
      <c r="U920" s="197"/>
      <c r="V920" s="197"/>
      <c r="W920" s="197"/>
      <c r="X920" s="197"/>
      <c r="Y920" s="197"/>
      <c r="Z920" s="197"/>
    </row>
    <row r="921" spans="1:26">
      <c r="A921" s="197"/>
      <c r="B921" s="197"/>
      <c r="C921" s="197"/>
      <c r="D921" s="197"/>
      <c r="E921" s="197"/>
      <c r="F921" s="197"/>
      <c r="G921" s="197"/>
      <c r="H921" s="197"/>
      <c r="I921" s="197"/>
      <c r="J921" s="197"/>
      <c r="K921" s="197"/>
      <c r="L921" s="197"/>
      <c r="M921" s="197"/>
      <c r="N921" s="197"/>
      <c r="O921" s="197"/>
      <c r="P921" s="197"/>
      <c r="Q921" s="197"/>
      <c r="R921" s="197"/>
      <c r="S921" s="197"/>
      <c r="T921" s="198"/>
      <c r="U921" s="197"/>
      <c r="V921" s="197"/>
      <c r="W921" s="197"/>
      <c r="X921" s="197"/>
      <c r="Y921" s="197"/>
      <c r="Z921" s="197"/>
    </row>
    <row r="922" spans="1:26">
      <c r="A922" s="197"/>
      <c r="B922" s="197"/>
      <c r="C922" s="197"/>
      <c r="D922" s="197"/>
      <c r="E922" s="197"/>
      <c r="F922" s="197"/>
      <c r="G922" s="197"/>
      <c r="H922" s="197"/>
      <c r="I922" s="197"/>
      <c r="J922" s="197"/>
      <c r="K922" s="197"/>
      <c r="L922" s="197"/>
      <c r="M922" s="197"/>
      <c r="N922" s="197"/>
      <c r="O922" s="197"/>
      <c r="P922" s="197"/>
      <c r="Q922" s="197"/>
      <c r="R922" s="197"/>
      <c r="S922" s="197"/>
      <c r="T922" s="198"/>
      <c r="U922" s="197"/>
      <c r="V922" s="197"/>
      <c r="W922" s="197"/>
      <c r="X922" s="197"/>
      <c r="Y922" s="197"/>
      <c r="Z922" s="197"/>
    </row>
    <row r="923" spans="1:26">
      <c r="A923" s="197"/>
      <c r="B923" s="197"/>
      <c r="C923" s="197"/>
      <c r="D923" s="197"/>
      <c r="E923" s="197"/>
      <c r="F923" s="197"/>
      <c r="G923" s="197"/>
      <c r="H923" s="197"/>
      <c r="I923" s="197"/>
      <c r="J923" s="197"/>
      <c r="K923" s="197"/>
      <c r="L923" s="197"/>
      <c r="M923" s="197"/>
      <c r="N923" s="197"/>
      <c r="O923" s="197"/>
      <c r="P923" s="197"/>
      <c r="Q923" s="197"/>
      <c r="R923" s="197"/>
      <c r="S923" s="197"/>
      <c r="T923" s="198"/>
      <c r="U923" s="197"/>
      <c r="V923" s="197"/>
      <c r="W923" s="197"/>
      <c r="X923" s="197"/>
      <c r="Y923" s="197"/>
      <c r="Z923" s="197"/>
    </row>
    <row r="924" spans="1:26">
      <c r="A924" s="197"/>
      <c r="B924" s="197"/>
      <c r="C924" s="197"/>
      <c r="D924" s="197"/>
      <c r="E924" s="197"/>
      <c r="F924" s="197"/>
      <c r="G924" s="197"/>
      <c r="H924" s="197"/>
      <c r="I924" s="197"/>
      <c r="J924" s="197"/>
      <c r="K924" s="197"/>
      <c r="L924" s="197"/>
      <c r="M924" s="197"/>
      <c r="N924" s="197"/>
      <c r="O924" s="197"/>
      <c r="P924" s="197"/>
      <c r="Q924" s="197"/>
      <c r="R924" s="197"/>
      <c r="S924" s="197"/>
      <c r="T924" s="198"/>
      <c r="U924" s="197"/>
      <c r="V924" s="197"/>
      <c r="W924" s="197"/>
      <c r="X924" s="197"/>
      <c r="Y924" s="197"/>
      <c r="Z924" s="197"/>
    </row>
    <row r="925" spans="1:26">
      <c r="A925" s="197"/>
      <c r="B925" s="197"/>
      <c r="C925" s="197"/>
      <c r="D925" s="197"/>
      <c r="E925" s="197"/>
      <c r="F925" s="197"/>
      <c r="G925" s="197"/>
      <c r="H925" s="197"/>
      <c r="I925" s="197"/>
      <c r="J925" s="197"/>
      <c r="K925" s="197"/>
      <c r="L925" s="197"/>
      <c r="M925" s="197"/>
      <c r="N925" s="197"/>
      <c r="O925" s="197"/>
      <c r="P925" s="197"/>
      <c r="Q925" s="197"/>
      <c r="R925" s="197"/>
      <c r="S925" s="197"/>
      <c r="T925" s="198"/>
      <c r="U925" s="197"/>
      <c r="V925" s="197"/>
      <c r="W925" s="197"/>
      <c r="X925" s="197"/>
      <c r="Y925" s="197"/>
      <c r="Z925" s="197"/>
    </row>
    <row r="926" spans="1:26">
      <c r="A926" s="197"/>
      <c r="B926" s="197"/>
      <c r="C926" s="197"/>
      <c r="D926" s="197"/>
      <c r="E926" s="197"/>
      <c r="F926" s="197"/>
      <c r="G926" s="197"/>
      <c r="H926" s="197"/>
      <c r="I926" s="197"/>
      <c r="J926" s="197"/>
      <c r="K926" s="197"/>
      <c r="L926" s="197"/>
      <c r="M926" s="197"/>
      <c r="N926" s="197"/>
      <c r="O926" s="197"/>
      <c r="P926" s="197"/>
      <c r="Q926" s="197"/>
      <c r="R926" s="197"/>
      <c r="S926" s="197"/>
      <c r="T926" s="198"/>
      <c r="U926" s="197"/>
      <c r="V926" s="197"/>
      <c r="W926" s="197"/>
      <c r="X926" s="197"/>
      <c r="Y926" s="197"/>
      <c r="Z926" s="197"/>
    </row>
    <row r="927" spans="1:26">
      <c r="A927" s="197"/>
      <c r="B927" s="197"/>
      <c r="C927" s="197"/>
      <c r="D927" s="197"/>
      <c r="E927" s="197"/>
      <c r="F927" s="197"/>
      <c r="G927" s="197"/>
      <c r="H927" s="197"/>
      <c r="I927" s="197"/>
      <c r="J927" s="197"/>
      <c r="K927" s="197"/>
      <c r="L927" s="197"/>
      <c r="M927" s="197"/>
      <c r="N927" s="197"/>
      <c r="O927" s="197"/>
      <c r="P927" s="197"/>
      <c r="Q927" s="197"/>
      <c r="R927" s="197"/>
      <c r="S927" s="197"/>
      <c r="T927" s="198"/>
      <c r="U927" s="197"/>
      <c r="V927" s="197"/>
      <c r="W927" s="197"/>
      <c r="X927" s="197"/>
      <c r="Y927" s="197"/>
      <c r="Z927" s="197"/>
    </row>
    <row r="928" spans="1:26">
      <c r="A928" s="197"/>
      <c r="B928" s="197"/>
      <c r="C928" s="197"/>
      <c r="D928" s="197"/>
      <c r="E928" s="197"/>
      <c r="F928" s="197"/>
      <c r="G928" s="197"/>
      <c r="H928" s="197"/>
      <c r="I928" s="197"/>
      <c r="J928" s="197"/>
      <c r="K928" s="197"/>
      <c r="L928" s="197"/>
      <c r="M928" s="197"/>
      <c r="N928" s="197"/>
      <c r="O928" s="197"/>
      <c r="P928" s="197"/>
      <c r="Q928" s="197"/>
      <c r="R928" s="197"/>
      <c r="S928" s="197"/>
      <c r="T928" s="198"/>
      <c r="U928" s="197"/>
      <c r="V928" s="197"/>
      <c r="W928" s="197"/>
      <c r="X928" s="197"/>
      <c r="Y928" s="197"/>
      <c r="Z928" s="197"/>
    </row>
    <row r="929" spans="1:26">
      <c r="A929" s="197"/>
      <c r="B929" s="197"/>
      <c r="C929" s="197"/>
      <c r="D929" s="197"/>
      <c r="E929" s="197"/>
      <c r="F929" s="197"/>
      <c r="G929" s="197"/>
      <c r="H929" s="197"/>
      <c r="I929" s="197"/>
      <c r="J929" s="197"/>
      <c r="K929" s="197"/>
      <c r="L929" s="197"/>
      <c r="M929" s="197"/>
      <c r="N929" s="197"/>
      <c r="O929" s="197"/>
      <c r="P929" s="197"/>
      <c r="Q929" s="197"/>
      <c r="R929" s="197"/>
      <c r="S929" s="197"/>
      <c r="T929" s="198"/>
      <c r="U929" s="197"/>
      <c r="V929" s="197"/>
      <c r="W929" s="197"/>
      <c r="X929" s="197"/>
      <c r="Y929" s="197"/>
      <c r="Z929" s="197"/>
    </row>
    <row r="930" spans="1:26">
      <c r="A930" s="197"/>
      <c r="B930" s="197"/>
      <c r="C930" s="197"/>
      <c r="D930" s="197"/>
      <c r="E930" s="197"/>
      <c r="F930" s="197"/>
      <c r="G930" s="197"/>
      <c r="H930" s="197"/>
      <c r="I930" s="197"/>
      <c r="J930" s="197"/>
      <c r="K930" s="197"/>
      <c r="L930" s="197"/>
      <c r="M930" s="197"/>
      <c r="N930" s="197"/>
      <c r="O930" s="197"/>
      <c r="P930" s="197"/>
      <c r="Q930" s="197"/>
      <c r="R930" s="197"/>
      <c r="S930" s="197"/>
      <c r="T930" s="198"/>
      <c r="U930" s="197"/>
      <c r="V930" s="197"/>
      <c r="W930" s="197"/>
      <c r="X930" s="197"/>
      <c r="Y930" s="197"/>
      <c r="Z930" s="197"/>
    </row>
    <row r="931" spans="1:26">
      <c r="A931" s="197"/>
      <c r="B931" s="197"/>
      <c r="C931" s="197"/>
      <c r="D931" s="197"/>
      <c r="E931" s="197"/>
      <c r="F931" s="197"/>
      <c r="G931" s="197"/>
      <c r="H931" s="197"/>
      <c r="I931" s="197"/>
      <c r="J931" s="197"/>
      <c r="K931" s="197"/>
      <c r="L931" s="197"/>
      <c r="M931" s="197"/>
      <c r="N931" s="197"/>
      <c r="O931" s="197"/>
      <c r="P931" s="197"/>
      <c r="Q931" s="197"/>
      <c r="R931" s="197"/>
      <c r="S931" s="197"/>
      <c r="T931" s="198"/>
      <c r="U931" s="197"/>
      <c r="V931" s="197"/>
      <c r="W931" s="197"/>
      <c r="X931" s="197"/>
      <c r="Y931" s="197"/>
      <c r="Z931" s="197"/>
    </row>
    <row r="932" spans="1:26">
      <c r="A932" s="197"/>
      <c r="B932" s="197"/>
      <c r="C932" s="197"/>
      <c r="D932" s="197"/>
      <c r="E932" s="197"/>
      <c r="F932" s="197"/>
      <c r="G932" s="197"/>
      <c r="H932" s="197"/>
      <c r="I932" s="197"/>
      <c r="J932" s="197"/>
      <c r="K932" s="197"/>
      <c r="L932" s="197"/>
      <c r="M932" s="197"/>
      <c r="N932" s="197"/>
      <c r="O932" s="197"/>
      <c r="P932" s="197"/>
      <c r="Q932" s="197"/>
      <c r="R932" s="197"/>
      <c r="S932" s="197"/>
      <c r="T932" s="198"/>
      <c r="U932" s="197"/>
      <c r="V932" s="197"/>
      <c r="W932" s="197"/>
      <c r="X932" s="197"/>
      <c r="Y932" s="197"/>
      <c r="Z932" s="197"/>
    </row>
    <row r="933" spans="1:26">
      <c r="A933" s="197"/>
      <c r="B933" s="197"/>
      <c r="C933" s="197"/>
      <c r="D933" s="197"/>
      <c r="E933" s="197"/>
      <c r="F933" s="197"/>
      <c r="G933" s="197"/>
      <c r="H933" s="197"/>
      <c r="I933" s="197"/>
      <c r="J933" s="197"/>
      <c r="K933" s="197"/>
      <c r="L933" s="197"/>
      <c r="M933" s="197"/>
      <c r="N933" s="197"/>
      <c r="O933" s="197"/>
      <c r="P933" s="197"/>
      <c r="Q933" s="197"/>
      <c r="R933" s="197"/>
      <c r="S933" s="197"/>
      <c r="T933" s="198"/>
      <c r="U933" s="197"/>
      <c r="V933" s="197"/>
      <c r="W933" s="197"/>
      <c r="X933" s="197"/>
      <c r="Y933" s="197"/>
      <c r="Z933" s="197"/>
    </row>
    <row r="934" spans="1:26">
      <c r="A934" s="197"/>
      <c r="B934" s="197"/>
      <c r="C934" s="197"/>
      <c r="D934" s="197"/>
      <c r="E934" s="197"/>
      <c r="F934" s="197"/>
      <c r="G934" s="197"/>
      <c r="H934" s="197"/>
      <c r="I934" s="197"/>
      <c r="J934" s="197"/>
      <c r="K934" s="197"/>
      <c r="L934" s="197"/>
      <c r="M934" s="197"/>
      <c r="N934" s="197"/>
      <c r="O934" s="197"/>
      <c r="P934" s="197"/>
      <c r="Q934" s="197"/>
      <c r="R934" s="197"/>
      <c r="S934" s="197"/>
      <c r="T934" s="198"/>
      <c r="U934" s="197"/>
      <c r="V934" s="197"/>
      <c r="W934" s="197"/>
      <c r="X934" s="197"/>
      <c r="Y934" s="197"/>
      <c r="Z934" s="197"/>
    </row>
    <row r="935" spans="1:26">
      <c r="A935" s="197"/>
      <c r="B935" s="197"/>
      <c r="C935" s="197"/>
      <c r="D935" s="197"/>
      <c r="E935" s="197"/>
      <c r="F935" s="197"/>
      <c r="G935" s="197"/>
      <c r="H935" s="197"/>
      <c r="I935" s="197"/>
      <c r="J935" s="197"/>
      <c r="K935" s="197"/>
      <c r="L935" s="197"/>
      <c r="M935" s="197"/>
      <c r="N935" s="197"/>
      <c r="O935" s="197"/>
      <c r="P935" s="197"/>
      <c r="Q935" s="197"/>
      <c r="R935" s="197"/>
      <c r="S935" s="197"/>
      <c r="T935" s="198"/>
      <c r="U935" s="197"/>
      <c r="V935" s="197"/>
      <c r="W935" s="197"/>
      <c r="X935" s="197"/>
      <c r="Y935" s="197"/>
      <c r="Z935" s="197"/>
    </row>
    <row r="936" spans="1:26">
      <c r="A936" s="197"/>
      <c r="B936" s="197"/>
      <c r="C936" s="197"/>
      <c r="D936" s="197"/>
      <c r="E936" s="197"/>
      <c r="F936" s="197"/>
      <c r="G936" s="197"/>
      <c r="H936" s="197"/>
      <c r="I936" s="197"/>
      <c r="J936" s="197"/>
      <c r="K936" s="197"/>
      <c r="L936" s="197"/>
      <c r="M936" s="197"/>
      <c r="N936" s="197"/>
      <c r="O936" s="197"/>
      <c r="P936" s="197"/>
      <c r="Q936" s="197"/>
      <c r="R936" s="197"/>
      <c r="S936" s="197"/>
      <c r="T936" s="198"/>
      <c r="U936" s="197"/>
      <c r="V936" s="197"/>
      <c r="W936" s="197"/>
      <c r="X936" s="197"/>
      <c r="Y936" s="197"/>
      <c r="Z936" s="197"/>
    </row>
    <row r="937" spans="1:26">
      <c r="A937" s="197"/>
      <c r="B937" s="197"/>
      <c r="C937" s="197"/>
      <c r="D937" s="197"/>
      <c r="E937" s="197"/>
      <c r="F937" s="197"/>
      <c r="G937" s="197"/>
      <c r="H937" s="197"/>
      <c r="I937" s="197"/>
      <c r="J937" s="197"/>
      <c r="K937" s="197"/>
      <c r="L937" s="197"/>
      <c r="M937" s="197"/>
      <c r="N937" s="197"/>
      <c r="O937" s="197"/>
      <c r="P937" s="197"/>
      <c r="Q937" s="197"/>
      <c r="R937" s="197"/>
      <c r="S937" s="197"/>
      <c r="T937" s="198"/>
      <c r="U937" s="197"/>
      <c r="V937" s="197"/>
      <c r="W937" s="197"/>
      <c r="X937" s="197"/>
      <c r="Y937" s="197"/>
      <c r="Z937" s="197"/>
    </row>
    <row r="938" spans="1:26">
      <c r="A938" s="197"/>
      <c r="B938" s="197"/>
      <c r="C938" s="197"/>
      <c r="D938" s="197"/>
      <c r="E938" s="197"/>
      <c r="F938" s="197"/>
      <c r="G938" s="197"/>
      <c r="H938" s="197"/>
      <c r="I938" s="197"/>
      <c r="J938" s="197"/>
      <c r="K938" s="197"/>
      <c r="L938" s="197"/>
      <c r="M938" s="197"/>
      <c r="N938" s="197"/>
      <c r="O938" s="197"/>
      <c r="P938" s="197"/>
      <c r="Q938" s="197"/>
      <c r="R938" s="197"/>
      <c r="S938" s="197"/>
      <c r="T938" s="198"/>
      <c r="U938" s="197"/>
      <c r="V938" s="197"/>
      <c r="W938" s="197"/>
      <c r="X938" s="197"/>
      <c r="Y938" s="197"/>
      <c r="Z938" s="197"/>
    </row>
    <row r="939" spans="1:26">
      <c r="A939" s="197"/>
      <c r="B939" s="197"/>
      <c r="C939" s="197"/>
      <c r="D939" s="197"/>
      <c r="E939" s="197"/>
      <c r="F939" s="197"/>
      <c r="G939" s="197"/>
      <c r="H939" s="197"/>
      <c r="I939" s="197"/>
      <c r="J939" s="197"/>
      <c r="K939" s="197"/>
      <c r="L939" s="197"/>
      <c r="M939" s="197"/>
      <c r="N939" s="197"/>
      <c r="O939" s="197"/>
      <c r="P939" s="197"/>
      <c r="Q939" s="197"/>
      <c r="R939" s="197"/>
      <c r="S939" s="197"/>
      <c r="T939" s="198"/>
      <c r="U939" s="197"/>
      <c r="V939" s="197"/>
      <c r="W939" s="197"/>
      <c r="X939" s="197"/>
      <c r="Y939" s="197"/>
      <c r="Z939" s="197"/>
    </row>
    <row r="940" spans="1:26">
      <c r="A940" s="197"/>
      <c r="B940" s="197"/>
      <c r="C940" s="197"/>
      <c r="D940" s="197"/>
      <c r="E940" s="197"/>
      <c r="F940" s="197"/>
      <c r="G940" s="197"/>
      <c r="H940" s="197"/>
      <c r="I940" s="197"/>
      <c r="J940" s="197"/>
      <c r="K940" s="197"/>
      <c r="L940" s="197"/>
      <c r="M940" s="197"/>
      <c r="N940" s="197"/>
      <c r="O940" s="197"/>
      <c r="P940" s="197"/>
      <c r="Q940" s="197"/>
      <c r="R940" s="197"/>
      <c r="S940" s="197"/>
      <c r="T940" s="198"/>
      <c r="U940" s="197"/>
      <c r="V940" s="197"/>
      <c r="W940" s="197"/>
      <c r="X940" s="197"/>
      <c r="Y940" s="197"/>
      <c r="Z940" s="197"/>
    </row>
    <row r="941" spans="1:26">
      <c r="A941" s="197"/>
      <c r="B941" s="197"/>
      <c r="C941" s="197"/>
      <c r="D941" s="197"/>
      <c r="E941" s="197"/>
      <c r="F941" s="197"/>
      <c r="G941" s="197"/>
      <c r="H941" s="197"/>
      <c r="I941" s="197"/>
      <c r="J941" s="197"/>
      <c r="K941" s="197"/>
      <c r="L941" s="197"/>
      <c r="M941" s="197"/>
      <c r="N941" s="197"/>
      <c r="O941" s="197"/>
      <c r="P941" s="197"/>
      <c r="Q941" s="197"/>
      <c r="R941" s="197"/>
      <c r="S941" s="197"/>
      <c r="T941" s="198"/>
      <c r="U941" s="197"/>
      <c r="V941" s="197"/>
      <c r="W941" s="197"/>
      <c r="X941" s="197"/>
      <c r="Y941" s="197"/>
      <c r="Z941" s="197"/>
    </row>
    <row r="942" spans="1:26">
      <c r="A942" s="197"/>
      <c r="B942" s="197"/>
      <c r="C942" s="197"/>
      <c r="D942" s="197"/>
      <c r="E942" s="197"/>
      <c r="F942" s="197"/>
      <c r="G942" s="197"/>
      <c r="H942" s="197"/>
      <c r="I942" s="197"/>
      <c r="J942" s="197"/>
      <c r="K942" s="197"/>
      <c r="L942" s="197"/>
      <c r="M942" s="197"/>
      <c r="N942" s="197"/>
      <c r="O942" s="197"/>
      <c r="P942" s="197"/>
      <c r="Q942" s="197"/>
      <c r="R942" s="197"/>
      <c r="S942" s="197"/>
      <c r="T942" s="198"/>
      <c r="U942" s="197"/>
      <c r="V942" s="197"/>
      <c r="W942" s="197"/>
      <c r="X942" s="197"/>
      <c r="Y942" s="197"/>
      <c r="Z942" s="197"/>
    </row>
    <row r="943" spans="1:26">
      <c r="A943" s="197"/>
      <c r="B943" s="197"/>
      <c r="C943" s="197"/>
      <c r="D943" s="197"/>
      <c r="E943" s="197"/>
      <c r="F943" s="197"/>
      <c r="G943" s="197"/>
      <c r="H943" s="197"/>
      <c r="I943" s="197"/>
      <c r="J943" s="197"/>
      <c r="K943" s="197"/>
      <c r="L943" s="197"/>
      <c r="M943" s="197"/>
      <c r="N943" s="197"/>
      <c r="O943" s="197"/>
      <c r="P943" s="197"/>
      <c r="Q943" s="197"/>
      <c r="R943" s="197"/>
      <c r="S943" s="197"/>
      <c r="T943" s="198"/>
      <c r="U943" s="197"/>
      <c r="V943" s="197"/>
      <c r="W943" s="197"/>
      <c r="X943" s="197"/>
      <c r="Y943" s="197"/>
      <c r="Z943" s="197"/>
    </row>
    <row r="944" spans="1:26">
      <c r="A944" s="197"/>
      <c r="B944" s="197"/>
      <c r="C944" s="197"/>
      <c r="D944" s="197"/>
      <c r="E944" s="197"/>
      <c r="F944" s="197"/>
      <c r="G944" s="197"/>
      <c r="H944" s="197"/>
      <c r="I944" s="197"/>
      <c r="J944" s="197"/>
      <c r="K944" s="197"/>
      <c r="L944" s="197"/>
      <c r="M944" s="197"/>
      <c r="N944" s="197"/>
      <c r="O944" s="197"/>
      <c r="P944" s="197"/>
      <c r="Q944" s="197"/>
      <c r="R944" s="197"/>
      <c r="S944" s="197"/>
      <c r="T944" s="198"/>
      <c r="U944" s="197"/>
      <c r="V944" s="197"/>
      <c r="W944" s="197"/>
      <c r="X944" s="197"/>
      <c r="Y944" s="197"/>
      <c r="Z944" s="197"/>
    </row>
    <row r="945" spans="1:26">
      <c r="A945" s="197"/>
      <c r="B945" s="197"/>
      <c r="C945" s="197"/>
      <c r="D945" s="197"/>
      <c r="E945" s="197"/>
      <c r="F945" s="197"/>
      <c r="G945" s="197"/>
      <c r="H945" s="197"/>
      <c r="I945" s="197"/>
      <c r="J945" s="197"/>
      <c r="K945" s="197"/>
      <c r="L945" s="197"/>
      <c r="M945" s="197"/>
      <c r="N945" s="197"/>
      <c r="O945" s="197"/>
      <c r="P945" s="197"/>
      <c r="Q945" s="197"/>
      <c r="R945" s="197"/>
      <c r="S945" s="197"/>
      <c r="T945" s="198"/>
      <c r="U945" s="197"/>
      <c r="V945" s="197"/>
      <c r="W945" s="197"/>
      <c r="X945" s="197"/>
      <c r="Y945" s="197"/>
      <c r="Z945" s="197"/>
    </row>
    <row r="946" spans="1:26">
      <c r="A946" s="197"/>
      <c r="B946" s="197"/>
      <c r="C946" s="197"/>
      <c r="D946" s="197"/>
      <c r="E946" s="197"/>
      <c r="F946" s="197"/>
      <c r="G946" s="197"/>
      <c r="H946" s="197"/>
      <c r="I946" s="197"/>
      <c r="J946" s="197"/>
      <c r="K946" s="197"/>
      <c r="L946" s="197"/>
      <c r="M946" s="197"/>
      <c r="N946" s="197"/>
      <c r="O946" s="197"/>
      <c r="P946" s="197"/>
      <c r="Q946" s="197"/>
      <c r="R946" s="197"/>
      <c r="S946" s="197"/>
      <c r="T946" s="198"/>
      <c r="U946" s="197"/>
      <c r="V946" s="197"/>
      <c r="W946" s="197"/>
      <c r="X946" s="197"/>
      <c r="Y946" s="197"/>
      <c r="Z946" s="197"/>
    </row>
    <row r="947" spans="1:26">
      <c r="A947" s="197"/>
      <c r="B947" s="197"/>
      <c r="C947" s="197"/>
      <c r="D947" s="197"/>
      <c r="E947" s="197"/>
      <c r="F947" s="197"/>
      <c r="G947" s="197"/>
      <c r="H947" s="197"/>
      <c r="I947" s="197"/>
      <c r="J947" s="197"/>
      <c r="K947" s="197"/>
      <c r="L947" s="197"/>
      <c r="M947" s="197"/>
      <c r="N947" s="197"/>
      <c r="O947" s="197"/>
      <c r="P947" s="197"/>
      <c r="Q947" s="197"/>
      <c r="R947" s="197"/>
      <c r="S947" s="197"/>
      <c r="T947" s="198"/>
      <c r="U947" s="197"/>
      <c r="V947" s="197"/>
      <c r="W947" s="197"/>
      <c r="X947" s="197"/>
      <c r="Y947" s="197"/>
      <c r="Z947" s="197"/>
    </row>
    <row r="948" spans="1:26">
      <c r="A948" s="197"/>
      <c r="B948" s="197"/>
      <c r="C948" s="197"/>
      <c r="D948" s="197"/>
      <c r="E948" s="197"/>
      <c r="F948" s="197"/>
      <c r="G948" s="197"/>
      <c r="H948" s="197"/>
      <c r="I948" s="197"/>
      <c r="J948" s="197"/>
      <c r="K948" s="197"/>
      <c r="L948" s="197"/>
      <c r="M948" s="197"/>
      <c r="N948" s="197"/>
      <c r="O948" s="197"/>
      <c r="P948" s="197"/>
      <c r="Q948" s="197"/>
      <c r="R948" s="197"/>
      <c r="S948" s="197"/>
      <c r="T948" s="198"/>
      <c r="U948" s="197"/>
      <c r="V948" s="197"/>
      <c r="W948" s="197"/>
      <c r="X948" s="197"/>
      <c r="Y948" s="197"/>
      <c r="Z948" s="197"/>
    </row>
    <row r="949" spans="1:26">
      <c r="A949" s="197"/>
      <c r="B949" s="197"/>
      <c r="C949" s="197"/>
      <c r="D949" s="197"/>
      <c r="E949" s="197"/>
      <c r="F949" s="197"/>
      <c r="G949" s="197"/>
      <c r="H949" s="197"/>
      <c r="I949" s="197"/>
      <c r="J949" s="197"/>
      <c r="K949" s="197"/>
      <c r="L949" s="197"/>
      <c r="M949" s="197"/>
      <c r="N949" s="197"/>
      <c r="O949" s="197"/>
      <c r="P949" s="197"/>
      <c r="Q949" s="197"/>
      <c r="R949" s="197"/>
      <c r="S949" s="197"/>
      <c r="T949" s="198"/>
      <c r="U949" s="197"/>
      <c r="V949" s="197"/>
      <c r="W949" s="197"/>
      <c r="X949" s="197"/>
      <c r="Y949" s="197"/>
      <c r="Z949" s="197"/>
    </row>
    <row r="950" spans="1:26">
      <c r="A950" s="197"/>
      <c r="B950" s="197"/>
      <c r="C950" s="197"/>
      <c r="D950" s="197"/>
      <c r="E950" s="197"/>
      <c r="F950" s="197"/>
      <c r="G950" s="197"/>
      <c r="H950" s="197"/>
      <c r="I950" s="197"/>
      <c r="J950" s="197"/>
      <c r="K950" s="197"/>
      <c r="L950" s="197"/>
      <c r="M950" s="197"/>
      <c r="N950" s="197"/>
      <c r="O950" s="197"/>
      <c r="P950" s="197"/>
      <c r="Q950" s="197"/>
      <c r="R950" s="197"/>
      <c r="S950" s="197"/>
      <c r="T950" s="198"/>
      <c r="U950" s="197"/>
      <c r="V950" s="197"/>
      <c r="W950" s="197"/>
      <c r="X950" s="197"/>
      <c r="Y950" s="197"/>
      <c r="Z950" s="197"/>
    </row>
    <row r="951" spans="1:26">
      <c r="A951" s="197"/>
      <c r="B951" s="197"/>
      <c r="C951" s="197"/>
      <c r="D951" s="197"/>
      <c r="E951" s="197"/>
      <c r="F951" s="197"/>
      <c r="G951" s="197"/>
      <c r="H951" s="197"/>
      <c r="I951" s="197"/>
      <c r="J951" s="197"/>
      <c r="K951" s="197"/>
      <c r="L951" s="197"/>
      <c r="M951" s="197"/>
      <c r="N951" s="197"/>
      <c r="O951" s="197"/>
      <c r="P951" s="197"/>
      <c r="Q951" s="197"/>
      <c r="R951" s="197"/>
      <c r="S951" s="197"/>
      <c r="T951" s="198"/>
      <c r="U951" s="197"/>
      <c r="V951" s="197"/>
      <c r="W951" s="197"/>
      <c r="X951" s="197"/>
      <c r="Y951" s="197"/>
      <c r="Z951" s="197"/>
    </row>
    <row r="952" spans="1:26">
      <c r="A952" s="197"/>
      <c r="B952" s="197"/>
      <c r="C952" s="197"/>
      <c r="D952" s="197"/>
      <c r="E952" s="197"/>
      <c r="F952" s="197"/>
      <c r="G952" s="197"/>
      <c r="H952" s="197"/>
      <c r="I952" s="197"/>
      <c r="J952" s="197"/>
      <c r="K952" s="197"/>
      <c r="L952" s="197"/>
      <c r="M952" s="197"/>
      <c r="N952" s="197"/>
      <c r="O952" s="197"/>
      <c r="P952" s="197"/>
      <c r="Q952" s="197"/>
      <c r="R952" s="197"/>
      <c r="S952" s="197"/>
      <c r="T952" s="198"/>
      <c r="U952" s="197"/>
      <c r="V952" s="197"/>
      <c r="W952" s="197"/>
      <c r="X952" s="197"/>
      <c r="Y952" s="197"/>
      <c r="Z952" s="197"/>
    </row>
    <row r="953" spans="1:26">
      <c r="A953" s="197"/>
      <c r="B953" s="197"/>
      <c r="C953" s="197"/>
      <c r="D953" s="197"/>
      <c r="E953" s="197"/>
      <c r="F953" s="197"/>
      <c r="G953" s="197"/>
      <c r="H953" s="197"/>
      <c r="I953" s="197"/>
      <c r="J953" s="197"/>
      <c r="K953" s="197"/>
      <c r="L953" s="197"/>
      <c r="M953" s="197"/>
      <c r="N953" s="197"/>
      <c r="O953" s="197"/>
      <c r="P953" s="197"/>
      <c r="Q953" s="197"/>
      <c r="R953" s="197"/>
      <c r="S953" s="197"/>
      <c r="T953" s="198"/>
      <c r="U953" s="197"/>
      <c r="V953" s="197"/>
      <c r="W953" s="197"/>
      <c r="X953" s="197"/>
      <c r="Y953" s="197"/>
      <c r="Z953" s="197"/>
    </row>
    <row r="954" spans="1:26">
      <c r="A954" s="197"/>
      <c r="B954" s="197"/>
      <c r="C954" s="197"/>
      <c r="D954" s="197"/>
      <c r="E954" s="197"/>
      <c r="F954" s="197"/>
      <c r="G954" s="197"/>
      <c r="H954" s="197"/>
      <c r="I954" s="197"/>
      <c r="J954" s="197"/>
      <c r="K954" s="197"/>
      <c r="L954" s="197"/>
      <c r="M954" s="197"/>
      <c r="N954" s="197"/>
      <c r="O954" s="197"/>
      <c r="P954" s="197"/>
      <c r="Q954" s="197"/>
      <c r="R954" s="197"/>
      <c r="S954" s="197"/>
      <c r="T954" s="198"/>
      <c r="U954" s="197"/>
      <c r="V954" s="197"/>
      <c r="W954" s="197"/>
      <c r="X954" s="197"/>
      <c r="Y954" s="197"/>
      <c r="Z954" s="197"/>
    </row>
    <row r="955" spans="1:26">
      <c r="A955" s="197"/>
      <c r="B955" s="197"/>
      <c r="C955" s="197"/>
      <c r="D955" s="197"/>
      <c r="E955" s="197"/>
      <c r="F955" s="197"/>
      <c r="G955" s="197"/>
      <c r="H955" s="197"/>
      <c r="I955" s="197"/>
      <c r="J955" s="197"/>
      <c r="K955" s="197"/>
      <c r="L955" s="197"/>
      <c r="M955" s="197"/>
      <c r="N955" s="197"/>
      <c r="O955" s="197"/>
      <c r="P955" s="197"/>
      <c r="Q955" s="197"/>
      <c r="R955" s="197"/>
      <c r="S955" s="197"/>
      <c r="T955" s="198"/>
      <c r="U955" s="197"/>
      <c r="V955" s="197"/>
      <c r="W955" s="197"/>
      <c r="X955" s="197"/>
      <c r="Y955" s="197"/>
      <c r="Z955" s="197"/>
    </row>
    <row r="956" spans="1:26">
      <c r="A956" s="197"/>
      <c r="B956" s="197"/>
      <c r="C956" s="197"/>
      <c r="D956" s="197"/>
      <c r="E956" s="197"/>
      <c r="F956" s="197"/>
      <c r="G956" s="197"/>
      <c r="H956" s="197"/>
      <c r="I956" s="197"/>
      <c r="J956" s="197"/>
      <c r="K956" s="197"/>
      <c r="L956" s="197"/>
      <c r="M956" s="197"/>
      <c r="N956" s="197"/>
      <c r="O956" s="197"/>
      <c r="P956" s="197"/>
      <c r="Q956" s="197"/>
      <c r="R956" s="197"/>
      <c r="S956" s="197"/>
      <c r="T956" s="198"/>
      <c r="U956" s="197"/>
      <c r="V956" s="197"/>
      <c r="W956" s="197"/>
      <c r="X956" s="197"/>
      <c r="Y956" s="197"/>
      <c r="Z956" s="197"/>
    </row>
    <row r="957" spans="1:26">
      <c r="A957" s="197"/>
      <c r="B957" s="197"/>
      <c r="C957" s="197"/>
      <c r="D957" s="197"/>
      <c r="E957" s="197"/>
      <c r="F957" s="197"/>
      <c r="G957" s="197"/>
      <c r="H957" s="197"/>
      <c r="I957" s="197"/>
      <c r="J957" s="197"/>
      <c r="K957" s="197"/>
      <c r="L957" s="197"/>
      <c r="M957" s="197"/>
      <c r="N957" s="197"/>
      <c r="O957" s="197"/>
      <c r="P957" s="197"/>
      <c r="Q957" s="197"/>
      <c r="R957" s="197"/>
      <c r="S957" s="197"/>
      <c r="T957" s="198"/>
      <c r="U957" s="197"/>
      <c r="V957" s="197"/>
      <c r="W957" s="197"/>
      <c r="X957" s="197"/>
      <c r="Y957" s="197"/>
      <c r="Z957" s="197"/>
    </row>
    <row r="958" spans="1:26">
      <c r="A958" s="197"/>
      <c r="B958" s="197"/>
      <c r="C958" s="197"/>
      <c r="D958" s="197"/>
      <c r="E958" s="197"/>
      <c r="F958" s="197"/>
      <c r="G958" s="197"/>
      <c r="H958" s="197"/>
      <c r="I958" s="197"/>
      <c r="J958" s="197"/>
      <c r="K958" s="197"/>
      <c r="L958" s="197"/>
      <c r="M958" s="197"/>
      <c r="N958" s="197"/>
      <c r="O958" s="197"/>
      <c r="P958" s="197"/>
      <c r="Q958" s="197"/>
      <c r="R958" s="197"/>
      <c r="S958" s="197"/>
      <c r="T958" s="198"/>
      <c r="U958" s="197"/>
      <c r="V958" s="197"/>
      <c r="W958" s="197"/>
      <c r="X958" s="197"/>
      <c r="Y958" s="197"/>
      <c r="Z958" s="197"/>
    </row>
    <row r="959" spans="1:26">
      <c r="A959" s="197"/>
      <c r="B959" s="197"/>
      <c r="C959" s="197"/>
      <c r="D959" s="197"/>
      <c r="E959" s="197"/>
      <c r="F959" s="197"/>
      <c r="G959" s="197"/>
      <c r="H959" s="197"/>
      <c r="I959" s="197"/>
      <c r="J959" s="197"/>
      <c r="K959" s="197"/>
      <c r="L959" s="197"/>
      <c r="M959" s="197"/>
      <c r="N959" s="197"/>
      <c r="O959" s="197"/>
      <c r="P959" s="197"/>
      <c r="Q959" s="197"/>
      <c r="R959" s="197"/>
      <c r="S959" s="197"/>
      <c r="T959" s="198"/>
      <c r="U959" s="197"/>
      <c r="V959" s="197"/>
      <c r="W959" s="197"/>
      <c r="X959" s="197"/>
      <c r="Y959" s="197"/>
      <c r="Z959" s="197"/>
    </row>
    <row r="960" spans="1:26">
      <c r="A960" s="197"/>
      <c r="B960" s="197"/>
      <c r="C960" s="197"/>
      <c r="D960" s="197"/>
      <c r="E960" s="197"/>
      <c r="F960" s="197"/>
      <c r="G960" s="197"/>
      <c r="H960" s="197"/>
      <c r="I960" s="197"/>
      <c r="J960" s="197"/>
      <c r="K960" s="197"/>
      <c r="L960" s="197"/>
      <c r="M960" s="197"/>
      <c r="N960" s="197"/>
      <c r="O960" s="197"/>
      <c r="P960" s="197"/>
      <c r="Q960" s="197"/>
      <c r="R960" s="197"/>
      <c r="S960" s="197"/>
      <c r="T960" s="198"/>
      <c r="U960" s="197"/>
      <c r="V960" s="197"/>
      <c r="W960" s="197"/>
      <c r="X960" s="197"/>
      <c r="Y960" s="197"/>
      <c r="Z960" s="197"/>
    </row>
    <row r="961" spans="1:26">
      <c r="A961" s="197"/>
      <c r="B961" s="197"/>
      <c r="C961" s="197"/>
      <c r="D961" s="197"/>
      <c r="E961" s="197"/>
      <c r="F961" s="197"/>
      <c r="G961" s="197"/>
      <c r="H961" s="197"/>
      <c r="I961" s="197"/>
      <c r="J961" s="197"/>
      <c r="K961" s="197"/>
      <c r="L961" s="197"/>
      <c r="M961" s="197"/>
      <c r="N961" s="197"/>
      <c r="O961" s="197"/>
      <c r="P961" s="197"/>
      <c r="Q961" s="197"/>
      <c r="R961" s="197"/>
      <c r="S961" s="197"/>
      <c r="T961" s="198"/>
      <c r="U961" s="197"/>
      <c r="V961" s="197"/>
      <c r="W961" s="197"/>
      <c r="X961" s="197"/>
      <c r="Y961" s="197"/>
      <c r="Z961" s="197"/>
    </row>
    <row r="962" spans="1:26">
      <c r="A962" s="197"/>
      <c r="B962" s="197"/>
      <c r="C962" s="197"/>
      <c r="D962" s="197"/>
      <c r="E962" s="197"/>
      <c r="F962" s="197"/>
      <c r="G962" s="197"/>
      <c r="H962" s="197"/>
      <c r="I962" s="197"/>
      <c r="J962" s="197"/>
      <c r="K962" s="197"/>
      <c r="L962" s="197"/>
      <c r="M962" s="197"/>
      <c r="N962" s="197"/>
      <c r="O962" s="197"/>
      <c r="P962" s="197"/>
      <c r="Q962" s="197"/>
      <c r="R962" s="197"/>
      <c r="S962" s="197"/>
      <c r="T962" s="198"/>
      <c r="U962" s="197"/>
      <c r="V962" s="197"/>
      <c r="W962" s="197"/>
      <c r="X962" s="197"/>
      <c r="Y962" s="197"/>
      <c r="Z962" s="197"/>
    </row>
    <row r="963" spans="1:26">
      <c r="A963" s="197"/>
      <c r="B963" s="197"/>
      <c r="C963" s="197"/>
      <c r="D963" s="197"/>
      <c r="E963" s="197"/>
      <c r="F963" s="197"/>
      <c r="G963" s="197"/>
      <c r="H963" s="197"/>
      <c r="I963" s="197"/>
      <c r="J963" s="197"/>
      <c r="K963" s="197"/>
      <c r="L963" s="197"/>
      <c r="M963" s="197"/>
      <c r="N963" s="197"/>
      <c r="O963" s="197"/>
      <c r="P963" s="197"/>
      <c r="Q963" s="197"/>
      <c r="R963" s="197"/>
      <c r="S963" s="197"/>
      <c r="T963" s="198"/>
      <c r="U963" s="197"/>
      <c r="V963" s="197"/>
      <c r="W963" s="197"/>
      <c r="X963" s="197"/>
      <c r="Y963" s="197"/>
      <c r="Z963" s="197"/>
    </row>
    <row r="964" spans="1:26">
      <c r="A964" s="197"/>
      <c r="B964" s="197"/>
      <c r="C964" s="197"/>
      <c r="D964" s="197"/>
      <c r="E964" s="197"/>
      <c r="F964" s="197"/>
      <c r="G964" s="197"/>
      <c r="H964" s="197"/>
      <c r="I964" s="197"/>
      <c r="J964" s="197"/>
      <c r="K964" s="197"/>
      <c r="L964" s="197"/>
      <c r="M964" s="197"/>
      <c r="N964" s="197"/>
      <c r="O964" s="197"/>
      <c r="P964" s="197"/>
      <c r="Q964" s="197"/>
      <c r="R964" s="197"/>
      <c r="S964" s="197"/>
      <c r="T964" s="198"/>
      <c r="U964" s="197"/>
      <c r="V964" s="197"/>
      <c r="W964" s="197"/>
      <c r="X964" s="197"/>
      <c r="Y964" s="197"/>
      <c r="Z964" s="197"/>
    </row>
    <row r="965" spans="1:26">
      <c r="A965" s="197"/>
      <c r="B965" s="197"/>
      <c r="C965" s="197"/>
      <c r="D965" s="197"/>
      <c r="E965" s="197"/>
      <c r="F965" s="197"/>
      <c r="G965" s="197"/>
      <c r="H965" s="197"/>
      <c r="I965" s="197"/>
      <c r="J965" s="197"/>
      <c r="K965" s="197"/>
      <c r="L965" s="197"/>
      <c r="M965" s="197"/>
      <c r="N965" s="197"/>
      <c r="O965" s="197"/>
      <c r="P965" s="197"/>
      <c r="Q965" s="197"/>
      <c r="R965" s="197"/>
      <c r="S965" s="197"/>
      <c r="T965" s="198"/>
      <c r="U965" s="197"/>
      <c r="V965" s="197"/>
      <c r="W965" s="197"/>
      <c r="X965" s="197"/>
      <c r="Y965" s="197"/>
      <c r="Z965" s="197"/>
    </row>
    <row r="966" spans="1:26">
      <c r="A966" s="197"/>
      <c r="B966" s="197"/>
      <c r="C966" s="197"/>
      <c r="D966" s="197"/>
      <c r="E966" s="197"/>
      <c r="F966" s="197"/>
      <c r="G966" s="197"/>
      <c r="H966" s="197"/>
      <c r="I966" s="197"/>
      <c r="J966" s="197"/>
      <c r="K966" s="197"/>
      <c r="L966" s="197"/>
      <c r="M966" s="197"/>
      <c r="N966" s="197"/>
      <c r="O966" s="197"/>
      <c r="P966" s="197"/>
      <c r="Q966" s="197"/>
      <c r="R966" s="197"/>
      <c r="S966" s="197"/>
      <c r="T966" s="198"/>
      <c r="U966" s="197"/>
      <c r="V966" s="197"/>
      <c r="W966" s="197"/>
      <c r="X966" s="197"/>
      <c r="Y966" s="197"/>
      <c r="Z966" s="197"/>
    </row>
    <row r="967" spans="1:26">
      <c r="A967" s="197"/>
      <c r="B967" s="197"/>
      <c r="C967" s="197"/>
      <c r="D967" s="197"/>
      <c r="E967" s="197"/>
      <c r="F967" s="197"/>
      <c r="G967" s="197"/>
      <c r="H967" s="197"/>
      <c r="I967" s="197"/>
      <c r="J967" s="197"/>
      <c r="K967" s="197"/>
      <c r="L967" s="197"/>
      <c r="M967" s="197"/>
      <c r="N967" s="197"/>
      <c r="O967" s="197"/>
      <c r="P967" s="197"/>
      <c r="Q967" s="197"/>
      <c r="R967" s="197"/>
      <c r="S967" s="197"/>
      <c r="T967" s="198"/>
      <c r="U967" s="197"/>
      <c r="V967" s="197"/>
      <c r="W967" s="197"/>
      <c r="X967" s="197"/>
      <c r="Y967" s="197"/>
      <c r="Z967" s="197"/>
    </row>
    <row r="968" spans="1:26">
      <c r="A968" s="197"/>
      <c r="B968" s="197"/>
      <c r="C968" s="197"/>
      <c r="D968" s="197"/>
      <c r="E968" s="197"/>
      <c r="F968" s="197"/>
      <c r="G968" s="197"/>
      <c r="H968" s="197"/>
      <c r="I968" s="197"/>
      <c r="J968" s="197"/>
      <c r="K968" s="197"/>
      <c r="L968" s="197"/>
      <c r="M968" s="197"/>
      <c r="N968" s="197"/>
      <c r="O968" s="197"/>
      <c r="P968" s="197"/>
      <c r="Q968" s="197"/>
      <c r="R968" s="197"/>
      <c r="S968" s="197"/>
      <c r="T968" s="198"/>
      <c r="U968" s="197"/>
      <c r="V968" s="197"/>
      <c r="W968" s="197"/>
      <c r="X968" s="197"/>
      <c r="Y968" s="197"/>
      <c r="Z968" s="197"/>
    </row>
    <row r="969" spans="1:26">
      <c r="A969" s="197"/>
      <c r="B969" s="197"/>
      <c r="C969" s="197"/>
      <c r="D969" s="197"/>
      <c r="E969" s="197"/>
      <c r="F969" s="197"/>
      <c r="G969" s="197"/>
      <c r="H969" s="197"/>
      <c r="I969" s="197"/>
      <c r="J969" s="197"/>
      <c r="K969" s="197"/>
      <c r="L969" s="197"/>
      <c r="M969" s="197"/>
      <c r="N969" s="197"/>
      <c r="O969" s="197"/>
      <c r="P969" s="197"/>
      <c r="Q969" s="197"/>
      <c r="R969" s="197"/>
      <c r="S969" s="197"/>
      <c r="T969" s="198"/>
      <c r="U969" s="197"/>
      <c r="V969" s="197"/>
      <c r="W969" s="197"/>
      <c r="X969" s="197"/>
      <c r="Y969" s="197"/>
      <c r="Z969" s="197"/>
    </row>
    <row r="970" spans="1:26">
      <c r="A970" s="197"/>
      <c r="B970" s="197"/>
      <c r="C970" s="197"/>
      <c r="D970" s="197"/>
      <c r="E970" s="197"/>
      <c r="F970" s="197"/>
      <c r="G970" s="197"/>
      <c r="H970" s="197"/>
      <c r="I970" s="197"/>
      <c r="J970" s="197"/>
      <c r="K970" s="197"/>
      <c r="L970" s="197"/>
      <c r="M970" s="197"/>
      <c r="N970" s="197"/>
      <c r="O970" s="197"/>
      <c r="P970" s="197"/>
      <c r="Q970" s="197"/>
      <c r="R970" s="197"/>
      <c r="S970" s="197"/>
      <c r="T970" s="198"/>
      <c r="U970" s="197"/>
      <c r="V970" s="197"/>
      <c r="W970" s="197"/>
      <c r="X970" s="197"/>
      <c r="Y970" s="197"/>
      <c r="Z970" s="197"/>
    </row>
    <row r="971" spans="1:26">
      <c r="A971" s="197"/>
      <c r="B971" s="197"/>
      <c r="C971" s="197"/>
      <c r="D971" s="197"/>
      <c r="E971" s="197"/>
      <c r="F971" s="197"/>
      <c r="G971" s="197"/>
      <c r="H971" s="197"/>
      <c r="I971" s="197"/>
      <c r="J971" s="197"/>
      <c r="K971" s="197"/>
      <c r="L971" s="197"/>
      <c r="M971" s="197"/>
      <c r="N971" s="197"/>
      <c r="O971" s="197"/>
      <c r="P971" s="197"/>
      <c r="Q971" s="197"/>
      <c r="R971" s="197"/>
      <c r="S971" s="197"/>
      <c r="T971" s="198"/>
      <c r="U971" s="197"/>
      <c r="V971" s="197"/>
      <c r="W971" s="197"/>
      <c r="X971" s="197"/>
      <c r="Y971" s="197"/>
      <c r="Z971" s="197"/>
    </row>
    <row r="972" spans="1:26">
      <c r="A972" s="197"/>
      <c r="B972" s="197"/>
      <c r="C972" s="197"/>
      <c r="D972" s="197"/>
      <c r="E972" s="197"/>
      <c r="F972" s="197"/>
      <c r="G972" s="197"/>
      <c r="H972" s="197"/>
      <c r="I972" s="197"/>
      <c r="J972" s="197"/>
      <c r="K972" s="197"/>
      <c r="L972" s="197"/>
      <c r="M972" s="197"/>
      <c r="N972" s="197"/>
      <c r="O972" s="197"/>
      <c r="P972" s="197"/>
      <c r="Q972" s="197"/>
      <c r="R972" s="197"/>
      <c r="S972" s="197"/>
      <c r="T972" s="198"/>
      <c r="U972" s="197"/>
      <c r="V972" s="197"/>
      <c r="W972" s="197"/>
      <c r="X972" s="197"/>
      <c r="Y972" s="197"/>
      <c r="Z972" s="197"/>
    </row>
    <row r="973" spans="1:26">
      <c r="A973" s="197"/>
      <c r="B973" s="197"/>
      <c r="C973" s="197"/>
      <c r="D973" s="197"/>
      <c r="E973" s="197"/>
      <c r="F973" s="197"/>
      <c r="G973" s="197"/>
      <c r="H973" s="197"/>
      <c r="I973" s="197"/>
      <c r="J973" s="197"/>
      <c r="K973" s="197"/>
      <c r="L973" s="197"/>
      <c r="M973" s="197"/>
      <c r="N973" s="197"/>
      <c r="O973" s="197"/>
      <c r="P973" s="197"/>
      <c r="Q973" s="197"/>
      <c r="R973" s="197"/>
      <c r="S973" s="197"/>
      <c r="T973" s="198"/>
      <c r="U973" s="197"/>
      <c r="V973" s="197"/>
      <c r="W973" s="197"/>
      <c r="X973" s="197"/>
      <c r="Y973" s="197"/>
      <c r="Z973" s="197"/>
    </row>
    <row r="974" spans="1:26">
      <c r="A974" s="197"/>
      <c r="B974" s="197"/>
      <c r="C974" s="197"/>
      <c r="D974" s="197"/>
      <c r="E974" s="197"/>
      <c r="F974" s="197"/>
      <c r="G974" s="197"/>
      <c r="H974" s="197"/>
      <c r="I974" s="197"/>
      <c r="J974" s="197"/>
      <c r="K974" s="197"/>
      <c r="L974" s="197"/>
      <c r="M974" s="197"/>
      <c r="N974" s="197"/>
      <c r="O974" s="197"/>
      <c r="P974" s="197"/>
      <c r="Q974" s="197"/>
      <c r="R974" s="197"/>
      <c r="S974" s="197"/>
      <c r="T974" s="198"/>
      <c r="U974" s="197"/>
      <c r="V974" s="197"/>
      <c r="W974" s="197"/>
      <c r="X974" s="197"/>
      <c r="Y974" s="197"/>
      <c r="Z974" s="197"/>
    </row>
    <row r="975" spans="1:26">
      <c r="A975" s="197"/>
      <c r="B975" s="197"/>
      <c r="C975" s="197"/>
      <c r="D975" s="197"/>
      <c r="E975" s="197"/>
      <c r="F975" s="197"/>
      <c r="G975" s="197"/>
      <c r="H975" s="197"/>
      <c r="I975" s="197"/>
      <c r="J975" s="197"/>
      <c r="K975" s="197"/>
      <c r="L975" s="197"/>
      <c r="M975" s="197"/>
      <c r="N975" s="197"/>
      <c r="O975" s="197"/>
      <c r="P975" s="197"/>
      <c r="Q975" s="197"/>
      <c r="R975" s="197"/>
      <c r="S975" s="197"/>
      <c r="T975" s="198"/>
      <c r="U975" s="197"/>
      <c r="V975" s="197"/>
      <c r="W975" s="197"/>
      <c r="X975" s="197"/>
      <c r="Y975" s="197"/>
      <c r="Z975" s="197"/>
    </row>
    <row r="976" spans="1:26">
      <c r="A976" s="197"/>
      <c r="B976" s="197"/>
      <c r="C976" s="197"/>
      <c r="D976" s="197"/>
      <c r="E976" s="197"/>
      <c r="F976" s="197"/>
      <c r="G976" s="197"/>
      <c r="H976" s="197"/>
      <c r="I976" s="197"/>
      <c r="J976" s="197"/>
      <c r="K976" s="197"/>
      <c r="L976" s="197"/>
      <c r="M976" s="197"/>
      <c r="N976" s="197"/>
      <c r="O976" s="197"/>
      <c r="P976" s="197"/>
      <c r="Q976" s="197"/>
      <c r="R976" s="197"/>
      <c r="S976" s="197"/>
      <c r="T976" s="198"/>
      <c r="U976" s="197"/>
      <c r="V976" s="197"/>
      <c r="W976" s="197"/>
      <c r="X976" s="197"/>
      <c r="Y976" s="197"/>
      <c r="Z976" s="197"/>
    </row>
    <row r="977" spans="1:26">
      <c r="A977" s="197"/>
      <c r="B977" s="197"/>
      <c r="C977" s="197"/>
      <c r="D977" s="197"/>
      <c r="E977" s="197"/>
      <c r="F977" s="197"/>
      <c r="G977" s="197"/>
      <c r="H977" s="197"/>
      <c r="I977" s="197"/>
      <c r="J977" s="197"/>
      <c r="K977" s="197"/>
      <c r="L977" s="197"/>
      <c r="M977" s="197"/>
      <c r="N977" s="197"/>
      <c r="O977" s="197"/>
      <c r="P977" s="197"/>
      <c r="Q977" s="197"/>
      <c r="R977" s="197"/>
      <c r="S977" s="197"/>
      <c r="T977" s="198"/>
      <c r="U977" s="197"/>
      <c r="V977" s="197"/>
      <c r="W977" s="197"/>
      <c r="X977" s="197"/>
      <c r="Y977" s="197"/>
      <c r="Z977" s="197"/>
    </row>
    <row r="978" spans="1:26">
      <c r="A978" s="197"/>
      <c r="B978" s="197"/>
      <c r="C978" s="197"/>
      <c r="D978" s="197"/>
      <c r="E978" s="197"/>
      <c r="F978" s="197"/>
      <c r="G978" s="197"/>
      <c r="H978" s="197"/>
      <c r="I978" s="197"/>
      <c r="J978" s="197"/>
      <c r="K978" s="197"/>
      <c r="L978" s="197"/>
      <c r="M978" s="197"/>
      <c r="N978" s="197"/>
      <c r="O978" s="197"/>
      <c r="P978" s="197"/>
      <c r="Q978" s="197"/>
      <c r="R978" s="197"/>
      <c r="S978" s="197"/>
      <c r="T978" s="198"/>
      <c r="U978" s="197"/>
      <c r="V978" s="197"/>
      <c r="W978" s="197"/>
      <c r="X978" s="197"/>
      <c r="Y978" s="197"/>
      <c r="Z978" s="197"/>
    </row>
    <row r="979" spans="1:26">
      <c r="A979" s="197"/>
      <c r="B979" s="197"/>
      <c r="C979" s="197"/>
      <c r="D979" s="197"/>
      <c r="E979" s="197"/>
      <c r="F979" s="197"/>
      <c r="G979" s="197"/>
      <c r="H979" s="197"/>
      <c r="I979" s="197"/>
      <c r="J979" s="197"/>
      <c r="K979" s="197"/>
      <c r="L979" s="197"/>
      <c r="M979" s="197"/>
      <c r="N979" s="197"/>
      <c r="O979" s="197"/>
      <c r="P979" s="197"/>
      <c r="Q979" s="197"/>
      <c r="R979" s="197"/>
      <c r="S979" s="197"/>
      <c r="T979" s="198"/>
      <c r="U979" s="197"/>
      <c r="V979" s="197"/>
      <c r="W979" s="197"/>
      <c r="X979" s="197"/>
      <c r="Y979" s="197"/>
      <c r="Z979" s="197"/>
    </row>
    <row r="980" spans="1:26">
      <c r="A980" s="197"/>
      <c r="B980" s="197"/>
      <c r="C980" s="197"/>
      <c r="D980" s="197"/>
      <c r="E980" s="197"/>
      <c r="F980" s="197"/>
      <c r="G980" s="197"/>
      <c r="H980" s="197"/>
      <c r="I980" s="197"/>
      <c r="J980" s="197"/>
      <c r="K980" s="197"/>
      <c r="L980" s="197"/>
      <c r="M980" s="197"/>
      <c r="N980" s="197"/>
      <c r="O980" s="197"/>
      <c r="P980" s="197"/>
      <c r="Q980" s="197"/>
      <c r="R980" s="197"/>
      <c r="S980" s="197"/>
      <c r="T980" s="198"/>
      <c r="U980" s="197"/>
      <c r="V980" s="197"/>
      <c r="W980" s="197"/>
      <c r="X980" s="197"/>
      <c r="Y980" s="197"/>
      <c r="Z980" s="197"/>
    </row>
    <row r="981" spans="1:26">
      <c r="A981" s="197"/>
      <c r="B981" s="197"/>
      <c r="C981" s="197"/>
      <c r="D981" s="197"/>
      <c r="E981" s="197"/>
      <c r="F981" s="197"/>
      <c r="G981" s="197"/>
      <c r="H981" s="197"/>
      <c r="I981" s="197"/>
      <c r="J981" s="197"/>
      <c r="K981" s="197"/>
      <c r="L981" s="197"/>
      <c r="M981" s="197"/>
      <c r="N981" s="197"/>
      <c r="O981" s="197"/>
      <c r="P981" s="197"/>
      <c r="Q981" s="197"/>
      <c r="R981" s="197"/>
      <c r="S981" s="197"/>
      <c r="T981" s="198"/>
      <c r="U981" s="197"/>
      <c r="V981" s="197"/>
      <c r="W981" s="197"/>
      <c r="X981" s="197"/>
      <c r="Y981" s="197"/>
      <c r="Z981" s="197"/>
    </row>
    <row r="982" spans="1:26">
      <c r="A982" s="197"/>
      <c r="B982" s="197"/>
      <c r="C982" s="197"/>
      <c r="D982" s="197"/>
      <c r="E982" s="197"/>
      <c r="F982" s="197"/>
      <c r="G982" s="197"/>
      <c r="H982" s="197"/>
      <c r="I982" s="197"/>
      <c r="J982" s="197"/>
      <c r="K982" s="197"/>
      <c r="L982" s="197"/>
      <c r="M982" s="197"/>
      <c r="N982" s="197"/>
      <c r="O982" s="197"/>
      <c r="P982" s="197"/>
      <c r="Q982" s="197"/>
      <c r="R982" s="197"/>
      <c r="S982" s="197"/>
      <c r="T982" s="198"/>
      <c r="U982" s="197"/>
      <c r="V982" s="197"/>
      <c r="W982" s="197"/>
      <c r="X982" s="197"/>
      <c r="Y982" s="197"/>
      <c r="Z982" s="197"/>
    </row>
    <row r="983" spans="1:26">
      <c r="A983" s="197"/>
      <c r="B983" s="197"/>
      <c r="C983" s="197"/>
      <c r="D983" s="197"/>
      <c r="E983" s="197"/>
      <c r="F983" s="197"/>
      <c r="G983" s="197"/>
      <c r="H983" s="197"/>
      <c r="I983" s="197"/>
      <c r="J983" s="197"/>
      <c r="K983" s="197"/>
      <c r="L983" s="197"/>
      <c r="M983" s="197"/>
      <c r="N983" s="197"/>
      <c r="O983" s="197"/>
      <c r="P983" s="197"/>
      <c r="Q983" s="197"/>
      <c r="R983" s="197"/>
      <c r="S983" s="197"/>
      <c r="T983" s="198"/>
      <c r="U983" s="197"/>
      <c r="V983" s="197"/>
      <c r="W983" s="197"/>
      <c r="X983" s="197"/>
      <c r="Y983" s="197"/>
      <c r="Z983" s="197"/>
    </row>
    <row r="984" spans="1:26">
      <c r="A984" s="197"/>
      <c r="B984" s="197"/>
      <c r="C984" s="197"/>
      <c r="D984" s="197"/>
      <c r="E984" s="197"/>
      <c r="F984" s="197"/>
      <c r="G984" s="197"/>
      <c r="H984" s="197"/>
      <c r="I984" s="197"/>
      <c r="J984" s="197"/>
      <c r="K984" s="197"/>
      <c r="L984" s="197"/>
      <c r="M984" s="197"/>
      <c r="N984" s="197"/>
      <c r="O984" s="197"/>
      <c r="P984" s="197"/>
      <c r="Q984" s="197"/>
      <c r="R984" s="197"/>
      <c r="S984" s="197"/>
      <c r="T984" s="198"/>
      <c r="U984" s="197"/>
      <c r="V984" s="197"/>
      <c r="W984" s="197"/>
      <c r="X984" s="197"/>
      <c r="Y984" s="197"/>
      <c r="Z984" s="197"/>
    </row>
    <row r="985" spans="1:26">
      <c r="A985" s="197"/>
      <c r="B985" s="197"/>
      <c r="C985" s="197"/>
      <c r="D985" s="197"/>
      <c r="E985" s="197"/>
      <c r="F985" s="197"/>
      <c r="G985" s="197"/>
      <c r="H985" s="197"/>
      <c r="I985" s="197"/>
      <c r="J985" s="197"/>
      <c r="K985" s="197"/>
      <c r="L985" s="197"/>
      <c r="M985" s="197"/>
      <c r="N985" s="197"/>
      <c r="O985" s="197"/>
      <c r="P985" s="197"/>
      <c r="Q985" s="197"/>
      <c r="R985" s="197"/>
      <c r="S985" s="197"/>
      <c r="T985" s="198"/>
      <c r="U985" s="197"/>
      <c r="V985" s="197"/>
      <c r="W985" s="197"/>
      <c r="X985" s="197"/>
      <c r="Y985" s="197"/>
      <c r="Z985" s="197"/>
    </row>
    <row r="986" spans="1:26">
      <c r="A986" s="197"/>
      <c r="B986" s="197"/>
      <c r="C986" s="197"/>
      <c r="D986" s="197"/>
      <c r="E986" s="197"/>
      <c r="F986" s="197"/>
      <c r="G986" s="197"/>
      <c r="H986" s="197"/>
      <c r="I986" s="197"/>
      <c r="J986" s="197"/>
      <c r="K986" s="197"/>
      <c r="L986" s="197"/>
      <c r="M986" s="197"/>
      <c r="N986" s="197"/>
      <c r="O986" s="197"/>
      <c r="P986" s="197"/>
      <c r="Q986" s="197"/>
      <c r="R986" s="197"/>
      <c r="S986" s="197"/>
      <c r="T986" s="198"/>
      <c r="U986" s="197"/>
      <c r="V986" s="197"/>
      <c r="W986" s="197"/>
      <c r="X986" s="197"/>
      <c r="Y986" s="197"/>
      <c r="Z986" s="197"/>
    </row>
    <row r="987" spans="1:26">
      <c r="A987" s="197"/>
      <c r="B987" s="197"/>
      <c r="C987" s="197"/>
      <c r="D987" s="197"/>
      <c r="E987" s="197"/>
      <c r="F987" s="197"/>
      <c r="G987" s="197"/>
      <c r="H987" s="197"/>
      <c r="I987" s="197"/>
      <c r="J987" s="197"/>
      <c r="K987" s="197"/>
      <c r="L987" s="197"/>
      <c r="M987" s="197"/>
      <c r="N987" s="197"/>
      <c r="O987" s="197"/>
      <c r="P987" s="197"/>
      <c r="Q987" s="197"/>
      <c r="R987" s="197"/>
      <c r="S987" s="197"/>
      <c r="T987" s="198"/>
      <c r="U987" s="197"/>
      <c r="V987" s="197"/>
      <c r="W987" s="197"/>
      <c r="X987" s="197"/>
      <c r="Y987" s="197"/>
      <c r="Z987" s="197"/>
    </row>
    <row r="988" spans="1:26">
      <c r="A988" s="197"/>
      <c r="B988" s="197"/>
      <c r="C988" s="197"/>
      <c r="D988" s="197"/>
      <c r="E988" s="197"/>
      <c r="F988" s="197"/>
      <c r="G988" s="197"/>
      <c r="H988" s="197"/>
      <c r="I988" s="197"/>
      <c r="J988" s="197"/>
      <c r="K988" s="197"/>
      <c r="L988" s="197"/>
      <c r="M988" s="197"/>
      <c r="N988" s="197"/>
      <c r="O988" s="197"/>
      <c r="P988" s="197"/>
      <c r="Q988" s="197"/>
      <c r="R988" s="197"/>
      <c r="S988" s="197"/>
      <c r="T988" s="198"/>
      <c r="U988" s="197"/>
      <c r="V988" s="197"/>
      <c r="W988" s="197"/>
      <c r="X988" s="197"/>
      <c r="Y988" s="197"/>
      <c r="Z988" s="197"/>
    </row>
    <row r="989" spans="1:26">
      <c r="A989" s="197"/>
      <c r="B989" s="197"/>
      <c r="C989" s="197"/>
      <c r="D989" s="197"/>
      <c r="E989" s="197"/>
      <c r="F989" s="197"/>
      <c r="G989" s="197"/>
      <c r="H989" s="197"/>
      <c r="I989" s="197"/>
      <c r="J989" s="197"/>
      <c r="K989" s="197"/>
      <c r="L989" s="197"/>
      <c r="M989" s="197"/>
      <c r="N989" s="197"/>
      <c r="O989" s="197"/>
      <c r="P989" s="197"/>
      <c r="Q989" s="197"/>
      <c r="R989" s="197"/>
      <c r="S989" s="197"/>
      <c r="T989" s="198"/>
      <c r="U989" s="197"/>
      <c r="V989" s="197"/>
      <c r="W989" s="197"/>
      <c r="X989" s="197"/>
      <c r="Y989" s="197"/>
      <c r="Z989" s="197"/>
    </row>
    <row r="990" spans="1:26">
      <c r="A990" s="197"/>
      <c r="B990" s="197"/>
      <c r="C990" s="197"/>
      <c r="D990" s="197"/>
      <c r="E990" s="197"/>
      <c r="F990" s="197"/>
      <c r="G990" s="197"/>
      <c r="H990" s="197"/>
      <c r="I990" s="197"/>
      <c r="J990" s="197"/>
      <c r="K990" s="197"/>
      <c r="L990" s="197"/>
      <c r="M990" s="197"/>
      <c r="N990" s="197"/>
      <c r="O990" s="197"/>
      <c r="P990" s="197"/>
      <c r="Q990" s="197"/>
      <c r="R990" s="197"/>
      <c r="S990" s="197"/>
      <c r="T990" s="198"/>
      <c r="U990" s="197"/>
      <c r="V990" s="197"/>
      <c r="W990" s="197"/>
      <c r="X990" s="197"/>
      <c r="Y990" s="197"/>
      <c r="Z990" s="197"/>
    </row>
    <row r="991" spans="1:26">
      <c r="A991" s="197"/>
      <c r="B991" s="197"/>
      <c r="C991" s="197"/>
      <c r="D991" s="197"/>
      <c r="E991" s="197"/>
      <c r="F991" s="197"/>
      <c r="G991" s="197"/>
      <c r="H991" s="197"/>
      <c r="I991" s="197"/>
      <c r="J991" s="197"/>
      <c r="K991" s="197"/>
      <c r="L991" s="197"/>
      <c r="M991" s="197"/>
      <c r="N991" s="197"/>
      <c r="O991" s="197"/>
      <c r="P991" s="197"/>
      <c r="Q991" s="197"/>
      <c r="R991" s="197"/>
      <c r="S991" s="197"/>
      <c r="T991" s="198"/>
      <c r="U991" s="197"/>
      <c r="V991" s="197"/>
      <c r="W991" s="197"/>
      <c r="X991" s="197"/>
      <c r="Y991" s="197"/>
      <c r="Z991" s="197"/>
    </row>
    <row r="992" spans="1:26">
      <c r="A992" s="197"/>
      <c r="B992" s="197"/>
      <c r="C992" s="197"/>
      <c r="D992" s="197"/>
      <c r="E992" s="197"/>
      <c r="F992" s="197"/>
      <c r="G992" s="197"/>
      <c r="H992" s="197"/>
      <c r="I992" s="197"/>
      <c r="J992" s="197"/>
      <c r="K992" s="197"/>
      <c r="L992" s="197"/>
      <c r="M992" s="197"/>
      <c r="N992" s="197"/>
      <c r="O992" s="197"/>
      <c r="P992" s="197"/>
      <c r="Q992" s="197"/>
      <c r="R992" s="197"/>
      <c r="S992" s="197"/>
      <c r="T992" s="198"/>
      <c r="U992" s="197"/>
      <c r="V992" s="197"/>
      <c r="W992" s="197"/>
      <c r="X992" s="197"/>
      <c r="Y992" s="197"/>
      <c r="Z992" s="197"/>
    </row>
    <row r="993" spans="1:26">
      <c r="A993" s="197"/>
      <c r="B993" s="197"/>
      <c r="C993" s="197"/>
      <c r="D993" s="197"/>
      <c r="E993" s="197"/>
      <c r="F993" s="197"/>
      <c r="G993" s="197"/>
      <c r="H993" s="197"/>
      <c r="I993" s="197"/>
      <c r="J993" s="197"/>
      <c r="K993" s="197"/>
      <c r="L993" s="197"/>
      <c r="M993" s="197"/>
      <c r="N993" s="197"/>
      <c r="O993" s="197"/>
      <c r="P993" s="197"/>
      <c r="Q993" s="197"/>
      <c r="R993" s="197"/>
      <c r="S993" s="197"/>
      <c r="T993" s="198"/>
      <c r="U993" s="197"/>
      <c r="V993" s="197"/>
      <c r="W993" s="197"/>
      <c r="X993" s="197"/>
      <c r="Y993" s="197"/>
      <c r="Z993" s="197"/>
    </row>
    <row r="994" spans="1:26">
      <c r="A994" s="197"/>
      <c r="B994" s="197"/>
      <c r="C994" s="197"/>
      <c r="D994" s="197"/>
      <c r="E994" s="197"/>
      <c r="F994" s="197"/>
      <c r="G994" s="197"/>
      <c r="H994" s="197"/>
      <c r="I994" s="197"/>
      <c r="J994" s="197"/>
      <c r="K994" s="197"/>
      <c r="L994" s="197"/>
      <c r="M994" s="197"/>
      <c r="N994" s="197"/>
      <c r="O994" s="197"/>
      <c r="P994" s="197"/>
      <c r="Q994" s="197"/>
      <c r="R994" s="197"/>
      <c r="S994" s="197"/>
      <c r="T994" s="198"/>
      <c r="U994" s="197"/>
      <c r="V994" s="197"/>
      <c r="W994" s="197"/>
      <c r="X994" s="197"/>
      <c r="Y994" s="197"/>
      <c r="Z994" s="197"/>
    </row>
    <row r="995" spans="1:26">
      <c r="A995" s="197"/>
      <c r="B995" s="197"/>
      <c r="C995" s="197"/>
      <c r="D995" s="197"/>
      <c r="E995" s="197"/>
      <c r="F995" s="197"/>
      <c r="G995" s="197"/>
      <c r="H995" s="197"/>
      <c r="I995" s="197"/>
      <c r="J995" s="197"/>
      <c r="K995" s="197"/>
      <c r="L995" s="197"/>
      <c r="M995" s="197"/>
      <c r="N995" s="197"/>
      <c r="O995" s="197"/>
      <c r="P995" s="197"/>
      <c r="Q995" s="197"/>
      <c r="R995" s="197"/>
      <c r="S995" s="197"/>
      <c r="T995" s="198"/>
      <c r="U995" s="197"/>
      <c r="V995" s="197"/>
      <c r="W995" s="197"/>
      <c r="X995" s="197"/>
      <c r="Y995" s="197"/>
      <c r="Z995" s="197"/>
    </row>
    <row r="996" spans="1:26">
      <c r="A996" s="197"/>
      <c r="B996" s="197"/>
      <c r="C996" s="197"/>
      <c r="D996" s="197"/>
      <c r="E996" s="197"/>
      <c r="F996" s="197"/>
      <c r="G996" s="197"/>
      <c r="H996" s="197"/>
      <c r="I996" s="197"/>
      <c r="J996" s="197"/>
      <c r="K996" s="197"/>
      <c r="L996" s="197"/>
      <c r="M996" s="197"/>
      <c r="N996" s="197"/>
      <c r="O996" s="197"/>
      <c r="P996" s="197"/>
      <c r="Q996" s="197"/>
      <c r="R996" s="197"/>
      <c r="S996" s="197"/>
      <c r="T996" s="198"/>
      <c r="U996" s="197"/>
      <c r="V996" s="197"/>
      <c r="W996" s="197"/>
      <c r="X996" s="197"/>
      <c r="Y996" s="197"/>
      <c r="Z996" s="197"/>
    </row>
    <row r="997" spans="1:26">
      <c r="A997" s="197"/>
      <c r="B997" s="197"/>
      <c r="C997" s="197"/>
      <c r="D997" s="197"/>
      <c r="E997" s="197"/>
      <c r="F997" s="197"/>
      <c r="G997" s="197"/>
      <c r="H997" s="197"/>
      <c r="I997" s="197"/>
      <c r="J997" s="197"/>
      <c r="K997" s="197"/>
      <c r="L997" s="197"/>
      <c r="M997" s="197"/>
      <c r="N997" s="197"/>
      <c r="O997" s="197"/>
      <c r="P997" s="197"/>
      <c r="Q997" s="197"/>
      <c r="R997" s="197"/>
      <c r="S997" s="197"/>
      <c r="T997" s="198"/>
      <c r="U997" s="197"/>
      <c r="V997" s="197"/>
      <c r="W997" s="197"/>
      <c r="X997" s="197"/>
      <c r="Y997" s="197"/>
      <c r="Z997" s="197"/>
    </row>
    <row r="998" spans="1:26">
      <c r="A998" s="197"/>
      <c r="B998" s="197"/>
      <c r="C998" s="197"/>
      <c r="D998" s="197"/>
      <c r="E998" s="197"/>
      <c r="F998" s="197"/>
      <c r="G998" s="197"/>
      <c r="H998" s="197"/>
      <c r="I998" s="197"/>
      <c r="J998" s="197"/>
      <c r="K998" s="197"/>
      <c r="L998" s="197"/>
      <c r="M998" s="197"/>
      <c r="N998" s="197"/>
      <c r="O998" s="197"/>
      <c r="P998" s="197"/>
      <c r="Q998" s="197"/>
      <c r="R998" s="197"/>
      <c r="S998" s="197"/>
      <c r="T998" s="198"/>
      <c r="U998" s="197"/>
      <c r="V998" s="197"/>
      <c r="W998" s="197"/>
      <c r="X998" s="197"/>
      <c r="Y998" s="197"/>
      <c r="Z998" s="197"/>
    </row>
    <row r="999" spans="1:26">
      <c r="A999" s="197"/>
      <c r="B999" s="197"/>
      <c r="C999" s="197"/>
      <c r="D999" s="197"/>
      <c r="E999" s="197"/>
      <c r="F999" s="197"/>
      <c r="G999" s="197"/>
      <c r="H999" s="197"/>
      <c r="I999" s="197"/>
      <c r="J999" s="197"/>
      <c r="K999" s="197"/>
      <c r="L999" s="197"/>
      <c r="M999" s="197"/>
      <c r="N999" s="197"/>
      <c r="O999" s="197"/>
      <c r="P999" s="197"/>
      <c r="Q999" s="197"/>
      <c r="R999" s="197"/>
      <c r="S999" s="197"/>
      <c r="T999" s="198"/>
      <c r="U999" s="197"/>
      <c r="V999" s="197"/>
      <c r="W999" s="197"/>
      <c r="X999" s="197"/>
      <c r="Y999" s="197"/>
      <c r="Z999" s="197"/>
    </row>
    <row r="1000" spans="1:26">
      <c r="A1000" s="197"/>
      <c r="B1000" s="197"/>
      <c r="C1000" s="197"/>
      <c r="D1000" s="197"/>
      <c r="E1000" s="197"/>
      <c r="F1000" s="197"/>
      <c r="G1000" s="197"/>
      <c r="H1000" s="197"/>
      <c r="I1000" s="197"/>
      <c r="J1000" s="197"/>
      <c r="K1000" s="197"/>
      <c r="L1000" s="197"/>
      <c r="M1000" s="197"/>
      <c r="N1000" s="197"/>
      <c r="O1000" s="197"/>
      <c r="P1000" s="197"/>
      <c r="Q1000" s="197"/>
      <c r="R1000" s="197"/>
      <c r="S1000" s="197"/>
      <c r="T1000" s="198"/>
      <c r="U1000" s="197"/>
      <c r="V1000" s="197"/>
      <c r="W1000" s="197"/>
      <c r="X1000" s="197"/>
      <c r="Y1000" s="197"/>
      <c r="Z1000" s="197"/>
    </row>
    <row r="1001" spans="1:26">
      <c r="A1001" s="197"/>
      <c r="B1001" s="197"/>
      <c r="C1001" s="197"/>
      <c r="D1001" s="197"/>
      <c r="E1001" s="197"/>
      <c r="F1001" s="197"/>
      <c r="G1001" s="197"/>
      <c r="H1001" s="197"/>
      <c r="I1001" s="197"/>
      <c r="J1001" s="197"/>
      <c r="K1001" s="197"/>
      <c r="L1001" s="197"/>
      <c r="M1001" s="197"/>
      <c r="N1001" s="197"/>
      <c r="O1001" s="197"/>
      <c r="P1001" s="197"/>
      <c r="Q1001" s="197"/>
      <c r="R1001" s="197"/>
      <c r="S1001" s="197"/>
      <c r="T1001" s="198"/>
      <c r="U1001" s="197"/>
      <c r="V1001" s="197"/>
      <c r="W1001" s="197"/>
      <c r="X1001" s="197"/>
      <c r="Y1001" s="197"/>
      <c r="Z1001" s="197"/>
    </row>
    <row r="1002" spans="1:26">
      <c r="A1002" s="197"/>
      <c r="B1002" s="197"/>
      <c r="C1002" s="197"/>
      <c r="D1002" s="197"/>
      <c r="E1002" s="197"/>
      <c r="F1002" s="197"/>
      <c r="G1002" s="197"/>
      <c r="H1002" s="197"/>
      <c r="I1002" s="197"/>
      <c r="J1002" s="197"/>
      <c r="K1002" s="197"/>
      <c r="L1002" s="197"/>
      <c r="M1002" s="197"/>
      <c r="N1002" s="197"/>
      <c r="O1002" s="197"/>
      <c r="P1002" s="197"/>
      <c r="Q1002" s="197"/>
      <c r="R1002" s="197"/>
      <c r="S1002" s="197"/>
      <c r="T1002" s="198"/>
      <c r="U1002" s="197"/>
      <c r="V1002" s="197"/>
      <c r="W1002" s="197"/>
      <c r="X1002" s="197"/>
      <c r="Y1002" s="197"/>
      <c r="Z1002" s="197"/>
    </row>
  </sheetData>
  <mergeCells count="1">
    <mergeCell ref="E8:H8"/>
  </mergeCells>
  <dataValidations count="1">
    <dataValidation type="list" allowBlank="1" showErrorMessage="1" sqref="D205" xr:uid="{00000000-0002-0000-0800-000000000000}">
      <formula1>$E$205:$E$207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CE6662-F3EC-4A96-A232-EF90B2AEFE6B}">
  <sheetPr>
    <tabColor rgb="FF002060"/>
  </sheetPr>
  <dimension ref="A1:E8"/>
  <sheetViews>
    <sheetView zoomScale="85" zoomScaleNormal="85" workbookViewId="0">
      <selection activeCell="F6" sqref="F6"/>
    </sheetView>
  </sheetViews>
  <sheetFormatPr defaultRowHeight="15"/>
  <cols>
    <col min="1" max="1" width="10.42578125" customWidth="1"/>
    <col min="4" max="4" width="13.140625" customWidth="1"/>
    <col min="5" max="5" width="30.140625" customWidth="1"/>
  </cols>
  <sheetData>
    <row r="1" spans="1:5" ht="23.25" thickBot="1">
      <c r="A1" s="571" t="s">
        <v>952</v>
      </c>
      <c r="B1" s="571" t="s">
        <v>946</v>
      </c>
      <c r="C1" s="571" t="s">
        <v>947</v>
      </c>
      <c r="D1" s="571" t="s">
        <v>953</v>
      </c>
      <c r="E1" s="571" t="s">
        <v>954</v>
      </c>
    </row>
    <row r="2" spans="1:5" ht="23.25" thickBot="1">
      <c r="A2" s="570" t="s">
        <v>955</v>
      </c>
      <c r="B2" s="570" t="s">
        <v>963</v>
      </c>
      <c r="C2" s="570" t="s">
        <v>966</v>
      </c>
      <c r="D2" s="570" t="s">
        <v>970</v>
      </c>
      <c r="E2" s="570" t="s">
        <v>974</v>
      </c>
    </row>
    <row r="3" spans="1:5" ht="15.75" thickBot="1">
      <c r="A3" s="570" t="s">
        <v>956</v>
      </c>
      <c r="B3" s="570" t="s">
        <v>962</v>
      </c>
      <c r="C3" s="570" t="s">
        <v>966</v>
      </c>
      <c r="D3" s="570" t="s">
        <v>971</v>
      </c>
      <c r="E3" s="570" t="s">
        <v>975</v>
      </c>
    </row>
    <row r="4" spans="1:5" ht="15.75" thickBot="1">
      <c r="A4" s="570" t="s">
        <v>957</v>
      </c>
      <c r="B4" s="570" t="s">
        <v>961</v>
      </c>
      <c r="C4" s="570" t="s">
        <v>967</v>
      </c>
      <c r="D4" s="570" t="s">
        <v>972</v>
      </c>
      <c r="E4" s="570" t="s">
        <v>976</v>
      </c>
    </row>
    <row r="5" spans="1:5" ht="15.75" thickBot="1">
      <c r="A5" s="570" t="s">
        <v>408</v>
      </c>
      <c r="B5" s="570" t="s">
        <v>964</v>
      </c>
      <c r="C5" s="570" t="s">
        <v>968</v>
      </c>
      <c r="D5" s="570" t="s">
        <v>973</v>
      </c>
      <c r="E5" s="570" t="s">
        <v>977</v>
      </c>
    </row>
    <row r="6" spans="1:5" ht="23.25" thickBot="1">
      <c r="A6" s="570" t="s">
        <v>958</v>
      </c>
      <c r="B6" s="570" t="s">
        <v>948</v>
      </c>
      <c r="C6" s="570" t="s">
        <v>949</v>
      </c>
      <c r="D6" s="570"/>
      <c r="E6" s="570" t="s">
        <v>978</v>
      </c>
    </row>
    <row r="7" spans="1:5" ht="23.25" thickBot="1">
      <c r="A7" s="570" t="s">
        <v>959</v>
      </c>
      <c r="B7" s="570" t="s">
        <v>950</v>
      </c>
      <c r="C7" s="570" t="s">
        <v>951</v>
      </c>
      <c r="D7" s="570"/>
      <c r="E7" s="570" t="s">
        <v>979</v>
      </c>
    </row>
    <row r="8" spans="1:5" ht="23.25" thickBot="1">
      <c r="A8" s="570" t="s">
        <v>960</v>
      </c>
      <c r="B8" s="570" t="s">
        <v>965</v>
      </c>
      <c r="C8" s="570" t="s">
        <v>969</v>
      </c>
      <c r="D8" s="570"/>
      <c r="E8" s="570" t="s">
        <v>980</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3C7AA5-200A-4347-87D4-2F4BE9F10314}">
  <sheetPr>
    <tabColor rgb="FF002060"/>
  </sheetPr>
  <dimension ref="A1:AA1050"/>
  <sheetViews>
    <sheetView tabSelected="1" workbookViewId="0">
      <pane xSplit="1" ySplit="1" topLeftCell="G2" activePane="bottomRight" state="frozen"/>
      <selection pane="topRight" activeCell="B1" sqref="B1"/>
      <selection pane="bottomLeft" activeCell="A2" sqref="A2"/>
      <selection pane="bottomRight" activeCell="L72" sqref="L72"/>
    </sheetView>
  </sheetViews>
  <sheetFormatPr defaultColWidth="14.42578125" defaultRowHeight="15" customHeight="1"/>
  <cols>
    <col min="1" max="1" width="52.42578125" style="358" bestFit="1" customWidth="1"/>
    <col min="2" max="2" width="60.5703125" style="358" bestFit="1" customWidth="1"/>
    <col min="3" max="7" width="19" style="358" bestFit="1" customWidth="1"/>
    <col min="8" max="9" width="20" style="358" bestFit="1" customWidth="1"/>
    <col min="10" max="10" width="21.42578125" style="358" bestFit="1" customWidth="1"/>
    <col min="11" max="14" width="21.140625" style="358" bestFit="1" customWidth="1"/>
    <col min="15" max="15" width="29.140625" style="358" bestFit="1" customWidth="1"/>
    <col min="16" max="17" width="19.5703125" style="358" customWidth="1"/>
    <col min="18" max="27" width="8.5703125" style="358" customWidth="1"/>
    <col min="28" max="16384" width="14.42578125" style="358"/>
  </cols>
  <sheetData>
    <row r="1" spans="1:27" ht="14.25" customHeight="1">
      <c r="A1" s="445"/>
      <c r="B1" s="445"/>
      <c r="C1" s="445" t="s">
        <v>1</v>
      </c>
      <c r="D1" s="445" t="s">
        <v>2</v>
      </c>
      <c r="E1" s="445" t="s">
        <v>3</v>
      </c>
      <c r="F1" s="445" t="s">
        <v>4</v>
      </c>
      <c r="G1" s="445" t="s">
        <v>5</v>
      </c>
      <c r="H1" s="445" t="s">
        <v>6</v>
      </c>
      <c r="I1" s="445" t="s">
        <v>7</v>
      </c>
      <c r="J1" s="445" t="s">
        <v>8</v>
      </c>
      <c r="K1" s="445" t="s">
        <v>9</v>
      </c>
      <c r="L1" s="445" t="s">
        <v>10</v>
      </c>
      <c r="M1" s="445" t="s">
        <v>11</v>
      </c>
      <c r="N1" s="445" t="s">
        <v>12</v>
      </c>
      <c r="O1" s="445" t="s">
        <v>13</v>
      </c>
      <c r="R1" s="446"/>
      <c r="S1" s="446"/>
      <c r="T1" s="446"/>
      <c r="U1" s="446"/>
      <c r="V1" s="446"/>
      <c r="W1" s="446"/>
      <c r="X1" s="446"/>
      <c r="Y1" s="446"/>
      <c r="Z1" s="446"/>
      <c r="AA1" s="446"/>
    </row>
    <row r="2" spans="1:27" ht="14.25" customHeight="1">
      <c r="A2" s="361" t="s">
        <v>14</v>
      </c>
      <c r="B2" s="361" t="s">
        <v>565</v>
      </c>
      <c r="C2" s="361">
        <v>33884892008435</v>
      </c>
      <c r="D2" s="361">
        <v>46854825722466</v>
      </c>
      <c r="E2" s="361">
        <v>56580423695083</v>
      </c>
      <c r="F2" s="361">
        <v>64677906575644</v>
      </c>
      <c r="G2" s="361">
        <v>91279041771826</v>
      </c>
      <c r="H2" s="361">
        <v>150865359967200</v>
      </c>
      <c r="I2" s="361">
        <v>142770810676858</v>
      </c>
      <c r="J2" s="361">
        <v>120355231616139</v>
      </c>
      <c r="K2" s="361">
        <f>SUM(K4,K6,K8)</f>
        <v>136962023188362.14</v>
      </c>
      <c r="L2" s="361">
        <f>SUM(L4,L6,L8)</f>
        <v>174321453892417.53</v>
      </c>
      <c r="M2" s="361">
        <f>SUM(M4,M6,M8)</f>
        <v>228113040614552.13</v>
      </c>
      <c r="N2" s="361">
        <f>SUM(N4,N6,N8)</f>
        <v>256796287176342.66</v>
      </c>
      <c r="O2" s="361">
        <f>SUM(O4,O6,O8)</f>
        <v>250652637239870.44</v>
      </c>
    </row>
    <row r="3" spans="1:27" s="451" customFormat="1" ht="18" customHeight="1">
      <c r="A3" s="447" t="s">
        <v>15</v>
      </c>
      <c r="B3" s="447" t="s">
        <v>15</v>
      </c>
      <c r="C3" s="447"/>
      <c r="D3" s="447">
        <f t="shared" ref="D3:J3" si="0">D2/C2-1</f>
        <v>0.38276449902223031</v>
      </c>
      <c r="E3" s="447">
        <f t="shared" si="0"/>
        <v>0.20756875781001494</v>
      </c>
      <c r="F3" s="447">
        <f t="shared" si="0"/>
        <v>0.14311456775578546</v>
      </c>
      <c r="G3" s="448">
        <f t="shared" si="0"/>
        <v>0.41128627385412764</v>
      </c>
      <c r="H3" s="449">
        <f t="shared" si="0"/>
        <v>0.65279298553905063</v>
      </c>
      <c r="I3" s="447">
        <f t="shared" si="0"/>
        <v>-5.3654127707658428E-2</v>
      </c>
      <c r="J3" s="448">
        <f t="shared" si="0"/>
        <v>-0.15700393486910691</v>
      </c>
      <c r="K3" s="447"/>
      <c r="L3" s="447"/>
      <c r="M3" s="447"/>
      <c r="N3" s="447"/>
      <c r="O3" s="447"/>
      <c r="P3" s="450"/>
      <c r="Q3" s="450"/>
    </row>
    <row r="4" spans="1:27" ht="14.25" customHeight="1">
      <c r="A4" s="357" t="s">
        <v>16</v>
      </c>
      <c r="B4" s="357" t="s">
        <v>539</v>
      </c>
      <c r="C4" s="357">
        <f t="shared" ref="C4:J4" si="1">C2*C5</f>
        <v>29818704967422.801</v>
      </c>
      <c r="D4" s="357">
        <f t="shared" si="1"/>
        <v>41232246635770.078</v>
      </c>
      <c r="E4" s="357">
        <f t="shared" si="1"/>
        <v>48659164377771.383</v>
      </c>
      <c r="F4" s="357">
        <f t="shared" si="1"/>
        <v>53682662457784.516</v>
      </c>
      <c r="G4" s="357">
        <f t="shared" si="1"/>
        <v>76674395088333.844</v>
      </c>
      <c r="H4" s="357">
        <f t="shared" si="1"/>
        <v>141813438369168</v>
      </c>
      <c r="I4" s="357">
        <f t="shared" si="1"/>
        <v>134204562036246.52</v>
      </c>
      <c r="J4" s="357">
        <f t="shared" si="1"/>
        <v>113133917719170.66</v>
      </c>
      <c r="K4" s="357">
        <f>'Bull case '!AC8*1000000</f>
        <v>129263402187647.52</v>
      </c>
      <c r="L4" s="357">
        <f>'Bull case '!AD8*1000000</f>
        <v>166349794494978.78</v>
      </c>
      <c r="M4" s="357">
        <f>'Bull case '!AE8*1000000</f>
        <v>219839862394027.88</v>
      </c>
      <c r="N4" s="357">
        <f>'Bull case '!AF8*1000000</f>
        <v>248140355175192.25</v>
      </c>
      <c r="O4" s="357">
        <f>('Base case đã fix'!AD4+'Base case đã fix'!AD11+'Base case đã fix'!AD16+'Base case đã fix'!AD28+'Base case đã fix'!AD33)*1000000</f>
        <v>241643862615495.19</v>
      </c>
    </row>
    <row r="5" spans="1:27" s="356" customFormat="1" ht="14.25" customHeight="1">
      <c r="A5" s="355"/>
      <c r="B5" s="355"/>
      <c r="C5" s="355">
        <v>0.88</v>
      </c>
      <c r="D5" s="355">
        <v>0.88</v>
      </c>
      <c r="E5" s="355">
        <v>0.86</v>
      </c>
      <c r="F5" s="355">
        <v>0.83</v>
      </c>
      <c r="G5" s="355">
        <v>0.84</v>
      </c>
      <c r="H5" s="355">
        <v>0.94</v>
      </c>
      <c r="I5" s="355">
        <v>0.94</v>
      </c>
      <c r="J5" s="355">
        <v>0.94</v>
      </c>
      <c r="K5" s="355">
        <f>K4/K2</f>
        <v>0.94379010457426726</v>
      </c>
      <c r="L5" s="355">
        <f t="shared" ref="L5:O5" si="2">L4/L2</f>
        <v>0.95427034814453504</v>
      </c>
      <c r="M5" s="355">
        <f t="shared" si="2"/>
        <v>0.96373211194662201</v>
      </c>
      <c r="N5" s="355">
        <f t="shared" si="2"/>
        <v>0.96629261234136787</v>
      </c>
      <c r="O5" s="355">
        <f t="shared" si="2"/>
        <v>0.9640587279528442</v>
      </c>
    </row>
    <row r="6" spans="1:27" ht="14.25" customHeight="1">
      <c r="A6" s="357" t="s">
        <v>17</v>
      </c>
      <c r="B6" s="357" t="s">
        <v>371</v>
      </c>
      <c r="C6" s="357">
        <f t="shared" ref="C6:I6" si="3">C2*C7</f>
        <v>1355395680337.4001</v>
      </c>
      <c r="D6" s="357">
        <f t="shared" si="3"/>
        <v>2811289543347.96</v>
      </c>
      <c r="E6" s="357">
        <f t="shared" si="3"/>
        <v>4526433895606.6396</v>
      </c>
      <c r="F6" s="357">
        <f t="shared" si="3"/>
        <v>7761348789077.2793</v>
      </c>
      <c r="G6" s="357">
        <f t="shared" si="3"/>
        <v>10953485012619.119</v>
      </c>
      <c r="H6" s="357">
        <f t="shared" si="3"/>
        <v>7543267998360</v>
      </c>
      <c r="I6" s="357">
        <f t="shared" si="3"/>
        <v>7138540533842.9004</v>
      </c>
      <c r="J6" s="357">
        <f>J2*J7</f>
        <v>6017761580806.9502</v>
      </c>
      <c r="K6" s="357">
        <f>J6*(1+K7)</f>
        <v>6318649659847.2979</v>
      </c>
      <c r="L6" s="357">
        <f t="shared" ref="L6:N6" si="4">K6*(1+L7)</f>
        <v>6634582142839.6631</v>
      </c>
      <c r="M6" s="357">
        <f t="shared" si="4"/>
        <v>6966311249981.6465</v>
      </c>
      <c r="N6" s="357">
        <f t="shared" si="4"/>
        <v>7314626812480.7295</v>
      </c>
      <c r="O6" s="357">
        <f>N6*(1+O7)</f>
        <v>7680358153104.7666</v>
      </c>
    </row>
    <row r="7" spans="1:27" s="356" customFormat="1" ht="14.25" customHeight="1">
      <c r="A7" s="355"/>
      <c r="B7" s="355"/>
      <c r="C7" s="355">
        <v>0.04</v>
      </c>
      <c r="D7" s="355">
        <v>0.06</v>
      </c>
      <c r="E7" s="355">
        <v>0.08</v>
      </c>
      <c r="F7" s="355">
        <v>0.12</v>
      </c>
      <c r="G7" s="355">
        <v>0.12</v>
      </c>
      <c r="H7" s="355">
        <v>0.05</v>
      </c>
      <c r="I7" s="355">
        <v>0.05</v>
      </c>
      <c r="J7" s="355">
        <v>0.05</v>
      </c>
      <c r="K7" s="355">
        <v>0.05</v>
      </c>
      <c r="L7" s="355">
        <v>0.05</v>
      </c>
      <c r="M7" s="355">
        <v>0.05</v>
      </c>
      <c r="N7" s="355">
        <v>0.05</v>
      </c>
      <c r="O7" s="355">
        <v>0.05</v>
      </c>
    </row>
    <row r="8" spans="1:27" ht="14.25" customHeight="1">
      <c r="A8" s="357" t="s">
        <v>18</v>
      </c>
      <c r="B8" s="357" t="s">
        <v>358</v>
      </c>
      <c r="C8" s="357">
        <f t="shared" ref="C8:J8" si="5">C2*C9</f>
        <v>2710791360674.8003</v>
      </c>
      <c r="D8" s="357">
        <f t="shared" si="5"/>
        <v>2811289543347.96</v>
      </c>
      <c r="E8" s="357">
        <f t="shared" si="5"/>
        <v>3394825421704.98</v>
      </c>
      <c r="F8" s="357">
        <f t="shared" si="5"/>
        <v>3233895328782.2002</v>
      </c>
      <c r="G8" s="357">
        <f t="shared" si="5"/>
        <v>3651161670873.04</v>
      </c>
      <c r="H8" s="357">
        <f t="shared" si="5"/>
        <v>1508653599672</v>
      </c>
      <c r="I8" s="357">
        <f t="shared" si="5"/>
        <v>1427708106768.5801</v>
      </c>
      <c r="J8" s="357">
        <f t="shared" si="5"/>
        <v>1203552316161.3901</v>
      </c>
      <c r="K8" s="357">
        <f t="shared" ref="K8:O8" si="6">AVERAGE(H8:J8)</f>
        <v>1379971340867.3235</v>
      </c>
      <c r="L8" s="357">
        <f t="shared" si="6"/>
        <v>1337077254599.0979</v>
      </c>
      <c r="M8" s="357">
        <f t="shared" si="6"/>
        <v>1306866970542.6038</v>
      </c>
      <c r="N8" s="357">
        <f t="shared" si="6"/>
        <v>1341305188669.675</v>
      </c>
      <c r="O8" s="357">
        <f t="shared" si="6"/>
        <v>1328416471270.459</v>
      </c>
    </row>
    <row r="9" spans="1:27" s="356" customFormat="1" ht="14.25" customHeight="1">
      <c r="A9" s="355"/>
      <c r="B9" s="355"/>
      <c r="C9" s="355">
        <v>0.08</v>
      </c>
      <c r="D9" s="355">
        <v>0.06</v>
      </c>
      <c r="E9" s="355">
        <v>0.06</v>
      </c>
      <c r="F9" s="355">
        <v>0.05</v>
      </c>
      <c r="G9" s="355">
        <v>0.04</v>
      </c>
      <c r="H9" s="355">
        <v>0.01</v>
      </c>
      <c r="I9" s="355">
        <v>0.01</v>
      </c>
      <c r="J9" s="355">
        <v>0.01</v>
      </c>
      <c r="K9" s="355">
        <f>K8/K2</f>
        <v>1.0075576490057147E-2</v>
      </c>
      <c r="L9" s="355">
        <f t="shared" ref="L9:O9" si="7">L8/L2</f>
        <v>7.6701818665663203E-3</v>
      </c>
      <c r="M9" s="355">
        <f t="shared" si="7"/>
        <v>5.7290322684832697E-3</v>
      </c>
      <c r="N9" s="355">
        <f t="shared" si="7"/>
        <v>5.223226563819427E-3</v>
      </c>
      <c r="O9" s="355">
        <f t="shared" si="7"/>
        <v>5.2998304182979182E-3</v>
      </c>
    </row>
    <row r="10" spans="1:27" s="452" customFormat="1" ht="14.25" customHeight="1">
      <c r="A10" s="359" t="s">
        <v>19</v>
      </c>
      <c r="B10" s="359" t="s">
        <v>566</v>
      </c>
      <c r="C10" s="359">
        <v>601681848448</v>
      </c>
      <c r="D10" s="359">
        <v>693134108162</v>
      </c>
      <c r="E10" s="359">
        <v>743965315324</v>
      </c>
      <c r="F10" s="359">
        <v>1019713901853</v>
      </c>
      <c r="G10" s="359">
        <v>1160538345109</v>
      </c>
      <c r="H10" s="359">
        <v>1185569987855</v>
      </c>
      <c r="I10" s="359">
        <v>1361536216226</v>
      </c>
      <c r="J10" s="359">
        <v>1402203722485</v>
      </c>
      <c r="K10" s="359">
        <f t="shared" ref="K10:O10" si="8">K2*K11</f>
        <v>1429873417153.7747</v>
      </c>
      <c r="L10" s="359">
        <f t="shared" si="8"/>
        <v>1720790226150.5188</v>
      </c>
      <c r="M10" s="359">
        <f t="shared" si="8"/>
        <v>2366578558741.251</v>
      </c>
      <c r="N10" s="359">
        <f t="shared" si="8"/>
        <v>2717958721852.7188</v>
      </c>
      <c r="O10" s="359">
        <f t="shared" si="8"/>
        <v>2586107320581.7686</v>
      </c>
    </row>
    <row r="11" spans="1:27" s="466" customFormat="1" ht="14.25" customHeight="1">
      <c r="A11" s="464" t="s">
        <v>20</v>
      </c>
      <c r="B11" s="464" t="s">
        <v>20</v>
      </c>
      <c r="C11" s="464">
        <f t="shared" ref="C11:J11" si="9">C10/C2</f>
        <v>1.7756640578881665E-2</v>
      </c>
      <c r="D11" s="464">
        <f t="shared" si="9"/>
        <v>1.4793227751344624E-2</v>
      </c>
      <c r="E11" s="464">
        <f t="shared" si="9"/>
        <v>1.3148811315611493E-2</v>
      </c>
      <c r="F11" s="464">
        <f t="shared" si="9"/>
        <v>1.5766031336533662E-2</v>
      </c>
      <c r="G11" s="464">
        <f t="shared" si="9"/>
        <v>1.2714181947812793E-2</v>
      </c>
      <c r="H11" s="464">
        <f t="shared" si="9"/>
        <v>7.8584639185082482E-3</v>
      </c>
      <c r="I11" s="464">
        <f t="shared" si="9"/>
        <v>9.5365166715180253E-3</v>
      </c>
      <c r="J11" s="464">
        <f t="shared" si="9"/>
        <v>1.1650542345821649E-2</v>
      </c>
      <c r="K11" s="464">
        <f t="shared" ref="K11:O11" si="10">AVERAGE(G11:J11)</f>
        <v>1.0439926220915179E-2</v>
      </c>
      <c r="L11" s="464">
        <f t="shared" si="10"/>
        <v>9.8713622891907753E-3</v>
      </c>
      <c r="M11" s="464">
        <f t="shared" si="10"/>
        <v>1.0374586881861407E-2</v>
      </c>
      <c r="N11" s="464">
        <f t="shared" si="10"/>
        <v>1.0584104434447253E-2</v>
      </c>
      <c r="O11" s="464">
        <f t="shared" si="10"/>
        <v>1.0317494956603654E-2</v>
      </c>
      <c r="P11" s="465"/>
      <c r="Q11" s="465"/>
    </row>
    <row r="12" spans="1:27" ht="14.25" customHeight="1">
      <c r="A12" s="361" t="s">
        <v>544</v>
      </c>
      <c r="B12" s="361" t="s">
        <v>567</v>
      </c>
      <c r="C12" s="361">
        <v>33283210159987</v>
      </c>
      <c r="D12" s="361">
        <v>46161691614304</v>
      </c>
      <c r="E12" s="361">
        <v>55836458379759</v>
      </c>
      <c r="F12" s="361">
        <v>63658192673791</v>
      </c>
      <c r="G12" s="361">
        <v>90118503426717</v>
      </c>
      <c r="H12" s="361">
        <v>149679789979345</v>
      </c>
      <c r="I12" s="361">
        <v>141409274460632</v>
      </c>
      <c r="J12" s="361">
        <v>118953027893654</v>
      </c>
      <c r="K12" s="361">
        <f>K2-K10</f>
        <v>135532149771208.36</v>
      </c>
      <c r="L12" s="361">
        <f>L2-L10</f>
        <v>172600663666267</v>
      </c>
      <c r="M12" s="361">
        <f>M2-M10</f>
        <v>225746462055810.88</v>
      </c>
      <c r="N12" s="361">
        <f>N2-N10</f>
        <v>254078328454489.94</v>
      </c>
      <c r="O12" s="361">
        <f>O2-O10</f>
        <v>248066529919288.66</v>
      </c>
    </row>
    <row r="13" spans="1:27" ht="14.25" customHeight="1">
      <c r="A13" s="359"/>
      <c r="B13" s="359"/>
      <c r="C13" s="359"/>
      <c r="D13" s="359"/>
      <c r="E13" s="359"/>
      <c r="F13" s="359"/>
      <c r="G13" s="359"/>
      <c r="H13" s="359"/>
      <c r="I13" s="359"/>
      <c r="J13" s="359"/>
      <c r="K13" s="359"/>
      <c r="L13" s="359"/>
      <c r="M13" s="359"/>
      <c r="N13" s="359"/>
      <c r="O13" s="359"/>
    </row>
    <row r="14" spans="1:27" ht="14.25" customHeight="1">
      <c r="A14" s="361" t="s">
        <v>21</v>
      </c>
      <c r="B14" s="361" t="s">
        <v>568</v>
      </c>
      <c r="C14" s="361">
        <v>24532650438985</v>
      </c>
      <c r="D14" s="361">
        <v>35536120578221</v>
      </c>
      <c r="E14" s="361">
        <v>44165626148685</v>
      </c>
      <c r="F14" s="361">
        <v>52472820451654</v>
      </c>
      <c r="G14" s="361">
        <v>71214453522563</v>
      </c>
      <c r="H14" s="361">
        <v>108571380446353</v>
      </c>
      <c r="I14" s="361">
        <v>124645848221080</v>
      </c>
      <c r="J14" s="361">
        <v>106015187198082</v>
      </c>
      <c r="K14" s="361">
        <f>COGS!E7</f>
        <v>108144075649917.02</v>
      </c>
      <c r="L14" s="361">
        <f>COGS!F7</f>
        <v>140055412566365.45</v>
      </c>
      <c r="M14" s="361">
        <f>COGS!G7</f>
        <v>185609750508948.25</v>
      </c>
      <c r="N14" s="361">
        <f>COGS!H7</f>
        <v>211927998522363.75</v>
      </c>
      <c r="O14" s="361">
        <f>COGS!I7</f>
        <v>211925351534712.31</v>
      </c>
    </row>
    <row r="15" spans="1:27" s="466" customFormat="1" ht="14.25" customHeight="1">
      <c r="A15" s="464" t="s">
        <v>22</v>
      </c>
      <c r="B15" s="464" t="s">
        <v>22</v>
      </c>
      <c r="C15" s="464">
        <f t="shared" ref="C15:E15" si="11">C14/C2</f>
        <v>0.72399966430107143</v>
      </c>
      <c r="D15" s="464">
        <f t="shared" si="11"/>
        <v>0.75843032239008212</v>
      </c>
      <c r="E15" s="464">
        <f t="shared" si="11"/>
        <v>0.78058139660985115</v>
      </c>
      <c r="F15" s="464">
        <f t="shared" ref="F15:J15" si="12">F14/F12</f>
        <v>0.82429013843583121</v>
      </c>
      <c r="G15" s="464">
        <f t="shared" si="12"/>
        <v>0.79023120463239283</v>
      </c>
      <c r="H15" s="464">
        <f t="shared" si="12"/>
        <v>0.72535764822582438</v>
      </c>
      <c r="I15" s="464">
        <f t="shared" si="12"/>
        <v>0.88145454883711394</v>
      </c>
      <c r="J15" s="464">
        <f t="shared" si="12"/>
        <v>0.89123571778989397</v>
      </c>
      <c r="K15" s="464">
        <f>K14/K2</f>
        <v>0.78959169215241387</v>
      </c>
      <c r="L15" s="464">
        <f t="shared" ref="L15:M15" si="13">L14/L2</f>
        <v>0.80343187507373959</v>
      </c>
      <c r="M15" s="464">
        <f t="shared" si="13"/>
        <v>0.81367443969403452</v>
      </c>
      <c r="N15" s="464">
        <f>N14/N2</f>
        <v>0.82527672363437354</v>
      </c>
      <c r="O15" s="467">
        <f>O14/O2</f>
        <v>0.84549420212923287</v>
      </c>
      <c r="P15" s="465"/>
      <c r="Q15" s="465"/>
    </row>
    <row r="16" spans="1:27" s="451" customFormat="1" ht="14.25" customHeight="1">
      <c r="A16" s="447" t="s">
        <v>15</v>
      </c>
      <c r="B16" s="447" t="s">
        <v>15</v>
      </c>
      <c r="C16" s="447"/>
      <c r="D16" s="447">
        <f t="shared" ref="D16:J16" si="14">D14/C14-1</f>
        <v>0.44852349592648633</v>
      </c>
      <c r="E16" s="447">
        <f t="shared" si="14"/>
        <v>0.24283758131304745</v>
      </c>
      <c r="F16" s="447">
        <f t="shared" si="14"/>
        <v>0.18809184941706847</v>
      </c>
      <c r="G16" s="447">
        <f t="shared" si="14"/>
        <v>0.35716839517282395</v>
      </c>
      <c r="H16" s="447">
        <f t="shared" si="14"/>
        <v>0.5245694529124505</v>
      </c>
      <c r="I16" s="447">
        <f t="shared" si="14"/>
        <v>0.14805437407761124</v>
      </c>
      <c r="J16" s="447">
        <f t="shared" si="14"/>
        <v>-0.14946876521673991</v>
      </c>
      <c r="K16" s="447"/>
      <c r="L16" s="447"/>
      <c r="M16" s="447"/>
      <c r="N16" s="447"/>
      <c r="O16" s="447"/>
      <c r="P16" s="450"/>
      <c r="Q16" s="450"/>
    </row>
    <row r="17" spans="1:15" ht="14.25" customHeight="1">
      <c r="A17" s="361" t="s">
        <v>545</v>
      </c>
      <c r="B17" s="361" t="s">
        <v>569</v>
      </c>
      <c r="C17" s="361">
        <v>8750559721002</v>
      </c>
      <c r="D17" s="361">
        <v>10625571036083</v>
      </c>
      <c r="E17" s="361">
        <v>11670832231074</v>
      </c>
      <c r="F17" s="361">
        <v>11185372222137</v>
      </c>
      <c r="G17" s="361">
        <v>18904049904154</v>
      </c>
      <c r="H17" s="361">
        <v>41108409532992</v>
      </c>
      <c r="I17" s="361">
        <v>16763426239552</v>
      </c>
      <c r="J17" s="361">
        <v>12937840695572</v>
      </c>
      <c r="K17" s="361">
        <f>K12-K14</f>
        <v>27388074121291.344</v>
      </c>
      <c r="L17" s="361">
        <f>L12-L14</f>
        <v>32545251099901.547</v>
      </c>
      <c r="M17" s="361">
        <f>M12-M14</f>
        <v>40136711546862.625</v>
      </c>
      <c r="N17" s="361">
        <f>N12-N14</f>
        <v>42150329932126.188</v>
      </c>
      <c r="O17" s="361">
        <f>O12-O14</f>
        <v>36141178384576.344</v>
      </c>
    </row>
    <row r="18" spans="1:15" s="469" customFormat="1" ht="14.25" customHeight="1">
      <c r="A18" s="468"/>
      <c r="B18" s="468"/>
      <c r="C18" s="468">
        <f t="shared" ref="C18:O18" si="15">C17/C2</f>
        <v>0.25824369512004686</v>
      </c>
      <c r="D18" s="468">
        <f t="shared" si="15"/>
        <v>0.22677644985857326</v>
      </c>
      <c r="E18" s="468">
        <f t="shared" si="15"/>
        <v>0.20626979207453741</v>
      </c>
      <c r="F18" s="468">
        <f t="shared" si="15"/>
        <v>0.17293961438061012</v>
      </c>
      <c r="G18" s="468">
        <f t="shared" si="15"/>
        <v>0.20710175673632986</v>
      </c>
      <c r="H18" s="468">
        <f t="shared" si="15"/>
        <v>0.27248408476226404</v>
      </c>
      <c r="I18" s="468">
        <f t="shared" si="15"/>
        <v>0.11741494049153856</v>
      </c>
      <c r="J18" s="468">
        <f t="shared" si="15"/>
        <v>0.10749711933450432</v>
      </c>
      <c r="K18" s="468">
        <f t="shared" si="15"/>
        <v>0.19996838162667085</v>
      </c>
      <c r="L18" s="468">
        <f t="shared" si="15"/>
        <v>0.18669676263706958</v>
      </c>
      <c r="M18" s="468">
        <f t="shared" si="15"/>
        <v>0.17595097342410404</v>
      </c>
      <c r="N18" s="468">
        <f t="shared" si="15"/>
        <v>0.16413917193117925</v>
      </c>
      <c r="O18" s="468">
        <f t="shared" si="15"/>
        <v>0.14418830291416337</v>
      </c>
    </row>
    <row r="19" spans="1:15" ht="14.25" customHeight="1">
      <c r="A19" s="360" t="s">
        <v>23</v>
      </c>
      <c r="B19" s="360" t="s">
        <v>570</v>
      </c>
      <c r="C19" s="360">
        <v>197181167853</v>
      </c>
      <c r="D19" s="360">
        <v>186215464700</v>
      </c>
      <c r="E19" s="360">
        <v>294408270741</v>
      </c>
      <c r="F19" s="360">
        <v>471053832011</v>
      </c>
      <c r="G19" s="360">
        <v>1004789766270</v>
      </c>
      <c r="H19" s="360">
        <v>3071440640188</v>
      </c>
      <c r="I19" s="360">
        <v>3743650707331</v>
      </c>
      <c r="J19" s="360">
        <v>3173086404949</v>
      </c>
      <c r="K19" s="360">
        <f>SUM(K21,K23,K25,K27,K29,K33)</f>
        <v>3248256230449.7861</v>
      </c>
      <c r="L19" s="360">
        <f t="shared" ref="L19:O19" si="16">SUM(L21,L23,L25,L27,L29,L33)</f>
        <v>978160139132.20874</v>
      </c>
      <c r="M19" s="360">
        <f t="shared" si="16"/>
        <v>563399144200.58081</v>
      </c>
      <c r="N19" s="360">
        <f t="shared" si="16"/>
        <v>1372095493478.5193</v>
      </c>
      <c r="O19" s="360">
        <f t="shared" si="16"/>
        <v>1452331059354.7654</v>
      </c>
    </row>
    <row r="20" spans="1:15" ht="14.25" customHeight="1">
      <c r="A20" s="357"/>
      <c r="B20" s="357"/>
      <c r="C20" s="357"/>
      <c r="D20" s="357"/>
      <c r="E20" s="357">
        <f t="shared" ref="E20:J20" si="17">SUM(E21,E23,E25,E27,E29,E33)</f>
        <v>293408270741</v>
      </c>
      <c r="F20" s="357">
        <f t="shared" si="17"/>
        <v>471053832011</v>
      </c>
      <c r="G20" s="357">
        <f t="shared" si="17"/>
        <v>1004789766270</v>
      </c>
      <c r="H20" s="357">
        <f t="shared" si="17"/>
        <v>3071440640188</v>
      </c>
      <c r="I20" s="357">
        <f t="shared" si="17"/>
        <v>3743650707331</v>
      </c>
      <c r="J20" s="357">
        <f t="shared" si="17"/>
        <v>3173086404949</v>
      </c>
      <c r="K20" s="357"/>
      <c r="L20" s="357"/>
      <c r="M20" s="357"/>
      <c r="N20" s="357"/>
      <c r="O20" s="357"/>
    </row>
    <row r="21" spans="1:15" ht="14.25" customHeight="1">
      <c r="A21" s="357" t="s">
        <v>24</v>
      </c>
      <c r="B21" s="357" t="s">
        <v>730</v>
      </c>
      <c r="C21" s="357"/>
      <c r="D21" s="357"/>
      <c r="E21" s="357">
        <v>162434005510</v>
      </c>
      <c r="F21" s="357">
        <v>276783283933</v>
      </c>
      <c r="G21" s="357">
        <v>519078206990</v>
      </c>
      <c r="H21" s="357">
        <v>1194370878477</v>
      </c>
      <c r="I21" s="357">
        <v>1822022852374</v>
      </c>
      <c r="J21" s="357">
        <v>1953143453300</v>
      </c>
      <c r="K21" s="357">
        <f>K22*'BS HPG'!K3</f>
        <v>3226482028196.4365</v>
      </c>
      <c r="L21" s="357">
        <f>L22*'BS HPG'!L3</f>
        <v>946768220005.1709</v>
      </c>
      <c r="M21" s="357">
        <f>M22*'BS HPG'!M3</f>
        <v>517673886804.13379</v>
      </c>
      <c r="N21" s="357">
        <f>N22*'BS HPG'!N3</f>
        <v>1334015321742.9968</v>
      </c>
      <c r="O21" s="357">
        <f>O22*'BS HPG'!O3</f>
        <v>1416055391887.8979</v>
      </c>
    </row>
    <row r="22" spans="1:15" s="473" customFormat="1" ht="14.25" customHeight="1">
      <c r="A22" s="470"/>
      <c r="B22" s="470"/>
      <c r="C22" s="470"/>
      <c r="D22" s="470"/>
      <c r="E22" s="470">
        <f>E21/'BS HPG'!F3</f>
        <v>3.5739839489597025E-2</v>
      </c>
      <c r="F22" s="470">
        <f>F21/'BS HPG'!G3</f>
        <v>2.0208913348694121E-2</v>
      </c>
      <c r="G22" s="470">
        <f>G21/'BS HPG'!H3</f>
        <v>2.3099529690775993E-2</v>
      </c>
      <c r="H22" s="470">
        <f>H21/'BS HPG'!I3</f>
        <v>0.14347505803859337</v>
      </c>
      <c r="I22" s="470">
        <f>I21/'BS HPG'!J3</f>
        <v>0.14871226573100801</v>
      </c>
      <c r="J22" s="470">
        <f>J21/'BS HPG'!J3</f>
        <v>0.15941423998029378</v>
      </c>
      <c r="K22" s="470">
        <f t="shared" ref="K22:O22" si="18">AVERAGE(H22:J22)</f>
        <v>0.15053385458329838</v>
      </c>
      <c r="L22" s="470">
        <f t="shared" si="18"/>
        <v>0.15288678676486672</v>
      </c>
      <c r="M22" s="470">
        <f t="shared" si="18"/>
        <v>0.15427829377615296</v>
      </c>
      <c r="N22" s="470">
        <f t="shared" si="18"/>
        <v>0.152566311708106</v>
      </c>
      <c r="O22" s="470">
        <f t="shared" si="18"/>
        <v>0.1532437974163752</v>
      </c>
    </row>
    <row r="23" spans="1:15" ht="14.25" customHeight="1">
      <c r="A23" s="357" t="s">
        <v>25</v>
      </c>
      <c r="B23" s="357" t="s">
        <v>732</v>
      </c>
      <c r="C23" s="357"/>
      <c r="D23" s="357"/>
      <c r="E23" s="357">
        <v>115851955886</v>
      </c>
      <c r="F23" s="357">
        <v>177270502599</v>
      </c>
      <c r="G23" s="357">
        <v>483165239031</v>
      </c>
      <c r="H23" s="357">
        <v>1259713002137</v>
      </c>
      <c r="I23" s="357">
        <v>1886624826804</v>
      </c>
      <c r="J23" s="357">
        <v>1207078334480</v>
      </c>
      <c r="K23" s="357">
        <v>0</v>
      </c>
      <c r="L23" s="357">
        <v>0</v>
      </c>
      <c r="M23" s="357">
        <v>0</v>
      </c>
      <c r="N23" s="357">
        <v>0</v>
      </c>
      <c r="O23" s="357">
        <v>0</v>
      </c>
    </row>
    <row r="24" spans="1:15" ht="14.25" customHeight="1">
      <c r="A24" s="357"/>
      <c r="B24" s="357"/>
      <c r="C24" s="357"/>
      <c r="D24" s="357"/>
      <c r="E24" s="357">
        <f t="shared" ref="E24:J24" si="19">E23-E40</f>
        <v>-49343202663</v>
      </c>
      <c r="F24" s="357">
        <f t="shared" si="19"/>
        <v>-11283838109</v>
      </c>
      <c r="G24" s="357">
        <f t="shared" si="19"/>
        <v>-10711845929</v>
      </c>
      <c r="H24" s="357">
        <f t="shared" si="19"/>
        <v>267207185535</v>
      </c>
      <c r="I24" s="357">
        <f t="shared" si="19"/>
        <v>-1524672594633</v>
      </c>
      <c r="J24" s="357">
        <f t="shared" si="19"/>
        <v>152721591181</v>
      </c>
      <c r="K24" s="357"/>
      <c r="L24" s="357"/>
      <c r="M24" s="357"/>
      <c r="N24" s="357"/>
      <c r="O24" s="357"/>
    </row>
    <row r="25" spans="1:15" ht="14.25" customHeight="1">
      <c r="A25" s="357" t="s">
        <v>26</v>
      </c>
      <c r="B25" s="357" t="s">
        <v>731</v>
      </c>
      <c r="C25" s="357"/>
      <c r="D25" s="357"/>
      <c r="E25" s="357">
        <v>7311244552</v>
      </c>
      <c r="F25" s="357">
        <v>15303987880</v>
      </c>
      <c r="G25" s="357">
        <v>490877510</v>
      </c>
      <c r="H25" s="357">
        <v>46626960525</v>
      </c>
      <c r="I25" s="357">
        <v>11596235876</v>
      </c>
      <c r="J25" s="357">
        <v>3629798335</v>
      </c>
      <c r="K25" s="357">
        <v>0</v>
      </c>
      <c r="L25" s="357">
        <v>0</v>
      </c>
      <c r="M25" s="357">
        <v>0</v>
      </c>
      <c r="N25" s="357">
        <v>0</v>
      </c>
      <c r="O25" s="357">
        <v>0</v>
      </c>
    </row>
    <row r="26" spans="1:15" ht="14.25" customHeight="1">
      <c r="A26" s="357"/>
      <c r="B26" s="357"/>
      <c r="C26" s="357"/>
      <c r="D26" s="357"/>
      <c r="E26" s="357">
        <f t="shared" ref="E26:J26" si="20">E25-E42</f>
        <v>-29910869480</v>
      </c>
      <c r="F26" s="357">
        <f t="shared" si="20"/>
        <v>-24183514856</v>
      </c>
      <c r="G26" s="357">
        <f t="shared" si="20"/>
        <v>-52078870772</v>
      </c>
      <c r="H26" s="357">
        <f t="shared" si="20"/>
        <v>-41938831417</v>
      </c>
      <c r="I26" s="357">
        <f t="shared" si="20"/>
        <v>-333983153559</v>
      </c>
      <c r="J26" s="357">
        <f t="shared" si="20"/>
        <v>-291243752578</v>
      </c>
      <c r="K26" s="357"/>
      <c r="L26" s="357"/>
      <c r="M26" s="357"/>
      <c r="N26" s="357"/>
      <c r="O26" s="357"/>
    </row>
    <row r="27" spans="1:15" ht="14.25" customHeight="1">
      <c r="A27" s="357" t="s">
        <v>27</v>
      </c>
      <c r="B27" s="357" t="s">
        <v>571</v>
      </c>
      <c r="C27" s="357"/>
      <c r="D27" s="357"/>
      <c r="E27" s="357">
        <v>3963967200</v>
      </c>
      <c r="F27" s="357">
        <v>0</v>
      </c>
      <c r="G27" s="357"/>
      <c r="H27" s="357"/>
      <c r="I27" s="357"/>
      <c r="J27" s="357"/>
      <c r="K27" s="357">
        <v>0</v>
      </c>
      <c r="L27" s="357">
        <v>0</v>
      </c>
      <c r="M27" s="357">
        <v>0</v>
      </c>
      <c r="N27" s="357">
        <v>0</v>
      </c>
      <c r="O27" s="357">
        <v>0</v>
      </c>
    </row>
    <row r="28" spans="1:15" ht="14.25" customHeight="1">
      <c r="A28" s="357"/>
      <c r="B28" s="357"/>
      <c r="C28" s="357"/>
      <c r="D28" s="357"/>
      <c r="E28" s="357"/>
      <c r="F28" s="357"/>
      <c r="G28" s="357"/>
      <c r="H28" s="357"/>
      <c r="I28" s="357"/>
      <c r="J28" s="357"/>
      <c r="L28" s="357"/>
      <c r="M28" s="357"/>
      <c r="N28" s="357"/>
      <c r="O28" s="357"/>
    </row>
    <row r="29" spans="1:15" ht="14.25" customHeight="1">
      <c r="A29" s="357" t="s">
        <v>28</v>
      </c>
      <c r="B29" s="357" t="s">
        <v>572</v>
      </c>
      <c r="C29" s="357"/>
      <c r="D29" s="357"/>
      <c r="E29" s="357">
        <v>3847097593</v>
      </c>
      <c r="F29" s="357">
        <v>1696057599</v>
      </c>
      <c r="G29" s="357">
        <v>2055442739</v>
      </c>
      <c r="H29" s="357">
        <v>66508449795</v>
      </c>
      <c r="I29" s="357">
        <v>21677909468</v>
      </c>
      <c r="J29" s="357">
        <v>4690900408</v>
      </c>
      <c r="K29" s="357">
        <f>K30*K2</f>
        <v>18637801635.849751</v>
      </c>
      <c r="L29" s="357">
        <f t="shared" ref="L29:O29" si="21">L30*L2</f>
        <v>27551759605.287811</v>
      </c>
      <c r="M29" s="357">
        <f t="shared" si="21"/>
        <v>42236977326.821983</v>
      </c>
      <c r="N29" s="357">
        <f t="shared" si="21"/>
        <v>34415951939.834923</v>
      </c>
      <c r="O29" s="357">
        <f t="shared" si="21"/>
        <v>32699417534.211155</v>
      </c>
    </row>
    <row r="30" spans="1:15" s="473" customFormat="1" ht="14.25" customHeight="1">
      <c r="A30" s="470"/>
      <c r="B30" s="470"/>
      <c r="C30" s="470">
        <f t="shared" ref="C30:J30" si="22">C29/C2</f>
        <v>0</v>
      </c>
      <c r="D30" s="470">
        <f t="shared" si="22"/>
        <v>0</v>
      </c>
      <c r="E30" s="470">
        <f t="shared" si="22"/>
        <v>6.7993439104174189E-5</v>
      </c>
      <c r="F30" s="470">
        <f t="shared" si="22"/>
        <v>2.6223136907135005E-5</v>
      </c>
      <c r="G30" s="470">
        <f t="shared" si="22"/>
        <v>2.2518233091645236E-5</v>
      </c>
      <c r="H30" s="470">
        <f t="shared" si="22"/>
        <v>4.4084639316447304E-4</v>
      </c>
      <c r="I30" s="470">
        <f t="shared" si="22"/>
        <v>1.5183712528651919E-4</v>
      </c>
      <c r="J30" s="474">
        <f t="shared" si="22"/>
        <v>3.8975459105601313E-5</v>
      </c>
      <c r="K30" s="474">
        <f t="shared" ref="K30:O30" si="23">AVERAGE(F30:J30)</f>
        <v>1.3608006951107475E-4</v>
      </c>
      <c r="L30" s="470">
        <f t="shared" si="23"/>
        <v>1.580514560318627E-4</v>
      </c>
      <c r="M30" s="470">
        <f t="shared" si="23"/>
        <v>1.8515810061990617E-4</v>
      </c>
      <c r="N30" s="470">
        <f t="shared" si="23"/>
        <v>1.3402044211099283E-4</v>
      </c>
      <c r="O30" s="470">
        <f t="shared" si="23"/>
        <v>1.3045710547588755E-4</v>
      </c>
    </row>
    <row r="31" spans="1:15" ht="14.25" customHeight="1">
      <c r="A31" s="357"/>
      <c r="B31" s="357"/>
      <c r="C31" s="357"/>
      <c r="D31" s="357"/>
      <c r="E31" s="357">
        <f t="shared" ref="E31:J31" si="24">SUM(E24,E26)</f>
        <v>-79254072143</v>
      </c>
      <c r="F31" s="357">
        <f t="shared" si="24"/>
        <v>-35467352965</v>
      </c>
      <c r="G31" s="357">
        <f t="shared" si="24"/>
        <v>-62790716701</v>
      </c>
      <c r="H31" s="357">
        <f t="shared" si="24"/>
        <v>225268354118</v>
      </c>
      <c r="I31" s="357">
        <f t="shared" si="24"/>
        <v>-1858655748192</v>
      </c>
      <c r="J31" s="357">
        <f t="shared" si="24"/>
        <v>-138522161397</v>
      </c>
      <c r="K31" s="357"/>
      <c r="L31" s="357"/>
      <c r="M31" s="357"/>
      <c r="N31" s="357"/>
      <c r="O31" s="357"/>
    </row>
    <row r="32" spans="1:15" ht="14.25" customHeight="1">
      <c r="A32" s="357"/>
      <c r="B32" s="357"/>
      <c r="C32" s="357"/>
      <c r="D32" s="357"/>
      <c r="E32" s="357"/>
      <c r="F32" s="357"/>
      <c r="G32" s="357"/>
      <c r="H32" s="357"/>
      <c r="I32" s="357"/>
      <c r="J32" s="357"/>
      <c r="K32" s="357"/>
      <c r="L32" s="357"/>
      <c r="M32" s="357"/>
      <c r="N32" s="357"/>
      <c r="O32" s="357"/>
    </row>
    <row r="33" spans="1:17" ht="14.25" customHeight="1">
      <c r="A33" s="357" t="s">
        <v>29</v>
      </c>
      <c r="B33" s="357" t="s">
        <v>573</v>
      </c>
      <c r="C33" s="357"/>
      <c r="D33" s="357"/>
      <c r="E33" s="357"/>
      <c r="F33" s="357"/>
      <c r="G33" s="357"/>
      <c r="H33" s="357">
        <v>504221349254</v>
      </c>
      <c r="I33" s="357">
        <v>1728882809</v>
      </c>
      <c r="J33" s="357">
        <v>4543918426</v>
      </c>
      <c r="K33" s="357">
        <f t="shared" ref="K33:O33" si="25">AVERAGE(I33:J33)</f>
        <v>3136400617.5</v>
      </c>
      <c r="L33" s="357">
        <f t="shared" si="25"/>
        <v>3840159521.75</v>
      </c>
      <c r="M33" s="357">
        <f t="shared" si="25"/>
        <v>3488280069.625</v>
      </c>
      <c r="N33" s="357">
        <f t="shared" si="25"/>
        <v>3664219795.6875</v>
      </c>
      <c r="O33" s="357">
        <f t="shared" si="25"/>
        <v>3576249932.65625</v>
      </c>
    </row>
    <row r="34" spans="1:17" ht="14.25" customHeight="1">
      <c r="A34" s="357"/>
      <c r="B34" s="357"/>
      <c r="C34" s="357"/>
      <c r="D34" s="357"/>
      <c r="E34" s="357"/>
      <c r="F34" s="357"/>
      <c r="G34" s="357"/>
      <c r="H34" s="357"/>
      <c r="I34" s="357"/>
      <c r="J34" s="357"/>
      <c r="K34" s="357"/>
      <c r="L34" s="357"/>
      <c r="M34" s="357"/>
      <c r="N34" s="357"/>
      <c r="O34" s="357"/>
    </row>
    <row r="35" spans="1:17" ht="14.25" customHeight="1">
      <c r="A35" s="360" t="s">
        <v>30</v>
      </c>
      <c r="B35" s="360" t="s">
        <v>574</v>
      </c>
      <c r="C35" s="360">
        <v>367986756135</v>
      </c>
      <c r="D35" s="360">
        <v>555756583746</v>
      </c>
      <c r="E35" s="360">
        <v>772317161901</v>
      </c>
      <c r="F35" s="360">
        <v>1181675710916</v>
      </c>
      <c r="G35" s="360">
        <v>2837406430588</v>
      </c>
      <c r="H35" s="360">
        <v>3731542257873</v>
      </c>
      <c r="I35" s="360">
        <v>7026723285241</v>
      </c>
      <c r="J35" s="360">
        <v>5191511844389</v>
      </c>
      <c r="K35" s="360">
        <f t="shared" ref="K35:O35" si="26">SUM(K36,K38,K40,K42,K44,K46)</f>
        <v>3947699679019.6318</v>
      </c>
      <c r="L35" s="360">
        <f t="shared" si="26"/>
        <v>3800542352242.4614</v>
      </c>
      <c r="M35" s="360">
        <f t="shared" si="26"/>
        <v>3125123296405.1348</v>
      </c>
      <c r="N35" s="360">
        <f t="shared" si="26"/>
        <v>3106953518427.1548</v>
      </c>
      <c r="O35" s="360">
        <f t="shared" si="26"/>
        <v>2997873298357.7358</v>
      </c>
    </row>
    <row r="36" spans="1:17" ht="14.25" customHeight="1">
      <c r="A36" s="357" t="s">
        <v>31</v>
      </c>
      <c r="B36" s="357" t="s">
        <v>262</v>
      </c>
      <c r="C36" s="357"/>
      <c r="D36" s="357"/>
      <c r="E36" s="357">
        <v>539861243640</v>
      </c>
      <c r="F36" s="357">
        <v>936710218359</v>
      </c>
      <c r="G36" s="357">
        <v>2191680923417</v>
      </c>
      <c r="H36" s="357">
        <v>2525823258237</v>
      </c>
      <c r="I36" s="357">
        <v>3083638131818</v>
      </c>
      <c r="J36" s="357">
        <v>3585077683881</v>
      </c>
      <c r="K36" s="357">
        <f>'Debt waterfall'!F31</f>
        <v>1609025546528.1084</v>
      </c>
      <c r="L36" s="357">
        <f>'Debt waterfall'!G31</f>
        <v>1093979280481.645</v>
      </c>
      <c r="M36" s="357">
        <f>'Debt waterfall'!H31</f>
        <v>805791092243.33826</v>
      </c>
      <c r="N36" s="357">
        <f>'Debt waterfall'!I31</f>
        <v>574520018522.479</v>
      </c>
      <c r="O36" s="357">
        <f>'Debt waterfall'!J31</f>
        <v>447787203143.06256</v>
      </c>
    </row>
    <row r="37" spans="1:17" ht="14.25" customHeight="1">
      <c r="A37" s="357"/>
      <c r="B37" s="357"/>
      <c r="C37" s="357"/>
      <c r="D37" s="357"/>
      <c r="E37" s="357"/>
      <c r="F37" s="357"/>
      <c r="G37" s="357"/>
      <c r="H37" s="357"/>
      <c r="I37" s="357"/>
      <c r="J37" s="357"/>
      <c r="K37" s="357"/>
      <c r="L37" s="357"/>
      <c r="M37" s="357"/>
      <c r="N37" s="357"/>
      <c r="O37" s="357"/>
    </row>
    <row r="38" spans="1:17" ht="14.25" customHeight="1">
      <c r="A38" s="357" t="s">
        <v>32</v>
      </c>
      <c r="B38" s="357" t="s">
        <v>575</v>
      </c>
      <c r="C38" s="357"/>
      <c r="D38" s="357"/>
      <c r="E38" s="357">
        <v>13562300498</v>
      </c>
      <c r="F38" s="357">
        <v>12037994693</v>
      </c>
      <c r="G38" s="357">
        <v>10304712000</v>
      </c>
      <c r="H38" s="357">
        <v>0</v>
      </c>
      <c r="I38" s="357">
        <v>14473105</v>
      </c>
      <c r="J38" s="357">
        <v>431823526</v>
      </c>
      <c r="K38" s="357">
        <f t="shared" ref="K38:O38" si="27">K10*K39</f>
        <v>227772115.24158859</v>
      </c>
      <c r="L38" s="357">
        <f t="shared" si="27"/>
        <v>205585346.74919593</v>
      </c>
      <c r="M38" s="357">
        <f t="shared" si="27"/>
        <v>353423289.35150737</v>
      </c>
      <c r="N38" s="357">
        <f t="shared" si="27"/>
        <v>500149752.64382225</v>
      </c>
      <c r="O38" s="357">
        <f t="shared" si="27"/>
        <v>395753816.01195335</v>
      </c>
    </row>
    <row r="39" spans="1:17" ht="14.25" customHeight="1">
      <c r="A39" s="357"/>
      <c r="B39" s="357"/>
      <c r="C39" s="357"/>
      <c r="D39" s="357"/>
      <c r="E39" s="357">
        <f t="shared" ref="E39:J39" si="28">E38/E10</f>
        <v>1.8229748374887021E-2</v>
      </c>
      <c r="F39" s="357">
        <f t="shared" si="28"/>
        <v>1.1805266821531844E-2</v>
      </c>
      <c r="G39" s="357">
        <f t="shared" si="28"/>
        <v>8.8792516364740726E-3</v>
      </c>
      <c r="H39" s="357">
        <f t="shared" si="28"/>
        <v>0</v>
      </c>
      <c r="I39" s="357">
        <f t="shared" si="28"/>
        <v>1.0629981654191727E-5</v>
      </c>
      <c r="J39" s="357">
        <f t="shared" si="28"/>
        <v>3.0796061875710748E-4</v>
      </c>
      <c r="K39" s="357">
        <f>AVERAGE(I39:J39)</f>
        <v>1.5929530020564962E-4</v>
      </c>
      <c r="L39" s="357">
        <f t="shared" ref="L39:O39" si="29">AVERAGE(H39:K39)</f>
        <v>1.1947147515423721E-4</v>
      </c>
      <c r="M39" s="357">
        <f t="shared" si="29"/>
        <v>1.4933934394279651E-4</v>
      </c>
      <c r="N39" s="357">
        <f t="shared" si="29"/>
        <v>1.8401668451494772E-4</v>
      </c>
      <c r="O39" s="357">
        <f t="shared" si="29"/>
        <v>1.5303070095440776E-4</v>
      </c>
    </row>
    <row r="40" spans="1:17" ht="14.25" customHeight="1">
      <c r="A40" s="357" t="s">
        <v>33</v>
      </c>
      <c r="B40" s="357" t="s">
        <v>733</v>
      </c>
      <c r="C40" s="357"/>
      <c r="D40" s="357"/>
      <c r="E40" s="357">
        <v>165195158549</v>
      </c>
      <c r="F40" s="357">
        <v>188554340708</v>
      </c>
      <c r="G40" s="357">
        <v>493877084960</v>
      </c>
      <c r="H40" s="357">
        <v>992505816602</v>
      </c>
      <c r="I40" s="357">
        <v>3411297421437</v>
      </c>
      <c r="J40" s="357">
        <v>1054356743299</v>
      </c>
      <c r="K40" s="357">
        <f t="shared" ref="K40:O42" si="30">AVERAGE(H40:J40)</f>
        <v>1819386660446</v>
      </c>
      <c r="L40" s="357">
        <f t="shared" si="30"/>
        <v>2095013608394</v>
      </c>
      <c r="M40" s="357">
        <f t="shared" si="30"/>
        <v>1656252337379.6667</v>
      </c>
      <c r="N40" s="357">
        <f t="shared" si="30"/>
        <v>1856884202073.2224</v>
      </c>
      <c r="O40" s="357">
        <f t="shared" si="30"/>
        <v>1869383382615.6299</v>
      </c>
    </row>
    <row r="41" spans="1:17" ht="14.25" customHeight="1">
      <c r="A41" s="357"/>
      <c r="B41" s="357"/>
      <c r="C41" s="357"/>
      <c r="D41" s="357"/>
      <c r="E41" s="357"/>
      <c r="F41" s="357"/>
      <c r="G41" s="357"/>
      <c r="H41" s="357"/>
      <c r="I41" s="357"/>
      <c r="J41" s="357"/>
      <c r="K41" s="357" t="e">
        <f t="shared" si="30"/>
        <v>#DIV/0!</v>
      </c>
      <c r="L41" s="357"/>
      <c r="M41" s="357"/>
      <c r="N41" s="357"/>
      <c r="O41" s="357"/>
    </row>
    <row r="42" spans="1:17" ht="14.25" customHeight="1">
      <c r="A42" s="357" t="s">
        <v>34</v>
      </c>
      <c r="B42" s="357" t="s">
        <v>734</v>
      </c>
      <c r="C42" s="357"/>
      <c r="D42" s="357"/>
      <c r="E42" s="357">
        <v>37222114032</v>
      </c>
      <c r="F42" s="357">
        <v>39487502736</v>
      </c>
      <c r="G42" s="357">
        <v>52569748282</v>
      </c>
      <c r="H42" s="357">
        <v>88565791942</v>
      </c>
      <c r="I42" s="357">
        <v>345579389435</v>
      </c>
      <c r="J42" s="357">
        <v>294873550913</v>
      </c>
      <c r="K42" s="357">
        <f t="shared" si="30"/>
        <v>243006244096.66666</v>
      </c>
      <c r="L42" s="357">
        <f t="shared" si="30"/>
        <v>294486394814.88885</v>
      </c>
      <c r="M42" s="357">
        <f t="shared" si="30"/>
        <v>277455396608.18512</v>
      </c>
      <c r="N42" s="357">
        <f t="shared" si="30"/>
        <v>271649345173.24692</v>
      </c>
      <c r="O42" s="357">
        <f t="shared" si="30"/>
        <v>281197045532.10699</v>
      </c>
    </row>
    <row r="43" spans="1:17" ht="14.25" customHeight="1">
      <c r="A43" s="357"/>
      <c r="B43" s="357"/>
      <c r="C43" s="357"/>
      <c r="D43" s="357"/>
      <c r="E43" s="357"/>
      <c r="F43" s="357"/>
      <c r="G43" s="357"/>
      <c r="H43" s="357"/>
      <c r="I43" s="357"/>
      <c r="J43" s="357"/>
      <c r="K43" s="357"/>
      <c r="L43" s="357"/>
      <c r="M43" s="357"/>
      <c r="N43" s="357"/>
      <c r="O43" s="357"/>
    </row>
    <row r="44" spans="1:17" ht="14.25" customHeight="1">
      <c r="A44" s="357" t="s">
        <v>35</v>
      </c>
      <c r="B44" s="357" t="s">
        <v>576</v>
      </c>
      <c r="C44" s="357"/>
      <c r="D44" s="357"/>
      <c r="E44" s="357">
        <v>16476345182</v>
      </c>
      <c r="F44" s="357">
        <v>4885654420</v>
      </c>
      <c r="G44" s="357">
        <v>88973961929</v>
      </c>
      <c r="H44" s="357">
        <v>124647391092</v>
      </c>
      <c r="I44" s="357">
        <v>186193869446</v>
      </c>
      <c r="J44" s="357">
        <v>121647098745</v>
      </c>
      <c r="K44" s="357">
        <f t="shared" ref="K44:O44" si="31">K45*K2</f>
        <v>140928511808.61502</v>
      </c>
      <c r="L44" s="357">
        <f t="shared" si="31"/>
        <v>181732539180.17883</v>
      </c>
      <c r="M44" s="357">
        <f t="shared" si="31"/>
        <v>250146102859.59338</v>
      </c>
      <c r="N44" s="357">
        <f t="shared" si="31"/>
        <v>268274858880.56265</v>
      </c>
      <c r="O44" s="357">
        <f t="shared" si="31"/>
        <v>263984969225.92426</v>
      </c>
    </row>
    <row r="45" spans="1:17" ht="14.25" customHeight="1">
      <c r="A45" s="357"/>
      <c r="B45" s="357"/>
      <c r="C45" s="357"/>
      <c r="D45" s="357"/>
      <c r="E45" s="357">
        <f t="shared" ref="E45:J45" si="32">E44/E2</f>
        <v>2.9120222341904873E-4</v>
      </c>
      <c r="F45" s="357">
        <f t="shared" si="32"/>
        <v>7.5538227482455488E-5</v>
      </c>
      <c r="G45" s="357">
        <f t="shared" si="32"/>
        <v>9.7474688824420288E-4</v>
      </c>
      <c r="H45" s="357">
        <f t="shared" si="32"/>
        <v>8.2621611163158912E-4</v>
      </c>
      <c r="I45" s="357">
        <f t="shared" si="32"/>
        <v>1.3041452140201408E-3</v>
      </c>
      <c r="J45" s="357">
        <f t="shared" si="32"/>
        <v>1.0107337845768208E-3</v>
      </c>
      <c r="K45" s="357">
        <f t="shared" ref="K45:O45" si="33">AVERAGE(G45:J45)</f>
        <v>1.0289604996181884E-3</v>
      </c>
      <c r="L45" s="357">
        <f t="shared" si="33"/>
        <v>1.0425139024616847E-3</v>
      </c>
      <c r="M45" s="357">
        <f t="shared" si="33"/>
        <v>1.0965883501692086E-3</v>
      </c>
      <c r="N45" s="357">
        <f t="shared" si="33"/>
        <v>1.0446991342064756E-3</v>
      </c>
      <c r="O45" s="357">
        <f t="shared" si="33"/>
        <v>1.0531904716138893E-3</v>
      </c>
    </row>
    <row r="46" spans="1:17" ht="14.25" customHeight="1">
      <c r="A46" s="357" t="s">
        <v>36</v>
      </c>
      <c r="B46" s="357" t="s">
        <v>577</v>
      </c>
      <c r="C46" s="357"/>
      <c r="D46" s="357"/>
      <c r="E46" s="357"/>
      <c r="F46" s="357"/>
      <c r="G46" s="357"/>
      <c r="H46" s="357"/>
      <c r="I46" s="357">
        <v>0</v>
      </c>
      <c r="J46" s="357">
        <v>135124944025</v>
      </c>
      <c r="K46" s="357">
        <v>135124944025</v>
      </c>
      <c r="L46" s="357">
        <v>135124944025</v>
      </c>
      <c r="M46" s="357">
        <v>135124944025</v>
      </c>
      <c r="N46" s="357">
        <v>135124944025</v>
      </c>
      <c r="O46" s="357">
        <v>135124944025</v>
      </c>
    </row>
    <row r="47" spans="1:17" ht="14.25" customHeight="1">
      <c r="A47" s="357"/>
      <c r="B47" s="357"/>
      <c r="C47" s="357"/>
      <c r="D47" s="357"/>
      <c r="E47" s="357"/>
      <c r="F47" s="357"/>
      <c r="G47" s="357"/>
      <c r="H47" s="357"/>
      <c r="I47" s="357"/>
      <c r="J47" s="357"/>
      <c r="K47" s="357"/>
      <c r="L47" s="357"/>
      <c r="M47" s="357"/>
      <c r="N47" s="357"/>
      <c r="O47" s="357"/>
    </row>
    <row r="48" spans="1:17" s="451" customFormat="1" ht="14.25" customHeight="1">
      <c r="A48" s="447" t="s">
        <v>22</v>
      </c>
      <c r="B48" s="447" t="s">
        <v>22</v>
      </c>
      <c r="C48" s="447">
        <f t="shared" ref="C48:J48" si="34">C35/C2</f>
        <v>1.0859906416210407E-2</v>
      </c>
      <c r="D48" s="447">
        <f t="shared" si="34"/>
        <v>1.1861245350434101E-2</v>
      </c>
      <c r="E48" s="447">
        <f t="shared" si="34"/>
        <v>1.3649900645196415E-2</v>
      </c>
      <c r="F48" s="447">
        <f t="shared" si="34"/>
        <v>1.8270160144004847E-2</v>
      </c>
      <c r="G48" s="447">
        <f t="shared" si="34"/>
        <v>3.1084971703370663E-2</v>
      </c>
      <c r="H48" s="447">
        <f t="shared" si="34"/>
        <v>2.4734254826185968E-2</v>
      </c>
      <c r="I48" s="447">
        <f t="shared" si="34"/>
        <v>4.921680595584077E-2</v>
      </c>
      <c r="J48" s="447">
        <f t="shared" si="34"/>
        <v>4.3134908010869097E-2</v>
      </c>
      <c r="K48" s="447"/>
      <c r="L48" s="447"/>
      <c r="M48" s="447"/>
      <c r="N48" s="447"/>
      <c r="O48" s="447"/>
      <c r="P48" s="450"/>
      <c r="Q48" s="450"/>
    </row>
    <row r="49" spans="1:17" s="451" customFormat="1" ht="14.25" customHeight="1">
      <c r="A49" s="447" t="s">
        <v>15</v>
      </c>
      <c r="B49" s="447" t="s">
        <v>15</v>
      </c>
      <c r="C49" s="447"/>
      <c r="D49" s="447">
        <f t="shared" ref="D49:J49" si="35">D35/C35-1</f>
        <v>0.51026246048407931</v>
      </c>
      <c r="E49" s="447">
        <f t="shared" si="35"/>
        <v>0.38966803900963898</v>
      </c>
      <c r="F49" s="447">
        <f t="shared" si="35"/>
        <v>0.53003943096045547</v>
      </c>
      <c r="G49" s="447">
        <f t="shared" si="35"/>
        <v>1.4011718311350636</v>
      </c>
      <c r="H49" s="447">
        <f t="shared" si="35"/>
        <v>0.31512433948340179</v>
      </c>
      <c r="I49" s="447">
        <f t="shared" si="35"/>
        <v>0.88306142598697823</v>
      </c>
      <c r="J49" s="447">
        <f t="shared" si="35"/>
        <v>-0.26117599432251681</v>
      </c>
      <c r="K49" s="447"/>
      <c r="L49" s="447"/>
      <c r="M49" s="447"/>
      <c r="N49" s="447"/>
      <c r="O49" s="447"/>
      <c r="P49" s="450"/>
      <c r="Q49" s="450"/>
    </row>
    <row r="50" spans="1:17" ht="14.25" customHeight="1">
      <c r="A50" s="357" t="s">
        <v>37</v>
      </c>
      <c r="B50" s="357" t="s">
        <v>578</v>
      </c>
      <c r="C50" s="357">
        <v>279951879407</v>
      </c>
      <c r="D50" s="357">
        <v>479707569855</v>
      </c>
      <c r="E50" s="357">
        <v>539861243640</v>
      </c>
      <c r="F50" s="357">
        <v>936710218359</v>
      </c>
      <c r="G50" s="357">
        <v>2191680923417</v>
      </c>
      <c r="H50" s="357">
        <v>2525823258237</v>
      </c>
      <c r="I50" s="357">
        <v>3083638131818</v>
      </c>
      <c r="J50" s="357">
        <v>3585077683881</v>
      </c>
      <c r="K50" s="357"/>
      <c r="L50" s="357"/>
      <c r="M50" s="357"/>
      <c r="N50" s="357"/>
      <c r="O50" s="357"/>
    </row>
    <row r="51" spans="1:17" s="455" customFormat="1" ht="14.25" customHeight="1">
      <c r="A51" s="453" t="s">
        <v>38</v>
      </c>
      <c r="B51" s="453" t="s">
        <v>579</v>
      </c>
      <c r="C51" s="453">
        <v>-534948182</v>
      </c>
      <c r="D51" s="453">
        <v>-159611603</v>
      </c>
      <c r="E51" s="453"/>
      <c r="F51" s="453">
        <v>-1431313615</v>
      </c>
      <c r="G51" s="453">
        <v>1964631764</v>
      </c>
      <c r="H51" s="453">
        <v>4465302865</v>
      </c>
      <c r="I51" s="453">
        <v>-1072667584</v>
      </c>
      <c r="J51" s="453">
        <v>-1072667584</v>
      </c>
      <c r="K51" s="453">
        <f t="shared" ref="K51:O51" si="36">K52*K2</f>
        <v>344204694.73761564</v>
      </c>
      <c r="L51" s="453">
        <f t="shared" si="36"/>
        <v>1297255190.7729194</v>
      </c>
      <c r="M51" s="453">
        <f t="shared" si="36"/>
        <v>1055118063.7520269</v>
      </c>
      <c r="N51" s="453">
        <f t="shared" si="36"/>
        <v>-94779809.771198437</v>
      </c>
      <c r="O51" s="453">
        <f t="shared" si="36"/>
        <v>265626623.70803565</v>
      </c>
      <c r="P51" s="454"/>
      <c r="Q51" s="454"/>
    </row>
    <row r="52" spans="1:17" s="473" customFormat="1" ht="14.25" customHeight="1">
      <c r="A52" s="470"/>
      <c r="B52" s="470"/>
      <c r="C52" s="470">
        <f t="shared" ref="C52:J52" si="37">C51/C2</f>
        <v>-1.5787218146271053E-5</v>
      </c>
      <c r="D52" s="470">
        <f t="shared" si="37"/>
        <v>-3.4065136416347671E-6</v>
      </c>
      <c r="E52" s="470">
        <f t="shared" si="37"/>
        <v>0</v>
      </c>
      <c r="F52" s="470">
        <f t="shared" si="37"/>
        <v>-2.2129869236352111E-5</v>
      </c>
      <c r="G52" s="470">
        <f t="shared" si="37"/>
        <v>2.1523360958488929E-5</v>
      </c>
      <c r="H52" s="470">
        <f t="shared" si="37"/>
        <v>2.9597933322605085E-5</v>
      </c>
      <c r="I52" s="470">
        <f t="shared" si="37"/>
        <v>-7.5132135127244938E-6</v>
      </c>
      <c r="J52" s="470">
        <f t="shared" si="37"/>
        <v>-8.9125131462599492E-6</v>
      </c>
      <c r="K52" s="470">
        <f t="shared" ref="K52:O52" si="38">AVERAGE(F52:J52)</f>
        <v>2.5131396771514922E-6</v>
      </c>
      <c r="L52" s="470">
        <f t="shared" si="38"/>
        <v>7.4417414598522125E-6</v>
      </c>
      <c r="M52" s="470">
        <f t="shared" si="38"/>
        <v>4.6254175601248696E-6</v>
      </c>
      <c r="N52" s="470">
        <f t="shared" si="38"/>
        <v>-3.6908559237117357E-7</v>
      </c>
      <c r="O52" s="470">
        <f t="shared" si="38"/>
        <v>1.0597399916994903E-6</v>
      </c>
    </row>
    <row r="53" spans="1:17" s="455" customFormat="1" ht="14.25" customHeight="1">
      <c r="A53" s="453" t="s">
        <v>39</v>
      </c>
      <c r="B53" s="453" t="s">
        <v>580</v>
      </c>
      <c r="C53" s="453">
        <v>489954015797</v>
      </c>
      <c r="D53" s="453">
        <v>594707868484</v>
      </c>
      <c r="E53" s="453">
        <v>676809221259</v>
      </c>
      <c r="F53" s="453">
        <v>873333584688</v>
      </c>
      <c r="G53" s="453">
        <v>1090795558423</v>
      </c>
      <c r="H53" s="453">
        <v>2120068223228</v>
      </c>
      <c r="I53" s="453">
        <v>2665806087302</v>
      </c>
      <c r="J53" s="453">
        <v>1961362129952</v>
      </c>
      <c r="K53" s="453">
        <f t="shared" ref="K53:O53" si="39">K54*K2</f>
        <v>2238009051777.3467</v>
      </c>
      <c r="L53" s="453">
        <f t="shared" si="39"/>
        <v>2981404210939.8633</v>
      </c>
      <c r="M53" s="453">
        <f t="shared" si="39"/>
        <v>3782092555487.8779</v>
      </c>
      <c r="N53" s="453">
        <f t="shared" si="39"/>
        <v>4281922091142.3594</v>
      </c>
      <c r="O53" s="453">
        <f t="shared" si="39"/>
        <v>4207388996805.9409</v>
      </c>
      <c r="P53" s="454"/>
      <c r="Q53" s="454"/>
    </row>
    <row r="54" spans="1:17" ht="14.25" customHeight="1">
      <c r="A54" s="357"/>
      <c r="B54" s="357"/>
      <c r="C54" s="357">
        <f t="shared" ref="C54:J54" si="40">C53/C2</f>
        <v>1.4459364830645919E-2</v>
      </c>
      <c r="D54" s="357">
        <f t="shared" si="40"/>
        <v>1.2692563878192996E-2</v>
      </c>
      <c r="E54" s="357">
        <f t="shared" si="40"/>
        <v>1.1961897367654684E-2</v>
      </c>
      <c r="F54" s="357">
        <f t="shared" si="40"/>
        <v>1.3502811561573864E-2</v>
      </c>
      <c r="G54" s="357">
        <f t="shared" si="40"/>
        <v>1.1950120610925197E-2</v>
      </c>
      <c r="H54" s="357">
        <f t="shared" si="40"/>
        <v>1.4052717096150694E-2</v>
      </c>
      <c r="I54" s="357">
        <f t="shared" si="40"/>
        <v>1.8671926528004968E-2</v>
      </c>
      <c r="J54" s="357">
        <f t="shared" si="40"/>
        <v>1.6296442652427183E-2</v>
      </c>
      <c r="K54" s="357">
        <f t="shared" ref="K54:O54" si="41">AVERAGE(H54:J54)</f>
        <v>1.6340362092194281E-2</v>
      </c>
      <c r="L54" s="357">
        <f t="shared" si="41"/>
        <v>1.7102910424208809E-2</v>
      </c>
      <c r="M54" s="357">
        <f t="shared" si="41"/>
        <v>1.6579905056276757E-2</v>
      </c>
      <c r="N54" s="357">
        <f t="shared" si="41"/>
        <v>1.6674392524226617E-2</v>
      </c>
      <c r="O54" s="357">
        <f t="shared" si="41"/>
        <v>1.6785736001570729E-2</v>
      </c>
    </row>
    <row r="55" spans="1:17" ht="14.25" customHeight="1">
      <c r="A55" s="453" t="s">
        <v>40</v>
      </c>
      <c r="B55" s="453" t="s">
        <v>581</v>
      </c>
      <c r="C55" s="453">
        <v>404587312609</v>
      </c>
      <c r="D55" s="453">
        <v>409038156382</v>
      </c>
      <c r="E55" s="453">
        <v>444024985823</v>
      </c>
      <c r="F55" s="453">
        <v>569005805722</v>
      </c>
      <c r="G55" s="453">
        <v>690298504185</v>
      </c>
      <c r="H55" s="453">
        <v>1324261548679</v>
      </c>
      <c r="I55" s="453">
        <v>1019444279447</v>
      </c>
      <c r="J55" s="453">
        <v>1307290336873</v>
      </c>
      <c r="K55" s="453">
        <f t="shared" ref="K55:O55" si="42">K56*K2</f>
        <v>1222620163277.7681</v>
      </c>
      <c r="L55" s="453">
        <f t="shared" si="42"/>
        <v>1564771331811.0557</v>
      </c>
      <c r="M55" s="453">
        <f t="shared" si="42"/>
        <v>2187223618968.822</v>
      </c>
      <c r="N55" s="453">
        <f t="shared" si="42"/>
        <v>2353229555527.1772</v>
      </c>
      <c r="O55" s="453">
        <f t="shared" si="42"/>
        <v>2316739435749.4604</v>
      </c>
    </row>
    <row r="56" spans="1:17" ht="14.25" customHeight="1">
      <c r="A56" s="357"/>
      <c r="B56" s="357"/>
      <c r="C56" s="357">
        <f t="shared" ref="C56:J56" si="43">C55/C2</f>
        <v>1.194005022970962E-2</v>
      </c>
      <c r="D56" s="357">
        <f t="shared" si="43"/>
        <v>8.7299045525181408E-3</v>
      </c>
      <c r="E56" s="357">
        <f t="shared" si="43"/>
        <v>7.8476786991891513E-3</v>
      </c>
      <c r="F56" s="357">
        <f t="shared" si="43"/>
        <v>8.7975297261131923E-3</v>
      </c>
      <c r="G56" s="357">
        <f t="shared" si="43"/>
        <v>7.5625082251692313E-3</v>
      </c>
      <c r="H56" s="357">
        <f t="shared" si="43"/>
        <v>8.7777707816221757E-3</v>
      </c>
      <c r="I56" s="357">
        <f t="shared" si="43"/>
        <v>7.1404250953955237E-3</v>
      </c>
      <c r="J56" s="357">
        <f t="shared" si="43"/>
        <v>1.0861931960236444E-2</v>
      </c>
      <c r="K56" s="357">
        <f t="shared" ref="K56:O56" si="44">AVERAGE(H56:J56)</f>
        <v>8.9267092790847134E-3</v>
      </c>
      <c r="L56" s="357">
        <f t="shared" si="44"/>
        <v>8.9763554449055604E-3</v>
      </c>
      <c r="M56" s="357">
        <f t="shared" si="44"/>
        <v>9.5883322280755721E-3</v>
      </c>
      <c r="N56" s="357">
        <f t="shared" si="44"/>
        <v>9.163798984021948E-3</v>
      </c>
      <c r="O56" s="357">
        <f t="shared" si="44"/>
        <v>9.2428288856676935E-3</v>
      </c>
    </row>
    <row r="57" spans="1:17" ht="14.25" customHeight="1">
      <c r="A57" s="361" t="s">
        <v>543</v>
      </c>
      <c r="B57" s="361" t="s">
        <v>582</v>
      </c>
      <c r="C57" s="361">
        <v>7684677856132</v>
      </c>
      <c r="D57" s="361">
        <v>9252124280568</v>
      </c>
      <c r="E57" s="361">
        <v>10072089132832</v>
      </c>
      <c r="F57" s="361">
        <v>9030979639207</v>
      </c>
      <c r="G57" s="361">
        <v>15292303808992</v>
      </c>
      <c r="H57" s="361">
        <v>37008443446265</v>
      </c>
      <c r="I57" s="361">
        <v>9794030627309</v>
      </c>
      <c r="J57" s="361">
        <v>7650762789307</v>
      </c>
      <c r="K57" s="456">
        <f t="shared" ref="K57:O57" si="45">K17+K19-K35+K51-K53-K55</f>
        <v>23228345662361.117</v>
      </c>
      <c r="L57" s="456">
        <f t="shared" si="45"/>
        <v>25177990599231.148</v>
      </c>
      <c r="M57" s="456">
        <f t="shared" si="45"/>
        <v>31606726338265.121</v>
      </c>
      <c r="N57" s="456">
        <f t="shared" si="45"/>
        <v>33780225480698.238</v>
      </c>
      <c r="O57" s="456">
        <f t="shared" si="45"/>
        <v>28071773339641.68</v>
      </c>
    </row>
    <row r="58" spans="1:17" s="451" customFormat="1" ht="14.25" customHeight="1">
      <c r="A58" s="447" t="s">
        <v>15</v>
      </c>
      <c r="B58" s="447" t="s">
        <v>15</v>
      </c>
      <c r="C58" s="447"/>
      <c r="D58" s="447">
        <f t="shared" ref="D58:J58" si="46">D57/C57-1</f>
        <v>0.2039703490218856</v>
      </c>
      <c r="E58" s="447">
        <f t="shared" si="46"/>
        <v>8.8624496104764861E-2</v>
      </c>
      <c r="F58" s="447">
        <f t="shared" si="46"/>
        <v>-0.10336579431483528</v>
      </c>
      <c r="G58" s="448">
        <f t="shared" si="46"/>
        <v>0.69331616501516113</v>
      </c>
      <c r="H58" s="448">
        <f t="shared" si="46"/>
        <v>1.4200698539943821</v>
      </c>
      <c r="I58" s="448">
        <f t="shared" si="46"/>
        <v>-0.73535686142732271</v>
      </c>
      <c r="J58" s="448">
        <f t="shared" si="46"/>
        <v>-0.21883409594675551</v>
      </c>
      <c r="K58" s="447"/>
      <c r="L58" s="447"/>
      <c r="M58" s="447"/>
      <c r="N58" s="447"/>
      <c r="O58" s="447"/>
      <c r="P58" s="450"/>
      <c r="Q58" s="450"/>
    </row>
    <row r="59" spans="1:17" ht="14.25" customHeight="1">
      <c r="A59" s="359"/>
      <c r="B59" s="359"/>
      <c r="C59" s="359"/>
      <c r="D59" s="359"/>
      <c r="E59" s="359"/>
      <c r="F59" s="359"/>
      <c r="G59" s="457"/>
      <c r="H59" s="457"/>
      <c r="I59" s="457"/>
      <c r="J59" s="457"/>
      <c r="K59" s="357"/>
      <c r="L59" s="357"/>
      <c r="M59" s="357"/>
      <c r="N59" s="357"/>
      <c r="O59" s="357"/>
    </row>
    <row r="60" spans="1:17" s="452" customFormat="1" ht="14.25" customHeight="1">
      <c r="A60" s="359" t="s">
        <v>41</v>
      </c>
      <c r="B60" s="359" t="s">
        <v>583</v>
      </c>
      <c r="C60" s="359">
        <v>434468369665</v>
      </c>
      <c r="D60" s="359">
        <v>432791811829</v>
      </c>
      <c r="E60" s="359">
        <v>488856588036</v>
      </c>
      <c r="F60" s="359">
        <v>657680931477</v>
      </c>
      <c r="G60" s="359">
        <v>654081334225</v>
      </c>
      <c r="H60" s="359">
        <v>796666105925</v>
      </c>
      <c r="I60" s="359">
        <v>872024724926</v>
      </c>
      <c r="J60" s="359">
        <v>771973465495</v>
      </c>
      <c r="K60" s="359">
        <f t="shared" ref="K60:O60" si="47">K2*K61</f>
        <v>854929478343.66968</v>
      </c>
      <c r="L60" s="359">
        <f t="shared" si="47"/>
        <v>1047877785353.5636</v>
      </c>
      <c r="M60" s="359">
        <f t="shared" si="47"/>
        <v>1412890044318.9077</v>
      </c>
      <c r="N60" s="359">
        <f t="shared" si="47"/>
        <v>1596066757168.2593</v>
      </c>
      <c r="O60" s="359">
        <f t="shared" si="47"/>
        <v>1545423319669.1274</v>
      </c>
    </row>
    <row r="61" spans="1:17" s="473" customFormat="1" ht="14.25" customHeight="1">
      <c r="A61" s="470"/>
      <c r="B61" s="470"/>
      <c r="C61" s="470">
        <f t="shared" ref="C61:J61" si="48">C60/C2</f>
        <v>1.2821890344429822E-2</v>
      </c>
      <c r="D61" s="470">
        <f t="shared" si="48"/>
        <v>9.2368673910462242E-3</v>
      </c>
      <c r="E61" s="470">
        <f t="shared" si="48"/>
        <v>8.6400305284119495E-3</v>
      </c>
      <c r="F61" s="470">
        <f t="shared" si="48"/>
        <v>1.0168556255107139E-2</v>
      </c>
      <c r="G61" s="470">
        <f t="shared" si="48"/>
        <v>7.1657340121956386E-3</v>
      </c>
      <c r="H61" s="470">
        <f t="shared" si="48"/>
        <v>5.280642992521312E-3</v>
      </c>
      <c r="I61" s="470">
        <f t="shared" si="48"/>
        <v>6.10786421112161E-3</v>
      </c>
      <c r="J61" s="470">
        <f t="shared" si="48"/>
        <v>6.4141247133912074E-3</v>
      </c>
      <c r="K61" s="470">
        <f t="shared" ref="K61:O61" si="49">AVERAGE(G61:J61)</f>
        <v>6.2420914823074422E-3</v>
      </c>
      <c r="L61" s="470">
        <f t="shared" si="49"/>
        <v>6.0111808498353927E-3</v>
      </c>
      <c r="M61" s="470">
        <f t="shared" si="49"/>
        <v>6.1938153141639137E-3</v>
      </c>
      <c r="N61" s="470">
        <f t="shared" si="49"/>
        <v>6.2153030899244899E-3</v>
      </c>
      <c r="O61" s="470">
        <f t="shared" si="49"/>
        <v>6.1655976840578096E-3</v>
      </c>
    </row>
    <row r="62" spans="1:17" s="452" customFormat="1" ht="14.25" customHeight="1">
      <c r="A62" s="359" t="s">
        <v>42</v>
      </c>
      <c r="B62" s="359" t="s">
        <v>584</v>
      </c>
      <c r="C62" s="359">
        <v>417322272122</v>
      </c>
      <c r="D62" s="359">
        <v>396546349700</v>
      </c>
      <c r="E62" s="359">
        <v>489872848566</v>
      </c>
      <c r="F62" s="359">
        <v>591998447298</v>
      </c>
      <c r="G62" s="359">
        <v>589418351516</v>
      </c>
      <c r="H62" s="359">
        <v>748331838000</v>
      </c>
      <c r="I62" s="359">
        <v>743114224951</v>
      </c>
      <c r="J62" s="359">
        <v>630007511629</v>
      </c>
      <c r="K62" s="359">
        <f t="shared" ref="K62:O62" si="50">K63*K2</f>
        <v>748398119413.4314</v>
      </c>
      <c r="L62" s="359">
        <f t="shared" si="50"/>
        <v>909262860616.76563</v>
      </c>
      <c r="M62" s="359">
        <f t="shared" si="50"/>
        <v>1204425393909.8062</v>
      </c>
      <c r="N62" s="359">
        <f t="shared" si="50"/>
        <v>1360686727131.5266</v>
      </c>
      <c r="O62" s="359">
        <f t="shared" si="50"/>
        <v>1332152204773.6677</v>
      </c>
    </row>
    <row r="63" spans="1:17" s="473" customFormat="1" ht="14.25" customHeight="1">
      <c r="A63" s="470"/>
      <c r="B63" s="470"/>
      <c r="C63" s="470">
        <f t="shared" ref="C63:J63" si="51">C62/C2</f>
        <v>1.2315880245925398E-2</v>
      </c>
      <c r="D63" s="470">
        <f t="shared" si="51"/>
        <v>8.4632979332556462E-3</v>
      </c>
      <c r="E63" s="470">
        <f t="shared" si="51"/>
        <v>8.6579918737613015E-3</v>
      </c>
      <c r="F63" s="470">
        <f t="shared" si="51"/>
        <v>9.1530242495654786E-3</v>
      </c>
      <c r="G63" s="470">
        <f t="shared" si="51"/>
        <v>6.4573240480481102E-3</v>
      </c>
      <c r="H63" s="470">
        <f t="shared" si="51"/>
        <v>4.9602628341104717E-3</v>
      </c>
      <c r="I63" s="470">
        <f t="shared" si="51"/>
        <v>5.2049450544406888E-3</v>
      </c>
      <c r="J63" s="470">
        <f t="shared" si="51"/>
        <v>5.2345668997451321E-3</v>
      </c>
      <c r="K63" s="470">
        <f t="shared" ref="K63:O63" si="52">AVERAGE(G63:J63)</f>
        <v>5.4642747090861013E-3</v>
      </c>
      <c r="L63" s="470">
        <f t="shared" si="52"/>
        <v>5.2160123743455987E-3</v>
      </c>
      <c r="M63" s="470">
        <f t="shared" si="52"/>
        <v>5.2799497594043805E-3</v>
      </c>
      <c r="N63" s="470">
        <f t="shared" si="52"/>
        <v>5.2987009356453025E-3</v>
      </c>
      <c r="O63" s="470">
        <f t="shared" si="52"/>
        <v>5.3147344446203455E-3</v>
      </c>
    </row>
    <row r="64" spans="1:17" ht="14.25" customHeight="1">
      <c r="A64" s="361" t="s">
        <v>43</v>
      </c>
      <c r="B64" s="361" t="s">
        <v>585</v>
      </c>
      <c r="C64" s="361">
        <v>17146097543</v>
      </c>
      <c r="D64" s="361">
        <v>36245462129</v>
      </c>
      <c r="E64" s="361">
        <v>-1016260530</v>
      </c>
      <c r="F64" s="361">
        <v>65682484179</v>
      </c>
      <c r="G64" s="361">
        <v>64662982709</v>
      </c>
      <c r="H64" s="361">
        <v>48334267925</v>
      </c>
      <c r="I64" s="361">
        <v>128910499975</v>
      </c>
      <c r="J64" s="361">
        <v>141965953866</v>
      </c>
      <c r="K64" s="361">
        <f t="shared" ref="K64:O64" si="53">K60-K62</f>
        <v>106531358930.23828</v>
      </c>
      <c r="L64" s="361">
        <f t="shared" si="53"/>
        <v>138614924736.79797</v>
      </c>
      <c r="M64" s="361">
        <f t="shared" si="53"/>
        <v>208464650409.10156</v>
      </c>
      <c r="N64" s="361">
        <f t="shared" si="53"/>
        <v>235380030036.73267</v>
      </c>
      <c r="O64" s="361">
        <f t="shared" si="53"/>
        <v>213271114895.45972</v>
      </c>
    </row>
    <row r="65" spans="1:27" ht="14.25" customHeight="1">
      <c r="A65" s="359"/>
      <c r="B65" s="359"/>
      <c r="C65" s="359"/>
      <c r="D65" s="359"/>
      <c r="E65" s="359"/>
      <c r="F65" s="359"/>
      <c r="G65" s="359"/>
      <c r="H65" s="359"/>
      <c r="I65" s="359"/>
      <c r="J65" s="359"/>
      <c r="K65" s="359"/>
      <c r="L65" s="359"/>
      <c r="M65" s="359"/>
      <c r="N65" s="359"/>
      <c r="O65" s="359"/>
    </row>
    <row r="66" spans="1:27" ht="14.25" customHeight="1">
      <c r="A66" s="361" t="s">
        <v>44</v>
      </c>
      <c r="B66" s="361" t="s">
        <v>586</v>
      </c>
      <c r="C66" s="361">
        <v>7701823953675</v>
      </c>
      <c r="D66" s="361">
        <v>9288369742697</v>
      </c>
      <c r="E66" s="361">
        <v>10071072872302</v>
      </c>
      <c r="F66" s="361">
        <v>9096662123386</v>
      </c>
      <c r="G66" s="361">
        <v>15356966791701</v>
      </c>
      <c r="H66" s="361">
        <v>37056777714190</v>
      </c>
      <c r="I66" s="361">
        <v>9922941127284</v>
      </c>
      <c r="J66" s="361">
        <v>7792728743173</v>
      </c>
      <c r="K66" s="361">
        <f t="shared" ref="K66:O66" si="54">K57+K64</f>
        <v>23334877021291.355</v>
      </c>
      <c r="L66" s="361">
        <f t="shared" si="54"/>
        <v>25316605523967.945</v>
      </c>
      <c r="M66" s="361">
        <f t="shared" si="54"/>
        <v>31815190988674.223</v>
      </c>
      <c r="N66" s="361">
        <f t="shared" si="54"/>
        <v>34015605510734.973</v>
      </c>
      <c r="O66" s="361">
        <f t="shared" si="54"/>
        <v>28285044454537.141</v>
      </c>
    </row>
    <row r="67" spans="1:27" ht="14.25" customHeight="1">
      <c r="A67" s="359"/>
      <c r="B67" s="359"/>
      <c r="C67" s="359"/>
      <c r="D67" s="359"/>
      <c r="E67" s="359"/>
      <c r="F67" s="359"/>
      <c r="G67" s="359"/>
      <c r="H67" s="359"/>
      <c r="I67" s="359"/>
      <c r="J67" s="359"/>
      <c r="K67" s="359"/>
      <c r="L67" s="359"/>
      <c r="M67" s="359"/>
      <c r="N67" s="359"/>
      <c r="O67" s="359"/>
    </row>
    <row r="68" spans="1:27" s="452" customFormat="1" ht="14.25" customHeight="1">
      <c r="A68" s="359" t="s">
        <v>45</v>
      </c>
      <c r="B68" s="359" t="s">
        <v>736</v>
      </c>
      <c r="C68" s="359">
        <v>1138489987447</v>
      </c>
      <c r="D68" s="359">
        <v>1317628785035</v>
      </c>
      <c r="E68" s="359">
        <v>1506320087551</v>
      </c>
      <c r="F68" s="359">
        <v>1603307926680</v>
      </c>
      <c r="G68" s="359">
        <v>1784567843866</v>
      </c>
      <c r="H68" s="359">
        <v>2855306347167</v>
      </c>
      <c r="I68" s="359">
        <v>1001020240086</v>
      </c>
      <c r="J68" s="359">
        <v>1073551888059</v>
      </c>
      <c r="K68" s="359">
        <f t="shared" ref="K68:O68" si="55">K66*K69</f>
        <v>3033534012767.8765</v>
      </c>
      <c r="L68" s="359">
        <f t="shared" si="55"/>
        <v>2784826607636.4741</v>
      </c>
      <c r="M68" s="359">
        <f t="shared" si="55"/>
        <v>2863367188980.6802</v>
      </c>
      <c r="N68" s="359">
        <f t="shared" si="55"/>
        <v>4422028716395.5469</v>
      </c>
      <c r="O68" s="359">
        <f t="shared" si="55"/>
        <v>3677055779089.8286</v>
      </c>
    </row>
    <row r="69" spans="1:27" s="473" customFormat="1" ht="14.25" customHeight="1">
      <c r="A69" s="470"/>
      <c r="B69" s="470"/>
      <c r="C69" s="470">
        <f t="shared" ref="C69:J69" si="56">C68/C66</f>
        <v>0.14782082715663197</v>
      </c>
      <c r="D69" s="470">
        <f t="shared" si="56"/>
        <v>0.14185791710875725</v>
      </c>
      <c r="E69" s="470">
        <f t="shared" si="56"/>
        <v>0.14956897906019145</v>
      </c>
      <c r="F69" s="470">
        <f t="shared" si="56"/>
        <v>0.17625233354091088</v>
      </c>
      <c r="G69" s="470">
        <f t="shared" si="56"/>
        <v>0.11620575000724698</v>
      </c>
      <c r="H69" s="470">
        <f t="shared" si="56"/>
        <v>7.7052202681768239E-2</v>
      </c>
      <c r="I69" s="470">
        <f t="shared" si="56"/>
        <v>0.1008793892098792</v>
      </c>
      <c r="J69" s="470">
        <f t="shared" si="56"/>
        <v>0.13776328208517585</v>
      </c>
      <c r="K69" s="470">
        <v>0.13</v>
      </c>
      <c r="L69" s="472">
        <v>0.11</v>
      </c>
      <c r="M69" s="472">
        <v>0.09</v>
      </c>
      <c r="N69" s="470">
        <v>0.13</v>
      </c>
      <c r="O69" s="470">
        <v>0.13</v>
      </c>
    </row>
    <row r="70" spans="1:27" s="452" customFormat="1" ht="14.25" customHeight="1">
      <c r="A70" s="359" t="s">
        <v>46</v>
      </c>
      <c r="B70" s="359" t="s">
        <v>735</v>
      </c>
      <c r="C70" s="359">
        <v>-42868760701</v>
      </c>
      <c r="D70" s="359">
        <v>-44015628386</v>
      </c>
      <c r="E70" s="359">
        <v>-35797921476</v>
      </c>
      <c r="F70" s="359">
        <v>-84894039523</v>
      </c>
      <c r="G70" s="359">
        <v>66234890928</v>
      </c>
      <c r="H70" s="359">
        <v>-319483564275</v>
      </c>
      <c r="I70" s="359">
        <v>477491832682</v>
      </c>
      <c r="J70" s="359">
        <v>-81211459967</v>
      </c>
      <c r="K70" s="359">
        <f t="shared" ref="K70:O70" si="57">K71*K66</f>
        <v>194788515598.92676</v>
      </c>
      <c r="L70" s="359">
        <f t="shared" si="57"/>
        <v>236866058961.01913</v>
      </c>
      <c r="M70" s="359">
        <f t="shared" si="57"/>
        <v>440658138513.30206</v>
      </c>
      <c r="N70" s="359">
        <f t="shared" si="57"/>
        <v>179711230092.05969</v>
      </c>
      <c r="O70" s="359">
        <f t="shared" si="57"/>
        <v>260487143864.78455</v>
      </c>
    </row>
    <row r="71" spans="1:27" s="473" customFormat="1" ht="14.25" customHeight="1">
      <c r="A71" s="470"/>
      <c r="B71" s="470"/>
      <c r="C71" s="470">
        <f t="shared" ref="C71:J71" si="58">C70/C66</f>
        <v>-5.566053049102058E-3</v>
      </c>
      <c r="D71" s="470">
        <f t="shared" si="58"/>
        <v>-4.7387894329473023E-3</v>
      </c>
      <c r="E71" s="470">
        <f t="shared" si="58"/>
        <v>-3.5545290884006356E-3</v>
      </c>
      <c r="F71" s="470">
        <f t="shared" si="58"/>
        <v>-9.3324384671550666E-3</v>
      </c>
      <c r="G71" s="470">
        <f t="shared" si="58"/>
        <v>4.3130190894072745E-3</v>
      </c>
      <c r="H71" s="470">
        <f t="shared" si="58"/>
        <v>-8.6214610115077934E-3</v>
      </c>
      <c r="I71" s="470">
        <f t="shared" si="58"/>
        <v>4.8119990490429712E-2</v>
      </c>
      <c r="J71" s="470">
        <f t="shared" si="58"/>
        <v>-1.0421440633121892E-2</v>
      </c>
      <c r="K71" s="470">
        <f t="shared" ref="K71:O71" si="59">AVERAGE(G71:J71)</f>
        <v>8.3475269838018257E-3</v>
      </c>
      <c r="L71" s="470">
        <f t="shared" si="59"/>
        <v>9.3561539574004635E-3</v>
      </c>
      <c r="M71" s="470">
        <f t="shared" si="59"/>
        <v>1.3850557699627527E-2</v>
      </c>
      <c r="N71" s="470">
        <f t="shared" si="59"/>
        <v>5.2831995019269815E-3</v>
      </c>
      <c r="O71" s="470">
        <f t="shared" si="59"/>
        <v>9.2093595356891999E-3</v>
      </c>
    </row>
    <row r="72" spans="1:27" ht="14.25" customHeight="1">
      <c r="A72" s="361" t="s">
        <v>47</v>
      </c>
      <c r="B72" s="361" t="s">
        <v>587</v>
      </c>
      <c r="C72" s="361">
        <v>6606202726929</v>
      </c>
      <c r="D72" s="361">
        <v>8014756586048</v>
      </c>
      <c r="E72" s="361">
        <v>8600550706227</v>
      </c>
      <c r="F72" s="361">
        <v>7578248236229</v>
      </c>
      <c r="G72" s="361">
        <v>13506164056907</v>
      </c>
      <c r="H72" s="361">
        <v>34520954931298</v>
      </c>
      <c r="I72" s="361">
        <v>8444429054516</v>
      </c>
      <c r="J72" s="361">
        <v>6800388315081</v>
      </c>
      <c r="K72" s="361">
        <f>K66-K68</f>
        <v>20301343008523.48</v>
      </c>
      <c r="L72" s="361">
        <f t="shared" ref="L72:O72" si="60">L66-L68</f>
        <v>22531778916331.473</v>
      </c>
      <c r="M72" s="361">
        <f t="shared" si="60"/>
        <v>28951823799693.543</v>
      </c>
      <c r="N72" s="361">
        <f t="shared" si="60"/>
        <v>29593576794339.426</v>
      </c>
      <c r="O72" s="361">
        <f t="shared" si="60"/>
        <v>24607988675447.313</v>
      </c>
      <c r="R72" s="452"/>
      <c r="S72" s="452"/>
      <c r="T72" s="452"/>
      <c r="U72" s="452"/>
      <c r="V72" s="452"/>
      <c r="W72" s="452"/>
      <c r="X72" s="452"/>
      <c r="Y72" s="452"/>
      <c r="Z72" s="452"/>
      <c r="AA72" s="452"/>
    </row>
    <row r="73" spans="1:27" s="451" customFormat="1" ht="14.25" customHeight="1">
      <c r="A73" s="447" t="s">
        <v>15</v>
      </c>
      <c r="B73" s="447" t="s">
        <v>15</v>
      </c>
      <c r="C73" s="447"/>
      <c r="D73" s="447">
        <f t="shared" ref="D73:J73" si="61">D72/C72-1</f>
        <v>0.21321686865243827</v>
      </c>
      <c r="E73" s="447">
        <f t="shared" si="61"/>
        <v>7.3089446184646967E-2</v>
      </c>
      <c r="F73" s="448">
        <f t="shared" si="61"/>
        <v>-0.11886476865461992</v>
      </c>
      <c r="G73" s="448">
        <f t="shared" si="61"/>
        <v>0.78222771752694409</v>
      </c>
      <c r="H73" s="448">
        <f t="shared" si="61"/>
        <v>1.5559407383063824</v>
      </c>
      <c r="I73" s="448">
        <f t="shared" si="61"/>
        <v>-0.75538251849284843</v>
      </c>
      <c r="J73" s="448">
        <f t="shared" si="61"/>
        <v>-0.19468938975285521</v>
      </c>
      <c r="K73" s="447"/>
      <c r="L73" s="447"/>
      <c r="M73" s="447"/>
      <c r="N73" s="447"/>
      <c r="O73" s="447"/>
      <c r="P73" s="450"/>
      <c r="Q73" s="450"/>
    </row>
    <row r="74" spans="1:27" s="451" customFormat="1" ht="14.25" customHeight="1">
      <c r="A74" s="464" t="s">
        <v>52</v>
      </c>
      <c r="B74" s="464" t="s">
        <v>588</v>
      </c>
      <c r="C74" s="464">
        <f t="shared" ref="C74:G74" si="62">C72/C12</f>
        <v>0.1984845420611189</v>
      </c>
      <c r="D74" s="464">
        <f t="shared" si="62"/>
        <v>0.17362354596997673</v>
      </c>
      <c r="E74" s="464">
        <f t="shared" si="62"/>
        <v>0.15403109287004391</v>
      </c>
      <c r="F74" s="464">
        <f t="shared" si="62"/>
        <v>0.11904592194539439</v>
      </c>
      <c r="G74" s="464">
        <f t="shared" si="62"/>
        <v>0.14987115346284027</v>
      </c>
      <c r="H74" s="464">
        <f t="shared" ref="H74:J74" si="63">H72/H2</f>
        <v>0.22881962392694574</v>
      </c>
      <c r="I74" s="464">
        <f t="shared" si="63"/>
        <v>5.9146747255143059E-2</v>
      </c>
      <c r="J74" s="464">
        <f t="shared" si="63"/>
        <v>5.6502639924869737E-2</v>
      </c>
      <c r="K74" s="464">
        <f>K72/K2</f>
        <v>0.14822607417680519</v>
      </c>
      <c r="L74" s="464">
        <f>L72/L2</f>
        <v>0.12925419340660707</v>
      </c>
      <c r="M74" s="464">
        <f>M72/M2</f>
        <v>0.1269187580056596</v>
      </c>
      <c r="N74" s="464">
        <f>N72/N2</f>
        <v>0.11524145118974186</v>
      </c>
      <c r="O74" s="464">
        <f>O72/O2</f>
        <v>9.8175662328650756E-2</v>
      </c>
      <c r="P74" s="450"/>
      <c r="Q74" s="450"/>
    </row>
    <row r="75" spans="1:27" s="451" customFormat="1" ht="14.25" customHeight="1">
      <c r="A75" s="447"/>
      <c r="B75" s="447"/>
      <c r="C75" s="447"/>
      <c r="D75" s="447"/>
      <c r="E75" s="447"/>
      <c r="F75" s="447"/>
      <c r="G75" s="447"/>
      <c r="H75" s="447"/>
      <c r="I75" s="471">
        <f t="shared" ref="I75:J75" si="64">I72/6800000000</f>
        <v>1241.827802134706</v>
      </c>
      <c r="J75" s="471">
        <f t="shared" si="64"/>
        <v>1000.0571051589706</v>
      </c>
      <c r="K75" s="471">
        <f>K72/6800000000</f>
        <v>2985.4916189005116</v>
      </c>
      <c r="L75" s="471">
        <f t="shared" ref="L75:O75" si="65">L72/6800000000</f>
        <v>3313.4968994605106</v>
      </c>
      <c r="M75" s="471">
        <f t="shared" si="65"/>
        <v>4257.6211470137559</v>
      </c>
      <c r="N75" s="471">
        <f t="shared" si="65"/>
        <v>4351.9965874028567</v>
      </c>
      <c r="O75" s="471">
        <f t="shared" si="65"/>
        <v>3618.8218640363693</v>
      </c>
      <c r="P75" s="450"/>
      <c r="Q75" s="450"/>
    </row>
    <row r="76" spans="1:27" ht="14.25" customHeight="1">
      <c r="A76" s="357" t="s">
        <v>48</v>
      </c>
      <c r="B76" s="357" t="s">
        <v>589</v>
      </c>
      <c r="C76" s="357">
        <v>6602102000272</v>
      </c>
      <c r="D76" s="357">
        <v>8006672113847</v>
      </c>
      <c r="E76" s="357">
        <v>8573014210414</v>
      </c>
      <c r="F76" s="357">
        <v>7527442867874</v>
      </c>
      <c r="G76" s="357">
        <v>13450300052812</v>
      </c>
      <c r="H76" s="357">
        <v>34478143197460</v>
      </c>
      <c r="I76" s="357">
        <v>8483510554031</v>
      </c>
      <c r="J76" s="357">
        <v>6835064334356</v>
      </c>
      <c r="K76" s="357"/>
      <c r="L76" s="357"/>
      <c r="M76" s="357"/>
      <c r="N76" s="357"/>
      <c r="O76" s="357"/>
    </row>
    <row r="77" spans="1:27" ht="14.25" customHeight="1">
      <c r="A77" s="357"/>
      <c r="B77" s="357"/>
      <c r="C77" s="357">
        <f t="shared" ref="C77:J77" si="66">C76/C72</f>
        <v>0.99937926115402365</v>
      </c>
      <c r="D77" s="357">
        <f t="shared" si="66"/>
        <v>0.99899130159298</v>
      </c>
      <c r="E77" s="357">
        <f t="shared" si="66"/>
        <v>0.99679828690585326</v>
      </c>
      <c r="F77" s="357">
        <f t="shared" si="66"/>
        <v>0.99329589546669672</v>
      </c>
      <c r="G77" s="357">
        <f t="shared" si="66"/>
        <v>0.99586381419182957</v>
      </c>
      <c r="H77" s="357">
        <f t="shared" si="66"/>
        <v>0.99875983344252206</v>
      </c>
      <c r="I77" s="357">
        <f t="shared" si="66"/>
        <v>1.0046280807456247</v>
      </c>
      <c r="J77" s="357">
        <f t="shared" si="66"/>
        <v>1.0050991234130116</v>
      </c>
      <c r="K77" s="357"/>
      <c r="L77" s="357"/>
      <c r="M77" s="357"/>
      <c r="N77" s="357"/>
      <c r="O77" s="357"/>
    </row>
    <row r="78" spans="1:27" ht="14.25" customHeight="1">
      <c r="A78" s="357" t="s">
        <v>49</v>
      </c>
      <c r="B78" s="357" t="s">
        <v>590</v>
      </c>
      <c r="C78" s="357">
        <v>4100726657</v>
      </c>
      <c r="D78" s="357">
        <v>8084472201</v>
      </c>
      <c r="E78" s="357">
        <v>27536495813</v>
      </c>
      <c r="F78" s="357">
        <v>50805368355</v>
      </c>
      <c r="G78" s="357">
        <v>55864004095</v>
      </c>
      <c r="H78" s="357">
        <v>42811733838</v>
      </c>
      <c r="I78" s="357">
        <v>-39081499515</v>
      </c>
      <c r="J78" s="357">
        <v>-34676019275</v>
      </c>
      <c r="K78" s="357"/>
      <c r="L78" s="357"/>
      <c r="M78" s="357"/>
      <c r="N78" s="357"/>
      <c r="O78" s="357"/>
    </row>
    <row r="79" spans="1:27" ht="14.25" customHeight="1">
      <c r="A79" s="357" t="s">
        <v>50</v>
      </c>
      <c r="B79" s="357" t="s">
        <v>50</v>
      </c>
      <c r="C79" s="357">
        <v>7162</v>
      </c>
      <c r="D79" s="357">
        <v>5895</v>
      </c>
      <c r="E79" s="357">
        <v>4037</v>
      </c>
      <c r="F79" s="357">
        <v>2726</v>
      </c>
      <c r="G79" s="357">
        <v>3846</v>
      </c>
      <c r="H79" s="357">
        <v>7166</v>
      </c>
      <c r="I79" s="357">
        <v>1452</v>
      </c>
      <c r="J79" s="357">
        <v>1117</v>
      </c>
      <c r="K79" s="357"/>
      <c r="L79" s="357"/>
      <c r="M79" s="357"/>
      <c r="N79" s="357"/>
      <c r="O79" s="357"/>
    </row>
    <row r="80" spans="1:27" ht="14.25" customHeight="1">
      <c r="A80" s="357" t="s">
        <v>51</v>
      </c>
      <c r="B80" s="357" t="s">
        <v>591</v>
      </c>
      <c r="C80" s="357"/>
      <c r="D80" s="357"/>
      <c r="E80" s="357"/>
      <c r="F80" s="357"/>
      <c r="G80" s="357"/>
      <c r="H80" s="357"/>
      <c r="I80" s="357"/>
      <c r="J80" s="357"/>
      <c r="K80" s="357"/>
      <c r="L80" s="357"/>
      <c r="M80" s="357"/>
      <c r="N80" s="357"/>
      <c r="O80" s="357"/>
    </row>
    <row r="82" spans="1:17" ht="14.25" customHeight="1"/>
    <row r="83" spans="1:17" ht="14.25" customHeight="1">
      <c r="A83" s="358" t="s">
        <v>53</v>
      </c>
      <c r="B83" s="358" t="s">
        <v>592</v>
      </c>
      <c r="C83" s="358">
        <v>10247175680697</v>
      </c>
      <c r="D83" s="358">
        <v>11748873281675</v>
      </c>
      <c r="E83" s="358">
        <v>14115139048908</v>
      </c>
      <c r="F83" s="358">
        <v>19411922748095</v>
      </c>
      <c r="G83" s="358">
        <v>26286822229202</v>
      </c>
      <c r="H83" s="358">
        <v>42134493932210</v>
      </c>
      <c r="I83" s="358">
        <v>34491111096123</v>
      </c>
      <c r="J83" s="358">
        <v>34504487406261</v>
      </c>
    </row>
    <row r="84" spans="1:17" s="451" customFormat="1" ht="14.25" customHeight="1">
      <c r="A84" s="451" t="s">
        <v>546</v>
      </c>
      <c r="B84" s="451" t="s">
        <v>546</v>
      </c>
      <c r="C84" s="451">
        <f t="shared" ref="C84:J84" si="67">C83/C2</f>
        <v>0.30241134243975637</v>
      </c>
      <c r="D84" s="451">
        <f t="shared" si="67"/>
        <v>0.2507505491807141</v>
      </c>
      <c r="E84" s="451">
        <f t="shared" si="67"/>
        <v>0.24947036672923759</v>
      </c>
      <c r="F84" s="451">
        <f t="shared" si="67"/>
        <v>0.30013220550655578</v>
      </c>
      <c r="G84" s="451">
        <f t="shared" si="67"/>
        <v>0.28798310892562018</v>
      </c>
      <c r="H84" s="451">
        <f t="shared" si="67"/>
        <v>0.27928541012576091</v>
      </c>
      <c r="I84" s="451">
        <f t="shared" si="67"/>
        <v>0.24158377284968188</v>
      </c>
      <c r="J84" s="451">
        <f t="shared" si="67"/>
        <v>0.28668872090504233</v>
      </c>
      <c r="P84" s="450"/>
      <c r="Q84" s="450"/>
    </row>
    <row r="85" spans="1:17" ht="14.25" customHeight="1"/>
    <row r="86" spans="1:17" ht="14.25" customHeight="1">
      <c r="A86" s="358" t="s">
        <v>54</v>
      </c>
      <c r="B86" s="358" t="s">
        <v>593</v>
      </c>
      <c r="G86" s="358">
        <v>31553932128138</v>
      </c>
      <c r="H86" s="358">
        <v>37547008389956</v>
      </c>
      <c r="I86" s="358">
        <v>39103657252968</v>
      </c>
      <c r="J86" s="358">
        <v>47305924871207</v>
      </c>
      <c r="K86" s="358">
        <f>COGS!E2*K87/1000000</f>
        <v>38708423.39444375</v>
      </c>
      <c r="L86" s="358">
        <f>COGS!F2*L87/1000000</f>
        <v>45431252.833306812</v>
      </c>
      <c r="M86" s="358">
        <f>COGS!G2*M87/1000000</f>
        <v>59434921.520957597</v>
      </c>
      <c r="N86" s="358">
        <f>COGS!H2*N87/1000000</f>
        <v>67683590.515009299</v>
      </c>
      <c r="O86" s="358">
        <f>COGS!I2*O87/1000000</f>
        <v>68058436.591758251</v>
      </c>
    </row>
    <row r="87" spans="1:17" ht="14.25" customHeight="1">
      <c r="H87" s="358">
        <f>H86/COGS!B10</f>
        <v>0.40679720256046492</v>
      </c>
      <c r="I87" s="358">
        <f>I86/COGS!C10</f>
        <v>0.39636592440085694</v>
      </c>
      <c r="J87" s="358">
        <f>J86/COGS!D10</f>
        <v>0.57317261431282396</v>
      </c>
      <c r="K87" s="358">
        <f>AVERAGE(H87:J87)</f>
        <v>0.45877858042471525</v>
      </c>
      <c r="L87" s="358">
        <f>AVERAGE(H87:I87,K87)</f>
        <v>0.42064723579534569</v>
      </c>
      <c r="M87" s="358">
        <f>AVERAGE(L87,H87:I87)</f>
        <v>0.4079367875855559</v>
      </c>
      <c r="N87" s="358">
        <f>AVERAGE(M87,H87:I87)</f>
        <v>0.40369997151562592</v>
      </c>
      <c r="O87" s="358">
        <f>AVERAGE(L87:N87)</f>
        <v>0.41076133163217587</v>
      </c>
    </row>
    <row r="88" spans="1:17" ht="14.25" customHeight="1">
      <c r="I88" s="358">
        <v>7645013147503</v>
      </c>
      <c r="J88" s="358">
        <v>7675958309429</v>
      </c>
      <c r="K88" s="358">
        <f t="shared" ref="K88:O88" si="68">K86*$J$90</f>
        <v>1354794.8188055314</v>
      </c>
      <c r="L88" s="358">
        <f t="shared" si="68"/>
        <v>1590093.8491657386</v>
      </c>
      <c r="M88" s="358">
        <f t="shared" si="68"/>
        <v>2080222.2532335161</v>
      </c>
      <c r="N88" s="358">
        <f t="shared" si="68"/>
        <v>2368925.6680253255</v>
      </c>
      <c r="O88" s="358">
        <f t="shared" si="68"/>
        <v>2382045.2807115391</v>
      </c>
    </row>
    <row r="89" spans="1:17" ht="14.25" customHeight="1">
      <c r="J89" s="358">
        <f>J88/J86</f>
        <v>0.16226209148911519</v>
      </c>
    </row>
    <row r="90" spans="1:17" ht="14.25" customHeight="1">
      <c r="J90" s="358">
        <v>3.5000000000000003E-2</v>
      </c>
    </row>
    <row r="91" spans="1:17" ht="14.25" customHeight="1">
      <c r="A91" s="358" t="s">
        <v>55</v>
      </c>
      <c r="B91" s="358" t="s">
        <v>594</v>
      </c>
      <c r="K91" s="358">
        <f>'Debt waterfall'!F29</f>
        <v>1340365650903.2747</v>
      </c>
      <c r="L91" s="358">
        <f>'Debt waterfall'!G29</f>
        <v>1056470387273.8483</v>
      </c>
      <c r="M91" s="358">
        <f>'Debt waterfall'!H29</f>
        <v>800552438010.87952</v>
      </c>
      <c r="N91" s="358">
        <f>'Debt waterfall'!I29</f>
        <v>573786287025.00244</v>
      </c>
      <c r="O91" s="358">
        <f>'Debt waterfall'!J29</f>
        <v>447682385676.16412</v>
      </c>
    </row>
    <row r="92" spans="1:17" ht="14.25" customHeight="1"/>
    <row r="93" spans="1:17" ht="14.25" customHeight="1">
      <c r="K93" s="358">
        <f t="shared" ref="K93:O93" si="69">SUM(K88,K91)</f>
        <v>1340367005698.0935</v>
      </c>
      <c r="L93" s="358">
        <f t="shared" si="69"/>
        <v>1056471977367.6974</v>
      </c>
      <c r="M93" s="358">
        <f t="shared" si="69"/>
        <v>800554518233.13269</v>
      </c>
      <c r="N93" s="358">
        <f t="shared" si="69"/>
        <v>573788655950.67041</v>
      </c>
      <c r="O93" s="358">
        <f t="shared" si="69"/>
        <v>447684767721.44482</v>
      </c>
    </row>
    <row r="94" spans="1:17" ht="14.25" customHeight="1"/>
    <row r="95" spans="1:17" ht="14.25" customHeight="1" thickBot="1"/>
    <row r="96" spans="1:17" ht="14.25" customHeight="1" thickBot="1">
      <c r="A96" s="477" t="s">
        <v>817</v>
      </c>
      <c r="C96" s="478" t="s">
        <v>830</v>
      </c>
      <c r="D96" s="478" t="s">
        <v>831</v>
      </c>
      <c r="E96" s="478" t="s">
        <v>832</v>
      </c>
      <c r="F96" s="479" t="s">
        <v>833</v>
      </c>
      <c r="G96" s="479" t="s">
        <v>834</v>
      </c>
      <c r="H96" s="479" t="s">
        <v>835</v>
      </c>
      <c r="I96" s="479" t="s">
        <v>836</v>
      </c>
      <c r="J96" s="479" t="s">
        <v>837</v>
      </c>
      <c r="K96" s="480" t="s">
        <v>542</v>
      </c>
      <c r="L96" s="480" t="s">
        <v>559</v>
      </c>
      <c r="M96" s="480" t="s">
        <v>560</v>
      </c>
      <c r="N96" s="480" t="s">
        <v>561</v>
      </c>
      <c r="O96" s="480" t="s">
        <v>562</v>
      </c>
    </row>
    <row r="97" spans="1:18" ht="14.25" customHeight="1" thickBot="1">
      <c r="A97" s="481" t="s">
        <v>838</v>
      </c>
      <c r="C97" s="491">
        <f>C66+C36</f>
        <v>7701823953675</v>
      </c>
      <c r="D97" s="491">
        <f t="shared" ref="D97:O97" si="70">D66+D36</f>
        <v>9288369742697</v>
      </c>
      <c r="E97" s="491">
        <f t="shared" si="70"/>
        <v>10610934115942</v>
      </c>
      <c r="F97" s="491">
        <f t="shared" si="70"/>
        <v>10033372341745</v>
      </c>
      <c r="G97" s="491">
        <f t="shared" si="70"/>
        <v>17548647715118</v>
      </c>
      <c r="H97" s="491">
        <f t="shared" si="70"/>
        <v>39582600972427</v>
      </c>
      <c r="I97" s="491">
        <f t="shared" si="70"/>
        <v>13006579259102</v>
      </c>
      <c r="J97" s="491">
        <f t="shared" si="70"/>
        <v>11377806427054</v>
      </c>
      <c r="K97" s="491">
        <f t="shared" si="70"/>
        <v>24943902567819.465</v>
      </c>
      <c r="L97" s="491">
        <f t="shared" si="70"/>
        <v>26410584804449.59</v>
      </c>
      <c r="M97" s="491">
        <f t="shared" si="70"/>
        <v>32620982080917.563</v>
      </c>
      <c r="N97" s="491">
        <f t="shared" si="70"/>
        <v>34590125529257.453</v>
      </c>
      <c r="O97" s="491">
        <f t="shared" si="70"/>
        <v>28732831657680.203</v>
      </c>
    </row>
    <row r="98" spans="1:18" ht="14.25" customHeight="1" thickBot="1">
      <c r="A98" s="481" t="s">
        <v>839</v>
      </c>
      <c r="C98" s="492">
        <f>-C97*(C69+C71)</f>
        <v>-1095621226746</v>
      </c>
      <c r="D98" s="492">
        <f t="shared" ref="D98:O98" si="71">-D97*(D69+D71)</f>
        <v>-1273613156649</v>
      </c>
      <c r="E98" s="492">
        <f t="shared" si="71"/>
        <v>-1549349708626.1814</v>
      </c>
      <c r="F98" s="492">
        <f t="shared" si="71"/>
        <v>-1674769458519.999</v>
      </c>
      <c r="G98" s="492">
        <f t="shared" si="71"/>
        <v>-2114941421936.8354</v>
      </c>
      <c r="H98" s="492">
        <f t="shared" si="71"/>
        <v>-2708666741781.1519</v>
      </c>
      <c r="I98" s="492">
        <f t="shared" si="71"/>
        <v>-1937972241629.1013</v>
      </c>
      <c r="J98" s="492">
        <f t="shared" si="71"/>
        <v>-1448870822106.071</v>
      </c>
      <c r="K98" s="492">
        <f t="shared" si="71"/>
        <v>-3450927233582.7271</v>
      </c>
      <c r="L98" s="492">
        <f t="shared" si="71"/>
        <v>-3152265826024.8662</v>
      </c>
      <c r="M98" s="492">
        <f t="shared" si="71"/>
        <v>-3387707181812.8447</v>
      </c>
      <c r="N98" s="492">
        <f t="shared" si="71"/>
        <v>-4679462852771.2344</v>
      </c>
      <c r="O98" s="492">
        <f t="shared" si="71"/>
        <v>-3999879092712.436</v>
      </c>
    </row>
    <row r="99" spans="1:18" ht="14.25" customHeight="1" thickBot="1">
      <c r="A99" s="481" t="s">
        <v>840</v>
      </c>
      <c r="C99" s="482"/>
      <c r="D99" s="482"/>
      <c r="E99" s="482"/>
      <c r="F99" s="486"/>
      <c r="G99" s="482"/>
      <c r="H99" s="483">
        <f>Capex!B3</f>
        <v>6076516295417</v>
      </c>
      <c r="I99" s="483">
        <f>Capex!C3</f>
        <v>6759462100582</v>
      </c>
      <c r="J99" s="483">
        <f>Capex!D3</f>
        <v>6761933539397</v>
      </c>
      <c r="K99" s="484">
        <f>Capex!E3</f>
        <v>6999864228155.917</v>
      </c>
      <c r="L99" s="484">
        <f>Capex!F3</f>
        <v>9834263864010.6113</v>
      </c>
      <c r="M99" s="484">
        <f>Capex!G3</f>
        <v>10788663499865.307</v>
      </c>
      <c r="N99" s="484">
        <f>Capex!H3</f>
        <v>11743063135720.002</v>
      </c>
      <c r="O99" s="484">
        <f>Capex!I3</f>
        <v>12697462771574.697</v>
      </c>
    </row>
    <row r="100" spans="1:18" ht="14.25" customHeight="1" thickBot="1">
      <c r="A100" s="481" t="s">
        <v>841</v>
      </c>
      <c r="C100" s="482"/>
      <c r="D100" s="482"/>
      <c r="E100" s="482"/>
      <c r="F100" s="487"/>
      <c r="G100" s="487"/>
      <c r="H100" s="487"/>
      <c r="I100" s="487">
        <f>-Capex!C5</f>
        <v>-8311535974443</v>
      </c>
      <c r="J100" s="487">
        <f>-Capex!D5</f>
        <v>-7927388619403</v>
      </c>
      <c r="K100" s="485">
        <f>-Capex!E5</f>
        <v>-18119462296923</v>
      </c>
      <c r="L100" s="485">
        <f>-Capex!F5</f>
        <v>-35452795630256.328</v>
      </c>
      <c r="M100" s="485">
        <f>-Capex!G5</f>
        <v>-11452795630256.334</v>
      </c>
      <c r="N100" s="485">
        <f>-Capex!H5</f>
        <v>-11452795630256.334</v>
      </c>
      <c r="O100" s="485">
        <f>-Capex!I5</f>
        <v>-11452795630256.334</v>
      </c>
    </row>
    <row r="101" spans="1:18" s="458" customFormat="1" ht="14.25" customHeight="1" thickBot="1">
      <c r="A101" s="481" t="s">
        <v>842</v>
      </c>
      <c r="C101" s="482"/>
      <c r="D101" s="492">
        <f>('BS HPG'!D2-'BS HPG'!D80)-('BS HPG'!C2-'BS HPG'!C80)</f>
        <v>8350571258168</v>
      </c>
      <c r="E101" s="492">
        <f>('BS HPG'!E2-'BS HPG'!E80)-('BS HPG'!D2-'BS HPG'!D80)</f>
        <v>-11875762036830</v>
      </c>
      <c r="F101" s="492">
        <f>('BS HPG'!F2-'BS HPG'!F80)-('BS HPG'!E2-'BS HPG'!E80)</f>
        <v>780163026435</v>
      </c>
      <c r="G101" s="492">
        <f>('BS HPG'!G2-'BS HPG'!G80)-('BS HPG'!F2-'BS HPG'!F80)</f>
        <v>1319302027595</v>
      </c>
      <c r="H101" s="492">
        <f>('BS HPG'!H2-'BS HPG'!H80)-('BS HPG'!G2-'BS HPG'!G80)</f>
        <v>15923503022351</v>
      </c>
      <c r="I101" s="492">
        <f>('BS HPG'!I2-'BS HPG'!I80)-('BS HPG'!H2-'BS HPG'!H80)</f>
        <v>-2566225727092</v>
      </c>
      <c r="J101" s="492">
        <f>('BS HPG'!J2-'BS HPG'!J80)-('BS HPG'!I2-'BS HPG'!I80)</f>
        <v>-6926371776461</v>
      </c>
      <c r="K101" s="492">
        <f>('BS HPG'!K2-'BS HPG'!K80)-('BS HPG'!J2-'BS HPG'!J80)</f>
        <v>10447218537580.859</v>
      </c>
      <c r="L101" s="492">
        <f>('BS HPG'!L2-'BS HPG'!L80)-('BS HPG'!K2-'BS HPG'!K80)</f>
        <v>-13977164594211.859</v>
      </c>
      <c r="M101" s="492">
        <f>('BS HPG'!M2-'BS HPG'!M80)-('BS HPG'!L2-'BS HPG'!L80)</f>
        <v>13742489256069.719</v>
      </c>
      <c r="N101" s="492">
        <f>('BS HPG'!N2-'BS HPG'!N80)-('BS HPG'!M2-'BS HPG'!M80)</f>
        <v>25026843867455.188</v>
      </c>
      <c r="O101" s="492">
        <f>('BS HPG'!O2-'BS HPG'!O80)-('BS HPG'!N2-'BS HPG'!N80)</f>
        <v>11780325053446.609</v>
      </c>
      <c r="P101" s="428"/>
      <c r="Q101" s="428"/>
      <c r="R101" s="428"/>
    </row>
    <row r="102" spans="1:18" s="458" customFormat="1" ht="14.25" customHeight="1" thickBot="1">
      <c r="A102" s="481" t="s">
        <v>843</v>
      </c>
      <c r="C102" s="482"/>
      <c r="E102" s="482"/>
      <c r="F102" s="483">
        <f>SUM(F97:F101)</f>
        <v>9138765909660</v>
      </c>
      <c r="G102" s="483">
        <f t="shared" ref="G102:O102" si="72">SUM(G97:G101)</f>
        <v>16753008320776.164</v>
      </c>
      <c r="H102" s="483">
        <f t="shared" si="72"/>
        <v>58873953548413.852</v>
      </c>
      <c r="I102" s="483">
        <f t="shared" si="72"/>
        <v>6950307416519.8984</v>
      </c>
      <c r="J102" s="483">
        <f t="shared" si="72"/>
        <v>1837108748480.9297</v>
      </c>
      <c r="K102" s="483">
        <f t="shared" si="72"/>
        <v>20820595803050.516</v>
      </c>
      <c r="L102" s="483">
        <f t="shared" si="72"/>
        <v>-16337377382032.852</v>
      </c>
      <c r="M102" s="483">
        <f t="shared" si="72"/>
        <v>42311632024783.406</v>
      </c>
      <c r="N102" s="483">
        <f t="shared" si="72"/>
        <v>55227774049405.07</v>
      </c>
      <c r="O102" s="483">
        <f t="shared" si="72"/>
        <v>37757944759732.734</v>
      </c>
      <c r="P102" s="428"/>
      <c r="Q102" s="428"/>
      <c r="R102" s="428"/>
    </row>
    <row r="103" spans="1:18" s="458" customFormat="1" ht="14.25" customHeight="1" thickBot="1">
      <c r="A103" s="481" t="s">
        <v>844</v>
      </c>
      <c r="C103" s="482"/>
      <c r="D103" s="482"/>
      <c r="E103" s="482"/>
      <c r="F103" s="487"/>
      <c r="G103" s="488">
        <v>-0.05</v>
      </c>
      <c r="H103" s="488">
        <v>2.99</v>
      </c>
      <c r="I103" s="488">
        <v>0.14000000000000001</v>
      </c>
      <c r="J103" s="488">
        <v>-0.73</v>
      </c>
      <c r="K103" s="489">
        <f>(K102-J102)/J102</f>
        <v>10.333349656228393</v>
      </c>
      <c r="L103" s="489">
        <f t="shared" ref="L103:O103" si="73">(L102-K102)/K102</f>
        <v>-1.7846738650792688</v>
      </c>
      <c r="M103" s="489">
        <f t="shared" si="73"/>
        <v>-3.589866845538864</v>
      </c>
      <c r="N103" s="489">
        <f t="shared" si="73"/>
        <v>0.30526220347766841</v>
      </c>
      <c r="O103" s="489">
        <f t="shared" si="73"/>
        <v>-0.31632325565112152</v>
      </c>
      <c r="P103" s="428"/>
      <c r="Q103" s="428"/>
      <c r="R103" s="428"/>
    </row>
    <row r="104" spans="1:18" s="458" customFormat="1" ht="14.25" customHeight="1" thickBot="1">
      <c r="A104" s="481" t="s">
        <v>845</v>
      </c>
      <c r="C104" s="482"/>
      <c r="D104" s="482"/>
      <c r="E104" s="482"/>
      <c r="F104" s="487"/>
      <c r="G104" s="487"/>
      <c r="H104" s="487"/>
      <c r="I104" s="487"/>
      <c r="J104" s="487"/>
      <c r="K104" s="490">
        <v>0.5</v>
      </c>
      <c r="L104" s="490">
        <v>1.5</v>
      </c>
      <c r="M104" s="490">
        <v>2.5</v>
      </c>
      <c r="N104" s="490">
        <v>3.5</v>
      </c>
      <c r="O104" s="490">
        <v>4.5</v>
      </c>
      <c r="P104" s="428"/>
      <c r="Q104" s="428"/>
      <c r="R104" s="428"/>
    </row>
    <row r="105" spans="1:18" s="458" customFormat="1" ht="14.25" customHeight="1" thickBot="1">
      <c r="A105" s="481" t="s">
        <v>846</v>
      </c>
      <c r="C105" s="482"/>
      <c r="D105" s="482"/>
      <c r="E105" s="482"/>
      <c r="F105" s="487"/>
      <c r="G105" s="487"/>
      <c r="H105" s="487"/>
      <c r="I105" s="487"/>
      <c r="J105" s="487"/>
      <c r="K105" s="489">
        <f>1/(1+10.88%)^J104</f>
        <v>1</v>
      </c>
      <c r="L105" s="489">
        <f t="shared" ref="L105:O105" si="74">1/(1+10.88%)^K104</f>
        <v>0.94967147049698286</v>
      </c>
      <c r="M105" s="489">
        <f t="shared" si="74"/>
        <v>0.85648581394028034</v>
      </c>
      <c r="N105" s="489">
        <f t="shared" si="74"/>
        <v>0.77244391589130623</v>
      </c>
      <c r="O105" s="489">
        <f t="shared" si="74"/>
        <v>0.69664855329302511</v>
      </c>
      <c r="P105" s="428"/>
      <c r="Q105" s="428"/>
      <c r="R105" s="428"/>
    </row>
    <row r="106" spans="1:18" s="458" customFormat="1" ht="14.25" customHeight="1" thickBot="1">
      <c r="A106" s="481" t="s">
        <v>847</v>
      </c>
      <c r="C106" s="482"/>
      <c r="D106" s="482"/>
      <c r="E106" s="482"/>
      <c r="F106" s="487"/>
      <c r="G106" s="487"/>
      <c r="H106" s="487"/>
      <c r="I106" s="487"/>
      <c r="J106" s="487"/>
      <c r="K106" s="485">
        <f>K102*K105</f>
        <v>20820595803050.516</v>
      </c>
      <c r="L106" s="485">
        <f t="shared" ref="L106:N106" si="75">L102*L105</f>
        <v>-15515141202459.287</v>
      </c>
      <c r="M106" s="485">
        <f t="shared" si="75"/>
        <v>36239312593888.25</v>
      </c>
      <c r="N106" s="485">
        <f t="shared" si="75"/>
        <v>42660358052682.719</v>
      </c>
      <c r="O106" s="485">
        <f>O102*O105</f>
        <v>26304017592185.77</v>
      </c>
      <c r="P106" s="428"/>
      <c r="Q106" s="428"/>
      <c r="R106" s="428"/>
    </row>
    <row r="107" spans="1:18" s="458" customFormat="1" ht="14.25" customHeight="1">
      <c r="B107" s="8"/>
      <c r="C107" s="8"/>
      <c r="D107" s="8"/>
      <c r="E107" s="8"/>
      <c r="F107" s="430"/>
      <c r="G107" s="430"/>
      <c r="H107" s="430"/>
      <c r="I107" s="430"/>
      <c r="J107" s="8"/>
      <c r="K107" s="8"/>
      <c r="L107" s="8"/>
      <c r="M107" s="8"/>
      <c r="N107" s="428"/>
      <c r="O107" s="428"/>
      <c r="P107" s="428"/>
      <c r="Q107" s="428"/>
      <c r="R107" s="428"/>
    </row>
    <row r="108" spans="1:18" s="458" customFormat="1" ht="14.25" customHeight="1">
      <c r="B108" s="8"/>
      <c r="C108" s="8"/>
      <c r="D108" s="8"/>
      <c r="E108" s="8"/>
      <c r="F108" s="8"/>
      <c r="G108" s="8"/>
      <c r="H108" s="8"/>
      <c r="I108" s="8"/>
      <c r="J108" s="8"/>
      <c r="K108" s="8"/>
      <c r="L108" s="8"/>
      <c r="M108" s="8"/>
      <c r="N108" s="428"/>
      <c r="O108" s="428"/>
      <c r="P108" s="428"/>
      <c r="Q108" s="428"/>
      <c r="R108" s="428"/>
    </row>
    <row r="109" spans="1:18" s="458" customFormat="1" ht="14.25" customHeight="1" thickBot="1">
      <c r="B109" s="8"/>
      <c r="C109" s="8"/>
      <c r="D109" s="8"/>
      <c r="E109" s="8"/>
      <c r="F109" s="430"/>
      <c r="G109" s="430"/>
      <c r="H109" s="430"/>
      <c r="I109" s="430"/>
      <c r="J109" s="8"/>
      <c r="K109" s="8"/>
      <c r="L109" s="8"/>
      <c r="M109" s="8"/>
      <c r="N109" s="428"/>
      <c r="O109" s="428"/>
      <c r="P109" s="428"/>
      <c r="Q109" s="428"/>
      <c r="R109" s="428"/>
    </row>
    <row r="110" spans="1:18" s="458" customFormat="1" ht="14.25" customHeight="1" thickBot="1">
      <c r="B110" s="8"/>
      <c r="C110" s="8"/>
      <c r="D110" s="8"/>
      <c r="E110" s="8"/>
      <c r="F110" s="430"/>
      <c r="G110" s="430"/>
      <c r="H110" s="430"/>
      <c r="I110" s="493" t="s">
        <v>774</v>
      </c>
      <c r="J110" s="494">
        <f>WACC!D17</f>
        <v>0.10042695580560715</v>
      </c>
      <c r="K110" s="8"/>
      <c r="L110" s="8"/>
      <c r="M110" s="8"/>
      <c r="N110" s="428"/>
      <c r="O110" s="428"/>
      <c r="P110" s="428"/>
      <c r="Q110" s="428"/>
      <c r="R110" s="428"/>
    </row>
    <row r="111" spans="1:18" s="458" customFormat="1" ht="14.25" customHeight="1" thickBot="1">
      <c r="F111" s="429"/>
      <c r="G111" s="429"/>
      <c r="H111" s="429"/>
      <c r="I111" s="493" t="s">
        <v>775</v>
      </c>
      <c r="J111" s="498">
        <f>NPV(J110,K106:O106)</f>
        <v>78696910003586.266</v>
      </c>
      <c r="K111" s="428"/>
      <c r="L111" s="428"/>
      <c r="M111" s="428"/>
      <c r="N111" s="428"/>
      <c r="O111" s="428"/>
      <c r="P111" s="428"/>
      <c r="Q111" s="428"/>
      <c r="R111" s="428"/>
    </row>
    <row r="112" spans="1:18" s="458" customFormat="1" ht="14.25" customHeight="1" thickBot="1">
      <c r="A112" s="428"/>
      <c r="C112" s="428"/>
      <c r="D112" s="428"/>
      <c r="E112" s="428"/>
      <c r="F112" s="429"/>
      <c r="G112" s="429"/>
      <c r="H112" s="429"/>
      <c r="I112" s="493"/>
      <c r="J112" s="493"/>
      <c r="K112" s="428"/>
      <c r="L112" s="428"/>
      <c r="M112" s="428"/>
      <c r="N112" s="428"/>
      <c r="O112" s="428"/>
      <c r="P112" s="428"/>
      <c r="Q112" s="428"/>
      <c r="R112" s="428"/>
    </row>
    <row r="113" spans="1:18" s="458" customFormat="1" ht="14.25" customHeight="1" thickBot="1">
      <c r="C113" s="428"/>
      <c r="D113" s="428"/>
      <c r="E113" s="428"/>
      <c r="F113" s="429"/>
      <c r="G113" s="429"/>
      <c r="H113" s="429"/>
      <c r="I113" s="617" t="s">
        <v>777</v>
      </c>
      <c r="J113" s="618"/>
      <c r="K113" s="428"/>
      <c r="L113" s="428"/>
      <c r="M113" s="428"/>
      <c r="N113" s="428"/>
      <c r="O113" s="428"/>
      <c r="P113" s="428"/>
      <c r="Q113" s="428"/>
      <c r="R113" s="428"/>
    </row>
    <row r="114" spans="1:18" s="458" customFormat="1" ht="14.25" customHeight="1" thickBot="1">
      <c r="F114" s="429"/>
      <c r="G114" s="429"/>
      <c r="H114" s="429"/>
      <c r="I114" s="493" t="s">
        <v>776</v>
      </c>
      <c r="J114" s="495">
        <v>0.03</v>
      </c>
      <c r="K114" s="428"/>
      <c r="L114" s="428"/>
      <c r="M114" s="428"/>
      <c r="N114" s="428"/>
      <c r="O114" s="428"/>
      <c r="P114" s="428"/>
      <c r="Q114" s="428"/>
      <c r="R114" s="428"/>
    </row>
    <row r="115" spans="1:18" s="458" customFormat="1" ht="14.25" customHeight="1" thickBot="1">
      <c r="F115" s="429"/>
      <c r="G115" s="429"/>
      <c r="H115" s="429"/>
      <c r="I115" s="493" t="s">
        <v>778</v>
      </c>
      <c r="J115" s="496">
        <f>O106*(1+J114)/(J110-J114)</f>
        <v>384698412845416.25</v>
      </c>
      <c r="K115" s="428"/>
      <c r="L115" s="428"/>
      <c r="M115" s="428"/>
      <c r="N115" s="428"/>
      <c r="O115" s="428"/>
      <c r="P115" s="428"/>
      <c r="Q115" s="428"/>
      <c r="R115" s="428"/>
    </row>
    <row r="116" spans="1:18" s="458" customFormat="1" ht="14.25" customHeight="1" thickBot="1">
      <c r="F116" s="429"/>
      <c r="G116" s="429"/>
      <c r="H116" s="429"/>
      <c r="I116" s="493" t="s">
        <v>779</v>
      </c>
      <c r="J116" s="496">
        <f>J115/(1+J110)^5</f>
        <v>238404414773261.09</v>
      </c>
      <c r="K116" s="428"/>
      <c r="L116" s="428"/>
      <c r="M116" s="428"/>
      <c r="N116" s="428"/>
      <c r="O116" s="428"/>
      <c r="P116" s="428"/>
      <c r="Q116" s="428"/>
      <c r="R116" s="428"/>
    </row>
    <row r="117" spans="1:18" s="458" customFormat="1" ht="14.25" customHeight="1" thickBot="1">
      <c r="F117" s="429"/>
      <c r="G117" s="429"/>
      <c r="H117" s="429"/>
      <c r="I117" s="493" t="s">
        <v>780</v>
      </c>
      <c r="J117" s="496">
        <f>J111+J116</f>
        <v>317101324776847.38</v>
      </c>
      <c r="K117" s="428"/>
      <c r="L117" s="428"/>
      <c r="M117" s="428"/>
      <c r="N117" s="428"/>
      <c r="O117" s="428"/>
      <c r="P117" s="428"/>
      <c r="Q117" s="428"/>
      <c r="R117" s="428"/>
    </row>
    <row r="118" spans="1:18" s="458" customFormat="1" ht="14.25" customHeight="1" thickBot="1">
      <c r="F118" s="429"/>
      <c r="G118" s="429"/>
      <c r="H118" s="429"/>
      <c r="I118" s="493" t="s">
        <v>781</v>
      </c>
      <c r="J118" s="496">
        <f>'BS HPG'!J3</f>
        <v>12252001160884</v>
      </c>
      <c r="K118" s="428"/>
      <c r="L118" s="428"/>
      <c r="M118" s="428"/>
      <c r="N118" s="428"/>
      <c r="O118" s="428"/>
      <c r="P118" s="428"/>
      <c r="Q118" s="428"/>
      <c r="R118" s="428"/>
    </row>
    <row r="119" spans="1:18" s="458" customFormat="1" ht="14.25" customHeight="1" thickBot="1">
      <c r="A119" s="459"/>
      <c r="B119" s="460"/>
      <c r="C119" s="460"/>
      <c r="D119" s="460"/>
      <c r="E119" s="459"/>
      <c r="F119" s="459"/>
      <c r="G119" s="459"/>
      <c r="H119" s="459"/>
      <c r="I119" s="493" t="s">
        <v>782</v>
      </c>
      <c r="J119" s="496">
        <f>'BS HPG'!J93+'BS HPG'!J109</f>
        <v>65381002473117</v>
      </c>
      <c r="K119" s="461"/>
      <c r="L119" s="461"/>
      <c r="M119" s="459"/>
      <c r="N119" s="459"/>
      <c r="O119" s="428"/>
      <c r="P119" s="428"/>
      <c r="Q119" s="428"/>
      <c r="R119" s="428"/>
    </row>
    <row r="120" spans="1:18" s="458" customFormat="1" ht="14.25" customHeight="1" thickBot="1">
      <c r="A120" s="459"/>
      <c r="B120" s="460"/>
      <c r="C120" s="460"/>
      <c r="D120" s="460"/>
      <c r="E120" s="431"/>
      <c r="F120" s="431"/>
      <c r="G120" s="431"/>
      <c r="H120" s="431"/>
      <c r="I120" s="493" t="s">
        <v>783</v>
      </c>
      <c r="J120" s="496">
        <f>'BS HPG'!J136</f>
        <v>65769846491</v>
      </c>
      <c r="K120" s="431"/>
      <c r="L120" s="431"/>
      <c r="M120" s="431"/>
      <c r="N120" s="431"/>
      <c r="O120" s="428"/>
      <c r="P120" s="428"/>
      <c r="Q120" s="428"/>
      <c r="R120" s="428"/>
    </row>
    <row r="121" spans="1:18" s="458" customFormat="1" ht="14.25" customHeight="1" thickBot="1">
      <c r="A121" s="459"/>
      <c r="B121" s="460"/>
      <c r="C121" s="460"/>
      <c r="D121" s="460"/>
      <c r="E121" s="431"/>
      <c r="F121" s="431"/>
      <c r="G121" s="431"/>
      <c r="H121" s="431"/>
      <c r="I121" s="493" t="s">
        <v>784</v>
      </c>
      <c r="J121" s="493"/>
      <c r="K121" s="431"/>
      <c r="L121" s="431"/>
      <c r="M121" s="431"/>
      <c r="N121" s="431"/>
      <c r="O121" s="428"/>
      <c r="P121" s="428"/>
      <c r="Q121" s="428"/>
      <c r="R121" s="428"/>
    </row>
    <row r="122" spans="1:18" s="458" customFormat="1" ht="14.25" customHeight="1" thickBot="1">
      <c r="A122" s="462"/>
      <c r="B122" s="460"/>
      <c r="C122" s="460"/>
      <c r="D122" s="460"/>
      <c r="G122" s="431"/>
      <c r="H122" s="431"/>
      <c r="I122" s="493" t="s">
        <v>785</v>
      </c>
      <c r="J122" s="496">
        <f>J117+J118-J119-J120-J121</f>
        <v>263906553618123.38</v>
      </c>
      <c r="K122" s="431"/>
      <c r="L122" s="431"/>
      <c r="M122" s="431"/>
      <c r="N122" s="431"/>
      <c r="O122" s="428"/>
      <c r="P122" s="428"/>
      <c r="Q122" s="428"/>
      <c r="R122" s="428"/>
    </row>
    <row r="123" spans="1:18" s="458" customFormat="1" ht="14.25" customHeight="1" thickBot="1">
      <c r="A123" s="462"/>
      <c r="B123" s="460"/>
      <c r="C123" s="460"/>
      <c r="D123" s="460"/>
      <c r="E123" s="431"/>
      <c r="F123" s="431"/>
      <c r="G123" s="431"/>
      <c r="H123" s="431"/>
      <c r="I123" s="486" t="s">
        <v>786</v>
      </c>
      <c r="J123" s="497">
        <v>6396250200</v>
      </c>
      <c r="K123" s="463"/>
      <c r="L123" s="463"/>
      <c r="M123" s="463"/>
      <c r="N123" s="463"/>
      <c r="O123" s="428"/>
      <c r="P123" s="428"/>
      <c r="Q123" s="428"/>
      <c r="R123" s="428"/>
    </row>
    <row r="124" spans="1:18" s="458" customFormat="1" ht="14.25" customHeight="1" thickBot="1">
      <c r="A124" s="459"/>
      <c r="B124" s="460"/>
      <c r="C124" s="460"/>
      <c r="D124" s="460"/>
      <c r="E124" s="431"/>
      <c r="F124" s="431"/>
      <c r="G124" s="431"/>
      <c r="H124" s="431"/>
      <c r="I124" s="499" t="s">
        <v>848</v>
      </c>
      <c r="J124" s="500">
        <f>J122/J123</f>
        <v>41259.573244668158</v>
      </c>
      <c r="K124" s="431"/>
      <c r="L124" s="431"/>
      <c r="M124" s="431"/>
      <c r="N124" s="431"/>
      <c r="O124" s="428"/>
      <c r="P124" s="428"/>
      <c r="Q124" s="428"/>
      <c r="R124" s="428"/>
    </row>
    <row r="125" spans="1:18" s="458" customFormat="1" ht="14.25" customHeight="1">
      <c r="A125" s="459"/>
      <c r="B125" s="460"/>
      <c r="C125" s="460"/>
      <c r="D125" s="460"/>
      <c r="E125" s="431"/>
      <c r="F125" s="431"/>
      <c r="G125" s="431"/>
      <c r="H125" s="431"/>
      <c r="I125" s="431"/>
      <c r="J125" s="431"/>
      <c r="K125" s="431"/>
      <c r="L125" s="431"/>
      <c r="M125" s="431"/>
      <c r="N125" s="431"/>
      <c r="O125" s="428"/>
      <c r="P125" s="428"/>
      <c r="Q125" s="428"/>
      <c r="R125" s="428"/>
    </row>
    <row r="126" spans="1:18" s="458" customFormat="1" ht="14.25" customHeight="1">
      <c r="A126" s="459"/>
      <c r="B126" s="460"/>
      <c r="C126" s="460"/>
      <c r="D126" s="460"/>
      <c r="E126" s="431"/>
      <c r="F126" s="431"/>
      <c r="G126" s="431"/>
      <c r="H126" s="431"/>
      <c r="I126" s="431"/>
      <c r="J126" s="431"/>
      <c r="K126" s="431"/>
      <c r="L126" s="431"/>
      <c r="M126" s="431"/>
      <c r="N126" s="431"/>
      <c r="O126" s="428"/>
      <c r="P126" s="428"/>
      <c r="Q126" s="428"/>
      <c r="R126" s="428"/>
    </row>
    <row r="127" spans="1:18" s="458" customFormat="1" ht="14.25" customHeight="1">
      <c r="A127" s="459"/>
      <c r="B127" s="460"/>
      <c r="C127" s="460"/>
      <c r="D127" s="460"/>
      <c r="E127" s="431"/>
      <c r="F127" s="431"/>
      <c r="G127" s="431"/>
      <c r="H127" s="431"/>
      <c r="I127" s="463"/>
      <c r="J127" s="463"/>
      <c r="K127" s="463"/>
      <c r="L127" s="463"/>
      <c r="M127" s="463"/>
      <c r="N127" s="463"/>
      <c r="O127" s="428"/>
      <c r="P127" s="428"/>
      <c r="Q127" s="428"/>
      <c r="R127" s="428"/>
    </row>
    <row r="128" spans="1:18" s="458" customFormat="1" ht="14.25" customHeight="1">
      <c r="A128" s="459"/>
      <c r="B128" s="460"/>
      <c r="C128" s="460"/>
      <c r="D128" s="460"/>
      <c r="E128" s="431"/>
      <c r="F128" s="431"/>
      <c r="G128" s="431"/>
      <c r="H128" s="431"/>
      <c r="I128" s="463"/>
      <c r="J128" s="463"/>
      <c r="K128" s="463"/>
      <c r="L128" s="463"/>
      <c r="M128" s="463"/>
      <c r="N128" s="463"/>
      <c r="O128" s="428"/>
      <c r="P128" s="428"/>
      <c r="Q128" s="428"/>
      <c r="R128" s="428"/>
    </row>
    <row r="129" spans="1:18" s="458" customFormat="1" ht="14.25" customHeight="1">
      <c r="A129" s="459"/>
      <c r="B129" s="460"/>
      <c r="C129" s="460"/>
      <c r="D129" s="460"/>
      <c r="E129" s="431"/>
      <c r="F129" s="431"/>
      <c r="G129" s="431"/>
      <c r="H129" s="431"/>
      <c r="I129" s="463"/>
      <c r="J129" s="463"/>
      <c r="K129" s="463"/>
      <c r="L129" s="463"/>
      <c r="M129" s="463"/>
      <c r="N129" s="463"/>
      <c r="O129" s="428"/>
      <c r="P129" s="428"/>
      <c r="Q129" s="428"/>
      <c r="R129" s="428"/>
    </row>
    <row r="130" spans="1:18" s="458" customFormat="1" ht="14.25" customHeight="1">
      <c r="F130" s="429"/>
      <c r="G130" s="429"/>
      <c r="H130" s="429"/>
      <c r="I130" s="429"/>
      <c r="J130" s="428"/>
      <c r="K130" s="428"/>
      <c r="L130" s="428"/>
      <c r="M130" s="428"/>
      <c r="N130" s="428"/>
      <c r="O130" s="428"/>
      <c r="P130" s="428"/>
      <c r="Q130" s="428"/>
      <c r="R130" s="428"/>
    </row>
    <row r="131" spans="1:18" s="458" customFormat="1" ht="14.25" customHeight="1">
      <c r="F131" s="429"/>
      <c r="G131" s="429"/>
      <c r="H131" s="429"/>
      <c r="I131" s="429"/>
      <c r="J131" s="428"/>
      <c r="K131" s="428"/>
      <c r="L131" s="428"/>
      <c r="M131" s="428"/>
      <c r="N131" s="428"/>
      <c r="O131" s="428"/>
      <c r="P131" s="428"/>
      <c r="Q131" s="428"/>
      <c r="R131" s="428"/>
    </row>
    <row r="132" spans="1:18" s="458" customFormat="1" ht="14.25" customHeight="1">
      <c r="A132" s="501" t="s">
        <v>849</v>
      </c>
      <c r="F132" s="429"/>
      <c r="G132" s="429"/>
      <c r="H132" s="429"/>
      <c r="I132" s="429"/>
      <c r="J132" s="428"/>
      <c r="K132" s="428"/>
      <c r="L132" s="428"/>
      <c r="M132" s="428"/>
      <c r="N132" s="428"/>
      <c r="O132" s="428"/>
      <c r="P132" s="428"/>
      <c r="Q132" s="428"/>
      <c r="R132" s="428"/>
    </row>
    <row r="133" spans="1:18" s="458" customFormat="1" ht="14.25" customHeight="1">
      <c r="A133" s="8" t="s">
        <v>850</v>
      </c>
      <c r="F133" s="429"/>
      <c r="G133" s="429"/>
      <c r="H133" s="429"/>
      <c r="I133" s="429"/>
      <c r="J133" s="428"/>
      <c r="K133" s="428"/>
      <c r="L133" s="428"/>
      <c r="M133" s="428"/>
      <c r="N133" s="428"/>
      <c r="O133" s="428"/>
      <c r="P133" s="428"/>
      <c r="Q133" s="428"/>
      <c r="R133" s="428"/>
    </row>
    <row r="134" spans="1:18" s="458" customFormat="1" ht="14.25" customHeight="1">
      <c r="A134" s="8" t="s">
        <v>853</v>
      </c>
      <c r="B134" s="458">
        <f>K72</f>
        <v>20301343008523.48</v>
      </c>
      <c r="F134" s="429"/>
      <c r="G134" s="429"/>
      <c r="H134" s="429"/>
      <c r="I134" s="429"/>
      <c r="J134" s="428"/>
      <c r="K134" s="428"/>
      <c r="L134" s="428"/>
      <c r="M134" s="428"/>
      <c r="N134" s="428"/>
      <c r="O134" s="428"/>
      <c r="P134" s="428"/>
      <c r="Q134" s="428"/>
      <c r="R134" s="428"/>
    </row>
    <row r="135" spans="1:18" s="458" customFormat="1" ht="14.25" customHeight="1">
      <c r="A135" s="8" t="s">
        <v>854</v>
      </c>
      <c r="F135" s="429"/>
      <c r="G135" s="429"/>
      <c r="H135" s="429"/>
      <c r="I135" s="429"/>
      <c r="J135" s="428"/>
      <c r="K135" s="428"/>
      <c r="L135" s="428"/>
      <c r="M135" s="428"/>
      <c r="N135" s="428"/>
      <c r="O135" s="428"/>
      <c r="P135" s="428"/>
      <c r="Q135" s="428"/>
      <c r="R135" s="428"/>
    </row>
    <row r="136" spans="1:18" s="458" customFormat="1" ht="14.25" customHeight="1">
      <c r="A136" s="501" t="s">
        <v>852</v>
      </c>
      <c r="B136" s="475"/>
      <c r="D136" s="428"/>
      <c r="E136" s="428"/>
      <c r="F136" s="429"/>
      <c r="G136" s="429"/>
      <c r="H136" s="429"/>
      <c r="I136" s="429"/>
      <c r="J136" s="428"/>
      <c r="K136" s="428"/>
      <c r="L136" s="428"/>
      <c r="M136" s="428"/>
      <c r="N136" s="428"/>
      <c r="O136" s="428"/>
      <c r="P136" s="428"/>
      <c r="Q136" s="428"/>
      <c r="R136" s="428"/>
    </row>
    <row r="137" spans="1:18" s="458" customFormat="1" ht="14.25" customHeight="1">
      <c r="A137" s="501" t="s">
        <v>851</v>
      </c>
      <c r="F137" s="429"/>
      <c r="G137" s="429"/>
      <c r="H137" s="429"/>
      <c r="I137" s="429"/>
      <c r="J137" s="428"/>
      <c r="K137" s="428"/>
      <c r="L137" s="428"/>
      <c r="M137" s="428"/>
      <c r="N137" s="428"/>
      <c r="O137" s="428"/>
      <c r="P137" s="428"/>
      <c r="Q137" s="428"/>
      <c r="R137" s="428"/>
    </row>
    <row r="138" spans="1:18" s="458" customFormat="1" ht="14.25" customHeight="1">
      <c r="F138" s="429"/>
      <c r="G138" s="429"/>
      <c r="H138" s="429"/>
      <c r="I138" s="429"/>
      <c r="J138" s="428"/>
      <c r="K138" s="428"/>
      <c r="L138" s="428"/>
      <c r="M138" s="428"/>
      <c r="N138" s="428"/>
      <c r="O138" s="428"/>
      <c r="P138" s="428"/>
      <c r="Q138" s="428"/>
      <c r="R138" s="428"/>
    </row>
    <row r="139" spans="1:18" s="458" customFormat="1" ht="14.25" customHeight="1">
      <c r="F139" s="429"/>
      <c r="G139" s="429"/>
      <c r="H139" s="429"/>
      <c r="I139" s="429"/>
      <c r="J139" s="428"/>
      <c r="K139" s="428"/>
      <c r="L139" s="428"/>
      <c r="M139" s="428"/>
      <c r="N139" s="428"/>
      <c r="O139" s="428"/>
      <c r="P139" s="428"/>
      <c r="Q139" s="428"/>
      <c r="R139" s="428"/>
    </row>
    <row r="140" spans="1:18" s="458" customFormat="1" ht="14.25" customHeight="1">
      <c r="F140" s="429"/>
      <c r="G140" s="429"/>
      <c r="H140" s="429"/>
      <c r="I140" s="429"/>
      <c r="J140" s="428"/>
      <c r="K140" s="428"/>
      <c r="L140" s="428"/>
      <c r="M140" s="428"/>
      <c r="N140" s="428"/>
      <c r="O140" s="428"/>
      <c r="P140" s="428"/>
      <c r="Q140" s="428"/>
      <c r="R140" s="428"/>
    </row>
    <row r="141" spans="1:18" s="458" customFormat="1" ht="14.25" customHeight="1">
      <c r="A141" s="501" t="s">
        <v>827</v>
      </c>
      <c r="F141" s="429"/>
      <c r="G141" s="429"/>
      <c r="H141" s="429"/>
      <c r="I141" s="429"/>
      <c r="J141" s="428"/>
      <c r="K141" s="428"/>
      <c r="L141" s="428"/>
      <c r="M141" s="428"/>
      <c r="N141" s="428"/>
      <c r="O141" s="428"/>
      <c r="P141" s="428"/>
      <c r="Q141" s="428"/>
      <c r="R141" s="428"/>
    </row>
    <row r="142" spans="1:18" ht="14.25" customHeight="1"/>
    <row r="143" spans="1:18" ht="14.25" customHeight="1"/>
    <row r="144" spans="1:18"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row r="1001" ht="14.25" customHeight="1"/>
    <row r="1002" ht="14.25" customHeight="1"/>
    <row r="1003" ht="14.25" customHeight="1"/>
    <row r="1004" ht="14.25" customHeight="1"/>
    <row r="1005" ht="14.25" customHeight="1"/>
    <row r="1006" ht="14.25" customHeight="1"/>
    <row r="1007" ht="14.25" customHeight="1"/>
    <row r="1008" ht="14.25" customHeight="1"/>
    <row r="1009" ht="14.25" customHeight="1"/>
    <row r="1010" ht="14.25" customHeight="1"/>
    <row r="1011" ht="14.25" customHeight="1"/>
    <row r="1012" ht="14.25" customHeight="1"/>
    <row r="1013" ht="14.25" customHeight="1"/>
    <row r="1014" ht="14.25" customHeight="1"/>
    <row r="1015" ht="14.25" customHeight="1"/>
    <row r="1016" ht="14.25" customHeight="1"/>
    <row r="1017" ht="14.25" customHeight="1"/>
    <row r="1018" ht="14.25" customHeight="1"/>
    <row r="1019" ht="14.25" customHeight="1"/>
    <row r="1020" ht="14.25" customHeight="1"/>
    <row r="1021" ht="14.25" customHeight="1"/>
    <row r="1022" ht="14.25" customHeight="1"/>
    <row r="1023" ht="14.25" customHeight="1"/>
    <row r="1024" ht="14.25" customHeight="1"/>
    <row r="1025" ht="14.25" customHeight="1"/>
    <row r="1026" ht="14.25" customHeight="1"/>
    <row r="1027" ht="14.25" customHeight="1"/>
    <row r="1028" ht="14.25" customHeight="1"/>
    <row r="1029" ht="14.25" customHeight="1"/>
    <row r="1030" ht="14.25" customHeight="1"/>
    <row r="1031" ht="14.25" customHeight="1"/>
    <row r="1032" ht="14.25" customHeight="1"/>
    <row r="1033" ht="14.25" customHeight="1"/>
    <row r="1034" ht="14.25" customHeight="1"/>
    <row r="1035" ht="14.25" customHeight="1"/>
    <row r="1036" ht="14.25" customHeight="1"/>
    <row r="1037" ht="14.25" customHeight="1"/>
    <row r="1038" ht="14.25" customHeight="1"/>
    <row r="1039" ht="14.25" customHeight="1"/>
    <row r="1040" ht="14.25" customHeight="1"/>
    <row r="1041" ht="14.25" customHeight="1"/>
    <row r="1042" ht="14.25" customHeight="1"/>
    <row r="1043" ht="14.25" customHeight="1"/>
    <row r="1044" ht="14.25" customHeight="1"/>
    <row r="1045" ht="14.25" customHeight="1"/>
    <row r="1046" ht="14.25" customHeight="1"/>
    <row r="1047" ht="14.25" customHeight="1"/>
    <row r="1048" ht="14.25" customHeight="1"/>
    <row r="1049" ht="14.25" customHeight="1"/>
    <row r="1050" ht="14.25" customHeight="1"/>
  </sheetData>
  <mergeCells count="1">
    <mergeCell ref="I113:J113"/>
  </mergeCells>
  <pageMargins left="0.7" right="0.7" top="0.75" bottom="0.75" header="0" footer="0"/>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B5B612-5637-4135-8C84-A94E98F12A1A}">
  <sheetPr>
    <tabColor rgb="FF002060"/>
  </sheetPr>
  <dimension ref="A1:AA1048"/>
  <sheetViews>
    <sheetView workbookViewId="0">
      <pane xSplit="1" ySplit="1" topLeftCell="K2" activePane="bottomRight" state="frozen"/>
      <selection pane="topRight" activeCell="B1" sqref="B1"/>
      <selection pane="bottomLeft" activeCell="A2" sqref="A2"/>
      <selection pane="bottomRight" activeCell="A96" sqref="A96:O106"/>
    </sheetView>
  </sheetViews>
  <sheetFormatPr defaultColWidth="14.42578125" defaultRowHeight="15" customHeight="1"/>
  <cols>
    <col min="1" max="1" width="52.42578125" style="358" bestFit="1" customWidth="1"/>
    <col min="2" max="2" width="60.5703125" style="358" bestFit="1" customWidth="1"/>
    <col min="3" max="7" width="19" style="358" bestFit="1" customWidth="1"/>
    <col min="8" max="9" width="20" style="358" bestFit="1" customWidth="1"/>
    <col min="10" max="10" width="20.85546875" style="358" bestFit="1" customWidth="1"/>
    <col min="11" max="14" width="21.140625" style="358" bestFit="1" customWidth="1"/>
    <col min="15" max="15" width="29.140625" style="358" bestFit="1" customWidth="1"/>
    <col min="16" max="17" width="19.5703125" style="358" customWidth="1"/>
    <col min="18" max="27" width="8.5703125" style="358" customWidth="1"/>
    <col min="28" max="16384" width="14.42578125" style="358"/>
  </cols>
  <sheetData>
    <row r="1" spans="1:27" ht="14.25" customHeight="1">
      <c r="A1" s="445"/>
      <c r="B1" s="445"/>
      <c r="C1" s="445" t="s">
        <v>1</v>
      </c>
      <c r="D1" s="445" t="s">
        <v>2</v>
      </c>
      <c r="E1" s="445" t="s">
        <v>3</v>
      </c>
      <c r="F1" s="445" t="s">
        <v>4</v>
      </c>
      <c r="G1" s="445" t="s">
        <v>5</v>
      </c>
      <c r="H1" s="445" t="s">
        <v>6</v>
      </c>
      <c r="I1" s="445" t="s">
        <v>7</v>
      </c>
      <c r="J1" s="445" t="s">
        <v>8</v>
      </c>
      <c r="K1" s="445" t="s">
        <v>9</v>
      </c>
      <c r="L1" s="445" t="s">
        <v>10</v>
      </c>
      <c r="M1" s="445" t="s">
        <v>11</v>
      </c>
      <c r="N1" s="445" t="s">
        <v>12</v>
      </c>
      <c r="O1" s="445" t="s">
        <v>13</v>
      </c>
      <c r="R1" s="446"/>
      <c r="S1" s="446"/>
      <c r="T1" s="446"/>
      <c r="U1" s="446"/>
      <c r="V1" s="446"/>
      <c r="W1" s="446"/>
      <c r="X1" s="446"/>
      <c r="Y1" s="446"/>
      <c r="Z1" s="446"/>
      <c r="AA1" s="446"/>
    </row>
    <row r="2" spans="1:27" ht="14.25" customHeight="1">
      <c r="A2" s="361" t="s">
        <v>14</v>
      </c>
      <c r="B2" s="361" t="s">
        <v>565</v>
      </c>
      <c r="C2" s="361">
        <v>33884892008435</v>
      </c>
      <c r="D2" s="361">
        <v>46854825722466</v>
      </c>
      <c r="E2" s="361">
        <v>56580423695083</v>
      </c>
      <c r="F2" s="361">
        <v>64677906575644</v>
      </c>
      <c r="G2" s="361">
        <v>91279041771826</v>
      </c>
      <c r="H2" s="361">
        <v>150865359967200</v>
      </c>
      <c r="I2" s="361">
        <v>142770810676858</v>
      </c>
      <c r="J2" s="361">
        <v>120355231616139</v>
      </c>
      <c r="K2" s="361">
        <f>SUM(K4,K6,K8)</f>
        <v>117381973581566</v>
      </c>
      <c r="L2" s="361">
        <f>SUM(L4,L6,L8)</f>
        <v>150606013842272.38</v>
      </c>
      <c r="M2" s="361">
        <f>SUM(M4,M6,M8)</f>
        <v>188589598441506.06</v>
      </c>
      <c r="N2" s="361">
        <f>SUM(N4,N6,N8)</f>
        <v>203153395346113.53</v>
      </c>
      <c r="O2" s="361">
        <f>SUM(O4,O6,O8)</f>
        <v>249948514072713.75</v>
      </c>
    </row>
    <row r="3" spans="1:27" s="451" customFormat="1" ht="18" customHeight="1">
      <c r="A3" s="447" t="s">
        <v>15</v>
      </c>
      <c r="B3" s="447" t="s">
        <v>15</v>
      </c>
      <c r="C3" s="447"/>
      <c r="D3" s="447">
        <f t="shared" ref="D3:J3" si="0">D2/C2-1</f>
        <v>0.38276449902223031</v>
      </c>
      <c r="E3" s="447">
        <f t="shared" si="0"/>
        <v>0.20756875781001494</v>
      </c>
      <c r="F3" s="447">
        <f t="shared" si="0"/>
        <v>0.14311456775578546</v>
      </c>
      <c r="G3" s="448">
        <f t="shared" si="0"/>
        <v>0.41128627385412764</v>
      </c>
      <c r="H3" s="449">
        <f t="shared" si="0"/>
        <v>0.65279298553905063</v>
      </c>
      <c r="I3" s="447">
        <f t="shared" si="0"/>
        <v>-5.3654127707658428E-2</v>
      </c>
      <c r="J3" s="448">
        <f t="shared" si="0"/>
        <v>-0.15700393486910691</v>
      </c>
      <c r="K3" s="447"/>
      <c r="L3" s="447"/>
      <c r="M3" s="447"/>
      <c r="N3" s="447"/>
      <c r="O3" s="447"/>
      <c r="P3" s="450"/>
      <c r="Q3" s="450"/>
    </row>
    <row r="4" spans="1:27" ht="14.25" customHeight="1">
      <c r="A4" s="357" t="s">
        <v>16</v>
      </c>
      <c r="B4" s="357" t="s">
        <v>539</v>
      </c>
      <c r="C4" s="357">
        <f t="shared" ref="C4:J4" si="1">C2*C5</f>
        <v>29818704967422.801</v>
      </c>
      <c r="D4" s="357">
        <f t="shared" si="1"/>
        <v>41232246635770.078</v>
      </c>
      <c r="E4" s="357">
        <f t="shared" si="1"/>
        <v>48659164377771.383</v>
      </c>
      <c r="F4" s="357">
        <f t="shared" si="1"/>
        <v>53682662457784.516</v>
      </c>
      <c r="G4" s="357">
        <f t="shared" si="1"/>
        <v>76674395088333.844</v>
      </c>
      <c r="H4" s="357">
        <f t="shared" si="1"/>
        <v>141813438369168</v>
      </c>
      <c r="I4" s="357">
        <f t="shared" si="1"/>
        <v>134204562036246.52</v>
      </c>
      <c r="J4" s="357">
        <f t="shared" si="1"/>
        <v>113133917719170.66</v>
      </c>
      <c r="K4" s="357">
        <f>'Bear case'!AA8*1000000</f>
        <v>109803707812467.52</v>
      </c>
      <c r="L4" s="357">
        <f>'Bear case'!AB8*1000000</f>
        <v>142884693326595.19</v>
      </c>
      <c r="M4" s="357">
        <f>'Bear case'!AC8*1000000</f>
        <v>180706960912053.03</v>
      </c>
      <c r="N4" s="357">
        <f>'Bear case'!AD8*1000000</f>
        <v>195039046481766.09</v>
      </c>
      <c r="O4" s="357">
        <f>('Base case đã fix'!AD4+'Base case đã fix'!AD11+'Base case đã fix'!AD16+'Base case đã fix'!AD28+'Base case đã fix'!AD33)*1000000</f>
        <v>241643862615495.19</v>
      </c>
    </row>
    <row r="5" spans="1:27" s="356" customFormat="1" ht="14.25" customHeight="1">
      <c r="A5" s="355"/>
      <c r="B5" s="355"/>
      <c r="C5" s="355">
        <v>0.88</v>
      </c>
      <c r="D5" s="355">
        <v>0.88</v>
      </c>
      <c r="E5" s="355">
        <v>0.86</v>
      </c>
      <c r="F5" s="355">
        <v>0.83</v>
      </c>
      <c r="G5" s="355">
        <v>0.84</v>
      </c>
      <c r="H5" s="355">
        <v>0.94</v>
      </c>
      <c r="I5" s="355">
        <v>0.94</v>
      </c>
      <c r="J5" s="355">
        <v>0.94</v>
      </c>
      <c r="K5" s="355">
        <f>K4/K2</f>
        <v>0.93543927114300451</v>
      </c>
      <c r="L5" s="355">
        <f t="shared" ref="L5:O5" si="2">L4/L2</f>
        <v>0.94873165872537057</v>
      </c>
      <c r="M5" s="355">
        <f t="shared" si="2"/>
        <v>0.95820216175974338</v>
      </c>
      <c r="N5" s="355">
        <f t="shared" si="2"/>
        <v>0.96005801994831064</v>
      </c>
      <c r="O5" s="355">
        <f t="shared" si="2"/>
        <v>0.96677455159904402</v>
      </c>
    </row>
    <row r="6" spans="1:27" ht="14.25" customHeight="1">
      <c r="A6" s="357" t="s">
        <v>17</v>
      </c>
      <c r="B6" s="357" t="s">
        <v>371</v>
      </c>
      <c r="C6" s="357">
        <f t="shared" ref="C6:I6" si="3">C2*C7</f>
        <v>1355395680337.4001</v>
      </c>
      <c r="D6" s="357">
        <f t="shared" si="3"/>
        <v>2811289543347.96</v>
      </c>
      <c r="E6" s="357">
        <f t="shared" si="3"/>
        <v>4526433895606.6396</v>
      </c>
      <c r="F6" s="357">
        <f t="shared" si="3"/>
        <v>7761348789077.2793</v>
      </c>
      <c r="G6" s="357">
        <f t="shared" si="3"/>
        <v>10953485012619.119</v>
      </c>
      <c r="H6" s="357">
        <f t="shared" si="3"/>
        <v>7543267998360</v>
      </c>
      <c r="I6" s="357">
        <f t="shared" si="3"/>
        <v>7138540533842.9004</v>
      </c>
      <c r="J6" s="357">
        <f>J2*J7</f>
        <v>6017761580806.9502</v>
      </c>
      <c r="K6" s="357">
        <f>J6*(1+K7)</f>
        <v>6198294428231.1592</v>
      </c>
      <c r="L6" s="357">
        <f t="shared" ref="L6:N6" si="4">K6*(1+L7)</f>
        <v>6384243261078.0938</v>
      </c>
      <c r="M6" s="357">
        <f t="shared" si="4"/>
        <v>6575770558910.4365</v>
      </c>
      <c r="N6" s="357">
        <f t="shared" si="4"/>
        <v>6773043675677.75</v>
      </c>
      <c r="O6" s="357">
        <f>N6*(1+O7)</f>
        <v>6976234985948.083</v>
      </c>
    </row>
    <row r="7" spans="1:27" s="356" customFormat="1" ht="14.25" customHeight="1">
      <c r="A7" s="355"/>
      <c r="B7" s="355"/>
      <c r="C7" s="355">
        <v>0.04</v>
      </c>
      <c r="D7" s="355">
        <v>0.06</v>
      </c>
      <c r="E7" s="355">
        <v>0.08</v>
      </c>
      <c r="F7" s="355">
        <v>0.12</v>
      </c>
      <c r="G7" s="355">
        <v>0.12</v>
      </c>
      <c r="H7" s="355">
        <v>0.05</v>
      </c>
      <c r="I7" s="355">
        <v>0.05</v>
      </c>
      <c r="J7" s="355">
        <v>0.05</v>
      </c>
      <c r="K7" s="355">
        <v>0.03</v>
      </c>
      <c r="L7" s="355">
        <v>0.03</v>
      </c>
      <c r="M7" s="355">
        <v>0.03</v>
      </c>
      <c r="N7" s="355">
        <v>0.03</v>
      </c>
      <c r="O7" s="355">
        <v>0.03</v>
      </c>
    </row>
    <row r="8" spans="1:27" ht="14.25" customHeight="1">
      <c r="A8" s="357" t="s">
        <v>18</v>
      </c>
      <c r="B8" s="357" t="s">
        <v>358</v>
      </c>
      <c r="C8" s="357">
        <f t="shared" ref="C8:J8" si="5">C2*C9</f>
        <v>2710791360674.8003</v>
      </c>
      <c r="D8" s="357">
        <f t="shared" si="5"/>
        <v>2811289543347.96</v>
      </c>
      <c r="E8" s="357">
        <f t="shared" si="5"/>
        <v>3394825421704.98</v>
      </c>
      <c r="F8" s="357">
        <f t="shared" si="5"/>
        <v>3233895328782.2002</v>
      </c>
      <c r="G8" s="357">
        <f t="shared" si="5"/>
        <v>3651161670873.04</v>
      </c>
      <c r="H8" s="357">
        <f t="shared" si="5"/>
        <v>1508653599672</v>
      </c>
      <c r="I8" s="357">
        <f t="shared" si="5"/>
        <v>1427708106768.5801</v>
      </c>
      <c r="J8" s="357">
        <f t="shared" si="5"/>
        <v>1203552316161.3901</v>
      </c>
      <c r="K8" s="357">
        <f t="shared" ref="K8:O8" si="6">AVERAGE(H8:J8)</f>
        <v>1379971340867.3235</v>
      </c>
      <c r="L8" s="357">
        <f t="shared" si="6"/>
        <v>1337077254599.0979</v>
      </c>
      <c r="M8" s="357">
        <f t="shared" si="6"/>
        <v>1306866970542.6038</v>
      </c>
      <c r="N8" s="357">
        <f t="shared" si="6"/>
        <v>1341305188669.675</v>
      </c>
      <c r="O8" s="357">
        <f t="shared" si="6"/>
        <v>1328416471270.459</v>
      </c>
    </row>
    <row r="9" spans="1:27" s="356" customFormat="1" ht="14.25" customHeight="1">
      <c r="A9" s="355"/>
      <c r="B9" s="355"/>
      <c r="C9" s="355">
        <v>0.08</v>
      </c>
      <c r="D9" s="355">
        <v>0.06</v>
      </c>
      <c r="E9" s="355">
        <v>0.06</v>
      </c>
      <c r="F9" s="355">
        <v>0.05</v>
      </c>
      <c r="G9" s="355">
        <v>0.04</v>
      </c>
      <c r="H9" s="355">
        <v>0.01</v>
      </c>
      <c r="I9" s="355">
        <v>0.01</v>
      </c>
      <c r="J9" s="355">
        <v>0.01</v>
      </c>
      <c r="K9" s="355">
        <f>K8/K2</f>
        <v>1.1756245859236755E-2</v>
      </c>
      <c r="L9" s="355">
        <f t="shared" ref="L9:O9" si="7">L8/L2</f>
        <v>8.8779805034837501E-3</v>
      </c>
      <c r="M9" s="355">
        <f t="shared" si="7"/>
        <v>6.9296874342088836E-3</v>
      </c>
      <c r="N9" s="355">
        <f t="shared" si="7"/>
        <v>6.6024256517322102E-3</v>
      </c>
      <c r="O9" s="355">
        <f t="shared" si="7"/>
        <v>5.3147604265572981E-3</v>
      </c>
    </row>
    <row r="10" spans="1:27" s="452" customFormat="1" ht="14.25" customHeight="1">
      <c r="A10" s="359" t="s">
        <v>19</v>
      </c>
      <c r="B10" s="359" t="s">
        <v>566</v>
      </c>
      <c r="C10" s="359">
        <v>601681848448</v>
      </c>
      <c r="D10" s="359">
        <v>693134108162</v>
      </c>
      <c r="E10" s="359">
        <v>743965315324</v>
      </c>
      <c r="F10" s="359">
        <v>1019713901853</v>
      </c>
      <c r="G10" s="359">
        <v>1160538345109</v>
      </c>
      <c r="H10" s="359">
        <v>1185569987855</v>
      </c>
      <c r="I10" s="359">
        <v>1361536216226</v>
      </c>
      <c r="J10" s="359">
        <v>1402203722485</v>
      </c>
      <c r="K10" s="359">
        <f t="shared" ref="K10:O10" si="8">K2*K11</f>
        <v>1225459143856.9636</v>
      </c>
      <c r="L10" s="359">
        <f t="shared" si="8"/>
        <v>1486686525567.9514</v>
      </c>
      <c r="M10" s="359">
        <f t="shared" si="8"/>
        <v>1956539174046.7593</v>
      </c>
      <c r="N10" s="359">
        <f t="shared" si="8"/>
        <v>2150196752555.8162</v>
      </c>
      <c r="O10" s="359">
        <f t="shared" si="8"/>
        <v>2578842533355.8018</v>
      </c>
    </row>
    <row r="11" spans="1:27" s="466" customFormat="1" ht="14.25" customHeight="1">
      <c r="A11" s="464" t="s">
        <v>20</v>
      </c>
      <c r="B11" s="464" t="s">
        <v>20</v>
      </c>
      <c r="C11" s="464">
        <f t="shared" ref="C11:J11" si="9">C10/C2</f>
        <v>1.7756640578881665E-2</v>
      </c>
      <c r="D11" s="464">
        <f t="shared" si="9"/>
        <v>1.4793227751344624E-2</v>
      </c>
      <c r="E11" s="464">
        <f t="shared" si="9"/>
        <v>1.3148811315611493E-2</v>
      </c>
      <c r="F11" s="464">
        <f t="shared" si="9"/>
        <v>1.5766031336533662E-2</v>
      </c>
      <c r="G11" s="464">
        <f t="shared" si="9"/>
        <v>1.2714181947812793E-2</v>
      </c>
      <c r="H11" s="464">
        <f t="shared" si="9"/>
        <v>7.8584639185082482E-3</v>
      </c>
      <c r="I11" s="464">
        <f t="shared" si="9"/>
        <v>9.5365166715180253E-3</v>
      </c>
      <c r="J11" s="464">
        <f t="shared" si="9"/>
        <v>1.1650542345821649E-2</v>
      </c>
      <c r="K11" s="464">
        <f t="shared" ref="K11:O11" si="10">AVERAGE(G11:J11)</f>
        <v>1.0439926220915179E-2</v>
      </c>
      <c r="L11" s="464">
        <f t="shared" si="10"/>
        <v>9.8713622891907753E-3</v>
      </c>
      <c r="M11" s="464">
        <f t="shared" si="10"/>
        <v>1.0374586881861407E-2</v>
      </c>
      <c r="N11" s="464">
        <f t="shared" si="10"/>
        <v>1.0584104434447253E-2</v>
      </c>
      <c r="O11" s="464">
        <f t="shared" si="10"/>
        <v>1.0317494956603654E-2</v>
      </c>
      <c r="P11" s="465"/>
      <c r="Q11" s="465"/>
    </row>
    <row r="12" spans="1:27" ht="14.25" customHeight="1">
      <c r="A12" s="361" t="s">
        <v>544</v>
      </c>
      <c r="B12" s="361" t="s">
        <v>567</v>
      </c>
      <c r="C12" s="361">
        <v>33283210159987</v>
      </c>
      <c r="D12" s="361">
        <v>46161691614304</v>
      </c>
      <c r="E12" s="361">
        <v>55836458379759</v>
      </c>
      <c r="F12" s="361">
        <v>63658192673791</v>
      </c>
      <c r="G12" s="361">
        <v>90118503426717</v>
      </c>
      <c r="H12" s="361">
        <v>149679789979345</v>
      </c>
      <c r="I12" s="361">
        <v>141409274460632</v>
      </c>
      <c r="J12" s="361">
        <v>118953027893654</v>
      </c>
      <c r="K12" s="361">
        <f>K2-K10</f>
        <v>116156514437709.03</v>
      </c>
      <c r="L12" s="361">
        <f>L2-L10</f>
        <v>149119327316704.44</v>
      </c>
      <c r="M12" s="361">
        <f>M2-M10</f>
        <v>186633059267459.31</v>
      </c>
      <c r="N12" s="361">
        <f>N2-N10</f>
        <v>201003198593557.72</v>
      </c>
      <c r="O12" s="361">
        <f>O2-O10</f>
        <v>247369671539357.94</v>
      </c>
    </row>
    <row r="13" spans="1:27" ht="14.25" customHeight="1">
      <c r="A13" s="359"/>
      <c r="B13" s="359"/>
      <c r="C13" s="359"/>
      <c r="D13" s="359"/>
      <c r="E13" s="359"/>
      <c r="F13" s="359"/>
      <c r="G13" s="359"/>
      <c r="H13" s="359"/>
      <c r="I13" s="359"/>
      <c r="J13" s="359"/>
      <c r="K13" s="359"/>
      <c r="L13" s="359"/>
      <c r="M13" s="359"/>
      <c r="N13" s="359"/>
      <c r="O13" s="359"/>
    </row>
    <row r="14" spans="1:27" ht="14.25" customHeight="1">
      <c r="A14" s="361" t="s">
        <v>21</v>
      </c>
      <c r="B14" s="361" t="s">
        <v>568</v>
      </c>
      <c r="C14" s="361">
        <v>24532650438985</v>
      </c>
      <c r="D14" s="361">
        <v>35536120578221</v>
      </c>
      <c r="E14" s="361">
        <v>44165626148685</v>
      </c>
      <c r="F14" s="361">
        <v>52472820451654</v>
      </c>
      <c r="G14" s="361">
        <v>71214453522563</v>
      </c>
      <c r="H14" s="361">
        <v>108571380446353</v>
      </c>
      <c r="I14" s="361">
        <v>124645848221080</v>
      </c>
      <c r="J14" s="361">
        <v>106015187198082</v>
      </c>
      <c r="K14" s="361">
        <f>COGS!E7</f>
        <v>108144075649917.02</v>
      </c>
      <c r="L14" s="361">
        <f>COGS!F7</f>
        <v>140055412566365.45</v>
      </c>
      <c r="M14" s="361">
        <f>COGS!G7</f>
        <v>185609750508948.25</v>
      </c>
      <c r="N14" s="361">
        <f>COGS!H7</f>
        <v>211927998522363.75</v>
      </c>
      <c r="O14" s="361">
        <f>COGS!I7</f>
        <v>211925351534712.31</v>
      </c>
    </row>
    <row r="15" spans="1:27" s="466" customFormat="1" ht="14.25" customHeight="1">
      <c r="A15" s="464" t="s">
        <v>22</v>
      </c>
      <c r="B15" s="464" t="s">
        <v>22</v>
      </c>
      <c r="C15" s="464">
        <f t="shared" ref="C15:E15" si="11">C14/C2</f>
        <v>0.72399966430107143</v>
      </c>
      <c r="D15" s="464">
        <f t="shared" si="11"/>
        <v>0.75843032239008212</v>
      </c>
      <c r="E15" s="464">
        <f t="shared" si="11"/>
        <v>0.78058139660985115</v>
      </c>
      <c r="F15" s="464">
        <f t="shared" ref="F15:J15" si="12">F14/F12</f>
        <v>0.82429013843583121</v>
      </c>
      <c r="G15" s="464">
        <f t="shared" si="12"/>
        <v>0.79023120463239283</v>
      </c>
      <c r="H15" s="464">
        <f t="shared" si="12"/>
        <v>0.72535764822582438</v>
      </c>
      <c r="I15" s="464">
        <f t="shared" si="12"/>
        <v>0.88145454883711394</v>
      </c>
      <c r="J15" s="464">
        <f t="shared" si="12"/>
        <v>0.89123571778989397</v>
      </c>
      <c r="K15" s="464">
        <f>K14/K2</f>
        <v>0.92130054002517014</v>
      </c>
      <c r="L15" s="464">
        <f t="shared" ref="L15:M15" si="13">L14/L2</f>
        <v>0.92994568406175049</v>
      </c>
      <c r="M15" s="464">
        <f t="shared" si="13"/>
        <v>0.9841992985976793</v>
      </c>
      <c r="N15" s="464">
        <f>N14/N2</f>
        <v>1.0431920084884669</v>
      </c>
      <c r="O15" s="467">
        <f>O14/O2</f>
        <v>0.84787602087148262</v>
      </c>
      <c r="P15" s="465"/>
      <c r="Q15" s="465"/>
    </row>
    <row r="16" spans="1:27" s="451" customFormat="1" ht="14.25" customHeight="1">
      <c r="A16" s="447" t="s">
        <v>15</v>
      </c>
      <c r="B16" s="447" t="s">
        <v>15</v>
      </c>
      <c r="C16" s="447"/>
      <c r="D16" s="447">
        <f t="shared" ref="D16:J16" si="14">D14/C14-1</f>
        <v>0.44852349592648633</v>
      </c>
      <c r="E16" s="447">
        <f t="shared" si="14"/>
        <v>0.24283758131304745</v>
      </c>
      <c r="F16" s="447">
        <f t="shared" si="14"/>
        <v>0.18809184941706847</v>
      </c>
      <c r="G16" s="447">
        <f t="shared" si="14"/>
        <v>0.35716839517282395</v>
      </c>
      <c r="H16" s="447">
        <f t="shared" si="14"/>
        <v>0.5245694529124505</v>
      </c>
      <c r="I16" s="447">
        <f t="shared" si="14"/>
        <v>0.14805437407761124</v>
      </c>
      <c r="J16" s="447">
        <f t="shared" si="14"/>
        <v>-0.14946876521673991</v>
      </c>
      <c r="K16" s="447"/>
      <c r="L16" s="447"/>
      <c r="M16" s="447"/>
      <c r="N16" s="447"/>
      <c r="O16" s="447"/>
      <c r="P16" s="450"/>
      <c r="Q16" s="450"/>
    </row>
    <row r="17" spans="1:15" ht="14.25" customHeight="1">
      <c r="A17" s="361" t="s">
        <v>545</v>
      </c>
      <c r="B17" s="361" t="s">
        <v>569</v>
      </c>
      <c r="C17" s="361">
        <v>8750559721002</v>
      </c>
      <c r="D17" s="361">
        <v>10625571036083</v>
      </c>
      <c r="E17" s="361">
        <v>11670832231074</v>
      </c>
      <c r="F17" s="361">
        <v>11185372222137</v>
      </c>
      <c r="G17" s="361">
        <v>18904049904154</v>
      </c>
      <c r="H17" s="361">
        <v>41108409532992</v>
      </c>
      <c r="I17" s="361">
        <v>16763426239552</v>
      </c>
      <c r="J17" s="361">
        <v>12937840695572</v>
      </c>
      <c r="K17" s="361">
        <f>K12-K14</f>
        <v>8012438787792.0156</v>
      </c>
      <c r="L17" s="361">
        <f>L12-L14</f>
        <v>9063914750338.9844</v>
      </c>
      <c r="M17" s="361">
        <f>M12-M14</f>
        <v>1023308758511.0625</v>
      </c>
      <c r="N17" s="361">
        <f>N12-N14</f>
        <v>-10924799928806.031</v>
      </c>
      <c r="O17" s="361">
        <f>O12-O14</f>
        <v>35444320004645.625</v>
      </c>
    </row>
    <row r="18" spans="1:15" s="469" customFormat="1" ht="14.25" customHeight="1">
      <c r="A18" s="468"/>
      <c r="B18" s="468"/>
      <c r="C18" s="468">
        <f t="shared" ref="C18:O18" si="15">C17/C2</f>
        <v>0.25824369512004686</v>
      </c>
      <c r="D18" s="468">
        <f t="shared" si="15"/>
        <v>0.22677644985857326</v>
      </c>
      <c r="E18" s="468">
        <f t="shared" si="15"/>
        <v>0.20626979207453741</v>
      </c>
      <c r="F18" s="468">
        <f t="shared" si="15"/>
        <v>0.17293961438061012</v>
      </c>
      <c r="G18" s="468">
        <f t="shared" si="15"/>
        <v>0.20710175673632986</v>
      </c>
      <c r="H18" s="468">
        <f t="shared" si="15"/>
        <v>0.27248408476226404</v>
      </c>
      <c r="I18" s="468">
        <f t="shared" si="15"/>
        <v>0.11741494049153856</v>
      </c>
      <c r="J18" s="468">
        <f t="shared" si="15"/>
        <v>0.10749711933450432</v>
      </c>
      <c r="K18" s="468">
        <f t="shared" si="15"/>
        <v>6.8259533753914595E-2</v>
      </c>
      <c r="L18" s="468">
        <f t="shared" si="15"/>
        <v>6.018295364905879E-2</v>
      </c>
      <c r="M18" s="468">
        <f t="shared" si="15"/>
        <v>5.4261145204593944E-3</v>
      </c>
      <c r="N18" s="468">
        <f t="shared" si="15"/>
        <v>-5.377611292291419E-2</v>
      </c>
      <c r="O18" s="468">
        <f t="shared" si="15"/>
        <v>0.14180648417191369</v>
      </c>
    </row>
    <row r="19" spans="1:15" ht="14.25" customHeight="1">
      <c r="A19" s="360" t="s">
        <v>23</v>
      </c>
      <c r="B19" s="360" t="s">
        <v>570</v>
      </c>
      <c r="C19" s="360">
        <v>197181167853</v>
      </c>
      <c r="D19" s="360">
        <v>186215464700</v>
      </c>
      <c r="E19" s="360">
        <v>294408270741</v>
      </c>
      <c r="F19" s="360">
        <v>471053832011</v>
      </c>
      <c r="G19" s="360">
        <v>1004789766270</v>
      </c>
      <c r="H19" s="360">
        <v>3071440640188</v>
      </c>
      <c r="I19" s="360">
        <v>3743650707331</v>
      </c>
      <c r="J19" s="360">
        <v>3173086404949</v>
      </c>
      <c r="K19" s="360">
        <f>SUM(K21,K23,K25,K27,K29,K33)</f>
        <v>3245591775938.2632</v>
      </c>
      <c r="L19" s="360">
        <f t="shared" ref="L19:O19" si="16">SUM(L21,L23,L25,L27,L29,L33)</f>
        <v>974411879301.84692</v>
      </c>
      <c r="M19" s="360">
        <f t="shared" si="16"/>
        <v>556081058717.85889</v>
      </c>
      <c r="N19" s="360">
        <f t="shared" si="16"/>
        <v>1364906249399.3198</v>
      </c>
      <c r="O19" s="360">
        <f t="shared" si="16"/>
        <v>1452239201484.4795</v>
      </c>
    </row>
    <row r="20" spans="1:15" ht="14.25" customHeight="1">
      <c r="A20" s="357"/>
      <c r="B20" s="357"/>
      <c r="C20" s="357"/>
      <c r="D20" s="357"/>
      <c r="E20" s="357">
        <f t="shared" ref="E20:J20" si="17">SUM(E21,E23,E25,E27,E29,E33)</f>
        <v>293408270741</v>
      </c>
      <c r="F20" s="357">
        <f t="shared" si="17"/>
        <v>471053832011</v>
      </c>
      <c r="G20" s="357">
        <f t="shared" si="17"/>
        <v>1004789766270</v>
      </c>
      <c r="H20" s="357">
        <f t="shared" si="17"/>
        <v>3071440640188</v>
      </c>
      <c r="I20" s="357">
        <f t="shared" si="17"/>
        <v>3743650707331</v>
      </c>
      <c r="J20" s="357">
        <f t="shared" si="17"/>
        <v>3173086404949</v>
      </c>
      <c r="K20" s="357"/>
      <c r="L20" s="357"/>
      <c r="M20" s="357"/>
      <c r="N20" s="357"/>
      <c r="O20" s="357"/>
    </row>
    <row r="21" spans="1:15" ht="14.25" customHeight="1">
      <c r="A21" s="357" t="s">
        <v>24</v>
      </c>
      <c r="B21" s="357" t="s">
        <v>730</v>
      </c>
      <c r="C21" s="357"/>
      <c r="D21" s="357"/>
      <c r="E21" s="357">
        <v>162434005510</v>
      </c>
      <c r="F21" s="357">
        <v>276783283933</v>
      </c>
      <c r="G21" s="357">
        <v>519078206990</v>
      </c>
      <c r="H21" s="357">
        <v>1194370878477</v>
      </c>
      <c r="I21" s="357">
        <v>1822022852374</v>
      </c>
      <c r="J21" s="357">
        <v>1953143453300</v>
      </c>
      <c r="K21" s="357">
        <f>K22*'BS HPG'!K3</f>
        <v>3226482028196.4365</v>
      </c>
      <c r="L21" s="357">
        <f>L22*'BS HPG'!L3</f>
        <v>946768220005.1709</v>
      </c>
      <c r="M21" s="357">
        <f>M22*'BS HPG'!M3</f>
        <v>517673886804.13379</v>
      </c>
      <c r="N21" s="357">
        <f>N22*'BS HPG'!N3</f>
        <v>1334015321742.9968</v>
      </c>
      <c r="O21" s="357">
        <f>O22*'BS HPG'!O3</f>
        <v>1416055391887.8979</v>
      </c>
    </row>
    <row r="22" spans="1:15" s="473" customFormat="1" ht="14.25" customHeight="1">
      <c r="A22" s="470"/>
      <c r="B22" s="470"/>
      <c r="C22" s="470"/>
      <c r="D22" s="470"/>
      <c r="E22" s="470">
        <f>E21/'BS HPG'!F3</f>
        <v>3.5739839489597025E-2</v>
      </c>
      <c r="F22" s="470">
        <f>F21/'BS HPG'!G3</f>
        <v>2.0208913348694121E-2</v>
      </c>
      <c r="G22" s="470">
        <f>G21/'BS HPG'!H3</f>
        <v>2.3099529690775993E-2</v>
      </c>
      <c r="H22" s="470">
        <f>H21/'BS HPG'!I3</f>
        <v>0.14347505803859337</v>
      </c>
      <c r="I22" s="470">
        <f>I21/'BS HPG'!J3</f>
        <v>0.14871226573100801</v>
      </c>
      <c r="J22" s="470">
        <f>J21/'BS HPG'!J3</f>
        <v>0.15941423998029378</v>
      </c>
      <c r="K22" s="470">
        <f t="shared" ref="K22:O22" si="18">AVERAGE(H22:J22)</f>
        <v>0.15053385458329838</v>
      </c>
      <c r="L22" s="470">
        <f t="shared" si="18"/>
        <v>0.15288678676486672</v>
      </c>
      <c r="M22" s="470">
        <f t="shared" si="18"/>
        <v>0.15427829377615296</v>
      </c>
      <c r="N22" s="470">
        <f t="shared" si="18"/>
        <v>0.152566311708106</v>
      </c>
      <c r="O22" s="470">
        <f t="shared" si="18"/>
        <v>0.1532437974163752</v>
      </c>
    </row>
    <row r="23" spans="1:15" ht="14.25" customHeight="1">
      <c r="A23" s="357" t="s">
        <v>25</v>
      </c>
      <c r="B23" s="357" t="s">
        <v>732</v>
      </c>
      <c r="C23" s="357"/>
      <c r="D23" s="357"/>
      <c r="E23" s="357">
        <v>115851955886</v>
      </c>
      <c r="F23" s="357">
        <v>177270502599</v>
      </c>
      <c r="G23" s="357">
        <v>483165239031</v>
      </c>
      <c r="H23" s="357">
        <v>1259713002137</v>
      </c>
      <c r="I23" s="357">
        <v>1886624826804</v>
      </c>
      <c r="J23" s="357">
        <v>1207078334480</v>
      </c>
      <c r="K23" s="357">
        <v>0</v>
      </c>
      <c r="L23" s="357">
        <v>0</v>
      </c>
      <c r="M23" s="357">
        <v>0</v>
      </c>
      <c r="N23" s="357">
        <v>0</v>
      </c>
      <c r="O23" s="357">
        <v>0</v>
      </c>
    </row>
    <row r="24" spans="1:15" ht="14.25" customHeight="1">
      <c r="A24" s="357"/>
      <c r="B24" s="357"/>
      <c r="C24" s="357"/>
      <c r="D24" s="357"/>
      <c r="E24" s="357">
        <f t="shared" ref="E24:J24" si="19">E23-E40</f>
        <v>-49343202663</v>
      </c>
      <c r="F24" s="357">
        <f t="shared" si="19"/>
        <v>-11283838109</v>
      </c>
      <c r="G24" s="357">
        <f t="shared" si="19"/>
        <v>-10711845929</v>
      </c>
      <c r="H24" s="357">
        <f t="shared" si="19"/>
        <v>267207185535</v>
      </c>
      <c r="I24" s="357">
        <f t="shared" si="19"/>
        <v>-1524672594633</v>
      </c>
      <c r="J24" s="357">
        <f t="shared" si="19"/>
        <v>152721591181</v>
      </c>
      <c r="K24" s="357"/>
      <c r="L24" s="357"/>
      <c r="M24" s="357"/>
      <c r="N24" s="357"/>
      <c r="O24" s="357"/>
    </row>
    <row r="25" spans="1:15" ht="14.25" customHeight="1">
      <c r="A25" s="357" t="s">
        <v>26</v>
      </c>
      <c r="B25" s="357" t="s">
        <v>731</v>
      </c>
      <c r="C25" s="357"/>
      <c r="D25" s="357"/>
      <c r="E25" s="357">
        <v>7311244552</v>
      </c>
      <c r="F25" s="357">
        <v>15303987880</v>
      </c>
      <c r="G25" s="357">
        <v>490877510</v>
      </c>
      <c r="H25" s="357">
        <v>46626960525</v>
      </c>
      <c r="I25" s="357">
        <v>11596235876</v>
      </c>
      <c r="J25" s="357">
        <v>3629798335</v>
      </c>
      <c r="K25" s="357">
        <v>0</v>
      </c>
      <c r="L25" s="357">
        <v>0</v>
      </c>
      <c r="M25" s="357">
        <v>0</v>
      </c>
      <c r="N25" s="357">
        <v>0</v>
      </c>
      <c r="O25" s="357">
        <v>0</v>
      </c>
    </row>
    <row r="26" spans="1:15" ht="14.25" customHeight="1">
      <c r="A26" s="357"/>
      <c r="B26" s="357"/>
      <c r="C26" s="357"/>
      <c r="D26" s="357"/>
      <c r="E26" s="357">
        <f t="shared" ref="E26:J26" si="20">E25-E42</f>
        <v>-29910869480</v>
      </c>
      <c r="F26" s="357">
        <f t="shared" si="20"/>
        <v>-24183514856</v>
      </c>
      <c r="G26" s="357">
        <f t="shared" si="20"/>
        <v>-52078870772</v>
      </c>
      <c r="H26" s="357">
        <f t="shared" si="20"/>
        <v>-41938831417</v>
      </c>
      <c r="I26" s="357">
        <f t="shared" si="20"/>
        <v>-333983153559</v>
      </c>
      <c r="J26" s="357">
        <f t="shared" si="20"/>
        <v>-291243752578</v>
      </c>
      <c r="K26" s="357"/>
      <c r="L26" s="357"/>
      <c r="M26" s="357"/>
      <c r="N26" s="357"/>
      <c r="O26" s="357"/>
    </row>
    <row r="27" spans="1:15" ht="14.25" customHeight="1">
      <c r="A27" s="357" t="s">
        <v>27</v>
      </c>
      <c r="B27" s="357" t="s">
        <v>571</v>
      </c>
      <c r="C27" s="357"/>
      <c r="D27" s="357"/>
      <c r="E27" s="357">
        <v>3963967200</v>
      </c>
      <c r="F27" s="357">
        <v>0</v>
      </c>
      <c r="G27" s="357"/>
      <c r="H27" s="357"/>
      <c r="I27" s="357"/>
      <c r="J27" s="357"/>
      <c r="K27" s="357">
        <v>0</v>
      </c>
      <c r="L27" s="357">
        <v>0</v>
      </c>
      <c r="M27" s="357">
        <v>0</v>
      </c>
      <c r="N27" s="357">
        <v>0</v>
      </c>
      <c r="O27" s="357">
        <v>0</v>
      </c>
    </row>
    <row r="28" spans="1:15" ht="14.25" customHeight="1">
      <c r="A28" s="357"/>
      <c r="B28" s="357"/>
      <c r="C28" s="357"/>
      <c r="D28" s="357"/>
      <c r="E28" s="357"/>
      <c r="F28" s="357"/>
      <c r="G28" s="357"/>
      <c r="H28" s="357"/>
      <c r="I28" s="357"/>
      <c r="J28" s="357"/>
      <c r="L28" s="357"/>
      <c r="M28" s="357"/>
      <c r="N28" s="357"/>
      <c r="O28" s="357"/>
    </row>
    <row r="29" spans="1:15" ht="14.25" customHeight="1">
      <c r="A29" s="357" t="s">
        <v>28</v>
      </c>
      <c r="B29" s="357" t="s">
        <v>572</v>
      </c>
      <c r="C29" s="357"/>
      <c r="D29" s="357"/>
      <c r="E29" s="357">
        <v>3847097593</v>
      </c>
      <c r="F29" s="357">
        <v>1696057599</v>
      </c>
      <c r="G29" s="357">
        <v>2055442739</v>
      </c>
      <c r="H29" s="357">
        <v>66508449795</v>
      </c>
      <c r="I29" s="357">
        <v>21677909468</v>
      </c>
      <c r="J29" s="357">
        <v>4690900408</v>
      </c>
      <c r="K29" s="357">
        <f>K30*K2</f>
        <v>15973347124.326641</v>
      </c>
      <c r="L29" s="357">
        <f t="shared" ref="L29:O29" si="21">L30*L2</f>
        <v>23803499774.926018</v>
      </c>
      <c r="M29" s="357">
        <f t="shared" si="21"/>
        <v>34918891844.100082</v>
      </c>
      <c r="N29" s="357">
        <f t="shared" si="21"/>
        <v>27226707860.635448</v>
      </c>
      <c r="O29" s="357">
        <f t="shared" si="21"/>
        <v>32607559663.925381</v>
      </c>
    </row>
    <row r="30" spans="1:15" s="473" customFormat="1" ht="14.25" customHeight="1">
      <c r="A30" s="470"/>
      <c r="B30" s="470"/>
      <c r="C30" s="470">
        <f t="shared" ref="C30:J30" si="22">C29/C2</f>
        <v>0</v>
      </c>
      <c r="D30" s="470">
        <f t="shared" si="22"/>
        <v>0</v>
      </c>
      <c r="E30" s="470">
        <f t="shared" si="22"/>
        <v>6.7993439104174189E-5</v>
      </c>
      <c r="F30" s="470">
        <f t="shared" si="22"/>
        <v>2.6223136907135005E-5</v>
      </c>
      <c r="G30" s="470">
        <f t="shared" si="22"/>
        <v>2.2518233091645236E-5</v>
      </c>
      <c r="H30" s="470">
        <f t="shared" si="22"/>
        <v>4.4084639316447304E-4</v>
      </c>
      <c r="I30" s="470">
        <f t="shared" si="22"/>
        <v>1.5183712528651919E-4</v>
      </c>
      <c r="J30" s="474">
        <f t="shared" si="22"/>
        <v>3.8975459105601313E-5</v>
      </c>
      <c r="K30" s="474">
        <f t="shared" ref="K30:O30" si="23">AVERAGE(F30:J30)</f>
        <v>1.3608006951107475E-4</v>
      </c>
      <c r="L30" s="470">
        <f t="shared" si="23"/>
        <v>1.580514560318627E-4</v>
      </c>
      <c r="M30" s="470">
        <f t="shared" si="23"/>
        <v>1.8515810061990617E-4</v>
      </c>
      <c r="N30" s="470">
        <f t="shared" si="23"/>
        <v>1.3402044211099283E-4</v>
      </c>
      <c r="O30" s="470">
        <f t="shared" si="23"/>
        <v>1.3045710547588755E-4</v>
      </c>
    </row>
    <row r="31" spans="1:15" ht="14.25" customHeight="1">
      <c r="A31" s="357"/>
      <c r="B31" s="357"/>
      <c r="C31" s="357"/>
      <c r="D31" s="357"/>
      <c r="E31" s="357">
        <f t="shared" ref="E31:J31" si="24">SUM(E24,E26)</f>
        <v>-79254072143</v>
      </c>
      <c r="F31" s="357">
        <f t="shared" si="24"/>
        <v>-35467352965</v>
      </c>
      <c r="G31" s="357">
        <f t="shared" si="24"/>
        <v>-62790716701</v>
      </c>
      <c r="H31" s="357">
        <f t="shared" si="24"/>
        <v>225268354118</v>
      </c>
      <c r="I31" s="357">
        <f t="shared" si="24"/>
        <v>-1858655748192</v>
      </c>
      <c r="J31" s="357">
        <f t="shared" si="24"/>
        <v>-138522161397</v>
      </c>
      <c r="K31" s="357"/>
      <c r="L31" s="357"/>
      <c r="M31" s="357"/>
      <c r="N31" s="357"/>
      <c r="O31" s="357"/>
    </row>
    <row r="32" spans="1:15" ht="14.25" customHeight="1">
      <c r="A32" s="357"/>
      <c r="B32" s="357"/>
      <c r="C32" s="357"/>
      <c r="D32" s="357"/>
      <c r="E32" s="357"/>
      <c r="F32" s="357"/>
      <c r="G32" s="357"/>
      <c r="H32" s="357"/>
      <c r="I32" s="357"/>
      <c r="J32" s="357"/>
      <c r="K32" s="357"/>
      <c r="L32" s="357"/>
      <c r="M32" s="357"/>
      <c r="N32" s="357"/>
      <c r="O32" s="357"/>
    </row>
    <row r="33" spans="1:17" ht="14.25" customHeight="1">
      <c r="A33" s="357" t="s">
        <v>29</v>
      </c>
      <c r="B33" s="357" t="s">
        <v>573</v>
      </c>
      <c r="C33" s="357"/>
      <c r="D33" s="357"/>
      <c r="E33" s="357"/>
      <c r="F33" s="357"/>
      <c r="G33" s="357"/>
      <c r="H33" s="357">
        <v>504221349254</v>
      </c>
      <c r="I33" s="357">
        <v>1728882809</v>
      </c>
      <c r="J33" s="357">
        <v>4543918426</v>
      </c>
      <c r="K33" s="357">
        <f t="shared" ref="K33:O33" si="25">AVERAGE(I33:J33)</f>
        <v>3136400617.5</v>
      </c>
      <c r="L33" s="357">
        <f t="shared" si="25"/>
        <v>3840159521.75</v>
      </c>
      <c r="M33" s="357">
        <f t="shared" si="25"/>
        <v>3488280069.625</v>
      </c>
      <c r="N33" s="357">
        <f t="shared" si="25"/>
        <v>3664219795.6875</v>
      </c>
      <c r="O33" s="357">
        <f t="shared" si="25"/>
        <v>3576249932.65625</v>
      </c>
    </row>
    <row r="34" spans="1:17" ht="14.25" customHeight="1">
      <c r="A34" s="357"/>
      <c r="B34" s="357"/>
      <c r="C34" s="357"/>
      <c r="D34" s="357"/>
      <c r="E34" s="357"/>
      <c r="F34" s="357"/>
      <c r="G34" s="357"/>
      <c r="H34" s="357"/>
      <c r="I34" s="357"/>
      <c r="J34" s="357"/>
      <c r="K34" s="357"/>
      <c r="L34" s="357"/>
      <c r="M34" s="357"/>
      <c r="N34" s="357"/>
      <c r="O34" s="357"/>
    </row>
    <row r="35" spans="1:17" ht="14.25" customHeight="1">
      <c r="A35" s="360" t="s">
        <v>30</v>
      </c>
      <c r="B35" s="360" t="s">
        <v>574</v>
      </c>
      <c r="C35" s="360">
        <v>367986756135</v>
      </c>
      <c r="D35" s="360">
        <v>555756583746</v>
      </c>
      <c r="E35" s="360">
        <v>772317161901</v>
      </c>
      <c r="F35" s="360">
        <v>1181675710916</v>
      </c>
      <c r="G35" s="360">
        <v>2837406430588</v>
      </c>
      <c r="H35" s="360">
        <v>3731542257873</v>
      </c>
      <c r="I35" s="360">
        <v>7026723285241</v>
      </c>
      <c r="J35" s="360">
        <v>5191511844389</v>
      </c>
      <c r="K35" s="360">
        <f t="shared" ref="K35:O35" si="26">SUM(K36,K38,K40,K42,K44,K46)</f>
        <v>3927520019160.6426</v>
      </c>
      <c r="L35" s="360">
        <f t="shared" si="26"/>
        <v>3775790707572.7407</v>
      </c>
      <c r="M35" s="360">
        <f t="shared" si="26"/>
        <v>3081721115146.8853</v>
      </c>
      <c r="N35" s="360">
        <f t="shared" si="26"/>
        <v>3050808358100.5996</v>
      </c>
      <c r="O35" s="360">
        <f t="shared" si="26"/>
        <v>2997130610811.7617</v>
      </c>
    </row>
    <row r="36" spans="1:17" ht="14.25" customHeight="1">
      <c r="A36" s="357" t="s">
        <v>31</v>
      </c>
      <c r="B36" s="357" t="s">
        <v>262</v>
      </c>
      <c r="C36" s="357"/>
      <c r="D36" s="357"/>
      <c r="E36" s="357">
        <v>539861243640</v>
      </c>
      <c r="F36" s="357">
        <v>936710218359</v>
      </c>
      <c r="G36" s="357">
        <v>2191680923417</v>
      </c>
      <c r="H36" s="357">
        <v>2525823258237</v>
      </c>
      <c r="I36" s="357">
        <v>3083638131818</v>
      </c>
      <c r="J36" s="357">
        <v>3585077683881</v>
      </c>
      <c r="K36" s="357">
        <f>'Debt waterfall'!F31</f>
        <v>1609025546528.1084</v>
      </c>
      <c r="L36" s="357">
        <f>'Debt waterfall'!G31</f>
        <v>1093979280481.645</v>
      </c>
      <c r="M36" s="357">
        <f>'Debt waterfall'!H31</f>
        <v>805791092243.33826</v>
      </c>
      <c r="N36" s="357">
        <f>'Debt waterfall'!I31</f>
        <v>574520018522.479</v>
      </c>
      <c r="O36" s="357">
        <f>'Debt waterfall'!J31</f>
        <v>447787203143.06256</v>
      </c>
    </row>
    <row r="37" spans="1:17" ht="14.25" customHeight="1">
      <c r="A37" s="357"/>
      <c r="B37" s="357"/>
      <c r="C37" s="357"/>
      <c r="D37" s="357"/>
      <c r="E37" s="357"/>
      <c r="F37" s="357"/>
      <c r="G37" s="357"/>
      <c r="H37" s="357"/>
      <c r="I37" s="357"/>
      <c r="J37" s="357"/>
      <c r="K37" s="357"/>
      <c r="L37" s="357"/>
      <c r="M37" s="357"/>
      <c r="N37" s="357"/>
      <c r="O37" s="357"/>
    </row>
    <row r="38" spans="1:17" ht="14.25" customHeight="1">
      <c r="A38" s="357" t="s">
        <v>32</v>
      </c>
      <c r="B38" s="357" t="s">
        <v>575</v>
      </c>
      <c r="C38" s="357"/>
      <c r="D38" s="357"/>
      <c r="E38" s="357">
        <v>13562300498</v>
      </c>
      <c r="F38" s="357">
        <v>12037994693</v>
      </c>
      <c r="G38" s="357">
        <v>10304712000</v>
      </c>
      <c r="H38" s="357">
        <v>0</v>
      </c>
      <c r="I38" s="357">
        <v>14473105</v>
      </c>
      <c r="J38" s="357">
        <v>431823526</v>
      </c>
      <c r="K38" s="357">
        <f t="shared" ref="K38:O38" si="27">K10*K39</f>
        <v>195209882.21045339</v>
      </c>
      <c r="L38" s="357">
        <f t="shared" si="27"/>
        <v>177616632.30153075</v>
      </c>
      <c r="M38" s="357">
        <f t="shared" si="27"/>
        <v>292188276.65052402</v>
      </c>
      <c r="N38" s="357">
        <f t="shared" si="27"/>
        <v>395672077.46012872</v>
      </c>
      <c r="O38" s="357">
        <f t="shared" si="27"/>
        <v>394642080.53047901</v>
      </c>
    </row>
    <row r="39" spans="1:17" ht="14.25" customHeight="1">
      <c r="A39" s="357"/>
      <c r="B39" s="357"/>
      <c r="C39" s="357"/>
      <c r="D39" s="357"/>
      <c r="E39" s="357">
        <f t="shared" ref="E39:J39" si="28">E38/E10</f>
        <v>1.8229748374887021E-2</v>
      </c>
      <c r="F39" s="357">
        <f t="shared" si="28"/>
        <v>1.1805266821531844E-2</v>
      </c>
      <c r="G39" s="357">
        <f t="shared" si="28"/>
        <v>8.8792516364740726E-3</v>
      </c>
      <c r="H39" s="357">
        <f t="shared" si="28"/>
        <v>0</v>
      </c>
      <c r="I39" s="357">
        <f t="shared" si="28"/>
        <v>1.0629981654191727E-5</v>
      </c>
      <c r="J39" s="357">
        <f t="shared" si="28"/>
        <v>3.0796061875710748E-4</v>
      </c>
      <c r="K39" s="357">
        <f>AVERAGE(I39:J39)</f>
        <v>1.5929530020564962E-4</v>
      </c>
      <c r="L39" s="357">
        <f t="shared" ref="L39:O39" si="29">AVERAGE(H39:K39)</f>
        <v>1.1947147515423721E-4</v>
      </c>
      <c r="M39" s="357">
        <f t="shared" si="29"/>
        <v>1.4933934394279651E-4</v>
      </c>
      <c r="N39" s="357">
        <f t="shared" si="29"/>
        <v>1.8401668451494772E-4</v>
      </c>
      <c r="O39" s="357">
        <f t="shared" si="29"/>
        <v>1.5303070095440776E-4</v>
      </c>
    </row>
    <row r="40" spans="1:17" ht="14.25" customHeight="1">
      <c r="A40" s="357" t="s">
        <v>33</v>
      </c>
      <c r="B40" s="357" t="s">
        <v>733</v>
      </c>
      <c r="C40" s="357"/>
      <c r="D40" s="357"/>
      <c r="E40" s="357">
        <v>165195158549</v>
      </c>
      <c r="F40" s="357">
        <v>188554340708</v>
      </c>
      <c r="G40" s="357">
        <v>493877084960</v>
      </c>
      <c r="H40" s="357">
        <v>992505816602</v>
      </c>
      <c r="I40" s="357">
        <v>3411297421437</v>
      </c>
      <c r="J40" s="357">
        <v>1054356743299</v>
      </c>
      <c r="K40" s="357">
        <f t="shared" ref="K40:O42" si="30">AVERAGE(H40:J40)</f>
        <v>1819386660446</v>
      </c>
      <c r="L40" s="357">
        <f t="shared" si="30"/>
        <v>2095013608394</v>
      </c>
      <c r="M40" s="357">
        <f t="shared" si="30"/>
        <v>1656252337379.6667</v>
      </c>
      <c r="N40" s="357">
        <f t="shared" si="30"/>
        <v>1856884202073.2224</v>
      </c>
      <c r="O40" s="357">
        <f t="shared" si="30"/>
        <v>1869383382615.6299</v>
      </c>
    </row>
    <row r="41" spans="1:17" ht="14.25" customHeight="1">
      <c r="A41" s="357"/>
      <c r="B41" s="357"/>
      <c r="C41" s="357"/>
      <c r="D41" s="357"/>
      <c r="E41" s="357"/>
      <c r="F41" s="357"/>
      <c r="G41" s="357"/>
      <c r="H41" s="357"/>
      <c r="I41" s="357"/>
      <c r="J41" s="357"/>
      <c r="K41" s="357" t="e">
        <f t="shared" si="30"/>
        <v>#DIV/0!</v>
      </c>
      <c r="L41" s="357"/>
      <c r="M41" s="357"/>
      <c r="N41" s="357"/>
      <c r="O41" s="357"/>
    </row>
    <row r="42" spans="1:17" ht="14.25" customHeight="1">
      <c r="A42" s="357" t="s">
        <v>34</v>
      </c>
      <c r="B42" s="357" t="s">
        <v>734</v>
      </c>
      <c r="C42" s="357"/>
      <c r="D42" s="357"/>
      <c r="E42" s="357">
        <v>37222114032</v>
      </c>
      <c r="F42" s="357">
        <v>39487502736</v>
      </c>
      <c r="G42" s="357">
        <v>52569748282</v>
      </c>
      <c r="H42" s="357">
        <v>88565791942</v>
      </c>
      <c r="I42" s="357">
        <v>345579389435</v>
      </c>
      <c r="J42" s="357">
        <v>294873550913</v>
      </c>
      <c r="K42" s="357">
        <f t="shared" si="30"/>
        <v>243006244096.66666</v>
      </c>
      <c r="L42" s="357">
        <f t="shared" si="30"/>
        <v>294486394814.88885</v>
      </c>
      <c r="M42" s="357">
        <f t="shared" si="30"/>
        <v>277455396608.18512</v>
      </c>
      <c r="N42" s="357">
        <f t="shared" si="30"/>
        <v>271649345173.24692</v>
      </c>
      <c r="O42" s="357">
        <f t="shared" si="30"/>
        <v>281197045532.10699</v>
      </c>
    </row>
    <row r="43" spans="1:17" ht="14.25" customHeight="1">
      <c r="A43" s="357"/>
      <c r="B43" s="357"/>
      <c r="C43" s="357"/>
      <c r="D43" s="357"/>
      <c r="E43" s="357"/>
      <c r="F43" s="357"/>
      <c r="G43" s="357"/>
      <c r="H43" s="357"/>
      <c r="I43" s="357"/>
      <c r="J43" s="357"/>
      <c r="K43" s="357"/>
      <c r="L43" s="357"/>
      <c r="M43" s="357"/>
      <c r="N43" s="357"/>
      <c r="O43" s="357"/>
    </row>
    <row r="44" spans="1:17" ht="14.25" customHeight="1">
      <c r="A44" s="357" t="s">
        <v>35</v>
      </c>
      <c r="B44" s="357" t="s">
        <v>576</v>
      </c>
      <c r="C44" s="357"/>
      <c r="D44" s="357"/>
      <c r="E44" s="357">
        <v>16476345182</v>
      </c>
      <c r="F44" s="357">
        <v>4885654420</v>
      </c>
      <c r="G44" s="357">
        <v>88973961929</v>
      </c>
      <c r="H44" s="357">
        <v>124647391092</v>
      </c>
      <c r="I44" s="357">
        <v>186193869446</v>
      </c>
      <c r="J44" s="357">
        <v>121647098745</v>
      </c>
      <c r="K44" s="357">
        <f t="shared" ref="K44:O44" si="31">K45*K2</f>
        <v>120781414182.65714</v>
      </c>
      <c r="L44" s="357">
        <f t="shared" si="31"/>
        <v>157008863224.90588</v>
      </c>
      <c r="M44" s="357">
        <f t="shared" si="31"/>
        <v>206805156614.04471</v>
      </c>
      <c r="N44" s="357">
        <f t="shared" si="31"/>
        <v>212234176229.19067</v>
      </c>
      <c r="O44" s="357">
        <f t="shared" si="31"/>
        <v>263243393415.43225</v>
      </c>
    </row>
    <row r="45" spans="1:17" ht="14.25" customHeight="1">
      <c r="A45" s="357"/>
      <c r="B45" s="357"/>
      <c r="C45" s="357"/>
      <c r="D45" s="357"/>
      <c r="E45" s="357">
        <f t="shared" ref="E45:J45" si="32">E44/E2</f>
        <v>2.9120222341904873E-4</v>
      </c>
      <c r="F45" s="357">
        <f t="shared" si="32"/>
        <v>7.5538227482455488E-5</v>
      </c>
      <c r="G45" s="357">
        <f t="shared" si="32"/>
        <v>9.7474688824420288E-4</v>
      </c>
      <c r="H45" s="357">
        <f t="shared" si="32"/>
        <v>8.2621611163158912E-4</v>
      </c>
      <c r="I45" s="357">
        <f t="shared" si="32"/>
        <v>1.3041452140201408E-3</v>
      </c>
      <c r="J45" s="357">
        <f t="shared" si="32"/>
        <v>1.0107337845768208E-3</v>
      </c>
      <c r="K45" s="357">
        <f t="shared" ref="K45:O45" si="33">AVERAGE(G45:J45)</f>
        <v>1.0289604996181884E-3</v>
      </c>
      <c r="L45" s="357">
        <f t="shared" si="33"/>
        <v>1.0425139024616847E-3</v>
      </c>
      <c r="M45" s="357">
        <f t="shared" si="33"/>
        <v>1.0965883501692086E-3</v>
      </c>
      <c r="N45" s="357">
        <f t="shared" si="33"/>
        <v>1.0446991342064756E-3</v>
      </c>
      <c r="O45" s="357">
        <f t="shared" si="33"/>
        <v>1.0531904716138893E-3</v>
      </c>
    </row>
    <row r="46" spans="1:17" ht="14.25" customHeight="1">
      <c r="A46" s="357" t="s">
        <v>36</v>
      </c>
      <c r="B46" s="357" t="s">
        <v>577</v>
      </c>
      <c r="C46" s="357"/>
      <c r="D46" s="357"/>
      <c r="E46" s="357"/>
      <c r="F46" s="357"/>
      <c r="G46" s="357"/>
      <c r="H46" s="357"/>
      <c r="I46" s="357">
        <v>0</v>
      </c>
      <c r="J46" s="357">
        <v>135124944025</v>
      </c>
      <c r="K46" s="357">
        <v>135124944025</v>
      </c>
      <c r="L46" s="357">
        <v>135124944025</v>
      </c>
      <c r="M46" s="357">
        <v>135124944025</v>
      </c>
      <c r="N46" s="357">
        <v>135124944025</v>
      </c>
      <c r="O46" s="357">
        <v>135124944025</v>
      </c>
    </row>
    <row r="47" spans="1:17" ht="14.25" customHeight="1">
      <c r="A47" s="357"/>
      <c r="B47" s="357"/>
      <c r="C47" s="357"/>
      <c r="D47" s="357"/>
      <c r="E47" s="357"/>
      <c r="F47" s="357"/>
      <c r="G47" s="357"/>
      <c r="H47" s="357"/>
      <c r="I47" s="357"/>
      <c r="J47" s="357"/>
      <c r="K47" s="357"/>
      <c r="L47" s="357"/>
      <c r="M47" s="357"/>
      <c r="N47" s="357"/>
      <c r="O47" s="357"/>
    </row>
    <row r="48" spans="1:17" s="451" customFormat="1" ht="14.25" customHeight="1">
      <c r="A48" s="447" t="s">
        <v>22</v>
      </c>
      <c r="B48" s="447" t="s">
        <v>22</v>
      </c>
      <c r="C48" s="447">
        <f t="shared" ref="C48:J48" si="34">C35/C2</f>
        <v>1.0859906416210407E-2</v>
      </c>
      <c r="D48" s="447">
        <f t="shared" si="34"/>
        <v>1.1861245350434101E-2</v>
      </c>
      <c r="E48" s="447">
        <f t="shared" si="34"/>
        <v>1.3649900645196415E-2</v>
      </c>
      <c r="F48" s="447">
        <f t="shared" si="34"/>
        <v>1.8270160144004847E-2</v>
      </c>
      <c r="G48" s="447">
        <f t="shared" si="34"/>
        <v>3.1084971703370663E-2</v>
      </c>
      <c r="H48" s="447">
        <f t="shared" si="34"/>
        <v>2.4734254826185968E-2</v>
      </c>
      <c r="I48" s="447">
        <f t="shared" si="34"/>
        <v>4.921680595584077E-2</v>
      </c>
      <c r="J48" s="447">
        <f t="shared" si="34"/>
        <v>4.3134908010869097E-2</v>
      </c>
      <c r="K48" s="447"/>
      <c r="L48" s="447"/>
      <c r="M48" s="447"/>
      <c r="N48" s="447"/>
      <c r="O48" s="447"/>
      <c r="P48" s="450"/>
      <c r="Q48" s="450"/>
    </row>
    <row r="49" spans="1:17" s="451" customFormat="1" ht="14.25" customHeight="1">
      <c r="A49" s="447" t="s">
        <v>15</v>
      </c>
      <c r="B49" s="447" t="s">
        <v>15</v>
      </c>
      <c r="C49" s="447"/>
      <c r="D49" s="447">
        <f t="shared" ref="D49:J49" si="35">D35/C35-1</f>
        <v>0.51026246048407931</v>
      </c>
      <c r="E49" s="447">
        <f t="shared" si="35"/>
        <v>0.38966803900963898</v>
      </c>
      <c r="F49" s="447">
        <f t="shared" si="35"/>
        <v>0.53003943096045547</v>
      </c>
      <c r="G49" s="447">
        <f t="shared" si="35"/>
        <v>1.4011718311350636</v>
      </c>
      <c r="H49" s="447">
        <f t="shared" si="35"/>
        <v>0.31512433948340179</v>
      </c>
      <c r="I49" s="447">
        <f t="shared" si="35"/>
        <v>0.88306142598697823</v>
      </c>
      <c r="J49" s="447">
        <f t="shared" si="35"/>
        <v>-0.26117599432251681</v>
      </c>
      <c r="K49" s="447"/>
      <c r="L49" s="447"/>
      <c r="M49" s="447"/>
      <c r="N49" s="447"/>
      <c r="O49" s="447"/>
      <c r="P49" s="450"/>
      <c r="Q49" s="450"/>
    </row>
    <row r="50" spans="1:17" ht="14.25" customHeight="1">
      <c r="A50" s="357" t="s">
        <v>37</v>
      </c>
      <c r="B50" s="357" t="s">
        <v>578</v>
      </c>
      <c r="C50" s="357">
        <v>279951879407</v>
      </c>
      <c r="D50" s="357">
        <v>479707569855</v>
      </c>
      <c r="E50" s="357">
        <v>539861243640</v>
      </c>
      <c r="F50" s="357">
        <v>936710218359</v>
      </c>
      <c r="G50" s="357">
        <v>2191680923417</v>
      </c>
      <c r="H50" s="357">
        <v>2525823258237</v>
      </c>
      <c r="I50" s="357">
        <v>3083638131818</v>
      </c>
      <c r="J50" s="357">
        <v>3585077683881</v>
      </c>
      <c r="K50" s="357"/>
      <c r="L50" s="357"/>
      <c r="M50" s="357"/>
      <c r="N50" s="357"/>
      <c r="O50" s="357"/>
    </row>
    <row r="51" spans="1:17" s="455" customFormat="1" ht="14.25" customHeight="1">
      <c r="A51" s="453" t="s">
        <v>38</v>
      </c>
      <c r="B51" s="453" t="s">
        <v>579</v>
      </c>
      <c r="C51" s="453">
        <v>-534948182</v>
      </c>
      <c r="D51" s="453">
        <v>-159611603</v>
      </c>
      <c r="E51" s="453"/>
      <c r="F51" s="453">
        <v>-1431313615</v>
      </c>
      <c r="G51" s="453">
        <v>1964631764</v>
      </c>
      <c r="H51" s="453">
        <v>4465302865</v>
      </c>
      <c r="I51" s="453">
        <v>-1072667584</v>
      </c>
      <c r="J51" s="453">
        <v>-1072667584</v>
      </c>
      <c r="K51" s="453">
        <f t="shared" ref="K51:O51" si="36">K52*K2</f>
        <v>294997295.19018179</v>
      </c>
      <c r="L51" s="453">
        <f t="shared" si="36"/>
        <v>1120771017.3131146</v>
      </c>
      <c r="M51" s="453">
        <f t="shared" si="36"/>
        <v>872305640.28823984</v>
      </c>
      <c r="N51" s="453">
        <f t="shared" si="36"/>
        <v>-74980991.263535529</v>
      </c>
      <c r="O51" s="453">
        <f t="shared" si="36"/>
        <v>264880436.2287176</v>
      </c>
      <c r="P51" s="454"/>
      <c r="Q51" s="454"/>
    </row>
    <row r="52" spans="1:17" s="473" customFormat="1" ht="14.25" customHeight="1">
      <c r="A52" s="470"/>
      <c r="B52" s="470"/>
      <c r="C52" s="470">
        <f t="shared" ref="C52:J52" si="37">C51/C2</f>
        <v>-1.5787218146271053E-5</v>
      </c>
      <c r="D52" s="470">
        <f t="shared" si="37"/>
        <v>-3.4065136416347671E-6</v>
      </c>
      <c r="E52" s="470">
        <f t="shared" si="37"/>
        <v>0</v>
      </c>
      <c r="F52" s="470">
        <f t="shared" si="37"/>
        <v>-2.2129869236352111E-5</v>
      </c>
      <c r="G52" s="470">
        <f t="shared" si="37"/>
        <v>2.1523360958488929E-5</v>
      </c>
      <c r="H52" s="470">
        <f t="shared" si="37"/>
        <v>2.9597933322605085E-5</v>
      </c>
      <c r="I52" s="470">
        <f t="shared" si="37"/>
        <v>-7.5132135127244938E-6</v>
      </c>
      <c r="J52" s="470">
        <f t="shared" si="37"/>
        <v>-8.9125131462599492E-6</v>
      </c>
      <c r="K52" s="470">
        <f t="shared" ref="K52:O52" si="38">AVERAGE(F52:J52)</f>
        <v>2.5131396771514922E-6</v>
      </c>
      <c r="L52" s="470">
        <f t="shared" si="38"/>
        <v>7.4417414598522125E-6</v>
      </c>
      <c r="M52" s="470">
        <f t="shared" si="38"/>
        <v>4.6254175601248696E-6</v>
      </c>
      <c r="N52" s="470">
        <f t="shared" si="38"/>
        <v>-3.6908559237117357E-7</v>
      </c>
      <c r="O52" s="470">
        <f t="shared" si="38"/>
        <v>1.0597399916994903E-6</v>
      </c>
    </row>
    <row r="53" spans="1:17" s="455" customFormat="1" ht="14.25" customHeight="1">
      <c r="A53" s="453" t="s">
        <v>39</v>
      </c>
      <c r="B53" s="453" t="s">
        <v>580</v>
      </c>
      <c r="C53" s="453">
        <v>489954015797</v>
      </c>
      <c r="D53" s="453">
        <v>594707868484</v>
      </c>
      <c r="E53" s="453">
        <v>676809221259</v>
      </c>
      <c r="F53" s="453">
        <v>873333584688</v>
      </c>
      <c r="G53" s="453">
        <v>1090795558423</v>
      </c>
      <c r="H53" s="453">
        <v>2120068223228</v>
      </c>
      <c r="I53" s="453">
        <v>2665806087302</v>
      </c>
      <c r="J53" s="453">
        <v>1961362129952</v>
      </c>
      <c r="K53" s="453">
        <f t="shared" ref="K53:O53" si="39">K54*K2</f>
        <v>1918063951419.1716</v>
      </c>
      <c r="L53" s="453">
        <f t="shared" si="39"/>
        <v>2575801164091.5366</v>
      </c>
      <c r="M53" s="453">
        <f t="shared" si="39"/>
        <v>3126797636761.5293</v>
      </c>
      <c r="N53" s="453">
        <f t="shared" si="39"/>
        <v>3387459456630.4897</v>
      </c>
      <c r="O53" s="453">
        <f t="shared" si="39"/>
        <v>4195569771209.459</v>
      </c>
      <c r="P53" s="454"/>
      <c r="Q53" s="454"/>
    </row>
    <row r="54" spans="1:17" ht="14.25" customHeight="1">
      <c r="A54" s="357"/>
      <c r="B54" s="357"/>
      <c r="C54" s="357">
        <f t="shared" ref="C54:J54" si="40">C53/C2</f>
        <v>1.4459364830645919E-2</v>
      </c>
      <c r="D54" s="357">
        <f t="shared" si="40"/>
        <v>1.2692563878192996E-2</v>
      </c>
      <c r="E54" s="357">
        <f t="shared" si="40"/>
        <v>1.1961897367654684E-2</v>
      </c>
      <c r="F54" s="357">
        <f t="shared" si="40"/>
        <v>1.3502811561573864E-2</v>
      </c>
      <c r="G54" s="357">
        <f t="shared" si="40"/>
        <v>1.1950120610925197E-2</v>
      </c>
      <c r="H54" s="357">
        <f t="shared" si="40"/>
        <v>1.4052717096150694E-2</v>
      </c>
      <c r="I54" s="357">
        <f t="shared" si="40"/>
        <v>1.8671926528004968E-2</v>
      </c>
      <c r="J54" s="357">
        <f t="shared" si="40"/>
        <v>1.6296442652427183E-2</v>
      </c>
      <c r="K54" s="357">
        <f t="shared" ref="K54:O54" si="41">AVERAGE(H54:J54)</f>
        <v>1.6340362092194281E-2</v>
      </c>
      <c r="L54" s="357">
        <f t="shared" si="41"/>
        <v>1.7102910424208809E-2</v>
      </c>
      <c r="M54" s="357">
        <f t="shared" si="41"/>
        <v>1.6579905056276757E-2</v>
      </c>
      <c r="N54" s="357">
        <f t="shared" si="41"/>
        <v>1.6674392524226617E-2</v>
      </c>
      <c r="O54" s="357">
        <f t="shared" si="41"/>
        <v>1.6785736001570729E-2</v>
      </c>
    </row>
    <row r="55" spans="1:17" ht="14.25" customHeight="1">
      <c r="A55" s="453" t="s">
        <v>40</v>
      </c>
      <c r="B55" s="453" t="s">
        <v>581</v>
      </c>
      <c r="C55" s="453">
        <v>404587312609</v>
      </c>
      <c r="D55" s="453">
        <v>409038156382</v>
      </c>
      <c r="E55" s="453">
        <v>444024985823</v>
      </c>
      <c r="F55" s="453">
        <v>569005805722</v>
      </c>
      <c r="G55" s="453">
        <v>690298504185</v>
      </c>
      <c r="H55" s="453">
        <v>1324261548679</v>
      </c>
      <c r="I55" s="453">
        <v>1019444279447</v>
      </c>
      <c r="J55" s="453">
        <v>1307290336873</v>
      </c>
      <c r="K55" s="453">
        <f t="shared" ref="K55:O55" si="42">K56*K2</f>
        <v>1047834752767.8419</v>
      </c>
      <c r="L55" s="453">
        <f t="shared" si="42"/>
        <v>1351893112388.6038</v>
      </c>
      <c r="M55" s="453">
        <f t="shared" si="42"/>
        <v>1808259724616.5232</v>
      </c>
      <c r="N55" s="453">
        <f t="shared" si="42"/>
        <v>1861656877873.3242</v>
      </c>
      <c r="O55" s="453">
        <f t="shared" si="42"/>
        <v>2310231345800.9966</v>
      </c>
    </row>
    <row r="56" spans="1:17" ht="14.25" customHeight="1">
      <c r="A56" s="357"/>
      <c r="B56" s="357"/>
      <c r="C56" s="357">
        <f t="shared" ref="C56:J56" si="43">C55/C2</f>
        <v>1.194005022970962E-2</v>
      </c>
      <c r="D56" s="357">
        <f t="shared" si="43"/>
        <v>8.7299045525181408E-3</v>
      </c>
      <c r="E56" s="357">
        <f t="shared" si="43"/>
        <v>7.8476786991891513E-3</v>
      </c>
      <c r="F56" s="357">
        <f t="shared" si="43"/>
        <v>8.7975297261131923E-3</v>
      </c>
      <c r="G56" s="357">
        <f t="shared" si="43"/>
        <v>7.5625082251692313E-3</v>
      </c>
      <c r="H56" s="357">
        <f t="shared" si="43"/>
        <v>8.7777707816221757E-3</v>
      </c>
      <c r="I56" s="357">
        <f t="shared" si="43"/>
        <v>7.1404250953955237E-3</v>
      </c>
      <c r="J56" s="357">
        <f t="shared" si="43"/>
        <v>1.0861931960236444E-2</v>
      </c>
      <c r="K56" s="357">
        <f t="shared" ref="K56:O56" si="44">AVERAGE(H56:J56)</f>
        <v>8.9267092790847134E-3</v>
      </c>
      <c r="L56" s="357">
        <f t="shared" si="44"/>
        <v>8.9763554449055604E-3</v>
      </c>
      <c r="M56" s="357">
        <f t="shared" si="44"/>
        <v>9.5883322280755721E-3</v>
      </c>
      <c r="N56" s="357">
        <f t="shared" si="44"/>
        <v>9.163798984021948E-3</v>
      </c>
      <c r="O56" s="357">
        <f t="shared" si="44"/>
        <v>9.2428288856676935E-3</v>
      </c>
    </row>
    <row r="57" spans="1:17" ht="14.25" customHeight="1">
      <c r="A57" s="361" t="s">
        <v>543</v>
      </c>
      <c r="B57" s="361" t="s">
        <v>582</v>
      </c>
      <c r="C57" s="361">
        <v>7684677856132</v>
      </c>
      <c r="D57" s="361">
        <v>9252124280568</v>
      </c>
      <c r="E57" s="361">
        <v>10072089132832</v>
      </c>
      <c r="F57" s="361">
        <v>9030979639207</v>
      </c>
      <c r="G57" s="361">
        <v>15292303808992</v>
      </c>
      <c r="H57" s="361">
        <v>37008443446265</v>
      </c>
      <c r="I57" s="361">
        <v>9794030627309</v>
      </c>
      <c r="J57" s="361">
        <v>7650762789307</v>
      </c>
      <c r="K57" s="456">
        <f t="shared" ref="K57:O57" si="45">K17+K19-K35+K51-K53-K55</f>
        <v>4364906837677.8135</v>
      </c>
      <c r="L57" s="456">
        <f t="shared" si="45"/>
        <v>2335962416605.2646</v>
      </c>
      <c r="M57" s="456">
        <f t="shared" si="45"/>
        <v>-6436516353655.7285</v>
      </c>
      <c r="N57" s="456">
        <f t="shared" si="45"/>
        <v>-17859893353002.391</v>
      </c>
      <c r="O57" s="456">
        <f t="shared" si="45"/>
        <v>27393892358744.113</v>
      </c>
    </row>
    <row r="58" spans="1:17" s="451" customFormat="1" ht="14.25" customHeight="1">
      <c r="A58" s="447" t="s">
        <v>15</v>
      </c>
      <c r="B58" s="447" t="s">
        <v>15</v>
      </c>
      <c r="C58" s="447"/>
      <c r="D58" s="447">
        <f t="shared" ref="D58:J58" si="46">D57/C57-1</f>
        <v>0.2039703490218856</v>
      </c>
      <c r="E58" s="447">
        <f t="shared" si="46"/>
        <v>8.8624496104764861E-2</v>
      </c>
      <c r="F58" s="447">
        <f t="shared" si="46"/>
        <v>-0.10336579431483528</v>
      </c>
      <c r="G58" s="448">
        <f t="shared" si="46"/>
        <v>0.69331616501516113</v>
      </c>
      <c r="H58" s="448">
        <f t="shared" si="46"/>
        <v>1.4200698539943821</v>
      </c>
      <c r="I58" s="448">
        <f t="shared" si="46"/>
        <v>-0.73535686142732271</v>
      </c>
      <c r="J58" s="448">
        <f t="shared" si="46"/>
        <v>-0.21883409594675551</v>
      </c>
      <c r="K58" s="447"/>
      <c r="L58" s="447"/>
      <c r="M58" s="447"/>
      <c r="N58" s="447"/>
      <c r="O58" s="447"/>
      <c r="P58" s="450"/>
      <c r="Q58" s="450"/>
    </row>
    <row r="59" spans="1:17" ht="14.25" customHeight="1">
      <c r="A59" s="359"/>
      <c r="B59" s="359"/>
      <c r="C59" s="359"/>
      <c r="D59" s="359"/>
      <c r="E59" s="359"/>
      <c r="F59" s="359"/>
      <c r="G59" s="457"/>
      <c r="H59" s="457"/>
      <c r="I59" s="457"/>
      <c r="J59" s="457"/>
      <c r="K59" s="357"/>
      <c r="L59" s="357"/>
      <c r="M59" s="357"/>
      <c r="N59" s="357"/>
      <c r="O59" s="357"/>
    </row>
    <row r="60" spans="1:17" s="452" customFormat="1" ht="14.25" customHeight="1">
      <c r="A60" s="359" t="s">
        <v>41</v>
      </c>
      <c r="B60" s="359" t="s">
        <v>583</v>
      </c>
      <c r="C60" s="359">
        <v>434468369665</v>
      </c>
      <c r="D60" s="359">
        <v>432791811829</v>
      </c>
      <c r="E60" s="359">
        <v>488856588036</v>
      </c>
      <c r="F60" s="359">
        <v>657680931477</v>
      </c>
      <c r="G60" s="359">
        <v>654081334225</v>
      </c>
      <c r="H60" s="359">
        <v>796666105925</v>
      </c>
      <c r="I60" s="359">
        <v>872024724926</v>
      </c>
      <c r="J60" s="359">
        <v>771973465495</v>
      </c>
      <c r="K60" s="359">
        <f t="shared" ref="K60:O60" si="47">K2*K61</f>
        <v>732709017469.9303</v>
      </c>
      <c r="L60" s="359">
        <f t="shared" si="47"/>
        <v>905319986278.71179</v>
      </c>
      <c r="M60" s="359">
        <f t="shared" si="47"/>
        <v>1168089142919.0232</v>
      </c>
      <c r="N60" s="359">
        <f t="shared" si="47"/>
        <v>1262659925823.3508</v>
      </c>
      <c r="O60" s="359">
        <f t="shared" si="47"/>
        <v>1541081979500.4148</v>
      </c>
    </row>
    <row r="61" spans="1:17" s="473" customFormat="1" ht="14.25" customHeight="1">
      <c r="A61" s="470"/>
      <c r="B61" s="470"/>
      <c r="C61" s="470">
        <f t="shared" ref="C61:J61" si="48">C60/C2</f>
        <v>1.2821890344429822E-2</v>
      </c>
      <c r="D61" s="470">
        <f t="shared" si="48"/>
        <v>9.2368673910462242E-3</v>
      </c>
      <c r="E61" s="470">
        <f t="shared" si="48"/>
        <v>8.6400305284119495E-3</v>
      </c>
      <c r="F61" s="470">
        <f t="shared" si="48"/>
        <v>1.0168556255107139E-2</v>
      </c>
      <c r="G61" s="470">
        <f t="shared" si="48"/>
        <v>7.1657340121956386E-3</v>
      </c>
      <c r="H61" s="470">
        <f t="shared" si="48"/>
        <v>5.280642992521312E-3</v>
      </c>
      <c r="I61" s="470">
        <f t="shared" si="48"/>
        <v>6.10786421112161E-3</v>
      </c>
      <c r="J61" s="470">
        <f t="shared" si="48"/>
        <v>6.4141247133912074E-3</v>
      </c>
      <c r="K61" s="470">
        <f t="shared" ref="K61:O61" si="49">AVERAGE(G61:J61)</f>
        <v>6.2420914823074422E-3</v>
      </c>
      <c r="L61" s="470">
        <f t="shared" si="49"/>
        <v>6.0111808498353927E-3</v>
      </c>
      <c r="M61" s="470">
        <f t="shared" si="49"/>
        <v>6.1938153141639137E-3</v>
      </c>
      <c r="N61" s="470">
        <f t="shared" si="49"/>
        <v>6.2153030899244899E-3</v>
      </c>
      <c r="O61" s="470">
        <f t="shared" si="49"/>
        <v>6.1655976840578096E-3</v>
      </c>
    </row>
    <row r="62" spans="1:17" s="452" customFormat="1" ht="14.25" customHeight="1">
      <c r="A62" s="359" t="s">
        <v>42</v>
      </c>
      <c r="B62" s="359" t="s">
        <v>584</v>
      </c>
      <c r="C62" s="359">
        <v>417322272122</v>
      </c>
      <c r="D62" s="359">
        <v>396546349700</v>
      </c>
      <c r="E62" s="359">
        <v>489872848566</v>
      </c>
      <c r="F62" s="359">
        <v>591998447298</v>
      </c>
      <c r="G62" s="359">
        <v>589418351516</v>
      </c>
      <c r="H62" s="359">
        <v>748331838000</v>
      </c>
      <c r="I62" s="359">
        <v>743114224951</v>
      </c>
      <c r="J62" s="359">
        <v>630007511629</v>
      </c>
      <c r="K62" s="359">
        <f t="shared" ref="K62:O62" si="50">K63*K2</f>
        <v>641407349544.36401</v>
      </c>
      <c r="L62" s="359">
        <f t="shared" si="50"/>
        <v>785562831852.15723</v>
      </c>
      <c r="M62" s="359">
        <f t="shared" si="50"/>
        <v>995743604917.39868</v>
      </c>
      <c r="N62" s="359">
        <f t="shared" si="50"/>
        <v>1076449085999.9718</v>
      </c>
      <c r="O62" s="359">
        <f t="shared" si="50"/>
        <v>1328409977123.925</v>
      </c>
    </row>
    <row r="63" spans="1:17" s="473" customFormat="1" ht="14.25" customHeight="1">
      <c r="A63" s="470"/>
      <c r="B63" s="470"/>
      <c r="C63" s="470">
        <f t="shared" ref="C63:J63" si="51">C62/C2</f>
        <v>1.2315880245925398E-2</v>
      </c>
      <c r="D63" s="470">
        <f t="shared" si="51"/>
        <v>8.4632979332556462E-3</v>
      </c>
      <c r="E63" s="470">
        <f t="shared" si="51"/>
        <v>8.6579918737613015E-3</v>
      </c>
      <c r="F63" s="470">
        <f t="shared" si="51"/>
        <v>9.1530242495654786E-3</v>
      </c>
      <c r="G63" s="470">
        <f t="shared" si="51"/>
        <v>6.4573240480481102E-3</v>
      </c>
      <c r="H63" s="470">
        <f t="shared" si="51"/>
        <v>4.9602628341104717E-3</v>
      </c>
      <c r="I63" s="470">
        <f t="shared" si="51"/>
        <v>5.2049450544406888E-3</v>
      </c>
      <c r="J63" s="470">
        <f t="shared" si="51"/>
        <v>5.2345668997451321E-3</v>
      </c>
      <c r="K63" s="470">
        <f t="shared" ref="K63:O63" si="52">AVERAGE(G63:J63)</f>
        <v>5.4642747090861013E-3</v>
      </c>
      <c r="L63" s="470">
        <f t="shared" si="52"/>
        <v>5.2160123743455987E-3</v>
      </c>
      <c r="M63" s="470">
        <f t="shared" si="52"/>
        <v>5.2799497594043805E-3</v>
      </c>
      <c r="N63" s="470">
        <f t="shared" si="52"/>
        <v>5.2987009356453025E-3</v>
      </c>
      <c r="O63" s="470">
        <f t="shared" si="52"/>
        <v>5.3147344446203455E-3</v>
      </c>
    </row>
    <row r="64" spans="1:17" ht="14.25" customHeight="1">
      <c r="A64" s="361" t="s">
        <v>43</v>
      </c>
      <c r="B64" s="361" t="s">
        <v>585</v>
      </c>
      <c r="C64" s="361">
        <v>17146097543</v>
      </c>
      <c r="D64" s="361">
        <v>36245462129</v>
      </c>
      <c r="E64" s="361">
        <v>-1016260530</v>
      </c>
      <c r="F64" s="361">
        <v>65682484179</v>
      </c>
      <c r="G64" s="361">
        <v>64662982709</v>
      </c>
      <c r="H64" s="361">
        <v>48334267925</v>
      </c>
      <c r="I64" s="361">
        <v>128910499975</v>
      </c>
      <c r="J64" s="361">
        <v>141965953866</v>
      </c>
      <c r="K64" s="361">
        <f t="shared" ref="K64:O64" si="53">K60-K62</f>
        <v>91301667925.566284</v>
      </c>
      <c r="L64" s="361">
        <f t="shared" si="53"/>
        <v>119757154426.55457</v>
      </c>
      <c r="M64" s="361">
        <f t="shared" si="53"/>
        <v>172345538001.62451</v>
      </c>
      <c r="N64" s="361">
        <f t="shared" si="53"/>
        <v>186210839823.37903</v>
      </c>
      <c r="O64" s="361">
        <f t="shared" si="53"/>
        <v>212672002376.48975</v>
      </c>
    </row>
    <row r="65" spans="1:27" ht="14.25" customHeight="1">
      <c r="A65" s="359"/>
      <c r="B65" s="359"/>
      <c r="C65" s="359"/>
      <c r="D65" s="359"/>
      <c r="E65" s="359"/>
      <c r="F65" s="359"/>
      <c r="G65" s="359"/>
      <c r="H65" s="359"/>
      <c r="I65" s="359"/>
      <c r="J65" s="359"/>
      <c r="K65" s="359"/>
      <c r="L65" s="359"/>
      <c r="M65" s="359"/>
      <c r="N65" s="359"/>
      <c r="O65" s="359"/>
    </row>
    <row r="66" spans="1:27" ht="14.25" customHeight="1">
      <c r="A66" s="361" t="s">
        <v>44</v>
      </c>
      <c r="B66" s="361" t="s">
        <v>586</v>
      </c>
      <c r="C66" s="361">
        <v>7701823953675</v>
      </c>
      <c r="D66" s="361">
        <v>9288369742697</v>
      </c>
      <c r="E66" s="361">
        <v>10071072872302</v>
      </c>
      <c r="F66" s="361">
        <v>9096662123386</v>
      </c>
      <c r="G66" s="361">
        <v>15356966791701</v>
      </c>
      <c r="H66" s="361">
        <v>37056777714190</v>
      </c>
      <c r="I66" s="361">
        <v>9922941127284</v>
      </c>
      <c r="J66" s="361">
        <v>7792728743173</v>
      </c>
      <c r="K66" s="361">
        <f t="shared" ref="K66:O66" si="54">K57+K64</f>
        <v>4456208505603.3799</v>
      </c>
      <c r="L66" s="361">
        <f t="shared" si="54"/>
        <v>2455719571031.8193</v>
      </c>
      <c r="M66" s="361">
        <f t="shared" si="54"/>
        <v>-6264170815654.1035</v>
      </c>
      <c r="N66" s="361">
        <f t="shared" si="54"/>
        <v>-17673682513179.012</v>
      </c>
      <c r="O66" s="361">
        <f t="shared" si="54"/>
        <v>27606564361120.602</v>
      </c>
    </row>
    <row r="67" spans="1:27" ht="14.25" customHeight="1">
      <c r="A67" s="359"/>
      <c r="B67" s="359"/>
      <c r="C67" s="359"/>
      <c r="D67" s="359"/>
      <c r="E67" s="359"/>
      <c r="F67" s="359"/>
      <c r="G67" s="359"/>
      <c r="H67" s="359"/>
      <c r="I67" s="359"/>
      <c r="J67" s="359"/>
      <c r="K67" s="359"/>
      <c r="L67" s="359"/>
      <c r="M67" s="359"/>
      <c r="N67" s="359"/>
      <c r="O67" s="359"/>
    </row>
    <row r="68" spans="1:27" s="452" customFormat="1" ht="14.25" customHeight="1">
      <c r="A68" s="359" t="s">
        <v>45</v>
      </c>
      <c r="B68" s="359" t="s">
        <v>736</v>
      </c>
      <c r="C68" s="359">
        <v>1138489987447</v>
      </c>
      <c r="D68" s="359">
        <v>1317628785035</v>
      </c>
      <c r="E68" s="359">
        <v>1506320087551</v>
      </c>
      <c r="F68" s="359">
        <v>1603307926680</v>
      </c>
      <c r="G68" s="359">
        <v>1784567843866</v>
      </c>
      <c r="H68" s="359">
        <v>2855306347167</v>
      </c>
      <c r="I68" s="359">
        <v>1001020240086</v>
      </c>
      <c r="J68" s="359">
        <v>1073551888059</v>
      </c>
      <c r="K68" s="359">
        <f t="shared" ref="K68:O68" si="55">K66*K69</f>
        <v>579307105728.43945</v>
      </c>
      <c r="L68" s="359">
        <f t="shared" si="55"/>
        <v>270129152813.50012</v>
      </c>
      <c r="M68" s="359">
        <f t="shared" si="55"/>
        <v>-563775373408.86926</v>
      </c>
      <c r="N68" s="359">
        <f t="shared" si="55"/>
        <v>-2297578726713.2715</v>
      </c>
      <c r="O68" s="359">
        <f t="shared" si="55"/>
        <v>3588853366945.6782</v>
      </c>
    </row>
    <row r="69" spans="1:27" s="473" customFormat="1" ht="14.25" customHeight="1">
      <c r="A69" s="470"/>
      <c r="B69" s="470"/>
      <c r="C69" s="470">
        <f t="shared" ref="C69:J69" si="56">C68/C66</f>
        <v>0.14782082715663197</v>
      </c>
      <c r="D69" s="470">
        <f t="shared" si="56"/>
        <v>0.14185791710875725</v>
      </c>
      <c r="E69" s="470">
        <f t="shared" si="56"/>
        <v>0.14956897906019145</v>
      </c>
      <c r="F69" s="470">
        <f t="shared" si="56"/>
        <v>0.17625233354091088</v>
      </c>
      <c r="G69" s="470">
        <f t="shared" si="56"/>
        <v>0.11620575000724698</v>
      </c>
      <c r="H69" s="470">
        <f t="shared" si="56"/>
        <v>7.7052202681768239E-2</v>
      </c>
      <c r="I69" s="470">
        <f t="shared" si="56"/>
        <v>0.1008793892098792</v>
      </c>
      <c r="J69" s="470">
        <f t="shared" si="56"/>
        <v>0.13776328208517585</v>
      </c>
      <c r="K69" s="470">
        <v>0.13</v>
      </c>
      <c r="L69" s="472">
        <v>0.11</v>
      </c>
      <c r="M69" s="472">
        <v>0.09</v>
      </c>
      <c r="N69" s="470">
        <v>0.13</v>
      </c>
      <c r="O69" s="470">
        <v>0.13</v>
      </c>
    </row>
    <row r="70" spans="1:27" s="452" customFormat="1" ht="14.25" customHeight="1">
      <c r="A70" s="359" t="s">
        <v>46</v>
      </c>
      <c r="B70" s="359" t="s">
        <v>735</v>
      </c>
      <c r="C70" s="359">
        <v>-42868760701</v>
      </c>
      <c r="D70" s="359">
        <v>-44015628386</v>
      </c>
      <c r="E70" s="359">
        <v>-35797921476</v>
      </c>
      <c r="F70" s="359">
        <v>-84894039523</v>
      </c>
      <c r="G70" s="359">
        <v>66234890928</v>
      </c>
      <c r="H70" s="359">
        <v>-319483564275</v>
      </c>
      <c r="I70" s="359">
        <v>477491832682</v>
      </c>
      <c r="J70" s="359">
        <v>-81211459967</v>
      </c>
      <c r="K70" s="359">
        <f t="shared" ref="K70:O70" si="57">K71*K66</f>
        <v>37198320745.97142</v>
      </c>
      <c r="L70" s="359">
        <f t="shared" si="57"/>
        <v>22976090382.775124</v>
      </c>
      <c r="M70" s="359">
        <f t="shared" si="57"/>
        <v>-86762259322.539993</v>
      </c>
      <c r="N70" s="359">
        <f t="shared" si="57"/>
        <v>-93373590650.842957</v>
      </c>
      <c r="O70" s="359">
        <f t="shared" si="57"/>
        <v>254238776746.70364</v>
      </c>
    </row>
    <row r="71" spans="1:27" s="473" customFormat="1" ht="14.25" customHeight="1">
      <c r="A71" s="470"/>
      <c r="B71" s="470"/>
      <c r="C71" s="470">
        <f t="shared" ref="C71:J71" si="58">C70/C66</f>
        <v>-5.566053049102058E-3</v>
      </c>
      <c r="D71" s="470">
        <f t="shared" si="58"/>
        <v>-4.7387894329473023E-3</v>
      </c>
      <c r="E71" s="470">
        <f t="shared" si="58"/>
        <v>-3.5545290884006356E-3</v>
      </c>
      <c r="F71" s="470">
        <f t="shared" si="58"/>
        <v>-9.3324384671550666E-3</v>
      </c>
      <c r="G71" s="470">
        <f t="shared" si="58"/>
        <v>4.3130190894072745E-3</v>
      </c>
      <c r="H71" s="470">
        <f t="shared" si="58"/>
        <v>-8.6214610115077934E-3</v>
      </c>
      <c r="I71" s="470">
        <f t="shared" si="58"/>
        <v>4.8119990490429712E-2</v>
      </c>
      <c r="J71" s="470">
        <f t="shared" si="58"/>
        <v>-1.0421440633121892E-2</v>
      </c>
      <c r="K71" s="470">
        <f t="shared" ref="K71:O71" si="59">AVERAGE(G71:J71)</f>
        <v>8.3475269838018257E-3</v>
      </c>
      <c r="L71" s="470">
        <f t="shared" si="59"/>
        <v>9.3561539574004635E-3</v>
      </c>
      <c r="M71" s="470">
        <f t="shared" si="59"/>
        <v>1.3850557699627527E-2</v>
      </c>
      <c r="N71" s="470">
        <f t="shared" si="59"/>
        <v>5.2831995019269815E-3</v>
      </c>
      <c r="O71" s="470">
        <f t="shared" si="59"/>
        <v>9.2093595356891999E-3</v>
      </c>
    </row>
    <row r="72" spans="1:27" ht="14.25" customHeight="1">
      <c r="A72" s="361" t="s">
        <v>47</v>
      </c>
      <c r="B72" s="361" t="s">
        <v>587</v>
      </c>
      <c r="C72" s="361">
        <v>6606202726929</v>
      </c>
      <c r="D72" s="361">
        <v>8014756586048</v>
      </c>
      <c r="E72" s="361">
        <v>8600550706227</v>
      </c>
      <c r="F72" s="361">
        <v>7578248236229</v>
      </c>
      <c r="G72" s="361">
        <v>13506164056907</v>
      </c>
      <c r="H72" s="361">
        <v>34520954931298</v>
      </c>
      <c r="I72" s="361">
        <v>8444429054516</v>
      </c>
      <c r="J72" s="361">
        <v>6800388315081</v>
      </c>
      <c r="K72" s="361">
        <f>K66-K68</f>
        <v>3876901399874.9404</v>
      </c>
      <c r="L72" s="361">
        <f t="shared" ref="L72:O72" si="60">L66-L68</f>
        <v>2185590418218.3193</v>
      </c>
      <c r="M72" s="361">
        <f t="shared" si="60"/>
        <v>-5700395442245.2344</v>
      </c>
      <c r="N72" s="361">
        <f t="shared" si="60"/>
        <v>-15376103786465.74</v>
      </c>
      <c r="O72" s="361">
        <f t="shared" si="60"/>
        <v>24017710994174.922</v>
      </c>
      <c r="R72" s="452"/>
      <c r="S72" s="452"/>
      <c r="T72" s="452"/>
      <c r="U72" s="452"/>
      <c r="V72" s="452"/>
      <c r="W72" s="452"/>
      <c r="X72" s="452"/>
      <c r="Y72" s="452"/>
      <c r="Z72" s="452"/>
      <c r="AA72" s="452"/>
    </row>
    <row r="73" spans="1:27" s="451" customFormat="1" ht="14.25" customHeight="1">
      <c r="A73" s="447" t="s">
        <v>15</v>
      </c>
      <c r="B73" s="447" t="s">
        <v>15</v>
      </c>
      <c r="C73" s="447"/>
      <c r="D73" s="447">
        <f t="shared" ref="D73:J73" si="61">D72/C72-1</f>
        <v>0.21321686865243827</v>
      </c>
      <c r="E73" s="447">
        <f t="shared" si="61"/>
        <v>7.3089446184646967E-2</v>
      </c>
      <c r="F73" s="448">
        <f t="shared" si="61"/>
        <v>-0.11886476865461992</v>
      </c>
      <c r="G73" s="448">
        <f t="shared" si="61"/>
        <v>0.78222771752694409</v>
      </c>
      <c r="H73" s="448">
        <f t="shared" si="61"/>
        <v>1.5559407383063824</v>
      </c>
      <c r="I73" s="448">
        <f t="shared" si="61"/>
        <v>-0.75538251849284843</v>
      </c>
      <c r="J73" s="448">
        <f t="shared" si="61"/>
        <v>-0.19468938975285521</v>
      </c>
      <c r="K73" s="447"/>
      <c r="L73" s="447"/>
      <c r="M73" s="447"/>
      <c r="N73" s="447"/>
      <c r="O73" s="447"/>
      <c r="P73" s="450"/>
      <c r="Q73" s="450"/>
    </row>
    <row r="74" spans="1:27" s="451" customFormat="1" ht="14.25" customHeight="1">
      <c r="A74" s="464" t="s">
        <v>52</v>
      </c>
      <c r="B74" s="464" t="s">
        <v>588</v>
      </c>
      <c r="C74" s="464">
        <f t="shared" ref="C74:G74" si="62">C72/C12</f>
        <v>0.1984845420611189</v>
      </c>
      <c r="D74" s="464">
        <f t="shared" si="62"/>
        <v>0.17362354596997673</v>
      </c>
      <c r="E74" s="464">
        <f t="shared" si="62"/>
        <v>0.15403109287004391</v>
      </c>
      <c r="F74" s="464">
        <f t="shared" si="62"/>
        <v>0.11904592194539439</v>
      </c>
      <c r="G74" s="464">
        <f t="shared" si="62"/>
        <v>0.14987115346284027</v>
      </c>
      <c r="H74" s="464">
        <f t="shared" ref="H74:J74" si="63">H72/H2</f>
        <v>0.22881962392694574</v>
      </c>
      <c r="I74" s="464">
        <f t="shared" si="63"/>
        <v>5.9146747255143059E-2</v>
      </c>
      <c r="J74" s="464">
        <f t="shared" si="63"/>
        <v>5.6502639924869737E-2</v>
      </c>
      <c r="K74" s="464">
        <f>K72/K2</f>
        <v>3.3028081583421083E-2</v>
      </c>
      <c r="L74" s="464">
        <f>L72/L2</f>
        <v>1.4511973077697006E-2</v>
      </c>
      <c r="M74" s="464">
        <f>M72/M2</f>
        <v>-3.0226457287957476E-2</v>
      </c>
      <c r="N74" s="464">
        <f>N72/N2</f>
        <v>-7.5687161222530344E-2</v>
      </c>
      <c r="O74" s="464">
        <f>O72/O2</f>
        <v>9.6090633238122836E-2</v>
      </c>
      <c r="P74" s="450"/>
      <c r="Q74" s="450"/>
    </row>
    <row r="75" spans="1:27" s="451" customFormat="1" ht="14.25" customHeight="1">
      <c r="A75" s="447"/>
      <c r="B75" s="447"/>
      <c r="C75" s="447"/>
      <c r="D75" s="447"/>
      <c r="E75" s="447"/>
      <c r="F75" s="447"/>
      <c r="G75" s="447"/>
      <c r="H75" s="447"/>
      <c r="I75" s="471">
        <f t="shared" ref="I75:J75" si="64">I72/6800000000</f>
        <v>1241.827802134706</v>
      </c>
      <c r="J75" s="471">
        <f t="shared" si="64"/>
        <v>1000.0571051589706</v>
      </c>
      <c r="K75" s="471">
        <f>K72/6800000000</f>
        <v>570.13255880513827</v>
      </c>
      <c r="L75" s="471">
        <f t="shared" ref="L75:O75" si="65">L72/6800000000</f>
        <v>321.41035562034108</v>
      </c>
      <c r="M75" s="471">
        <f t="shared" si="65"/>
        <v>-838.29344738900511</v>
      </c>
      <c r="N75" s="471">
        <f t="shared" si="65"/>
        <v>-2261.1917333037854</v>
      </c>
      <c r="O75" s="471">
        <f t="shared" si="65"/>
        <v>3532.0163226727827</v>
      </c>
      <c r="P75" s="450"/>
      <c r="Q75" s="450"/>
    </row>
    <row r="76" spans="1:27" ht="14.25" customHeight="1">
      <c r="A76" s="357" t="s">
        <v>48</v>
      </c>
      <c r="B76" s="357" t="s">
        <v>589</v>
      </c>
      <c r="C76" s="357">
        <v>6602102000272</v>
      </c>
      <c r="D76" s="357">
        <v>8006672113847</v>
      </c>
      <c r="E76" s="357">
        <v>8573014210414</v>
      </c>
      <c r="F76" s="357">
        <v>7527442867874</v>
      </c>
      <c r="G76" s="357">
        <v>13450300052812</v>
      </c>
      <c r="H76" s="357">
        <v>34478143197460</v>
      </c>
      <c r="I76" s="357">
        <v>8483510554031</v>
      </c>
      <c r="J76" s="357">
        <v>6835064334356</v>
      </c>
      <c r="K76" s="357"/>
      <c r="L76" s="357"/>
      <c r="M76" s="357"/>
      <c r="N76" s="357"/>
      <c r="O76" s="357"/>
    </row>
    <row r="77" spans="1:27" ht="14.25" customHeight="1">
      <c r="A77" s="357"/>
      <c r="B77" s="357"/>
      <c r="C77" s="357">
        <f t="shared" ref="C77:J77" si="66">C76/C72</f>
        <v>0.99937926115402365</v>
      </c>
      <c r="D77" s="357">
        <f t="shared" si="66"/>
        <v>0.99899130159298</v>
      </c>
      <c r="E77" s="357">
        <f t="shared" si="66"/>
        <v>0.99679828690585326</v>
      </c>
      <c r="F77" s="357">
        <f t="shared" si="66"/>
        <v>0.99329589546669672</v>
      </c>
      <c r="G77" s="357">
        <f t="shared" si="66"/>
        <v>0.99586381419182957</v>
      </c>
      <c r="H77" s="357">
        <f t="shared" si="66"/>
        <v>0.99875983344252206</v>
      </c>
      <c r="I77" s="357">
        <f t="shared" si="66"/>
        <v>1.0046280807456247</v>
      </c>
      <c r="J77" s="357">
        <f t="shared" si="66"/>
        <v>1.0050991234130116</v>
      </c>
      <c r="K77" s="357"/>
      <c r="L77" s="357"/>
      <c r="M77" s="357"/>
      <c r="N77" s="357"/>
      <c r="O77" s="357"/>
    </row>
    <row r="78" spans="1:27" ht="14.25" customHeight="1">
      <c r="A78" s="357" t="s">
        <v>49</v>
      </c>
      <c r="B78" s="357" t="s">
        <v>590</v>
      </c>
      <c r="C78" s="357">
        <v>4100726657</v>
      </c>
      <c r="D78" s="357">
        <v>8084472201</v>
      </c>
      <c r="E78" s="357">
        <v>27536495813</v>
      </c>
      <c r="F78" s="357">
        <v>50805368355</v>
      </c>
      <c r="G78" s="357">
        <v>55864004095</v>
      </c>
      <c r="H78" s="357">
        <v>42811733838</v>
      </c>
      <c r="I78" s="357">
        <v>-39081499515</v>
      </c>
      <c r="J78" s="357">
        <v>-34676019275</v>
      </c>
      <c r="K78" s="357"/>
      <c r="L78" s="357"/>
      <c r="M78" s="357"/>
      <c r="N78" s="357"/>
      <c r="O78" s="357"/>
    </row>
    <row r="79" spans="1:27" ht="14.25" customHeight="1">
      <c r="A79" s="357" t="s">
        <v>50</v>
      </c>
      <c r="B79" s="357" t="s">
        <v>50</v>
      </c>
      <c r="C79" s="357">
        <v>7162</v>
      </c>
      <c r="D79" s="357">
        <v>5895</v>
      </c>
      <c r="E79" s="357">
        <v>4037</v>
      </c>
      <c r="F79" s="357">
        <v>2726</v>
      </c>
      <c r="G79" s="357">
        <v>3846</v>
      </c>
      <c r="H79" s="357">
        <v>7166</v>
      </c>
      <c r="I79" s="357">
        <v>1452</v>
      </c>
      <c r="J79" s="357">
        <v>1117</v>
      </c>
      <c r="K79" s="357"/>
      <c r="L79" s="357"/>
      <c r="M79" s="357"/>
      <c r="N79" s="357"/>
      <c r="O79" s="357"/>
    </row>
    <row r="80" spans="1:27" ht="14.25" customHeight="1">
      <c r="A80" s="357" t="s">
        <v>51</v>
      </c>
      <c r="B80" s="357" t="s">
        <v>591</v>
      </c>
      <c r="C80" s="357"/>
      <c r="D80" s="357"/>
      <c r="E80" s="357"/>
      <c r="F80" s="357"/>
      <c r="G80" s="357"/>
      <c r="H80" s="357"/>
      <c r="I80" s="357"/>
      <c r="J80" s="357"/>
      <c r="K80" s="357"/>
      <c r="L80" s="357"/>
      <c r="M80" s="357"/>
      <c r="N80" s="357"/>
      <c r="O80" s="357"/>
    </row>
    <row r="82" spans="1:17" ht="14.25" customHeight="1"/>
    <row r="83" spans="1:17" ht="14.25" customHeight="1">
      <c r="A83" s="358" t="s">
        <v>53</v>
      </c>
      <c r="B83" s="358" t="s">
        <v>592</v>
      </c>
      <c r="C83" s="358">
        <v>10247175680697</v>
      </c>
      <c r="D83" s="358">
        <v>11748873281675</v>
      </c>
      <c r="E83" s="358">
        <v>14115139048908</v>
      </c>
      <c r="F83" s="358">
        <v>19411922748095</v>
      </c>
      <c r="G83" s="358">
        <v>26286822229202</v>
      </c>
      <c r="H83" s="358">
        <v>42134493932210</v>
      </c>
      <c r="I83" s="358">
        <v>34491111096123</v>
      </c>
      <c r="J83" s="358">
        <v>34504487406261</v>
      </c>
    </row>
    <row r="84" spans="1:17" s="451" customFormat="1" ht="14.25" customHeight="1">
      <c r="A84" s="451" t="s">
        <v>546</v>
      </c>
      <c r="B84" s="451" t="s">
        <v>546</v>
      </c>
      <c r="C84" s="451">
        <f t="shared" ref="C84:J84" si="67">C83/C2</f>
        <v>0.30241134243975637</v>
      </c>
      <c r="D84" s="451">
        <f t="shared" si="67"/>
        <v>0.2507505491807141</v>
      </c>
      <c r="E84" s="451">
        <f t="shared" si="67"/>
        <v>0.24947036672923759</v>
      </c>
      <c r="F84" s="451">
        <f t="shared" si="67"/>
        <v>0.30013220550655578</v>
      </c>
      <c r="G84" s="451">
        <f t="shared" si="67"/>
        <v>0.28798310892562018</v>
      </c>
      <c r="H84" s="451">
        <f t="shared" si="67"/>
        <v>0.27928541012576091</v>
      </c>
      <c r="I84" s="451">
        <f t="shared" si="67"/>
        <v>0.24158377284968188</v>
      </c>
      <c r="J84" s="451">
        <f t="shared" si="67"/>
        <v>0.28668872090504233</v>
      </c>
      <c r="P84" s="450"/>
      <c r="Q84" s="450"/>
    </row>
    <row r="85" spans="1:17" ht="14.25" customHeight="1"/>
    <row r="86" spans="1:17" ht="14.25" customHeight="1">
      <c r="A86" s="358" t="s">
        <v>54</v>
      </c>
      <c r="B86" s="358" t="s">
        <v>593</v>
      </c>
      <c r="G86" s="358">
        <v>31553932128138</v>
      </c>
      <c r="H86" s="358">
        <v>37547008389956</v>
      </c>
      <c r="I86" s="358">
        <v>39103657252968</v>
      </c>
      <c r="J86" s="358">
        <v>47305924871207</v>
      </c>
      <c r="K86" s="358">
        <f>COGS!E2*K87/1000000</f>
        <v>38708423.39444375</v>
      </c>
      <c r="L86" s="358">
        <f>COGS!F2*L87/1000000</f>
        <v>45431252.833306812</v>
      </c>
      <c r="M86" s="358">
        <f>COGS!G2*M87/1000000</f>
        <v>59434921.520957597</v>
      </c>
      <c r="N86" s="358">
        <f>COGS!H2*N87/1000000</f>
        <v>67683590.515009299</v>
      </c>
      <c r="O86" s="358">
        <f>COGS!I2*O87/1000000</f>
        <v>68058436.591758251</v>
      </c>
    </row>
    <row r="87" spans="1:17" ht="14.25" customHeight="1">
      <c r="H87" s="358">
        <f>H86/COGS!B10</f>
        <v>0.40679720256046492</v>
      </c>
      <c r="I87" s="358">
        <f>I86/COGS!C10</f>
        <v>0.39636592440085694</v>
      </c>
      <c r="J87" s="358">
        <f>J86/COGS!D10</f>
        <v>0.57317261431282396</v>
      </c>
      <c r="K87" s="358">
        <f>AVERAGE(H87:J87)</f>
        <v>0.45877858042471525</v>
      </c>
      <c r="L87" s="358">
        <f>AVERAGE(H87:I87,K87)</f>
        <v>0.42064723579534569</v>
      </c>
      <c r="M87" s="358">
        <f>AVERAGE(L87,H87:I87)</f>
        <v>0.4079367875855559</v>
      </c>
      <c r="N87" s="358">
        <f>AVERAGE(M87,H87:I87)</f>
        <v>0.40369997151562592</v>
      </c>
      <c r="O87" s="358">
        <f>AVERAGE(L87:N87)</f>
        <v>0.41076133163217587</v>
      </c>
    </row>
    <row r="88" spans="1:17" ht="14.25" customHeight="1">
      <c r="I88" s="358">
        <v>7645013147503</v>
      </c>
      <c r="J88" s="358">
        <v>7675958309429</v>
      </c>
      <c r="K88" s="358">
        <f t="shared" ref="K88:O88" si="68">K86*$J$90</f>
        <v>1354794.8188055314</v>
      </c>
      <c r="L88" s="358">
        <f t="shared" si="68"/>
        <v>1590093.8491657386</v>
      </c>
      <c r="M88" s="358">
        <f t="shared" si="68"/>
        <v>2080222.2532335161</v>
      </c>
      <c r="N88" s="358">
        <f t="shared" si="68"/>
        <v>2368925.6680253255</v>
      </c>
      <c r="O88" s="358">
        <f t="shared" si="68"/>
        <v>2382045.2807115391</v>
      </c>
    </row>
    <row r="89" spans="1:17" ht="14.25" customHeight="1">
      <c r="J89" s="358">
        <f>J88/J86</f>
        <v>0.16226209148911519</v>
      </c>
    </row>
    <row r="90" spans="1:17" ht="14.25" customHeight="1">
      <c r="J90" s="358">
        <v>3.5000000000000003E-2</v>
      </c>
    </row>
    <row r="91" spans="1:17" ht="14.25" customHeight="1">
      <c r="A91" s="358" t="s">
        <v>55</v>
      </c>
      <c r="B91" s="358" t="s">
        <v>594</v>
      </c>
      <c r="K91" s="358">
        <f>'Debt waterfall'!F29</f>
        <v>1340365650903.2747</v>
      </c>
      <c r="L91" s="358">
        <f>'Debt waterfall'!G29</f>
        <v>1056470387273.8483</v>
      </c>
      <c r="M91" s="358">
        <f>'Debt waterfall'!H29</f>
        <v>800552438010.87952</v>
      </c>
      <c r="N91" s="358">
        <f>'Debt waterfall'!I29</f>
        <v>573786287025.00244</v>
      </c>
      <c r="O91" s="358">
        <f>'Debt waterfall'!J29</f>
        <v>447682385676.16412</v>
      </c>
    </row>
    <row r="92" spans="1:17" ht="14.25" customHeight="1"/>
    <row r="93" spans="1:17" ht="14.25" customHeight="1">
      <c r="K93" s="358">
        <f t="shared" ref="K93:O93" si="69">SUM(K88,K91)</f>
        <v>1340367005698.0935</v>
      </c>
      <c r="L93" s="358">
        <f t="shared" si="69"/>
        <v>1056471977367.6974</v>
      </c>
      <c r="M93" s="358">
        <f t="shared" si="69"/>
        <v>800554518233.13269</v>
      </c>
      <c r="N93" s="358">
        <f t="shared" si="69"/>
        <v>573788655950.67041</v>
      </c>
      <c r="O93" s="358">
        <f t="shared" si="69"/>
        <v>447684767721.44482</v>
      </c>
    </row>
    <row r="94" spans="1:17" ht="14.25" customHeight="1"/>
    <row r="95" spans="1:17" ht="14.25" customHeight="1" thickBot="1"/>
    <row r="96" spans="1:17" ht="14.25" customHeight="1" thickBot="1">
      <c r="A96" s="477" t="s">
        <v>817</v>
      </c>
      <c r="C96" s="478" t="s">
        <v>830</v>
      </c>
      <c r="D96" s="478" t="s">
        <v>831</v>
      </c>
      <c r="E96" s="478" t="s">
        <v>832</v>
      </c>
      <c r="F96" s="479" t="s">
        <v>833</v>
      </c>
      <c r="G96" s="479" t="s">
        <v>834</v>
      </c>
      <c r="H96" s="479" t="s">
        <v>835</v>
      </c>
      <c r="I96" s="479" t="s">
        <v>836</v>
      </c>
      <c r="J96" s="479" t="s">
        <v>837</v>
      </c>
      <c r="K96" s="480" t="s">
        <v>542</v>
      </c>
      <c r="L96" s="480" t="s">
        <v>559</v>
      </c>
      <c r="M96" s="480" t="s">
        <v>560</v>
      </c>
      <c r="N96" s="480" t="s">
        <v>561</v>
      </c>
      <c r="O96" s="480" t="s">
        <v>562</v>
      </c>
    </row>
    <row r="97" spans="1:18" ht="14.25" customHeight="1" thickBot="1">
      <c r="A97" s="481" t="s">
        <v>838</v>
      </c>
      <c r="C97" s="491">
        <f>C66+C36</f>
        <v>7701823953675</v>
      </c>
      <c r="D97" s="491">
        <f t="shared" ref="D97:O97" si="70">D66+D36</f>
        <v>9288369742697</v>
      </c>
      <c r="E97" s="491">
        <f t="shared" si="70"/>
        <v>10610934115942</v>
      </c>
      <c r="F97" s="491">
        <f t="shared" si="70"/>
        <v>10033372341745</v>
      </c>
      <c r="G97" s="491">
        <f t="shared" si="70"/>
        <v>17548647715118</v>
      </c>
      <c r="H97" s="491">
        <f t="shared" si="70"/>
        <v>39582600972427</v>
      </c>
      <c r="I97" s="491">
        <f t="shared" si="70"/>
        <v>13006579259102</v>
      </c>
      <c r="J97" s="491">
        <f t="shared" si="70"/>
        <v>11377806427054</v>
      </c>
      <c r="K97" s="491">
        <f t="shared" si="70"/>
        <v>6065234052131.4883</v>
      </c>
      <c r="L97" s="491">
        <f t="shared" si="70"/>
        <v>3549698851513.4644</v>
      </c>
      <c r="M97" s="491">
        <f t="shared" si="70"/>
        <v>-5458379723410.7656</v>
      </c>
      <c r="N97" s="491">
        <f t="shared" si="70"/>
        <v>-17099162494656.533</v>
      </c>
      <c r="O97" s="491">
        <f t="shared" si="70"/>
        <v>28054351564263.664</v>
      </c>
    </row>
    <row r="98" spans="1:18" ht="14.25" customHeight="1" thickBot="1">
      <c r="A98" s="481" t="s">
        <v>839</v>
      </c>
      <c r="C98" s="492">
        <f>-C97*(C69+C71)</f>
        <v>-1095621226746</v>
      </c>
      <c r="D98" s="492">
        <f t="shared" ref="D98:O98" si="71">-D97*(D69+D71)</f>
        <v>-1273613156649</v>
      </c>
      <c r="E98" s="492">
        <f t="shared" si="71"/>
        <v>-1549349708626.1814</v>
      </c>
      <c r="F98" s="492">
        <f t="shared" si="71"/>
        <v>-1674769458519.999</v>
      </c>
      <c r="G98" s="492">
        <f t="shared" si="71"/>
        <v>-2114941421936.8354</v>
      </c>
      <c r="H98" s="492">
        <f t="shared" si="71"/>
        <v>-2708666741781.1519</v>
      </c>
      <c r="I98" s="492">
        <f t="shared" si="71"/>
        <v>-1937972241629.1013</v>
      </c>
      <c r="J98" s="492">
        <f t="shared" si="71"/>
        <v>-1448870822106.071</v>
      </c>
      <c r="K98" s="492">
        <f t="shared" si="71"/>
        <v>-839110131690.33472</v>
      </c>
      <c r="L98" s="492">
        <f t="shared" si="71"/>
        <v>-423678402623.64862</v>
      </c>
      <c r="M98" s="492">
        <f t="shared" si="71"/>
        <v>566855778412.54663</v>
      </c>
      <c r="N98" s="492">
        <f t="shared" si="71"/>
        <v>2313229411080.4873</v>
      </c>
      <c r="O98" s="492">
        <f t="shared" si="71"/>
        <v>-3905428313450.2051</v>
      </c>
    </row>
    <row r="99" spans="1:18" ht="14.25" customHeight="1" thickBot="1">
      <c r="A99" s="481" t="s">
        <v>840</v>
      </c>
      <c r="C99" s="482"/>
      <c r="D99" s="482"/>
      <c r="E99" s="482"/>
      <c r="F99" s="486"/>
      <c r="G99" s="482"/>
      <c r="H99" s="483">
        <f>Capex!B3</f>
        <v>6076516295417</v>
      </c>
      <c r="I99" s="483">
        <f>Capex!C3</f>
        <v>6759462100582</v>
      </c>
      <c r="J99" s="483">
        <f>Capex!D3</f>
        <v>6761933539397</v>
      </c>
      <c r="K99" s="484">
        <f>Capex!E3</f>
        <v>6999864228155.917</v>
      </c>
      <c r="L99" s="484">
        <f>Capex!F3</f>
        <v>9834263864010.6113</v>
      </c>
      <c r="M99" s="484">
        <f>Capex!G3</f>
        <v>10788663499865.307</v>
      </c>
      <c r="N99" s="484">
        <f>Capex!H3</f>
        <v>11743063135720.002</v>
      </c>
      <c r="O99" s="484">
        <f>Capex!I3</f>
        <v>12697462771574.697</v>
      </c>
    </row>
    <row r="100" spans="1:18" ht="14.25" customHeight="1" thickBot="1">
      <c r="A100" s="481" t="s">
        <v>841</v>
      </c>
      <c r="C100" s="482"/>
      <c r="D100" s="482"/>
      <c r="E100" s="482"/>
      <c r="F100" s="487"/>
      <c r="G100" s="487"/>
      <c r="H100" s="487"/>
      <c r="I100" s="487">
        <f>-Capex!C5</f>
        <v>-8311535974443</v>
      </c>
      <c r="J100" s="487">
        <f>-Capex!D5</f>
        <v>-7927388619403</v>
      </c>
      <c r="K100" s="485">
        <f>-Capex!E5</f>
        <v>-18119462296923</v>
      </c>
      <c r="L100" s="485">
        <f>-Capex!F5</f>
        <v>-35452795630256.328</v>
      </c>
      <c r="M100" s="485">
        <f>-Capex!G5</f>
        <v>-11452795630256.334</v>
      </c>
      <c r="N100" s="485">
        <f>-Capex!H5</f>
        <v>-11452795630256.334</v>
      </c>
      <c r="O100" s="485">
        <f>-Capex!I5</f>
        <v>-11452795630256.334</v>
      </c>
    </row>
    <row r="101" spans="1:18" s="458" customFormat="1" ht="14.25" customHeight="1" thickBot="1">
      <c r="A101" s="481" t="s">
        <v>842</v>
      </c>
      <c r="C101" s="482"/>
      <c r="D101" s="492">
        <f>('BS HPG'!D2-'BS HPG'!D80)-('BS HPG'!C2-'BS HPG'!C80)</f>
        <v>8350571258168</v>
      </c>
      <c r="E101" s="492">
        <f>('BS HPG'!E2-'BS HPG'!E80)-('BS HPG'!D2-'BS HPG'!D80)</f>
        <v>-11875762036830</v>
      </c>
      <c r="F101" s="492">
        <f>('BS HPG'!F2-'BS HPG'!F80)-('BS HPG'!E2-'BS HPG'!E80)</f>
        <v>780163026435</v>
      </c>
      <c r="G101" s="492">
        <f>('BS HPG'!G2-'BS HPG'!G80)-('BS HPG'!F2-'BS HPG'!F80)</f>
        <v>1319302027595</v>
      </c>
      <c r="H101" s="492">
        <f>('BS HPG'!H2-'BS HPG'!H80)-('BS HPG'!G2-'BS HPG'!G80)</f>
        <v>15923503022351</v>
      </c>
      <c r="I101" s="492">
        <f>('BS HPG'!I2-'BS HPG'!I80)-('BS HPG'!H2-'BS HPG'!H80)</f>
        <v>-2566225727092</v>
      </c>
      <c r="J101" s="492">
        <f>('BS HPG'!J2-'BS HPG'!J80)-('BS HPG'!I2-'BS HPG'!I80)</f>
        <v>-6926371776461</v>
      </c>
      <c r="K101" s="492">
        <f>('BS HPG'!K2-'BS HPG'!K80)-('BS HPG'!J2-'BS HPG'!J80)</f>
        <v>10447218537580.859</v>
      </c>
      <c r="L101" s="492">
        <f>('BS HPG'!L2-'BS HPG'!L80)-('BS HPG'!K2-'BS HPG'!K80)</f>
        <v>-13977164594211.859</v>
      </c>
      <c r="M101" s="492">
        <f>('BS HPG'!M2-'BS HPG'!M80)-('BS HPG'!L2-'BS HPG'!L80)</f>
        <v>13742489256069.719</v>
      </c>
      <c r="N101" s="492">
        <f>('BS HPG'!N2-'BS HPG'!N80)-('BS HPG'!M2-'BS HPG'!M80)</f>
        <v>25026843867455.188</v>
      </c>
      <c r="O101" s="492">
        <f>('BS HPG'!O2-'BS HPG'!O80)-('BS HPG'!N2-'BS HPG'!N80)</f>
        <v>11780325053446.609</v>
      </c>
      <c r="P101" s="428"/>
      <c r="Q101" s="428"/>
      <c r="R101" s="428"/>
    </row>
    <row r="102" spans="1:18" s="458" customFormat="1" ht="14.25" customHeight="1" thickBot="1">
      <c r="A102" s="481" t="s">
        <v>843</v>
      </c>
      <c r="C102" s="482"/>
      <c r="E102" s="482"/>
      <c r="F102" s="483">
        <f>SUM(F97:F101)</f>
        <v>9138765909660</v>
      </c>
      <c r="G102" s="483">
        <f t="shared" ref="G102:O102" si="72">SUM(G97:G101)</f>
        <v>16753008320776.164</v>
      </c>
      <c r="H102" s="483">
        <f t="shared" si="72"/>
        <v>58873953548413.852</v>
      </c>
      <c r="I102" s="483">
        <f t="shared" si="72"/>
        <v>6950307416519.8984</v>
      </c>
      <c r="J102" s="483">
        <f t="shared" si="72"/>
        <v>1837108748480.9297</v>
      </c>
      <c r="K102" s="483">
        <f t="shared" si="72"/>
        <v>4553744389254.9297</v>
      </c>
      <c r="L102" s="483">
        <f t="shared" si="72"/>
        <v>-36469675911567.758</v>
      </c>
      <c r="M102" s="483">
        <f t="shared" si="72"/>
        <v>8186833180680.4727</v>
      </c>
      <c r="N102" s="483">
        <f t="shared" si="72"/>
        <v>10531178289342.809</v>
      </c>
      <c r="O102" s="483">
        <f t="shared" si="72"/>
        <v>37173915445578.43</v>
      </c>
      <c r="P102" s="428"/>
      <c r="Q102" s="428"/>
      <c r="R102" s="428"/>
    </row>
    <row r="103" spans="1:18" s="458" customFormat="1" ht="14.25" customHeight="1" thickBot="1">
      <c r="A103" s="481" t="s">
        <v>844</v>
      </c>
      <c r="C103" s="482"/>
      <c r="D103" s="482"/>
      <c r="E103" s="482"/>
      <c r="F103" s="487"/>
      <c r="G103" s="488">
        <v>-0.05</v>
      </c>
      <c r="H103" s="488">
        <v>2.99</v>
      </c>
      <c r="I103" s="488">
        <v>0.14000000000000001</v>
      </c>
      <c r="J103" s="488">
        <v>-0.73</v>
      </c>
      <c r="K103" s="489">
        <f>(K102-J102)/J102</f>
        <v>1.4787560306488847</v>
      </c>
      <c r="L103" s="489">
        <f t="shared" ref="L103:O103" si="73">(L102-K102)/K102</f>
        <v>-9.0087226673552525</v>
      </c>
      <c r="M103" s="489">
        <f t="shared" si="73"/>
        <v>-1.2244832995097636</v>
      </c>
      <c r="N103" s="489">
        <f t="shared" si="73"/>
        <v>0.28635554883353309</v>
      </c>
      <c r="O103" s="489">
        <f t="shared" si="73"/>
        <v>2.5298913781753329</v>
      </c>
      <c r="P103" s="428"/>
      <c r="Q103" s="428"/>
      <c r="R103" s="428"/>
    </row>
    <row r="104" spans="1:18" s="458" customFormat="1" ht="14.25" customHeight="1" thickBot="1">
      <c r="A104" s="481" t="s">
        <v>845</v>
      </c>
      <c r="C104" s="482"/>
      <c r="D104" s="482"/>
      <c r="E104" s="482"/>
      <c r="F104" s="487"/>
      <c r="G104" s="487"/>
      <c r="H104" s="487"/>
      <c r="I104" s="487"/>
      <c r="J104" s="487"/>
      <c r="K104" s="490">
        <v>0.5</v>
      </c>
      <c r="L104" s="490">
        <v>1.5</v>
      </c>
      <c r="M104" s="490">
        <v>2.5</v>
      </c>
      <c r="N104" s="490">
        <v>3.5</v>
      </c>
      <c r="O104" s="490">
        <v>4.5</v>
      </c>
      <c r="P104" s="428"/>
      <c r="Q104" s="428"/>
      <c r="R104" s="428"/>
    </row>
    <row r="105" spans="1:18" s="458" customFormat="1" ht="14.25" customHeight="1" thickBot="1">
      <c r="A105" s="481" t="s">
        <v>846</v>
      </c>
      <c r="C105" s="482"/>
      <c r="D105" s="482"/>
      <c r="E105" s="482"/>
      <c r="F105" s="487"/>
      <c r="G105" s="487"/>
      <c r="H105" s="487"/>
      <c r="I105" s="487"/>
      <c r="J105" s="487"/>
      <c r="K105" s="489">
        <f>1/(1+10.88%)^J104</f>
        <v>1</v>
      </c>
      <c r="L105" s="489">
        <f t="shared" ref="L105:O105" si="74">1/(1+10.88%)^K104</f>
        <v>0.94967147049698286</v>
      </c>
      <c r="M105" s="489">
        <f t="shared" si="74"/>
        <v>0.85648581394028034</v>
      </c>
      <c r="N105" s="489">
        <f t="shared" si="74"/>
        <v>0.77244391589130623</v>
      </c>
      <c r="O105" s="489">
        <f t="shared" si="74"/>
        <v>0.69664855329302511</v>
      </c>
      <c r="P105" s="428"/>
      <c r="Q105" s="428"/>
      <c r="R105" s="428"/>
    </row>
    <row r="106" spans="1:18" s="458" customFormat="1" ht="14.25" customHeight="1" thickBot="1">
      <c r="A106" s="481" t="s">
        <v>847</v>
      </c>
      <c r="C106" s="482"/>
      <c r="D106" s="482"/>
      <c r="E106" s="482"/>
      <c r="F106" s="487"/>
      <c r="G106" s="487"/>
      <c r="H106" s="487"/>
      <c r="I106" s="487"/>
      <c r="J106" s="487"/>
      <c r="K106" s="485">
        <f>K102*K105</f>
        <v>4553744389254.9297</v>
      </c>
      <c r="L106" s="485">
        <f t="shared" ref="L106:N106" si="75">L102*L105</f>
        <v>-34634210751486.945</v>
      </c>
      <c r="M106" s="485">
        <f t="shared" si="75"/>
        <v>7011906480348.4092</v>
      </c>
      <c r="N106" s="485">
        <f t="shared" si="75"/>
        <v>8134744596769.4668</v>
      </c>
      <c r="O106" s="485">
        <f>O102*O105</f>
        <v>25897154415399.453</v>
      </c>
      <c r="P106" s="428"/>
      <c r="Q106" s="428"/>
      <c r="R106" s="428"/>
    </row>
    <row r="107" spans="1:18" s="458" customFormat="1" ht="14.25" customHeight="1">
      <c r="B107" s="8"/>
      <c r="C107" s="8"/>
      <c r="D107" s="8"/>
      <c r="E107" s="8"/>
      <c r="F107" s="430"/>
      <c r="G107" s="430"/>
      <c r="H107" s="430"/>
      <c r="I107" s="430"/>
      <c r="J107" s="8"/>
      <c r="K107" s="8"/>
      <c r="L107" s="8"/>
      <c r="M107" s="8"/>
      <c r="N107" s="428"/>
      <c r="O107" s="428"/>
      <c r="P107" s="428"/>
      <c r="Q107" s="428"/>
      <c r="R107" s="428"/>
    </row>
    <row r="108" spans="1:18" s="458" customFormat="1" ht="14.25" customHeight="1">
      <c r="B108" s="8"/>
      <c r="C108" s="8"/>
      <c r="D108" s="8"/>
      <c r="E108" s="8"/>
      <c r="F108" s="8"/>
      <c r="G108" s="8"/>
      <c r="H108" s="8"/>
      <c r="I108" s="8"/>
      <c r="J108" s="8"/>
      <c r="K108" s="8"/>
      <c r="L108" s="8"/>
      <c r="M108" s="8"/>
      <c r="N108" s="428"/>
      <c r="O108" s="428"/>
      <c r="P108" s="428"/>
      <c r="Q108" s="428"/>
      <c r="R108" s="428"/>
    </row>
    <row r="109" spans="1:18" s="458" customFormat="1" ht="14.25" customHeight="1" thickBot="1">
      <c r="B109" s="8"/>
      <c r="C109" s="8"/>
      <c r="D109" s="8"/>
      <c r="E109" s="8"/>
      <c r="F109" s="430"/>
      <c r="G109" s="430"/>
      <c r="H109" s="430"/>
      <c r="I109" s="430"/>
      <c r="J109" s="8"/>
      <c r="K109" s="8"/>
      <c r="L109" s="8"/>
      <c r="M109" s="8"/>
      <c r="N109" s="428"/>
      <c r="O109" s="428"/>
      <c r="P109" s="428"/>
      <c r="Q109" s="428"/>
      <c r="R109" s="428"/>
    </row>
    <row r="110" spans="1:18" s="458" customFormat="1" ht="14.25" customHeight="1" thickBot="1">
      <c r="B110" s="8"/>
      <c r="C110" s="8"/>
      <c r="D110" s="8"/>
      <c r="E110" s="8"/>
      <c r="F110" s="430"/>
      <c r="G110" s="430"/>
      <c r="H110" s="430"/>
      <c r="I110" s="493" t="s">
        <v>774</v>
      </c>
      <c r="J110" s="494">
        <f>WACC!D17</f>
        <v>0.10042695580560715</v>
      </c>
      <c r="K110" s="8"/>
      <c r="L110" s="8"/>
      <c r="M110" s="8"/>
      <c r="N110" s="428"/>
      <c r="O110" s="428"/>
      <c r="P110" s="428"/>
      <c r="Q110" s="428"/>
      <c r="R110" s="428"/>
    </row>
    <row r="111" spans="1:18" s="458" customFormat="1" ht="14.25" customHeight="1" thickBot="1">
      <c r="F111" s="429"/>
      <c r="G111" s="429"/>
      <c r="H111" s="429"/>
      <c r="I111" s="493" t="s">
        <v>775</v>
      </c>
      <c r="J111" s="498">
        <f>NPV(J110,K106:O106)</f>
        <v>2395520167339.2969</v>
      </c>
      <c r="K111" s="428"/>
      <c r="L111" s="428"/>
      <c r="M111" s="428"/>
      <c r="N111" s="428"/>
      <c r="O111" s="428"/>
      <c r="P111" s="428"/>
      <c r="Q111" s="428"/>
      <c r="R111" s="428"/>
    </row>
    <row r="112" spans="1:18" s="458" customFormat="1" ht="14.25" customHeight="1" thickBot="1">
      <c r="A112" s="428"/>
      <c r="C112" s="428"/>
      <c r="D112" s="428"/>
      <c r="E112" s="428"/>
      <c r="F112" s="429"/>
      <c r="G112" s="429"/>
      <c r="H112" s="429"/>
      <c r="I112" s="493"/>
      <c r="J112" s="493"/>
      <c r="K112" s="428"/>
      <c r="L112" s="428"/>
      <c r="M112" s="428"/>
      <c r="N112" s="428"/>
      <c r="O112" s="428"/>
      <c r="P112" s="428"/>
      <c r="Q112" s="428"/>
      <c r="R112" s="428"/>
    </row>
    <row r="113" spans="1:18" s="458" customFormat="1" ht="14.25" customHeight="1" thickBot="1">
      <c r="C113" s="428"/>
      <c r="D113" s="428"/>
      <c r="E113" s="428"/>
      <c r="F113" s="429"/>
      <c r="G113" s="429"/>
      <c r="H113" s="429"/>
      <c r="I113" s="617" t="s">
        <v>777</v>
      </c>
      <c r="J113" s="618"/>
      <c r="K113" s="428"/>
      <c r="L113" s="428"/>
      <c r="M113" s="428"/>
      <c r="N113" s="428"/>
      <c r="O113" s="428"/>
      <c r="P113" s="428"/>
      <c r="Q113" s="428"/>
      <c r="R113" s="428"/>
    </row>
    <row r="114" spans="1:18" s="458" customFormat="1" ht="14.25" customHeight="1" thickBot="1">
      <c r="F114" s="429"/>
      <c r="G114" s="429"/>
      <c r="H114" s="429"/>
      <c r="I114" s="493" t="s">
        <v>776</v>
      </c>
      <c r="J114" s="495">
        <v>0.03</v>
      </c>
      <c r="K114" s="428"/>
      <c r="L114" s="428"/>
      <c r="M114" s="428"/>
      <c r="N114" s="428"/>
      <c r="O114" s="428"/>
      <c r="P114" s="428"/>
      <c r="Q114" s="428"/>
      <c r="R114" s="428"/>
    </row>
    <row r="115" spans="1:18" s="458" customFormat="1" ht="14.25" customHeight="1" thickBot="1">
      <c r="F115" s="429"/>
      <c r="G115" s="429"/>
      <c r="H115" s="429"/>
      <c r="I115" s="493" t="s">
        <v>778</v>
      </c>
      <c r="J115" s="496">
        <f>O106*(1+J114)/(J110-J114)</f>
        <v>378748005543322.69</v>
      </c>
      <c r="K115" s="428"/>
      <c r="L115" s="428"/>
      <c r="M115" s="428"/>
      <c r="N115" s="428"/>
      <c r="O115" s="428"/>
      <c r="P115" s="428"/>
      <c r="Q115" s="428"/>
      <c r="R115" s="428"/>
    </row>
    <row r="116" spans="1:18" s="458" customFormat="1" ht="14.25" customHeight="1" thickBot="1">
      <c r="F116" s="429"/>
      <c r="G116" s="429"/>
      <c r="H116" s="429"/>
      <c r="I116" s="493" t="s">
        <v>779</v>
      </c>
      <c r="J116" s="496">
        <f>J115/(1+J110)^5</f>
        <v>234716842058766.44</v>
      </c>
      <c r="K116" s="428"/>
      <c r="L116" s="428"/>
      <c r="M116" s="428"/>
      <c r="N116" s="428"/>
      <c r="O116" s="428"/>
      <c r="P116" s="428"/>
      <c r="Q116" s="428"/>
      <c r="R116" s="428"/>
    </row>
    <row r="117" spans="1:18" s="458" customFormat="1" ht="14.25" customHeight="1" thickBot="1">
      <c r="F117" s="429"/>
      <c r="G117" s="429"/>
      <c r="H117" s="429"/>
      <c r="I117" s="493" t="s">
        <v>780</v>
      </c>
      <c r="J117" s="496">
        <f>J111+J116</f>
        <v>237112362226105.75</v>
      </c>
      <c r="K117" s="428"/>
      <c r="L117" s="428"/>
      <c r="M117" s="428"/>
      <c r="N117" s="428"/>
      <c r="O117" s="428"/>
      <c r="P117" s="428"/>
      <c r="Q117" s="428"/>
      <c r="R117" s="428"/>
    </row>
    <row r="118" spans="1:18" s="458" customFormat="1" ht="14.25" customHeight="1" thickBot="1">
      <c r="F118" s="429"/>
      <c r="G118" s="429"/>
      <c r="H118" s="429"/>
      <c r="I118" s="493" t="s">
        <v>781</v>
      </c>
      <c r="J118" s="496">
        <f>'BS HPG'!J3</f>
        <v>12252001160884</v>
      </c>
      <c r="K118" s="428"/>
      <c r="L118" s="428"/>
      <c r="M118" s="428"/>
      <c r="N118" s="428"/>
      <c r="O118" s="428"/>
      <c r="P118" s="428"/>
      <c r="Q118" s="428"/>
      <c r="R118" s="428"/>
    </row>
    <row r="119" spans="1:18" s="458" customFormat="1" ht="14.25" customHeight="1" thickBot="1">
      <c r="A119" s="459"/>
      <c r="B119" s="460"/>
      <c r="C119" s="460"/>
      <c r="D119" s="460"/>
      <c r="E119" s="459"/>
      <c r="F119" s="459"/>
      <c r="G119" s="459"/>
      <c r="H119" s="459"/>
      <c r="I119" s="493" t="s">
        <v>782</v>
      </c>
      <c r="J119" s="496">
        <f>'BS HPG'!J93+'BS HPG'!J109</f>
        <v>65381002473117</v>
      </c>
      <c r="K119" s="461"/>
      <c r="L119" s="461"/>
      <c r="M119" s="459"/>
      <c r="N119" s="459"/>
      <c r="O119" s="428"/>
      <c r="P119" s="428"/>
      <c r="Q119" s="428"/>
      <c r="R119" s="428"/>
    </row>
    <row r="120" spans="1:18" s="458" customFormat="1" ht="14.25" customHeight="1" thickBot="1">
      <c r="A120" s="459"/>
      <c r="B120" s="460"/>
      <c r="C120" s="460"/>
      <c r="D120" s="460"/>
      <c r="E120" s="431"/>
      <c r="F120" s="431"/>
      <c r="G120" s="431"/>
      <c r="H120" s="431"/>
      <c r="I120" s="493" t="s">
        <v>783</v>
      </c>
      <c r="J120" s="496">
        <f>'BS HPG'!J136</f>
        <v>65769846491</v>
      </c>
      <c r="K120" s="431"/>
      <c r="L120" s="431"/>
      <c r="M120" s="431"/>
      <c r="N120" s="431"/>
      <c r="O120" s="428"/>
      <c r="P120" s="428"/>
      <c r="Q120" s="428"/>
      <c r="R120" s="428"/>
    </row>
    <row r="121" spans="1:18" s="458" customFormat="1" ht="14.25" customHeight="1" thickBot="1">
      <c r="A121" s="459"/>
      <c r="B121" s="460"/>
      <c r="C121" s="460"/>
      <c r="D121" s="460"/>
      <c r="E121" s="431"/>
      <c r="F121" s="431"/>
      <c r="G121" s="431"/>
      <c r="H121" s="431"/>
      <c r="I121" s="493" t="s">
        <v>784</v>
      </c>
      <c r="J121" s="493"/>
      <c r="K121" s="431"/>
      <c r="L121" s="431"/>
      <c r="M121" s="431"/>
      <c r="N121" s="431"/>
      <c r="O121" s="428"/>
      <c r="P121" s="428"/>
      <c r="Q121" s="428"/>
      <c r="R121" s="428"/>
    </row>
    <row r="122" spans="1:18" s="458" customFormat="1" ht="14.25" customHeight="1" thickBot="1">
      <c r="A122" s="462"/>
      <c r="B122" s="460"/>
      <c r="C122" s="460"/>
      <c r="D122" s="460"/>
      <c r="G122" s="431"/>
      <c r="H122" s="431"/>
      <c r="I122" s="493" t="s">
        <v>785</v>
      </c>
      <c r="J122" s="496">
        <f>J117+J118-J119-J120-J121</f>
        <v>183917591067381.75</v>
      </c>
      <c r="K122" s="431"/>
      <c r="L122" s="431"/>
      <c r="M122" s="431"/>
      <c r="N122" s="431"/>
      <c r="O122" s="428"/>
      <c r="P122" s="428"/>
      <c r="Q122" s="428"/>
      <c r="R122" s="428"/>
    </row>
    <row r="123" spans="1:18" s="458" customFormat="1" ht="14.25" customHeight="1" thickBot="1">
      <c r="A123" s="462"/>
      <c r="B123" s="460"/>
      <c r="C123" s="460"/>
      <c r="D123" s="460"/>
      <c r="E123" s="431"/>
      <c r="F123" s="431"/>
      <c r="G123" s="431"/>
      <c r="H123" s="431"/>
      <c r="I123" s="486" t="s">
        <v>786</v>
      </c>
      <c r="J123" s="497">
        <v>6396250200</v>
      </c>
      <c r="K123" s="463"/>
      <c r="L123" s="463"/>
      <c r="M123" s="463"/>
      <c r="N123" s="463"/>
      <c r="O123" s="428"/>
      <c r="P123" s="428"/>
      <c r="Q123" s="428"/>
      <c r="R123" s="428"/>
    </row>
    <row r="124" spans="1:18" s="458" customFormat="1" ht="14.25" customHeight="1" thickBot="1">
      <c r="A124" s="459"/>
      <c r="B124" s="460"/>
      <c r="C124" s="460"/>
      <c r="D124" s="460"/>
      <c r="E124" s="431"/>
      <c r="F124" s="431"/>
      <c r="G124" s="431"/>
      <c r="H124" s="431"/>
      <c r="I124" s="499" t="s">
        <v>848</v>
      </c>
      <c r="J124" s="500">
        <f>J122/J123</f>
        <v>28753.970735444611</v>
      </c>
      <c r="K124" s="431"/>
      <c r="L124" s="431"/>
      <c r="M124" s="431"/>
      <c r="N124" s="431"/>
      <c r="O124" s="428"/>
      <c r="P124" s="428"/>
      <c r="Q124" s="428"/>
      <c r="R124" s="428"/>
    </row>
    <row r="125" spans="1:18" s="458" customFormat="1" ht="14.25" customHeight="1">
      <c r="A125" s="459"/>
      <c r="B125" s="460"/>
      <c r="C125" s="460"/>
      <c r="D125" s="460"/>
      <c r="E125" s="431"/>
      <c r="F125" s="431"/>
      <c r="G125" s="431"/>
      <c r="H125" s="431"/>
      <c r="I125" s="431"/>
      <c r="J125" s="431"/>
      <c r="K125" s="431"/>
      <c r="L125" s="431"/>
      <c r="M125" s="431"/>
      <c r="N125" s="431"/>
      <c r="O125" s="428"/>
      <c r="P125" s="428"/>
      <c r="Q125" s="428"/>
      <c r="R125" s="428"/>
    </row>
    <row r="126" spans="1:18" s="458" customFormat="1" ht="14.25" customHeight="1">
      <c r="A126" s="459"/>
      <c r="B126" s="460"/>
      <c r="C126" s="460"/>
      <c r="D126" s="460"/>
      <c r="E126" s="431"/>
      <c r="F126" s="431"/>
      <c r="G126" s="431"/>
      <c r="H126" s="431"/>
      <c r="I126" s="431"/>
      <c r="J126" s="431"/>
      <c r="K126" s="431"/>
      <c r="L126" s="431"/>
      <c r="M126" s="431"/>
      <c r="N126" s="431"/>
      <c r="O126" s="428"/>
      <c r="P126" s="428"/>
      <c r="Q126" s="428"/>
      <c r="R126" s="428"/>
    </row>
    <row r="127" spans="1:18" s="458" customFormat="1" ht="14.25" customHeight="1">
      <c r="A127" s="459"/>
      <c r="B127" s="460"/>
      <c r="C127" s="460"/>
      <c r="D127" s="460"/>
      <c r="E127" s="431"/>
      <c r="F127" s="431"/>
      <c r="G127" s="431"/>
      <c r="H127" s="431"/>
      <c r="I127" s="463"/>
      <c r="J127" s="463"/>
      <c r="K127" s="463"/>
      <c r="L127" s="463"/>
      <c r="M127" s="463"/>
      <c r="N127" s="463"/>
      <c r="O127" s="428"/>
      <c r="P127" s="428"/>
      <c r="Q127" s="428"/>
      <c r="R127" s="428"/>
    </row>
    <row r="128" spans="1:18" s="458" customFormat="1" ht="14.25" customHeight="1">
      <c r="A128" s="459"/>
      <c r="B128" s="460"/>
      <c r="C128" s="460"/>
      <c r="D128" s="460"/>
      <c r="E128" s="431"/>
      <c r="F128" s="431"/>
      <c r="G128" s="431"/>
      <c r="H128" s="431"/>
      <c r="I128" s="463"/>
      <c r="J128" s="463"/>
      <c r="K128" s="463"/>
      <c r="L128" s="463"/>
      <c r="M128" s="463"/>
      <c r="N128" s="463"/>
      <c r="O128" s="428"/>
      <c r="P128" s="428"/>
      <c r="Q128" s="428"/>
      <c r="R128" s="428"/>
    </row>
    <row r="129" spans="1:18" s="458" customFormat="1" ht="14.25" customHeight="1">
      <c r="A129" s="459"/>
      <c r="B129" s="460"/>
      <c r="C129" s="460"/>
      <c r="D129" s="460"/>
      <c r="E129" s="431"/>
      <c r="F129" s="431"/>
      <c r="G129" s="431"/>
      <c r="H129" s="431"/>
      <c r="I129" s="463"/>
      <c r="J129" s="463"/>
      <c r="K129" s="463"/>
      <c r="L129" s="463"/>
      <c r="M129" s="463"/>
      <c r="N129" s="463"/>
      <c r="O129" s="428"/>
      <c r="P129" s="428"/>
      <c r="Q129" s="428"/>
      <c r="R129" s="428"/>
    </row>
    <row r="130" spans="1:18" s="458" customFormat="1" ht="14.25" customHeight="1">
      <c r="F130" s="429"/>
      <c r="G130" s="429"/>
      <c r="H130" s="429"/>
      <c r="I130" s="429"/>
      <c r="J130" s="428"/>
      <c r="K130" s="428"/>
      <c r="L130" s="428"/>
      <c r="M130" s="428"/>
      <c r="N130" s="428"/>
      <c r="O130" s="428"/>
      <c r="P130" s="428"/>
      <c r="Q130" s="428"/>
      <c r="R130" s="428"/>
    </row>
    <row r="131" spans="1:18" s="458" customFormat="1" ht="14.25" customHeight="1">
      <c r="F131" s="429"/>
      <c r="G131" s="429"/>
      <c r="H131" s="429"/>
      <c r="I131" s="429"/>
      <c r="J131" s="428"/>
      <c r="K131" s="428"/>
      <c r="L131" s="428"/>
      <c r="M131" s="428"/>
      <c r="N131" s="428"/>
      <c r="O131" s="428"/>
      <c r="P131" s="428"/>
      <c r="Q131" s="428"/>
      <c r="R131" s="428"/>
    </row>
    <row r="132" spans="1:18" s="458" customFormat="1" ht="14.25" customHeight="1">
      <c r="F132" s="429"/>
      <c r="G132" s="429"/>
      <c r="H132" s="429"/>
      <c r="I132" s="429"/>
      <c r="J132" s="428"/>
      <c r="K132" s="428"/>
      <c r="L132" s="428"/>
      <c r="M132" s="428"/>
      <c r="N132" s="428"/>
      <c r="O132" s="428"/>
      <c r="P132" s="428"/>
      <c r="Q132" s="428"/>
      <c r="R132" s="428"/>
    </row>
    <row r="133" spans="1:18" s="458" customFormat="1" ht="14.25" customHeight="1">
      <c r="A133" s="428"/>
      <c r="F133" s="429"/>
      <c r="G133" s="429"/>
      <c r="H133" s="429"/>
      <c r="I133" s="429"/>
      <c r="J133" s="428"/>
      <c r="K133" s="428"/>
      <c r="L133" s="428"/>
      <c r="M133" s="428"/>
      <c r="N133" s="428"/>
      <c r="O133" s="428"/>
      <c r="P133" s="428"/>
      <c r="Q133" s="428"/>
      <c r="R133" s="428"/>
    </row>
    <row r="134" spans="1:18" s="458" customFormat="1" ht="14.25" customHeight="1">
      <c r="D134" s="428"/>
      <c r="E134" s="428"/>
      <c r="F134" s="429"/>
      <c r="G134" s="429"/>
      <c r="H134" s="429"/>
      <c r="I134" s="429"/>
      <c r="J134" s="428"/>
      <c r="K134" s="428"/>
      <c r="L134" s="428"/>
      <c r="M134" s="428"/>
      <c r="N134" s="428"/>
      <c r="O134" s="428"/>
      <c r="P134" s="428"/>
      <c r="Q134" s="428"/>
      <c r="R134" s="428"/>
    </row>
    <row r="135" spans="1:18" s="458" customFormat="1" ht="14.25" customHeight="1">
      <c r="F135" s="429"/>
      <c r="G135" s="429"/>
      <c r="H135" s="429"/>
      <c r="I135" s="429"/>
      <c r="J135" s="428"/>
      <c r="K135" s="428"/>
      <c r="L135" s="428"/>
      <c r="M135" s="428"/>
      <c r="N135" s="428"/>
      <c r="O135" s="428"/>
      <c r="P135" s="428"/>
      <c r="Q135" s="428"/>
      <c r="R135" s="428"/>
    </row>
    <row r="136" spans="1:18" s="458" customFormat="1" ht="14.25" customHeight="1">
      <c r="F136" s="429"/>
      <c r="G136" s="429"/>
      <c r="H136" s="429"/>
      <c r="I136" s="429"/>
      <c r="J136" s="428"/>
      <c r="K136" s="428"/>
      <c r="L136" s="428"/>
      <c r="M136" s="428"/>
      <c r="N136" s="428"/>
      <c r="O136" s="428"/>
      <c r="P136" s="428"/>
      <c r="Q136" s="428"/>
      <c r="R136" s="428"/>
    </row>
    <row r="137" spans="1:18" s="458" customFormat="1" ht="14.25" customHeight="1">
      <c r="F137" s="429"/>
      <c r="G137" s="429"/>
      <c r="H137" s="429"/>
      <c r="I137" s="429"/>
      <c r="J137" s="428"/>
      <c r="K137" s="428"/>
      <c r="L137" s="428"/>
      <c r="M137" s="428"/>
      <c r="N137" s="428"/>
      <c r="O137" s="428"/>
      <c r="P137" s="428"/>
      <c r="Q137" s="428"/>
      <c r="R137" s="428"/>
    </row>
    <row r="138" spans="1:18" s="458" customFormat="1" ht="14.25" customHeight="1">
      <c r="F138" s="429"/>
      <c r="G138" s="429"/>
      <c r="H138" s="429"/>
      <c r="I138" s="429"/>
      <c r="J138" s="428"/>
      <c r="K138" s="428"/>
      <c r="L138" s="428"/>
      <c r="M138" s="428"/>
      <c r="N138" s="428"/>
      <c r="O138" s="428"/>
      <c r="P138" s="428"/>
      <c r="Q138" s="428"/>
      <c r="R138" s="428"/>
    </row>
    <row r="139" spans="1:18" s="458" customFormat="1" ht="14.25" customHeight="1">
      <c r="F139" s="429"/>
      <c r="G139" s="429"/>
      <c r="H139" s="429"/>
      <c r="I139" s="429"/>
      <c r="J139" s="428"/>
      <c r="K139" s="428"/>
      <c r="L139" s="428"/>
      <c r="M139" s="428"/>
      <c r="N139" s="428"/>
      <c r="O139" s="428"/>
      <c r="P139" s="428"/>
      <c r="Q139" s="428"/>
      <c r="R139" s="428"/>
    </row>
    <row r="140" spans="1:18" ht="14.25" customHeight="1"/>
    <row r="141" spans="1:18" ht="14.25" customHeight="1"/>
    <row r="142" spans="1:18" ht="14.25" customHeight="1"/>
    <row r="143" spans="1:18" ht="14.25" customHeight="1"/>
    <row r="144" spans="1:18"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row r="1001" ht="14.25" customHeight="1"/>
    <row r="1002" ht="14.25" customHeight="1"/>
    <row r="1003" ht="14.25" customHeight="1"/>
    <row r="1004" ht="14.25" customHeight="1"/>
    <row r="1005" ht="14.25" customHeight="1"/>
    <row r="1006" ht="14.25" customHeight="1"/>
    <row r="1007" ht="14.25" customHeight="1"/>
    <row r="1008" ht="14.25" customHeight="1"/>
    <row r="1009" ht="14.25" customHeight="1"/>
    <row r="1010" ht="14.25" customHeight="1"/>
    <row r="1011" ht="14.25" customHeight="1"/>
    <row r="1012" ht="14.25" customHeight="1"/>
    <row r="1013" ht="14.25" customHeight="1"/>
    <row r="1014" ht="14.25" customHeight="1"/>
    <row r="1015" ht="14.25" customHeight="1"/>
    <row r="1016" ht="14.25" customHeight="1"/>
    <row r="1017" ht="14.25" customHeight="1"/>
    <row r="1018" ht="14.25" customHeight="1"/>
    <row r="1019" ht="14.25" customHeight="1"/>
    <row r="1020" ht="14.25" customHeight="1"/>
    <row r="1021" ht="14.25" customHeight="1"/>
    <row r="1022" ht="14.25" customHeight="1"/>
    <row r="1023" ht="14.25" customHeight="1"/>
    <row r="1024" ht="14.25" customHeight="1"/>
    <row r="1025" ht="14.25" customHeight="1"/>
    <row r="1026" ht="14.25" customHeight="1"/>
    <row r="1027" ht="14.25" customHeight="1"/>
    <row r="1028" ht="14.25" customHeight="1"/>
    <row r="1029" ht="14.25" customHeight="1"/>
    <row r="1030" ht="14.25" customHeight="1"/>
    <row r="1031" ht="14.25" customHeight="1"/>
    <row r="1032" ht="14.25" customHeight="1"/>
    <row r="1033" ht="14.25" customHeight="1"/>
    <row r="1034" ht="14.25" customHeight="1"/>
    <row r="1035" ht="14.25" customHeight="1"/>
    <row r="1036" ht="14.25" customHeight="1"/>
    <row r="1037" ht="14.25" customHeight="1"/>
    <row r="1038" ht="14.25" customHeight="1"/>
    <row r="1039" ht="14.25" customHeight="1"/>
    <row r="1040" ht="14.25" customHeight="1"/>
    <row r="1041" ht="14.25" customHeight="1"/>
    <row r="1042" ht="14.25" customHeight="1"/>
    <row r="1043" ht="14.25" customHeight="1"/>
    <row r="1044" ht="14.25" customHeight="1"/>
    <row r="1045" ht="14.25" customHeight="1"/>
    <row r="1046" ht="14.25" customHeight="1"/>
    <row r="1047" ht="14.25" customHeight="1"/>
    <row r="1048" ht="14.25" customHeight="1"/>
  </sheetData>
  <mergeCells count="1">
    <mergeCell ref="I113:J113"/>
  </mergeCells>
  <pageMargins left="0.7" right="0.7" top="0.75" bottom="0.75" header="0" footer="0"/>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heetPr>
  <dimension ref="A1:AN1026"/>
  <sheetViews>
    <sheetView workbookViewId="0">
      <pane xSplit="2" ySplit="1" topLeftCell="X2" activePane="bottomRight" state="frozen"/>
      <selection pane="topRight" activeCell="C1" sqref="C1"/>
      <selection pane="bottomLeft" activeCell="A2" sqref="A2"/>
      <selection pane="bottomRight" activeCell="Z4" sqref="Z4"/>
    </sheetView>
  </sheetViews>
  <sheetFormatPr defaultColWidth="14.42578125" defaultRowHeight="15" customHeight="1"/>
  <cols>
    <col min="1" max="1" width="19.5703125" bestFit="1" customWidth="1"/>
    <col min="2" max="2" width="19" bestFit="1" customWidth="1"/>
    <col min="3" max="5" width="10.5703125" hidden="1" customWidth="1"/>
    <col min="6" max="6" width="8.5703125" hidden="1" customWidth="1"/>
    <col min="7" max="8" width="12.85546875" hidden="1" customWidth="1"/>
    <col min="9" max="9" width="13.140625" hidden="1" customWidth="1"/>
    <col min="10" max="10" width="14" hidden="1" customWidth="1"/>
    <col min="11" max="11" width="12.85546875" hidden="1" customWidth="1"/>
    <col min="12" max="12" width="13.5703125" hidden="1" customWidth="1"/>
    <col min="13" max="13" width="13.42578125" hidden="1" customWidth="1"/>
    <col min="14" max="14" width="12.85546875" hidden="1" customWidth="1"/>
    <col min="15" max="15" width="14" hidden="1" customWidth="1"/>
    <col min="16" max="16" width="13.140625" hidden="1" customWidth="1"/>
    <col min="17" max="17" width="13.42578125" hidden="1" customWidth="1"/>
    <col min="18" max="18" width="12.85546875" hidden="1" customWidth="1"/>
    <col min="19" max="20" width="12.5703125" hidden="1" customWidth="1"/>
    <col min="21" max="21" width="13.140625" bestFit="1" customWidth="1"/>
    <col min="22" max="22" width="13.5703125" bestFit="1" customWidth="1"/>
    <col min="23" max="23" width="13.140625" bestFit="1" customWidth="1"/>
    <col min="24" max="24" width="12.42578125" bestFit="1" customWidth="1"/>
    <col min="25" max="25" width="13.5703125" bestFit="1" customWidth="1"/>
    <col min="26" max="30" width="20.28515625" customWidth="1"/>
  </cols>
  <sheetData>
    <row r="1" spans="1:40" ht="39">
      <c r="A1" s="20" t="s">
        <v>192</v>
      </c>
      <c r="B1" s="20"/>
      <c r="C1" s="21" t="str">
        <f>"Q1 /20"</f>
        <v>Q1 /20</v>
      </c>
      <c r="D1" s="21" t="str">
        <f>"Q2 /20"</f>
        <v>Q2 /20</v>
      </c>
      <c r="E1" s="21" t="str">
        <f>"Q3 /20"</f>
        <v>Q3 /20</v>
      </c>
      <c r="F1" s="22" t="str">
        <f>"Q4 /20"</f>
        <v>Q4 /20</v>
      </c>
      <c r="G1" s="21" t="str">
        <f>"Q1 /21"</f>
        <v>Q1 /21</v>
      </c>
      <c r="H1" s="21" t="str">
        <f>"Q2 /21"</f>
        <v>Q2 /21</v>
      </c>
      <c r="I1" s="21" t="str">
        <f>"Q3 /21"</f>
        <v>Q3 /21</v>
      </c>
      <c r="J1" s="22" t="str">
        <f>"Q4 /21"</f>
        <v>Q4 /21</v>
      </c>
      <c r="K1" s="23">
        <v>21</v>
      </c>
      <c r="L1" s="21" t="str">
        <f>"Q1 /22"</f>
        <v>Q1 /22</v>
      </c>
      <c r="M1" s="21" t="str">
        <f>"Q2 /22"</f>
        <v>Q2 /22</v>
      </c>
      <c r="N1" s="21" t="str">
        <f>"Q3 /22"</f>
        <v>Q3 /22</v>
      </c>
      <c r="O1" s="22" t="str">
        <f>"Q4 /22"</f>
        <v>Q4 /22</v>
      </c>
      <c r="P1" s="24" t="s">
        <v>193</v>
      </c>
      <c r="Q1" s="25" t="str">
        <f>"Q1 /23"</f>
        <v>Q1 /23</v>
      </c>
      <c r="R1" s="25" t="str">
        <f>"Q2 /23"</f>
        <v>Q2 /23</v>
      </c>
      <c r="S1" s="25" t="str">
        <f>"Q3 /23"</f>
        <v>Q3 /23</v>
      </c>
      <c r="T1" s="26" t="str">
        <f>"Q4 /23"</f>
        <v>Q4 /23</v>
      </c>
      <c r="U1" s="27" t="s">
        <v>194</v>
      </c>
      <c r="V1" s="21" t="str">
        <f>"Q1 /24"</f>
        <v>Q1 /24</v>
      </c>
      <c r="W1" s="21" t="str">
        <f>"Q2 /24"</f>
        <v>Q2 /24</v>
      </c>
      <c r="X1" s="21" t="str">
        <f>"Q3 /24"</f>
        <v>Q3 /24</v>
      </c>
      <c r="Y1" s="21" t="str">
        <f>"Q4 /24"</f>
        <v>Q4 /24</v>
      </c>
      <c r="Z1" s="20" t="s">
        <v>195</v>
      </c>
      <c r="AA1" s="20" t="s">
        <v>196</v>
      </c>
      <c r="AB1" s="20" t="s">
        <v>197</v>
      </c>
      <c r="AC1" s="20" t="s">
        <v>198</v>
      </c>
      <c r="AD1" s="20" t="s">
        <v>199</v>
      </c>
    </row>
    <row r="2" spans="1:40" ht="39">
      <c r="A2" s="20" t="s">
        <v>1012</v>
      </c>
      <c r="B2" s="20"/>
      <c r="C2" s="417"/>
      <c r="D2" s="417"/>
      <c r="E2" s="417"/>
      <c r="F2" s="602"/>
      <c r="G2" s="417"/>
      <c r="H2" s="417"/>
      <c r="I2" s="417"/>
      <c r="J2" s="417"/>
      <c r="K2" s="603"/>
      <c r="L2" s="417"/>
      <c r="M2" s="417"/>
      <c r="N2" s="417"/>
      <c r="O2" s="417"/>
      <c r="P2" s="604"/>
      <c r="Q2" s="605"/>
      <c r="R2" s="605"/>
      <c r="S2" s="605"/>
      <c r="T2" s="605"/>
      <c r="U2" s="606"/>
      <c r="V2" s="417"/>
      <c r="W2" s="417"/>
      <c r="X2" s="417"/>
      <c r="Y2" s="417"/>
      <c r="Z2" s="608">
        <f>'IS HPG (base)'!G167</f>
        <v>0</v>
      </c>
      <c r="AA2" s="20"/>
      <c r="AB2" s="20"/>
      <c r="AC2" s="20"/>
      <c r="AD2" s="20"/>
    </row>
    <row r="3" spans="1:40" ht="39">
      <c r="A3" s="20" t="s">
        <v>1006</v>
      </c>
      <c r="B3" s="20"/>
      <c r="C3" s="417"/>
      <c r="D3" s="417"/>
      <c r="E3" s="417"/>
      <c r="F3" s="602"/>
      <c r="G3" s="417"/>
      <c r="H3" s="417"/>
      <c r="I3" s="417"/>
      <c r="J3" s="417"/>
      <c r="K3" s="603"/>
      <c r="L3" s="417"/>
      <c r="M3" s="417"/>
      <c r="N3" s="417"/>
      <c r="O3" s="417"/>
      <c r="P3" s="604"/>
      <c r="Q3" s="605"/>
      <c r="R3" s="605"/>
      <c r="S3" s="605"/>
      <c r="T3" s="605"/>
      <c r="U3" s="606"/>
      <c r="V3" s="417"/>
      <c r="W3" s="417"/>
      <c r="X3" s="417"/>
      <c r="Y3" s="417"/>
      <c r="Z3" s="608">
        <f>'IS HPG (base)'!G168</f>
        <v>0</v>
      </c>
      <c r="AA3" s="20"/>
      <c r="AB3" s="20"/>
      <c r="AC3" s="20"/>
      <c r="AD3" s="20"/>
    </row>
    <row r="4" spans="1:40" ht="19.5">
      <c r="A4" s="29" t="s">
        <v>200</v>
      </c>
      <c r="B4" s="30"/>
      <c r="C4" s="29"/>
      <c r="D4" s="29"/>
      <c r="E4" s="29"/>
      <c r="F4" s="31"/>
      <c r="G4" s="32">
        <f t="shared" ref="G4:Y4" si="0">G6*G5</f>
        <v>12791488.16</v>
      </c>
      <c r="H4" s="32">
        <f t="shared" si="0"/>
        <v>17154850.699999999</v>
      </c>
      <c r="I4" s="32">
        <f t="shared" si="0"/>
        <v>15552635.870000001</v>
      </c>
      <c r="J4" s="32">
        <f t="shared" si="0"/>
        <v>20422344.800000001</v>
      </c>
      <c r="K4" s="32">
        <f t="shared" si="0"/>
        <v>0</v>
      </c>
      <c r="L4" s="32">
        <f t="shared" si="0"/>
        <v>24862602.100000001</v>
      </c>
      <c r="M4" s="32">
        <f t="shared" si="0"/>
        <v>20416195.800000001</v>
      </c>
      <c r="N4" s="32">
        <f t="shared" si="0"/>
        <v>17794534.52</v>
      </c>
      <c r="O4" s="32">
        <f t="shared" si="0"/>
        <v>13090803</v>
      </c>
      <c r="P4" s="32">
        <f t="shared" si="0"/>
        <v>0</v>
      </c>
      <c r="Q4" s="32">
        <f t="shared" si="0"/>
        <v>14983483.68</v>
      </c>
      <c r="R4" s="32">
        <f t="shared" si="0"/>
        <v>12794444.739999998</v>
      </c>
      <c r="S4" s="32">
        <f t="shared" si="0"/>
        <v>13741126.039999999</v>
      </c>
      <c r="T4" s="32">
        <f t="shared" si="0"/>
        <v>17961508.760000002</v>
      </c>
      <c r="U4" s="32">
        <f t="shared" si="0"/>
        <v>0</v>
      </c>
      <c r="V4" s="32">
        <f t="shared" si="0"/>
        <v>15053956.359999999</v>
      </c>
      <c r="W4" s="32">
        <f t="shared" si="0"/>
        <v>15465214.380000001</v>
      </c>
      <c r="X4" s="32">
        <f t="shared" si="0"/>
        <v>16174873.568000002</v>
      </c>
      <c r="Y4" s="32">
        <f t="shared" si="0"/>
        <v>16245648.204000004</v>
      </c>
      <c r="Z4" s="32">
        <f>Z6*Z5</f>
        <v>62697815.411400013</v>
      </c>
      <c r="AA4" s="29">
        <f>AA6*AA5</f>
        <v>71557016.729030848</v>
      </c>
      <c r="AB4" s="29">
        <f>AB6*AB5</f>
        <v>81811137.22630097</v>
      </c>
      <c r="AC4" s="29">
        <f>AC6*AC5</f>
        <v>90380764.656000018</v>
      </c>
      <c r="AD4" s="29">
        <f>AD6*AD5</f>
        <v>91284572.302560017</v>
      </c>
      <c r="AE4" s="386"/>
    </row>
    <row r="5" spans="1:40" ht="19.5">
      <c r="A5" s="34">
        <f>1-A12-A23</f>
        <v>0.52350059053802589</v>
      </c>
      <c r="B5" s="35" t="s">
        <v>201</v>
      </c>
      <c r="C5" s="29"/>
      <c r="D5" s="29"/>
      <c r="E5" s="29"/>
      <c r="F5" s="31"/>
      <c r="G5" s="36">
        <v>855046</v>
      </c>
      <c r="H5" s="36">
        <v>983086</v>
      </c>
      <c r="I5" s="36">
        <v>959447</v>
      </c>
      <c r="J5" s="37">
        <v>1092104</v>
      </c>
      <c r="K5" s="38">
        <f>SUM(C5:J5)</f>
        <v>3889683</v>
      </c>
      <c r="L5" s="36">
        <v>1340302</v>
      </c>
      <c r="M5" s="36">
        <v>1031121</v>
      </c>
      <c r="N5" s="36">
        <v>1077151</v>
      </c>
      <c r="O5" s="37">
        <v>820740</v>
      </c>
      <c r="P5" s="38">
        <f>SUM(L5:O5)</f>
        <v>4269314</v>
      </c>
      <c r="Q5" s="36">
        <v>869616</v>
      </c>
      <c r="R5" s="36">
        <v>784454</v>
      </c>
      <c r="S5" s="36">
        <v>920987</v>
      </c>
      <c r="T5" s="36">
        <v>1212796</v>
      </c>
      <c r="U5" s="38">
        <f>SUM(Q5:T5)</f>
        <v>3787853</v>
      </c>
      <c r="V5" s="36">
        <v>956414</v>
      </c>
      <c r="W5" s="36">
        <f t="shared" ref="W5:Y5" si="1">$V$5*(1+W7)</f>
        <v>1004234.7000000001</v>
      </c>
      <c r="X5" s="36">
        <f t="shared" si="1"/>
        <v>1071183.6800000002</v>
      </c>
      <c r="Y5" s="36">
        <f t="shared" si="1"/>
        <v>1090311.9600000002</v>
      </c>
      <c r="Z5" s="36">
        <f>SUM(V5:Y5)</f>
        <v>4122144.3400000008</v>
      </c>
      <c r="AA5" s="36">
        <v>4658023.1042000009</v>
      </c>
      <c r="AB5" s="36">
        <v>5170405.6456620013</v>
      </c>
      <c r="AC5" s="36">
        <v>5600000</v>
      </c>
      <c r="AD5" s="36">
        <f t="shared" ref="AD5" si="2">AC5*(1+AD7)</f>
        <v>5600000</v>
      </c>
    </row>
    <row r="6" spans="1:40" ht="19.5">
      <c r="A6" s="29"/>
      <c r="B6" s="35" t="s">
        <v>202</v>
      </c>
      <c r="C6" s="39">
        <v>11</v>
      </c>
      <c r="D6" s="39">
        <v>12</v>
      </c>
      <c r="E6" s="39">
        <v>13</v>
      </c>
      <c r="F6" s="40">
        <v>15</v>
      </c>
      <c r="G6" s="41">
        <v>14.96</v>
      </c>
      <c r="H6" s="41">
        <v>17.45</v>
      </c>
      <c r="I6" s="41">
        <v>16.21</v>
      </c>
      <c r="J6" s="42">
        <v>18.7</v>
      </c>
      <c r="K6" s="39"/>
      <c r="L6" s="41">
        <v>18.55</v>
      </c>
      <c r="M6" s="41">
        <v>19.8</v>
      </c>
      <c r="N6" s="41">
        <v>16.52</v>
      </c>
      <c r="O6" s="42">
        <v>15.95</v>
      </c>
      <c r="P6" s="39"/>
      <c r="Q6" s="43">
        <v>17.23</v>
      </c>
      <c r="R6" s="43">
        <v>16.309999999999999</v>
      </c>
      <c r="S6" s="43">
        <v>14.92</v>
      </c>
      <c r="T6" s="44">
        <v>14.81</v>
      </c>
      <c r="U6" s="45"/>
      <c r="V6" s="41">
        <v>15.74</v>
      </c>
      <c r="W6" s="41">
        <v>15.4</v>
      </c>
      <c r="X6" s="29">
        <v>15.1</v>
      </c>
      <c r="Y6" s="29">
        <v>14.9</v>
      </c>
      <c r="Z6" s="29">
        <v>15.21</v>
      </c>
      <c r="AA6" s="29">
        <f>Z6*(1+AA9)</f>
        <v>15.362100000000002</v>
      </c>
      <c r="AB6" s="29">
        <f t="shared" ref="AB6" si="3">AA6*(1+AB9)</f>
        <v>15.822963000000001</v>
      </c>
      <c r="AC6" s="29">
        <f>AB6*(1+AC9)</f>
        <v>16.139422260000003</v>
      </c>
      <c r="AD6" s="29">
        <f>AC6*(1+AD9)</f>
        <v>16.300816482600002</v>
      </c>
    </row>
    <row r="7" spans="1:40" ht="19.5">
      <c r="A7" s="29"/>
      <c r="B7" s="35" t="s">
        <v>203</v>
      </c>
      <c r="C7" s="29"/>
      <c r="D7" s="29"/>
      <c r="E7" s="29"/>
      <c r="F7" s="31"/>
      <c r="G7" s="34"/>
      <c r="H7" s="34">
        <f>(H5-G5)/G5</f>
        <v>0.14974632943724664</v>
      </c>
      <c r="I7" s="34">
        <f t="shared" ref="I7:J7" si="4">(I5-$G$5)/$G$5</f>
        <v>0.1220998636330677</v>
      </c>
      <c r="J7" s="34">
        <f t="shared" si="4"/>
        <v>0.27724590255962839</v>
      </c>
      <c r="K7" s="46"/>
      <c r="L7" s="34"/>
      <c r="M7" s="34">
        <f t="shared" ref="M7:O7" si="5">(M5-$L$5)/$L$5</f>
        <v>-0.23068010045497209</v>
      </c>
      <c r="N7" s="34">
        <f t="shared" si="5"/>
        <v>-0.19633709417728243</v>
      </c>
      <c r="O7" s="34">
        <f t="shared" si="5"/>
        <v>-0.38764547094610019</v>
      </c>
      <c r="P7" s="46"/>
      <c r="Q7" s="34"/>
      <c r="R7" s="34">
        <f t="shared" ref="R7:T7" si="6">(R5-$Q$5)/$Q$5</f>
        <v>-9.7930580854078117E-2</v>
      </c>
      <c r="S7" s="34">
        <f t="shared" si="6"/>
        <v>5.907320012511269E-2</v>
      </c>
      <c r="T7" s="34">
        <f t="shared" si="6"/>
        <v>0.39463395337712276</v>
      </c>
      <c r="U7" s="46"/>
      <c r="V7" s="34"/>
      <c r="W7" s="34">
        <v>0.05</v>
      </c>
      <c r="X7" s="47">
        <v>0.12</v>
      </c>
      <c r="Y7" s="47">
        <v>0.14000000000000001</v>
      </c>
      <c r="Z7" s="34">
        <f t="shared" ref="Z7" si="7">SUM(V7:Y7)/4</f>
        <v>7.7499999999999999E-2</v>
      </c>
      <c r="AA7" s="34">
        <v>0.13</v>
      </c>
      <c r="AB7" s="34">
        <v>0.11</v>
      </c>
      <c r="AC7" s="34"/>
      <c r="AD7" s="34"/>
    </row>
    <row r="8" spans="1:40" ht="19.5">
      <c r="A8" s="29"/>
      <c r="B8" s="35" t="s">
        <v>204</v>
      </c>
      <c r="C8" s="29"/>
      <c r="D8" s="29"/>
      <c r="E8" s="29"/>
      <c r="F8" s="31"/>
      <c r="G8" s="34"/>
      <c r="H8" s="34"/>
      <c r="I8" s="34"/>
      <c r="J8" s="48"/>
      <c r="K8" s="46"/>
      <c r="L8" s="34">
        <f t="shared" ref="L8:V8" si="8">(L5-G5)/G5</f>
        <v>0.56752034393471229</v>
      </c>
      <c r="M8" s="34">
        <f t="shared" si="8"/>
        <v>4.8861442437385945E-2</v>
      </c>
      <c r="N8" s="34">
        <f t="shared" si="8"/>
        <v>0.12267900154985112</v>
      </c>
      <c r="O8" s="34">
        <f t="shared" si="8"/>
        <v>-0.2484781669145063</v>
      </c>
      <c r="P8" s="34">
        <f t="shared" si="8"/>
        <v>9.759947018818757E-2</v>
      </c>
      <c r="Q8" s="34">
        <f t="shared" si="8"/>
        <v>-0.35117906262916865</v>
      </c>
      <c r="R8" s="34">
        <f t="shared" si="8"/>
        <v>-0.23922216694257997</v>
      </c>
      <c r="S8" s="34">
        <f t="shared" si="8"/>
        <v>-0.14497874485564233</v>
      </c>
      <c r="T8" s="34">
        <f t="shared" si="8"/>
        <v>0.47768599069132733</v>
      </c>
      <c r="U8" s="34">
        <f t="shared" si="8"/>
        <v>-0.11277245009385582</v>
      </c>
      <c r="V8" s="34">
        <f t="shared" si="8"/>
        <v>9.9811870986734372E-2</v>
      </c>
      <c r="W8" s="34"/>
      <c r="X8" s="34"/>
      <c r="Y8" s="34"/>
      <c r="Z8" s="34"/>
      <c r="AA8" s="34"/>
      <c r="AB8" s="34"/>
      <c r="AC8" s="34"/>
      <c r="AD8" s="34"/>
    </row>
    <row r="9" spans="1:40" ht="19.5">
      <c r="A9" s="29"/>
      <c r="B9" s="49" t="s">
        <v>205</v>
      </c>
      <c r="C9" s="50"/>
      <c r="D9" s="51">
        <f t="shared" ref="D9:J9" si="9">(D6-C6)/C6</f>
        <v>9.0909090909090912E-2</v>
      </c>
      <c r="E9" s="51">
        <f t="shared" si="9"/>
        <v>8.3333333333333329E-2</v>
      </c>
      <c r="F9" s="52">
        <f t="shared" si="9"/>
        <v>0.15384615384615385</v>
      </c>
      <c r="G9" s="51">
        <f t="shared" si="9"/>
        <v>-2.6666666666666098E-3</v>
      </c>
      <c r="H9" s="51">
        <f t="shared" si="9"/>
        <v>0.16644385026737957</v>
      </c>
      <c r="I9" s="51">
        <f t="shared" si="9"/>
        <v>-7.1060171919770682E-2</v>
      </c>
      <c r="J9" s="52">
        <f t="shared" si="9"/>
        <v>0.15360888340530526</v>
      </c>
      <c r="K9" s="46">
        <f>(J6-G6)/G6</f>
        <v>0.24999999999999989</v>
      </c>
      <c r="L9" s="51">
        <f>(L6-J6)/J6</f>
        <v>-8.0213903743314753E-3</v>
      </c>
      <c r="M9" s="51">
        <f t="shared" ref="M9:O9" si="10">(M6-L6)/L6</f>
        <v>6.7385444743935305E-2</v>
      </c>
      <c r="N9" s="51">
        <f t="shared" si="10"/>
        <v>-0.1656565656565657</v>
      </c>
      <c r="O9" s="52">
        <f t="shared" si="10"/>
        <v>-3.45036319612591E-2</v>
      </c>
      <c r="P9" s="46">
        <f>(O6-L6)/L6</f>
        <v>-0.14016172506738553</v>
      </c>
      <c r="Q9" s="51">
        <f>(Q6-O6)/O6</f>
        <v>8.0250783699059636E-2</v>
      </c>
      <c r="R9" s="51">
        <f t="shared" ref="R9:T9" si="11">(R6-Q6)/Q6</f>
        <v>-5.3395240858967019E-2</v>
      </c>
      <c r="S9" s="51">
        <f t="shared" si="11"/>
        <v>-8.5223789086449966E-2</v>
      </c>
      <c r="T9" s="52">
        <f t="shared" si="11"/>
        <v>-7.3726541554959401E-3</v>
      </c>
      <c r="U9" s="46">
        <f>(T6-Q6)/Q6</f>
        <v>-0.1404526987811956</v>
      </c>
      <c r="V9" s="51">
        <f>(V6-T6)/T6</f>
        <v>6.2795408507765008E-2</v>
      </c>
      <c r="W9" s="51">
        <f t="shared" ref="W9:Y9" si="12">(W6-V6)/V6</f>
        <v>-2.1601016518424387E-2</v>
      </c>
      <c r="X9" s="53">
        <f t="shared" si="12"/>
        <v>-1.9480519480519525E-2</v>
      </c>
      <c r="Y9" s="53">
        <f t="shared" si="12"/>
        <v>-1.3245033112582735E-2</v>
      </c>
      <c r="Z9" s="51">
        <f>SUM(V9:Y9)/4+Z3</f>
        <v>2.1172098490595901E-3</v>
      </c>
      <c r="AA9" s="53">
        <f>1%+Z2</f>
        <v>0.01</v>
      </c>
      <c r="AB9" s="53">
        <f>3%+Z2</f>
        <v>0.03</v>
      </c>
      <c r="AC9" s="53">
        <f>2%+Z2</f>
        <v>0.02</v>
      </c>
      <c r="AD9" s="53">
        <f>1%+Z2</f>
        <v>0.01</v>
      </c>
      <c r="AE9" s="607" t="s">
        <v>1004</v>
      </c>
      <c r="AF9" s="411">
        <f>AVERAGE(AA9:AD9)</f>
        <v>1.7499999999999998E-2</v>
      </c>
    </row>
    <row r="10" spans="1:40" ht="19.5">
      <c r="A10" s="29"/>
      <c r="B10" s="49"/>
      <c r="C10" s="50"/>
      <c r="D10" s="51"/>
      <c r="E10" s="51"/>
      <c r="F10" s="52"/>
      <c r="G10" s="51"/>
      <c r="H10" s="51"/>
      <c r="I10" s="51"/>
      <c r="J10" s="426"/>
      <c r="K10" s="46"/>
      <c r="L10" s="51"/>
      <c r="M10" s="51"/>
      <c r="N10" s="51"/>
      <c r="O10" s="426"/>
      <c r="P10" s="46"/>
      <c r="Q10" s="51"/>
      <c r="R10" s="51"/>
      <c r="S10" s="51"/>
      <c r="T10" s="426"/>
      <c r="U10" s="46"/>
      <c r="V10" s="51"/>
      <c r="W10" s="51"/>
      <c r="X10" s="53"/>
      <c r="Y10" s="53"/>
      <c r="Z10" s="476">
        <f>SUM(Z4,Z11,Z16,Z28,Z33)</f>
        <v>117521506.26938751</v>
      </c>
      <c r="AA10" s="476">
        <f>SUM(AA4,AA11,AA16,AA28,AA33)</f>
        <v>157959605.1899496</v>
      </c>
      <c r="AB10" s="476">
        <f>SUM(AB4,AB11,AB16,AB28,AB33)</f>
        <v>209272377.58121341</v>
      </c>
      <c r="AC10" s="476">
        <f>SUM(AC4,AC11,AC16,AC28,AC33)</f>
        <v>234355966.78439391</v>
      </c>
      <c r="AD10" s="476">
        <f>SUM(AD4,AD11,AD16,AD28,AD33)</f>
        <v>241643862.61549518</v>
      </c>
    </row>
    <row r="11" spans="1:40" ht="19.5">
      <c r="A11" s="54" t="s">
        <v>206</v>
      </c>
      <c r="B11" s="55"/>
      <c r="C11" s="54"/>
      <c r="D11" s="54"/>
      <c r="E11" s="54"/>
      <c r="F11" s="56"/>
      <c r="G11" s="57">
        <f t="shared" ref="G11:Y11" si="13">G12*G13</f>
        <v>3588234</v>
      </c>
      <c r="H11" s="57">
        <f t="shared" si="13"/>
        <v>4608811.7</v>
      </c>
      <c r="I11" s="57">
        <f t="shared" si="13"/>
        <v>3262942.2</v>
      </c>
      <c r="J11" s="57">
        <f t="shared" si="13"/>
        <v>4773351.2</v>
      </c>
      <c r="K11" s="58">
        <f t="shared" si="13"/>
        <v>16394461.1</v>
      </c>
      <c r="L11" s="57">
        <f t="shared" si="13"/>
        <v>5488938</v>
      </c>
      <c r="M11" s="57">
        <f t="shared" si="13"/>
        <v>4265380.8</v>
      </c>
      <c r="N11" s="57">
        <f t="shared" si="13"/>
        <v>4502070</v>
      </c>
      <c r="O11" s="57">
        <f t="shared" si="13"/>
        <v>3634137.4000000004</v>
      </c>
      <c r="P11" s="58">
        <f t="shared" si="13"/>
        <v>17908198.300000001</v>
      </c>
      <c r="Q11" s="57">
        <f t="shared" si="13"/>
        <v>3457144.8000000003</v>
      </c>
      <c r="R11" s="57">
        <f t="shared" si="13"/>
        <v>3415168.8</v>
      </c>
      <c r="S11" s="57">
        <f t="shared" si="13"/>
        <v>3236695.1999999997</v>
      </c>
      <c r="T11" s="57">
        <f t="shared" si="13"/>
        <v>3567109</v>
      </c>
      <c r="U11" s="58">
        <f t="shared" si="13"/>
        <v>13741967.999999998</v>
      </c>
      <c r="V11" s="57">
        <f t="shared" si="13"/>
        <v>2476926.2000000002</v>
      </c>
      <c r="W11" s="57">
        <f t="shared" si="13"/>
        <v>3467696.68</v>
      </c>
      <c r="X11" s="57">
        <f t="shared" si="13"/>
        <v>3519712.1301999995</v>
      </c>
      <c r="Y11" s="57">
        <f t="shared" si="13"/>
        <v>3865398.1429874995</v>
      </c>
      <c r="Z11" s="58">
        <f>SUM(V11:Y11)</f>
        <v>13329733.1531875</v>
      </c>
      <c r="AA11" s="57">
        <f>AA12*AA13</f>
        <v>16259556.051837178</v>
      </c>
      <c r="AB11" s="57">
        <f>AB12*AB13</f>
        <v>18064366.773591109</v>
      </c>
      <c r="AC11" s="57">
        <f>AC12*AC13</f>
        <v>19157260.963393372</v>
      </c>
      <c r="AD11" s="57">
        <f>AD12*AD13</f>
        <v>19735810.244487852</v>
      </c>
    </row>
    <row r="12" spans="1:40" ht="19.5">
      <c r="A12" s="59">
        <f>Z12/(Z23*1000+Z12+Z5)</f>
        <v>9.550795402592363E-2</v>
      </c>
      <c r="B12" s="60" t="s">
        <v>201</v>
      </c>
      <c r="C12" s="54"/>
      <c r="D12" s="54"/>
      <c r="E12" s="54"/>
      <c r="F12" s="56"/>
      <c r="G12" s="61">
        <v>184012</v>
      </c>
      <c r="H12" s="61">
        <v>191237</v>
      </c>
      <c r="I12" s="61">
        <v>122667</v>
      </c>
      <c r="J12" s="62">
        <v>177448</v>
      </c>
      <c r="K12" s="63">
        <f>SUM(G12:J12)</f>
        <v>675364</v>
      </c>
      <c r="L12" s="61">
        <v>217815</v>
      </c>
      <c r="M12" s="61">
        <v>159156</v>
      </c>
      <c r="N12" s="61">
        <v>200092</v>
      </c>
      <c r="O12" s="62">
        <v>172234</v>
      </c>
      <c r="P12" s="63">
        <f>SUM(L12:O12)</f>
        <v>749297</v>
      </c>
      <c r="Q12" s="61">
        <v>160053</v>
      </c>
      <c r="R12" s="61">
        <v>164984</v>
      </c>
      <c r="S12" s="61">
        <v>162648</v>
      </c>
      <c r="T12" s="62">
        <v>195995</v>
      </c>
      <c r="U12" s="63">
        <f>SUM(Q12:T12)</f>
        <v>683680</v>
      </c>
      <c r="V12" s="61">
        <v>129682</v>
      </c>
      <c r="W12" s="57">
        <f t="shared" ref="W12:Y12" si="14">$V$12*(1+W14)</f>
        <v>181554.8</v>
      </c>
      <c r="X12" s="57">
        <f t="shared" si="14"/>
        <v>181554.8</v>
      </c>
      <c r="Y12" s="57">
        <f t="shared" si="14"/>
        <v>194523</v>
      </c>
      <c r="Z12" s="57">
        <f>U12*(1+Z14)</f>
        <v>752048.00000000012</v>
      </c>
      <c r="AA12" s="57">
        <f t="shared" ref="AA12:AD12" si="15">Z12*(1+AA14)</f>
        <v>827252.80000000016</v>
      </c>
      <c r="AB12" s="57">
        <f t="shared" si="15"/>
        <v>909978.08000000031</v>
      </c>
      <c r="AC12" s="57">
        <f t="shared" si="15"/>
        <v>955476.9840000004</v>
      </c>
      <c r="AD12" s="57">
        <f t="shared" si="15"/>
        <v>974586.52368000045</v>
      </c>
    </row>
    <row r="13" spans="1:40" ht="19.5">
      <c r="A13" s="54"/>
      <c r="B13" s="60" t="s">
        <v>202</v>
      </c>
      <c r="C13" s="54"/>
      <c r="D13" s="54"/>
      <c r="E13" s="54"/>
      <c r="F13" s="56"/>
      <c r="G13" s="57">
        <v>19.5</v>
      </c>
      <c r="H13" s="54">
        <v>24.1</v>
      </c>
      <c r="I13" s="57">
        <v>26.6</v>
      </c>
      <c r="J13" s="64">
        <v>26.9</v>
      </c>
      <c r="K13" s="65">
        <f>AVERAGE(G13:J13)</f>
        <v>24.274999999999999</v>
      </c>
      <c r="L13" s="57">
        <v>25.2</v>
      </c>
      <c r="M13" s="57">
        <v>26.8</v>
      </c>
      <c r="N13" s="57">
        <v>22.5</v>
      </c>
      <c r="O13" s="56">
        <v>21.1</v>
      </c>
      <c r="P13" s="65">
        <f>AVERAGE(L13:O13)</f>
        <v>23.9</v>
      </c>
      <c r="Q13" s="57">
        <v>21.6</v>
      </c>
      <c r="R13" s="57">
        <v>20.7</v>
      </c>
      <c r="S13" s="57">
        <v>19.899999999999999</v>
      </c>
      <c r="T13" s="64">
        <v>18.2</v>
      </c>
      <c r="U13" s="65">
        <f t="shared" ref="U13:U14" si="16">AVERAGE(Q13:T13)</f>
        <v>20.099999999999998</v>
      </c>
      <c r="V13" s="54">
        <v>19.100000000000001</v>
      </c>
      <c r="W13" s="54">
        <v>19.100000000000001</v>
      </c>
      <c r="X13" s="54">
        <f t="shared" ref="X13:Y13" si="17">W13*(1+X15)</f>
        <v>19.386499999999998</v>
      </c>
      <c r="Y13" s="54">
        <f t="shared" si="17"/>
        <v>19.871162499999997</v>
      </c>
      <c r="Z13" s="54">
        <f>SUM(V13:Y13)/4</f>
        <v>19.364415624999999</v>
      </c>
      <c r="AA13" s="57">
        <f t="shared" ref="AA13:AD13" si="18">Z13*(1+AA15)</f>
        <v>19.654881859374999</v>
      </c>
      <c r="AB13" s="57">
        <f t="shared" si="18"/>
        <v>19.85143067796875</v>
      </c>
      <c r="AC13" s="57">
        <f t="shared" si="18"/>
        <v>20.049944984748439</v>
      </c>
      <c r="AD13" s="57">
        <f t="shared" si="18"/>
        <v>20.250444434595924</v>
      </c>
    </row>
    <row r="14" spans="1:40" ht="19.5">
      <c r="A14" s="54"/>
      <c r="B14" s="60" t="s">
        <v>203</v>
      </c>
      <c r="C14" s="54"/>
      <c r="D14" s="54"/>
      <c r="E14" s="54"/>
      <c r="F14" s="56"/>
      <c r="G14" s="54"/>
      <c r="H14" s="59">
        <f t="shared" ref="H14:J14" si="19">(H12-$G$12)/$G$12</f>
        <v>3.9263743668891161E-2</v>
      </c>
      <c r="I14" s="59">
        <f t="shared" si="19"/>
        <v>-0.33337499728278591</v>
      </c>
      <c r="J14" s="59">
        <f t="shared" si="19"/>
        <v>-3.5671586635654194E-2</v>
      </c>
      <c r="K14" s="66">
        <f>AVERAGE(H14:J14)</f>
        <v>-0.1099276134165163</v>
      </c>
      <c r="L14" s="59">
        <f t="shared" ref="L14:L15" si="20">(L12-J12)/J12</f>
        <v>0.22748636220188451</v>
      </c>
      <c r="M14" s="59">
        <f t="shared" ref="M14:O14" si="21">(M12-$L$12)/$L$12</f>
        <v>-0.2693065215894222</v>
      </c>
      <c r="N14" s="59">
        <f t="shared" si="21"/>
        <v>-8.1367215297385401E-2</v>
      </c>
      <c r="O14" s="59">
        <f t="shared" si="21"/>
        <v>-0.20926474301586209</v>
      </c>
      <c r="P14" s="66">
        <f>AVERAGE(L14:O14)</f>
        <v>-8.31130294251963E-2</v>
      </c>
      <c r="Q14" s="59">
        <f t="shared" ref="Q14:Q15" si="22">(Q12-O12)/O12</f>
        <v>-7.0723550518480671E-2</v>
      </c>
      <c r="R14" s="59">
        <f t="shared" ref="R14:T14" si="23">(R12-$Q$12)/$Q$12</f>
        <v>3.0808544669578202E-2</v>
      </c>
      <c r="S14" s="59">
        <f t="shared" si="23"/>
        <v>1.6213379318100879E-2</v>
      </c>
      <c r="T14" s="59">
        <f t="shared" si="23"/>
        <v>0.22456311346866351</v>
      </c>
      <c r="U14" s="66">
        <f t="shared" si="16"/>
        <v>5.0215371734465483E-2</v>
      </c>
      <c r="V14" s="59">
        <f>(V12-Q12)/Q12</f>
        <v>-0.18975589336032439</v>
      </c>
      <c r="W14" s="59">
        <v>0.4</v>
      </c>
      <c r="X14" s="67">
        <v>0.4</v>
      </c>
      <c r="Y14" s="67">
        <v>0.5</v>
      </c>
      <c r="Z14" s="66">
        <v>0.1</v>
      </c>
      <c r="AA14" s="59">
        <v>0.1</v>
      </c>
      <c r="AB14" s="67">
        <v>0.1</v>
      </c>
      <c r="AC14" s="59">
        <v>0.05</v>
      </c>
      <c r="AD14" s="59">
        <v>0.02</v>
      </c>
    </row>
    <row r="15" spans="1:40" ht="19.5">
      <c r="A15" s="54"/>
      <c r="B15" s="68" t="s">
        <v>205</v>
      </c>
      <c r="C15" s="69"/>
      <c r="D15" s="69"/>
      <c r="E15" s="69"/>
      <c r="F15" s="70"/>
      <c r="G15" s="69"/>
      <c r="H15" s="71">
        <f t="shared" ref="H15:J15" si="24">(H13-G13)/G13</f>
        <v>0.23589743589743598</v>
      </c>
      <c r="I15" s="71">
        <f t="shared" si="24"/>
        <v>0.10373443983402489</v>
      </c>
      <c r="J15" s="72">
        <f t="shared" si="24"/>
        <v>1.1278195488721696E-2</v>
      </c>
      <c r="K15" s="73">
        <f>(J13-G13)/G13</f>
        <v>0.37948717948717942</v>
      </c>
      <c r="L15" s="71">
        <f t="shared" si="20"/>
        <v>-6.3197026022304814E-2</v>
      </c>
      <c r="M15" s="71">
        <f t="shared" ref="M15:O15" si="25">(M13-L13)/L13</f>
        <v>6.3492063492063544E-2</v>
      </c>
      <c r="N15" s="71">
        <f t="shared" si="25"/>
        <v>-0.16044776119402987</v>
      </c>
      <c r="O15" s="72">
        <f t="shared" si="25"/>
        <v>-6.2222222222222158E-2</v>
      </c>
      <c r="P15" s="73">
        <f>(O13-L13)/L13</f>
        <v>-0.16269841269841262</v>
      </c>
      <c r="Q15" s="71">
        <f t="shared" si="22"/>
        <v>2.3696682464454975E-2</v>
      </c>
      <c r="R15" s="71">
        <f t="shared" ref="R15:T15" si="26">(R13-Q13)/Q13</f>
        <v>-4.1666666666666761E-2</v>
      </c>
      <c r="S15" s="71">
        <f t="shared" si="26"/>
        <v>-3.8647342995169115E-2</v>
      </c>
      <c r="T15" s="72">
        <f t="shared" si="26"/>
        <v>-8.5427135678391927E-2</v>
      </c>
      <c r="U15" s="73">
        <f>(T13-Q13)/Q13</f>
        <v>-0.1574074074074075</v>
      </c>
      <c r="V15" s="71">
        <f>(V13-T13)/T13</f>
        <v>4.9450549450549566E-2</v>
      </c>
      <c r="W15" s="71">
        <f>(W13-V13)/V13</f>
        <v>0</v>
      </c>
      <c r="X15" s="71">
        <v>1.4999999999999999E-2</v>
      </c>
      <c r="Y15" s="71">
        <v>2.5000000000000001E-2</v>
      </c>
      <c r="Z15" s="71">
        <f>SUM(V15:Y15)/4</f>
        <v>2.236263736263739E-2</v>
      </c>
      <c r="AA15" s="71">
        <f>1.5%+ Z2</f>
        <v>1.4999999999999999E-2</v>
      </c>
      <c r="AB15" s="71">
        <f>1%+Z2</f>
        <v>0.01</v>
      </c>
      <c r="AC15" s="71">
        <f>1%+Z2</f>
        <v>0.01</v>
      </c>
      <c r="AD15" s="71">
        <f>1%+Z2</f>
        <v>0.01</v>
      </c>
      <c r="AF15" s="411">
        <f>AVERAGE(AA15:AD15)</f>
        <v>1.1250000000000001E-2</v>
      </c>
    </row>
    <row r="16" spans="1:40" ht="39">
      <c r="A16" s="74" t="s">
        <v>207</v>
      </c>
      <c r="B16" s="75" t="s">
        <v>208</v>
      </c>
      <c r="C16" s="74"/>
      <c r="D16" s="74"/>
      <c r="E16" s="74"/>
      <c r="F16" s="76"/>
      <c r="G16" s="74"/>
      <c r="H16" s="74"/>
      <c r="I16" s="74"/>
      <c r="J16" s="76"/>
      <c r="K16" s="77"/>
      <c r="L16" s="78"/>
      <c r="M16" s="78"/>
      <c r="N16" s="78"/>
      <c r="O16" s="79"/>
      <c r="P16" s="80"/>
      <c r="Q16" s="78">
        <f>Q23*Q24*1000</f>
        <v>7075760</v>
      </c>
      <c r="R16" s="78">
        <f>R23*R24*1000</f>
        <v>9872300</v>
      </c>
      <c r="S16" s="78">
        <f>S23*S24*1000</f>
        <v>9735860</v>
      </c>
      <c r="T16" s="79">
        <f>T23*T24*1000</f>
        <v>10741410</v>
      </c>
      <c r="U16" s="80">
        <f>SUM(Q16:T16)</f>
        <v>37425330</v>
      </c>
      <c r="V16" s="78">
        <f t="shared" ref="V16:AD16" si="27">V23*V24*1000</f>
        <v>11202300</v>
      </c>
      <c r="W16" s="78">
        <f t="shared" si="27"/>
        <v>11197819.080000002</v>
      </c>
      <c r="X16" s="78">
        <f t="shared" si="27"/>
        <v>11650210.970832</v>
      </c>
      <c r="Y16" s="78">
        <f t="shared" si="27"/>
        <v>12358543.797858585</v>
      </c>
      <c r="Z16" s="81">
        <f t="shared" si="27"/>
        <v>41481619.019999996</v>
      </c>
      <c r="AA16" s="78">
        <f t="shared" si="27"/>
        <v>70131111.429959983</v>
      </c>
      <c r="AB16" s="78">
        <f t="shared" si="27"/>
        <v>109384496.37032902</v>
      </c>
      <c r="AC16" s="78">
        <f t="shared" si="27"/>
        <v>124804467.15245357</v>
      </c>
      <c r="AD16" s="78">
        <f t="shared" si="27"/>
        <v>130608626.70918213</v>
      </c>
      <c r="AE16" s="8"/>
      <c r="AF16" s="8"/>
      <c r="AG16" s="458"/>
      <c r="AH16" s="458"/>
      <c r="AI16" s="458"/>
      <c r="AJ16" s="458"/>
      <c r="AK16" s="458"/>
      <c r="AL16" s="458"/>
      <c r="AM16" s="458"/>
      <c r="AN16" s="458"/>
    </row>
    <row r="17" spans="1:40" ht="39">
      <c r="A17" s="74"/>
      <c r="B17" s="594" t="s">
        <v>999</v>
      </c>
      <c r="C17" s="594"/>
      <c r="D17" s="594"/>
      <c r="E17" s="594"/>
      <c r="F17" s="594"/>
      <c r="G17" s="594"/>
      <c r="H17" s="594"/>
      <c r="I17" s="594"/>
      <c r="J17" s="594"/>
      <c r="K17" s="595"/>
      <c r="L17" s="596"/>
      <c r="M17" s="596"/>
      <c r="N17" s="596"/>
      <c r="O17" s="596"/>
      <c r="P17" s="597"/>
      <c r="Q17" s="596"/>
      <c r="R17" s="596"/>
      <c r="S17" s="596"/>
      <c r="T17" s="596"/>
      <c r="U17" s="597"/>
      <c r="V17" s="596"/>
      <c r="W17" s="596"/>
      <c r="X17" s="596"/>
      <c r="Y17" s="596"/>
      <c r="Z17" s="598"/>
      <c r="AA17" s="598">
        <f>(AA23-$Z$23)*AA24</f>
        <v>27193.696268759995</v>
      </c>
      <c r="AB17" s="598">
        <f t="shared" ref="AB17:AD17" si="28">(AB23-$Z$23)*AB24</f>
        <v>65158.958754293031</v>
      </c>
      <c r="AC17" s="598">
        <f t="shared" si="28"/>
        <v>79694.418784096866</v>
      </c>
      <c r="AD17" s="598">
        <f t="shared" si="28"/>
        <v>85047.477857141857</v>
      </c>
      <c r="AE17" s="8"/>
      <c r="AF17" s="8"/>
      <c r="AG17" s="458"/>
      <c r="AH17" s="458"/>
      <c r="AI17" s="458"/>
      <c r="AJ17" s="458"/>
      <c r="AK17" s="458"/>
      <c r="AL17" s="458"/>
      <c r="AM17" s="458"/>
      <c r="AN17" s="458"/>
    </row>
    <row r="18" spans="1:40" ht="32.25" customHeight="1">
      <c r="A18" s="74"/>
      <c r="B18" s="594" t="s">
        <v>1000</v>
      </c>
      <c r="C18" s="594"/>
      <c r="D18" s="594"/>
      <c r="E18" s="594"/>
      <c r="F18" s="594"/>
      <c r="G18" s="594"/>
      <c r="H18" s="594"/>
      <c r="I18" s="594"/>
      <c r="J18" s="594"/>
      <c r="K18" s="595"/>
      <c r="L18" s="596"/>
      <c r="M18" s="596"/>
      <c r="N18" s="596"/>
      <c r="O18" s="596"/>
      <c r="P18" s="597"/>
      <c r="Q18" s="596"/>
      <c r="R18" s="596"/>
      <c r="S18" s="596"/>
      <c r="T18" s="596"/>
      <c r="U18" s="597"/>
      <c r="V18" s="596"/>
      <c r="W18" s="596"/>
      <c r="X18" s="596"/>
      <c r="Y18" s="596"/>
      <c r="Z18" s="598"/>
      <c r="AA18" s="598">
        <f>AA17*('IS HPG (base)'!L17/'IS HPG (base)'!L12)</f>
        <v>3994.2508850451795</v>
      </c>
      <c r="AB18" s="598">
        <f>AB17*('IS HPG (base)'!M17/'IS HPG (base)'!M12)</f>
        <v>8931.6081858007237</v>
      </c>
      <c r="AC18" s="598">
        <f>AC17*('IS HPG (base)'!N17/'IS HPG (base)'!N12)</f>
        <v>9370.8309907963412</v>
      </c>
      <c r="AD18" s="598">
        <f>AD17*('IS HPG (base)'!O17/'IS HPG (base)'!O12)</f>
        <v>12286.528776109328</v>
      </c>
      <c r="AE18" s="8"/>
      <c r="AF18" s="8"/>
      <c r="AG18" s="458"/>
      <c r="AH18" s="458"/>
      <c r="AI18" s="458"/>
      <c r="AJ18" s="458"/>
      <c r="AK18" s="458"/>
      <c r="AL18" s="458"/>
      <c r="AM18" s="458"/>
      <c r="AN18" s="458"/>
    </row>
    <row r="19" spans="1:40" ht="32.25" customHeight="1">
      <c r="A19" s="74"/>
      <c r="B19" s="594" t="s">
        <v>410</v>
      </c>
      <c r="C19" s="594"/>
      <c r="D19" s="594"/>
      <c r="E19" s="594"/>
      <c r="F19" s="594"/>
      <c r="G19" s="594"/>
      <c r="H19" s="594"/>
      <c r="I19" s="594"/>
      <c r="J19" s="594"/>
      <c r="K19" s="595"/>
      <c r="L19" s="596"/>
      <c r="M19" s="596"/>
      <c r="N19" s="596"/>
      <c r="O19" s="596"/>
      <c r="P19" s="597"/>
      <c r="Q19" s="596"/>
      <c r="R19" s="596"/>
      <c r="S19" s="596"/>
      <c r="T19" s="596"/>
      <c r="U19" s="597"/>
      <c r="V19" s="596"/>
      <c r="W19" s="596"/>
      <c r="X19" s="596"/>
      <c r="Y19" s="596"/>
      <c r="Z19" s="598"/>
      <c r="AA19" s="598">
        <f>AA17*1.7%</f>
        <v>462.29283656891994</v>
      </c>
      <c r="AB19" s="598">
        <f t="shared" ref="AB19:AD19" si="29">AB17*1.7%</f>
        <v>1107.7022988229817</v>
      </c>
      <c r="AC19" s="598">
        <f t="shared" si="29"/>
        <v>1354.8051193296469</v>
      </c>
      <c r="AD19" s="598">
        <f t="shared" si="29"/>
        <v>1445.8071235714117</v>
      </c>
      <c r="AE19" s="8"/>
      <c r="AF19" s="8"/>
      <c r="AG19" s="458"/>
      <c r="AH19" s="458"/>
      <c r="AI19" s="458"/>
      <c r="AJ19" s="458"/>
      <c r="AK19" s="458"/>
      <c r="AL19" s="458"/>
      <c r="AM19" s="458"/>
      <c r="AN19" s="458"/>
    </row>
    <row r="20" spans="1:40" ht="32.25" customHeight="1">
      <c r="A20" s="74"/>
      <c r="B20" s="594" t="s">
        <v>1001</v>
      </c>
      <c r="C20" s="594"/>
      <c r="D20" s="594"/>
      <c r="E20" s="594"/>
      <c r="F20" s="594"/>
      <c r="G20" s="594"/>
      <c r="H20" s="594"/>
      <c r="I20" s="594"/>
      <c r="J20" s="594"/>
      <c r="K20" s="595"/>
      <c r="L20" s="596"/>
      <c r="M20" s="596"/>
      <c r="N20" s="596"/>
      <c r="O20" s="596"/>
      <c r="P20" s="597"/>
      <c r="Q20" s="596"/>
      <c r="R20" s="596"/>
      <c r="S20" s="596"/>
      <c r="T20" s="596"/>
      <c r="U20" s="597"/>
      <c r="V20" s="596"/>
      <c r="W20" s="596"/>
      <c r="X20" s="596"/>
      <c r="Y20" s="596"/>
      <c r="Z20" s="598"/>
      <c r="AA20" s="598">
        <f>17000*9%</f>
        <v>1530</v>
      </c>
      <c r="AB20" s="598">
        <f>35000*9%</f>
        <v>3150</v>
      </c>
      <c r="AC20" s="598">
        <f>AB20</f>
        <v>3150</v>
      </c>
      <c r="AD20" s="598">
        <f>AC20</f>
        <v>3150</v>
      </c>
      <c r="AE20" s="8"/>
      <c r="AF20" s="8"/>
      <c r="AG20" s="458"/>
      <c r="AH20" s="458"/>
      <c r="AI20" s="458"/>
      <c r="AJ20" s="458"/>
      <c r="AK20" s="458"/>
      <c r="AL20" s="458"/>
      <c r="AM20" s="458"/>
      <c r="AN20" s="458"/>
    </row>
    <row r="21" spans="1:40" ht="32.25" customHeight="1">
      <c r="A21" s="74"/>
      <c r="B21" s="594" t="s">
        <v>1002</v>
      </c>
      <c r="C21" s="594"/>
      <c r="D21" s="594"/>
      <c r="E21" s="594"/>
      <c r="F21" s="594"/>
      <c r="G21" s="594"/>
      <c r="H21" s="594"/>
      <c r="I21" s="594"/>
      <c r="J21" s="594"/>
      <c r="K21" s="595"/>
      <c r="L21" s="596"/>
      <c r="M21" s="596"/>
      <c r="N21" s="596"/>
      <c r="O21" s="596"/>
      <c r="P21" s="597"/>
      <c r="Q21" s="596"/>
      <c r="R21" s="596"/>
      <c r="S21" s="596"/>
      <c r="T21" s="596"/>
      <c r="U21" s="597"/>
      <c r="V21" s="596"/>
      <c r="W21" s="596"/>
      <c r="X21" s="596"/>
      <c r="Y21" s="596"/>
      <c r="Z21" s="598"/>
      <c r="AA21" s="598">
        <f>AA18-AA19-AA20</f>
        <v>2001.9580484762596</v>
      </c>
      <c r="AB21" s="598">
        <f t="shared" ref="AB21:AD21" si="30">AB18-AB19-AB20</f>
        <v>4673.9058869777418</v>
      </c>
      <c r="AC21" s="598">
        <f t="shared" si="30"/>
        <v>4866.0258714666943</v>
      </c>
      <c r="AD21" s="598">
        <f t="shared" si="30"/>
        <v>7690.7216525379154</v>
      </c>
      <c r="AE21" s="8"/>
      <c r="AF21" s="8"/>
      <c r="AG21" s="458"/>
      <c r="AH21" s="458"/>
      <c r="AI21" s="458"/>
      <c r="AJ21" s="458"/>
      <c r="AK21" s="458"/>
      <c r="AL21" s="458"/>
      <c r="AM21" s="458"/>
      <c r="AN21" s="458"/>
    </row>
    <row r="22" spans="1:40" ht="19.5">
      <c r="A22" s="74"/>
      <c r="B22" s="594" t="s">
        <v>998</v>
      </c>
      <c r="C22" s="594"/>
      <c r="D22" s="594"/>
      <c r="E22" s="594"/>
      <c r="F22" s="594"/>
      <c r="G22" s="594"/>
      <c r="H22" s="594"/>
      <c r="I22" s="594"/>
      <c r="J22" s="594"/>
      <c r="K22" s="595"/>
      <c r="L22" s="596"/>
      <c r="M22" s="596"/>
      <c r="N22" s="596"/>
      <c r="O22" s="596"/>
      <c r="P22" s="597"/>
      <c r="Q22" s="596"/>
      <c r="R22" s="596"/>
      <c r="S22" s="596"/>
      <c r="T22" s="596"/>
      <c r="U22" s="597"/>
      <c r="V22" s="596"/>
      <c r="W22" s="596"/>
      <c r="X22" s="596"/>
      <c r="Y22" s="596"/>
      <c r="Z22" s="598"/>
      <c r="AA22" s="599">
        <f>(AA23-$Z$23)/5600</f>
        <v>0.3392857142857143</v>
      </c>
      <c r="AB22" s="599">
        <f t="shared" ref="AB22:AD22" si="31">(AB23-$Z$23)/5600</f>
        <v>0.78928571428571426</v>
      </c>
      <c r="AC22" s="599">
        <f t="shared" si="31"/>
        <v>0.9464285714285714</v>
      </c>
      <c r="AD22" s="599">
        <f t="shared" si="31"/>
        <v>1</v>
      </c>
      <c r="AE22" s="8"/>
      <c r="AF22" s="8"/>
      <c r="AG22" s="458"/>
      <c r="AH22" s="458"/>
      <c r="AI22" s="458"/>
      <c r="AJ22" s="458"/>
      <c r="AK22" s="458"/>
      <c r="AL22" s="458"/>
      <c r="AM22" s="458"/>
      <c r="AN22" s="458"/>
    </row>
    <row r="23" spans="1:40" ht="19.5">
      <c r="A23" s="82">
        <f>Z23*1000/(Z23*1000+Z12+Z5)</f>
        <v>0.38099145543605045</v>
      </c>
      <c r="B23" s="75" t="s">
        <v>209</v>
      </c>
      <c r="C23" s="74"/>
      <c r="D23" s="74"/>
      <c r="E23" s="74"/>
      <c r="F23" s="76">
        <v>379147</v>
      </c>
      <c r="G23" s="78">
        <v>665272</v>
      </c>
      <c r="H23" s="78">
        <v>667572</v>
      </c>
      <c r="I23" s="78">
        <v>608294</v>
      </c>
      <c r="J23" s="79">
        <v>629281</v>
      </c>
      <c r="K23" s="80">
        <f>SUM(G23:J23)</f>
        <v>2570419</v>
      </c>
      <c r="L23" s="78">
        <v>762695</v>
      </c>
      <c r="M23" s="78">
        <v>662311</v>
      </c>
      <c r="N23" s="78">
        <v>611634</v>
      </c>
      <c r="O23" s="79">
        <v>593244</v>
      </c>
      <c r="P23" s="80">
        <f>SUM(L23:O23)</f>
        <v>2629884</v>
      </c>
      <c r="Q23" s="74">
        <v>482</v>
      </c>
      <c r="R23" s="74">
        <v>734</v>
      </c>
      <c r="S23" s="74">
        <v>766</v>
      </c>
      <c r="T23" s="76">
        <v>801</v>
      </c>
      <c r="U23" s="77">
        <f>SUM(Q23:T23)</f>
        <v>2783</v>
      </c>
      <c r="V23" s="83">
        <v>810</v>
      </c>
      <c r="W23" s="74">
        <f>V23*(W25+1)</f>
        <v>826.2</v>
      </c>
      <c r="X23" s="74">
        <f>W23*(X25+1)</f>
        <v>842.72400000000005</v>
      </c>
      <c r="Y23" s="84">
        <f>X23*(Y25+1)</f>
        <v>876.43296000000009</v>
      </c>
      <c r="Z23" s="85">
        <v>3000</v>
      </c>
      <c r="AA23" s="424">
        <v>4900</v>
      </c>
      <c r="AB23" s="424">
        <f>(28+28+28*65%)*100</f>
        <v>7420</v>
      </c>
      <c r="AC23" s="424">
        <v>8300</v>
      </c>
      <c r="AD23" s="424">
        <v>8600</v>
      </c>
    </row>
    <row r="24" spans="1:40" ht="39">
      <c r="A24" s="74"/>
      <c r="B24" s="75" t="s">
        <v>210</v>
      </c>
      <c r="C24" s="74"/>
      <c r="D24" s="74"/>
      <c r="E24" s="74"/>
      <c r="F24" s="76"/>
      <c r="G24" s="83">
        <v>17.78</v>
      </c>
      <c r="H24" s="83">
        <v>25.63</v>
      </c>
      <c r="I24" s="74">
        <v>23.85</v>
      </c>
      <c r="J24" s="76">
        <v>22.14</v>
      </c>
      <c r="K24" s="77"/>
      <c r="L24" s="74">
        <v>17.920000000000002</v>
      </c>
      <c r="M24" s="74">
        <v>17.09</v>
      </c>
      <c r="N24" s="74">
        <v>14.31</v>
      </c>
      <c r="O24" s="76">
        <v>13.54</v>
      </c>
      <c r="P24" s="77"/>
      <c r="Q24" s="74">
        <v>14.68</v>
      </c>
      <c r="R24" s="74">
        <v>13.45</v>
      </c>
      <c r="S24" s="74">
        <v>12.71</v>
      </c>
      <c r="T24" s="76">
        <v>13.41</v>
      </c>
      <c r="U24" s="77"/>
      <c r="V24" s="74">
        <v>13.83</v>
      </c>
      <c r="W24" s="74">
        <f t="shared" ref="W24:Y24" si="32">V24*(W26+1)</f>
        <v>13.5534</v>
      </c>
      <c r="X24" s="74">
        <f t="shared" si="32"/>
        <v>13.824468</v>
      </c>
      <c r="Y24" s="74">
        <f t="shared" si="32"/>
        <v>14.100957359999999</v>
      </c>
      <c r="Z24" s="86">
        <f>SUM(V24:Y24)/4</f>
        <v>13.82720634</v>
      </c>
      <c r="AA24" s="86">
        <f>Y24*(AA26+1)</f>
        <v>14.312471720399998</v>
      </c>
      <c r="AB24" s="86">
        <f>AA24*(AB26+1)</f>
        <v>14.741845872011998</v>
      </c>
      <c r="AC24" s="86">
        <f>AB24*(AC26+1)</f>
        <v>15.036682789452238</v>
      </c>
      <c r="AD24" s="86">
        <f>AC24*(AD26+1)</f>
        <v>15.18704961734676</v>
      </c>
    </row>
    <row r="25" spans="1:40" ht="19.5">
      <c r="A25" s="74"/>
      <c r="B25" s="75" t="s">
        <v>203</v>
      </c>
      <c r="C25" s="74"/>
      <c r="D25" s="74"/>
      <c r="E25" s="74"/>
      <c r="F25" s="76"/>
      <c r="G25" s="74"/>
      <c r="H25" s="74"/>
      <c r="I25" s="74"/>
      <c r="J25" s="76"/>
      <c r="K25" s="77"/>
      <c r="L25" s="74"/>
      <c r="M25" s="74"/>
      <c r="N25" s="74"/>
      <c r="O25" s="76"/>
      <c r="P25" s="77"/>
      <c r="Q25" s="82"/>
      <c r="R25" s="82">
        <f>(R23-Q23)/Q23</f>
        <v>0.52282157676348551</v>
      </c>
      <c r="S25" s="82">
        <f>(S23-R23)/R23</f>
        <v>4.3596730245231606E-2</v>
      </c>
      <c r="T25" s="87">
        <f>(T23-S23)/S23</f>
        <v>4.5691906005221931E-2</v>
      </c>
      <c r="U25" s="88"/>
      <c r="V25" s="82">
        <f>(V23-T23)/T23</f>
        <v>1.1235955056179775E-2</v>
      </c>
      <c r="W25" s="82">
        <v>0.02</v>
      </c>
      <c r="X25" s="82">
        <v>0.02</v>
      </c>
      <c r="Y25" s="82">
        <v>0.04</v>
      </c>
      <c r="Z25" s="74"/>
      <c r="AA25" s="89">
        <v>0.2</v>
      </c>
      <c r="AB25" s="82"/>
      <c r="AC25" s="82"/>
      <c r="AD25" s="82"/>
    </row>
    <row r="26" spans="1:40" ht="19.5">
      <c r="A26" s="74"/>
      <c r="B26" s="90" t="s">
        <v>205</v>
      </c>
      <c r="C26" s="91"/>
      <c r="D26" s="91"/>
      <c r="E26" s="91"/>
      <c r="F26" s="92"/>
      <c r="G26" s="91"/>
      <c r="H26" s="93">
        <f t="shared" ref="H26:J26" si="33">(H24-G24)/G24</f>
        <v>0.44150731158605161</v>
      </c>
      <c r="I26" s="93">
        <f t="shared" si="33"/>
        <v>-6.9449863441279652E-2</v>
      </c>
      <c r="J26" s="94">
        <f t="shared" si="33"/>
        <v>-7.1698113207547196E-2</v>
      </c>
      <c r="K26" s="88"/>
      <c r="L26" s="93">
        <f>(L24-J24)/J24</f>
        <v>-0.19060523938572713</v>
      </c>
      <c r="M26" s="93">
        <f t="shared" ref="M26:O26" si="34">(M24-L24)/L24</f>
        <v>-4.6316964285714385E-2</v>
      </c>
      <c r="N26" s="93">
        <f t="shared" si="34"/>
        <v>-0.16266822703335279</v>
      </c>
      <c r="O26" s="94">
        <f t="shared" si="34"/>
        <v>-5.3808525506638803E-2</v>
      </c>
      <c r="P26" s="88"/>
      <c r="Q26" s="93">
        <f>(Q24-O24)/O24</f>
        <v>8.419497784342693E-2</v>
      </c>
      <c r="R26" s="93">
        <f t="shared" ref="R26:T26" si="35">(R24-Q24)/Q24</f>
        <v>-8.3787465940054526E-2</v>
      </c>
      <c r="S26" s="93">
        <f t="shared" si="35"/>
        <v>-5.501858736059468E-2</v>
      </c>
      <c r="T26" s="94">
        <f t="shared" si="35"/>
        <v>5.5074744295829994E-2</v>
      </c>
      <c r="U26" s="88"/>
      <c r="V26" s="93">
        <f t="shared" ref="V26" si="36">(V24-T24)/T24</f>
        <v>3.1319910514541381E-2</v>
      </c>
      <c r="W26" s="93">
        <v>-0.02</v>
      </c>
      <c r="X26" s="93">
        <v>0.02</v>
      </c>
      <c r="Y26" s="93">
        <v>0.02</v>
      </c>
      <c r="Z26" s="93">
        <f>AVERAGE(V26:Y26)</f>
        <v>1.2829977628635345E-2</v>
      </c>
      <c r="AA26" s="95">
        <f>1.5%+Z2</f>
        <v>1.4999999999999999E-2</v>
      </c>
      <c r="AB26" s="95">
        <f xml:space="preserve"> 3%+Z2</f>
        <v>0.03</v>
      </c>
      <c r="AC26" s="95">
        <f>2%+Z2</f>
        <v>0.02</v>
      </c>
      <c r="AD26" s="95">
        <f>1%+Z2</f>
        <v>0.01</v>
      </c>
      <c r="AE26" s="607" t="s">
        <v>1004</v>
      </c>
      <c r="AF26" s="411">
        <f>AVERAGE(AA26:AD26)</f>
        <v>1.8749999999999999E-2</v>
      </c>
    </row>
    <row r="27" spans="1:40" ht="58.5">
      <c r="A27" s="96" t="s">
        <v>211</v>
      </c>
      <c r="B27" s="97"/>
      <c r="C27" s="96"/>
      <c r="D27" s="96"/>
      <c r="E27" s="96"/>
      <c r="F27" s="98"/>
      <c r="G27" s="96"/>
      <c r="H27" s="96"/>
      <c r="I27" s="96"/>
      <c r="J27" s="98"/>
      <c r="K27" s="99"/>
      <c r="L27" s="96"/>
      <c r="M27" s="96"/>
      <c r="N27" s="96"/>
      <c r="O27" s="98"/>
      <c r="P27" s="99"/>
      <c r="Q27" s="96"/>
      <c r="R27" s="96"/>
      <c r="S27" s="96"/>
      <c r="T27" s="98"/>
      <c r="U27" s="99"/>
      <c r="V27" s="96"/>
      <c r="W27" s="96"/>
      <c r="X27" s="96"/>
      <c r="Y27" s="96"/>
      <c r="Z27" s="100">
        <f>Z26*$A$23+Z15*$A$12+Z9*$A$5</f>
        <v>8.1322821973505398E-3</v>
      </c>
      <c r="AA27" s="100">
        <f>AA26*$A$23+AA15*$A$12+AA9*$A$5</f>
        <v>1.2382497047309871E-2</v>
      </c>
      <c r="AB27" s="100">
        <f>AB26*$A$23+AB15*$A$12+AB9*$A$5</f>
        <v>2.8089840919481524E-2</v>
      </c>
      <c r="AC27" s="100">
        <f>AC26*$A$23+AC15*$A$12+AC9*$A$5</f>
        <v>1.9044920459740763E-2</v>
      </c>
      <c r="AD27" s="100">
        <f>AD26*$A$23+AD15*$A$12+AD9*$A$5</f>
        <v>9.9999999999999985E-3</v>
      </c>
    </row>
    <row r="28" spans="1:40" ht="19.5">
      <c r="A28" s="96" t="s">
        <v>212</v>
      </c>
      <c r="B28" s="97"/>
      <c r="C28" s="96"/>
      <c r="D28" s="96"/>
      <c r="E28" s="96"/>
      <c r="F28" s="98"/>
      <c r="G28" s="96"/>
      <c r="H28" s="96"/>
      <c r="I28" s="96"/>
      <c r="J28" s="98"/>
      <c r="K28" s="99"/>
      <c r="L28" s="96"/>
      <c r="M28" s="96"/>
      <c r="N28" s="96"/>
      <c r="O28" s="98"/>
      <c r="P28" s="99"/>
      <c r="Q28" s="96"/>
      <c r="R28" s="96"/>
      <c r="S28" s="96"/>
      <c r="T28" s="98"/>
      <c r="U28" s="99"/>
      <c r="V28" s="96"/>
      <c r="W28" s="96"/>
      <c r="X28" s="96"/>
      <c r="Y28" s="96"/>
      <c r="Z28" s="96">
        <f t="shared" ref="Z28:AD28" si="37">Z29*Z30</f>
        <v>2860</v>
      </c>
      <c r="AA28" s="96">
        <f t="shared" si="37"/>
        <v>1470</v>
      </c>
      <c r="AB28" s="96">
        <f t="shared" si="37"/>
        <v>750</v>
      </c>
      <c r="AC28" s="96">
        <f t="shared" si="37"/>
        <v>775</v>
      </c>
      <c r="AD28" s="96">
        <f t="shared" si="37"/>
        <v>1450</v>
      </c>
    </row>
    <row r="29" spans="1:40" ht="19.5">
      <c r="A29" s="96"/>
      <c r="B29" s="101" t="s">
        <v>201</v>
      </c>
      <c r="C29" s="96"/>
      <c r="D29" s="96"/>
      <c r="E29" s="96"/>
      <c r="F29" s="98">
        <v>393</v>
      </c>
      <c r="G29" s="96">
        <v>393</v>
      </c>
      <c r="H29" s="96">
        <v>215</v>
      </c>
      <c r="I29" s="96">
        <v>220</v>
      </c>
      <c r="J29" s="98">
        <v>479</v>
      </c>
      <c r="K29" s="4">
        <f>SUM(G29:J29)</f>
        <v>1307</v>
      </c>
      <c r="L29" s="102">
        <v>69</v>
      </c>
      <c r="M29" s="96">
        <v>116</v>
      </c>
      <c r="N29" s="96">
        <v>22</v>
      </c>
      <c r="O29" s="96">
        <v>82</v>
      </c>
      <c r="P29" s="99">
        <f>SUM(L29:O29)</f>
        <v>289</v>
      </c>
      <c r="Q29" s="98">
        <v>27</v>
      </c>
      <c r="R29" s="102">
        <v>10</v>
      </c>
      <c r="S29" s="96">
        <v>24</v>
      </c>
      <c r="T29" s="96">
        <v>79</v>
      </c>
      <c r="U29" s="99">
        <f>SUM(Q29:T29)</f>
        <v>140</v>
      </c>
      <c r="V29" s="96"/>
      <c r="W29" s="96"/>
      <c r="X29" s="96"/>
      <c r="Y29" s="96"/>
      <c r="Z29" s="96">
        <v>200</v>
      </c>
      <c r="AA29" s="96">
        <v>100</v>
      </c>
      <c r="AB29" s="96">
        <v>50</v>
      </c>
      <c r="AC29" s="96">
        <v>50</v>
      </c>
      <c r="AD29" s="96">
        <v>100</v>
      </c>
    </row>
    <row r="30" spans="1:40" ht="19.5">
      <c r="A30" s="96"/>
      <c r="B30" s="101" t="s">
        <v>202</v>
      </c>
      <c r="C30" s="96"/>
      <c r="D30" s="96"/>
      <c r="E30" s="96"/>
      <c r="F30" s="98"/>
      <c r="G30" s="96">
        <v>13.7</v>
      </c>
      <c r="H30" s="96">
        <v>17.399999999999999</v>
      </c>
      <c r="I30" s="96">
        <v>15.8</v>
      </c>
      <c r="J30" s="98">
        <v>15.3</v>
      </c>
      <c r="K30" s="99"/>
      <c r="L30" s="96">
        <v>17.010000000000002</v>
      </c>
      <c r="M30" s="96">
        <v>15.5</v>
      </c>
      <c r="N30" s="96">
        <v>13.7</v>
      </c>
      <c r="O30" s="98">
        <v>13.53</v>
      </c>
      <c r="P30" s="99"/>
      <c r="Q30" s="96">
        <v>15.51</v>
      </c>
      <c r="R30" s="96">
        <v>13.42</v>
      </c>
      <c r="S30" s="96">
        <v>13.09</v>
      </c>
      <c r="T30" s="98">
        <v>13.53</v>
      </c>
      <c r="U30" s="99"/>
      <c r="V30" s="96">
        <v>14.3</v>
      </c>
      <c r="W30" s="96"/>
      <c r="X30" s="96"/>
      <c r="Y30" s="96"/>
      <c r="Z30" s="96">
        <v>14.3</v>
      </c>
      <c r="AA30" s="96">
        <v>14.7</v>
      </c>
      <c r="AB30" s="96">
        <v>15</v>
      </c>
      <c r="AC30" s="96">
        <v>15.5</v>
      </c>
      <c r="AD30" s="96">
        <v>14.5</v>
      </c>
    </row>
    <row r="31" spans="1:40" ht="19.5">
      <c r="A31" s="96"/>
      <c r="B31" s="101" t="s">
        <v>203</v>
      </c>
      <c r="C31" s="96"/>
      <c r="D31" s="96"/>
      <c r="E31" s="96"/>
      <c r="F31" s="98"/>
      <c r="G31" s="96"/>
      <c r="H31" s="96"/>
      <c r="I31" s="96"/>
      <c r="J31" s="98"/>
      <c r="K31" s="99"/>
      <c r="L31" s="96"/>
      <c r="M31" s="96"/>
      <c r="N31" s="96"/>
      <c r="O31" s="98"/>
      <c r="P31" s="99"/>
      <c r="Q31" s="96"/>
      <c r="R31" s="96"/>
      <c r="S31" s="96"/>
      <c r="T31" s="98"/>
      <c r="U31" s="99"/>
      <c r="V31" s="96"/>
      <c r="W31" s="96"/>
      <c r="X31" s="96"/>
      <c r="Y31" s="96"/>
      <c r="Z31" s="96">
        <f>SUM(V31:Y31)/4</f>
        <v>0</v>
      </c>
      <c r="AA31" s="96"/>
      <c r="AB31" s="96"/>
      <c r="AC31" s="96"/>
      <c r="AD31" s="96"/>
    </row>
    <row r="32" spans="1:40" ht="19.5">
      <c r="A32" s="96"/>
      <c r="B32" s="103" t="s">
        <v>205</v>
      </c>
      <c r="C32" s="102"/>
      <c r="D32" s="102"/>
      <c r="E32" s="102"/>
      <c r="F32" s="104"/>
      <c r="G32" s="102"/>
      <c r="H32" s="105">
        <f t="shared" ref="H32:J32" si="38">(H30-G30)/G30</f>
        <v>0.27007299270072987</v>
      </c>
      <c r="I32" s="105">
        <f t="shared" si="38"/>
        <v>-9.1954022988505635E-2</v>
      </c>
      <c r="J32" s="106">
        <f t="shared" si="38"/>
        <v>-3.164556962025316E-2</v>
      </c>
      <c r="K32" s="107"/>
      <c r="L32" s="105">
        <f>(L30-J30)/J30</f>
        <v>0.11176470588235299</v>
      </c>
      <c r="M32" s="105">
        <f t="shared" ref="M32:O32" si="39">(M30-L30)/L30</f>
        <v>-8.8771310993533303E-2</v>
      </c>
      <c r="N32" s="105">
        <f t="shared" si="39"/>
        <v>-0.11612903225806456</v>
      </c>
      <c r="O32" s="106">
        <f t="shared" si="39"/>
        <v>-1.2408759124087588E-2</v>
      </c>
      <c r="P32" s="107"/>
      <c r="Q32" s="105">
        <f>(Q30-O30)/O30</f>
        <v>0.14634146341463419</v>
      </c>
      <c r="R32" s="105">
        <f t="shared" ref="R32:T32" si="40">(R30-Q30)/Q30</f>
        <v>-0.13475177304964539</v>
      </c>
      <c r="S32" s="105">
        <f t="shared" si="40"/>
        <v>-2.4590163934426236E-2</v>
      </c>
      <c r="T32" s="106">
        <f t="shared" si="40"/>
        <v>3.3613445378151224E-2</v>
      </c>
      <c r="U32" s="107"/>
      <c r="V32" s="105">
        <f>(V30-T30)/T30</f>
        <v>5.6910569105691158E-2</v>
      </c>
      <c r="W32" s="102"/>
      <c r="X32" s="102"/>
      <c r="Y32" s="102"/>
      <c r="Z32" s="102" t="e">
        <f>(Z30-U30)/U30</f>
        <v>#DIV/0!</v>
      </c>
      <c r="AA32" s="105">
        <f>(AA30-Z30)/Z30+Z2</f>
        <v>2.7972027972027871E-2</v>
      </c>
      <c r="AB32" s="105">
        <f>(AB30-AA30)/AA30+Z2</f>
        <v>2.0408163265306173E-2</v>
      </c>
      <c r="AC32" s="105">
        <f>(AC30-AB30)/AB30+Z2</f>
        <v>3.3333333333333333E-2</v>
      </c>
      <c r="AD32" s="105">
        <f>(AD30-AC30)/AC30+Z2</f>
        <v>-6.4516129032258063E-2</v>
      </c>
    </row>
    <row r="33" spans="1:35" ht="19.5">
      <c r="A33" s="29" t="s">
        <v>213</v>
      </c>
      <c r="B33" s="30"/>
      <c r="C33" s="29"/>
      <c r="D33" s="29"/>
      <c r="E33" s="29"/>
      <c r="F33" s="31"/>
      <c r="G33" s="29"/>
      <c r="H33" s="29"/>
      <c r="I33" s="29"/>
      <c r="J33" s="31"/>
      <c r="K33" s="108"/>
      <c r="L33" s="29"/>
      <c r="M33" s="29"/>
      <c r="N33" s="29"/>
      <c r="O33" s="31"/>
      <c r="P33" s="108"/>
      <c r="Q33" s="29"/>
      <c r="R33" s="29"/>
      <c r="S33" s="29"/>
      <c r="T33" s="31"/>
      <c r="U33" s="108"/>
      <c r="V33" s="29"/>
      <c r="W33" s="29"/>
      <c r="X33" s="29"/>
      <c r="Y33" s="29"/>
      <c r="Z33" s="29">
        <f>Z34*Z35</f>
        <v>9478.6847999999991</v>
      </c>
      <c r="AA33" s="29">
        <f>AA34*AA35</f>
        <v>10450.979121599999</v>
      </c>
      <c r="AB33" s="29">
        <f>AB34*AB35</f>
        <v>11627.210992320001</v>
      </c>
      <c r="AC33" s="29">
        <f>AC34*AC35</f>
        <v>12699.0125469504</v>
      </c>
      <c r="AD33" s="29">
        <f>AD34*AD35</f>
        <v>13403.359265167874</v>
      </c>
    </row>
    <row r="34" spans="1:35" ht="19.5">
      <c r="A34" s="29"/>
      <c r="B34" s="35" t="s">
        <v>201</v>
      </c>
      <c r="C34" s="29"/>
      <c r="D34" s="29"/>
      <c r="E34" s="29"/>
      <c r="F34" s="31"/>
      <c r="G34" s="29">
        <v>73.748000000000005</v>
      </c>
      <c r="H34" s="29">
        <v>86.203999999999994</v>
      </c>
      <c r="I34" s="29">
        <v>113.123</v>
      </c>
      <c r="J34" s="31">
        <v>155.71</v>
      </c>
      <c r="K34" s="108">
        <f>SUM(G34:J34)</f>
        <v>428.78499999999997</v>
      </c>
      <c r="L34" s="29">
        <v>105.706</v>
      </c>
      <c r="M34" s="29">
        <v>63.527000000000001</v>
      </c>
      <c r="N34" s="32">
        <v>68.691999999999993</v>
      </c>
      <c r="O34" s="31">
        <v>79.459000000000003</v>
      </c>
      <c r="P34" s="108">
        <f>SUM(L34:O34)</f>
        <v>317.38400000000001</v>
      </c>
      <c r="Q34" s="29">
        <v>77.989000000000004</v>
      </c>
      <c r="R34" s="29">
        <v>105.908</v>
      </c>
      <c r="S34" s="29">
        <v>65.108999999999995</v>
      </c>
      <c r="T34" s="31">
        <v>88.554000000000002</v>
      </c>
      <c r="U34" s="108">
        <f>SUM(Q34:T34)</f>
        <v>337.55999999999995</v>
      </c>
      <c r="V34" s="29"/>
      <c r="W34" s="29"/>
      <c r="X34" s="29"/>
      <c r="Y34" s="29"/>
      <c r="Z34" s="29">
        <f>U34*(1+Z36)</f>
        <v>364.56479999999999</v>
      </c>
      <c r="AA34" s="29">
        <f t="shared" ref="AA34:AD34" si="41">Z34*(1+AA36)</f>
        <v>397.375632</v>
      </c>
      <c r="AB34" s="29">
        <f t="shared" si="41"/>
        <v>437.11319520000001</v>
      </c>
      <c r="AC34" s="29">
        <f t="shared" si="41"/>
        <v>472.08225081600006</v>
      </c>
      <c r="AD34" s="29">
        <f t="shared" si="41"/>
        <v>490.96554084864005</v>
      </c>
    </row>
    <row r="35" spans="1:35" ht="19.5">
      <c r="A35" s="29"/>
      <c r="B35" s="35" t="s">
        <v>202</v>
      </c>
      <c r="C35" s="29"/>
      <c r="D35" s="29"/>
      <c r="E35" s="29"/>
      <c r="F35" s="31"/>
      <c r="G35" s="29">
        <v>23</v>
      </c>
      <c r="H35" s="29">
        <v>31</v>
      </c>
      <c r="I35" s="29">
        <v>32.1</v>
      </c>
      <c r="J35" s="31">
        <v>33</v>
      </c>
      <c r="K35" s="108">
        <f>SUM(G35:J35)/4</f>
        <v>29.774999999999999</v>
      </c>
      <c r="L35" s="29">
        <v>31.8</v>
      </c>
      <c r="M35" s="29">
        <v>31</v>
      </c>
      <c r="N35" s="29">
        <v>30.1</v>
      </c>
      <c r="O35" s="31">
        <v>29</v>
      </c>
      <c r="P35" s="108">
        <f>SUM(L35:O35)/4</f>
        <v>30.475000000000001</v>
      </c>
      <c r="Q35" s="29">
        <v>30</v>
      </c>
      <c r="R35" s="29">
        <v>28</v>
      </c>
      <c r="S35" s="29">
        <v>27</v>
      </c>
      <c r="T35" s="31">
        <v>24.5</v>
      </c>
      <c r="U35" s="108">
        <f>SUM(Q35:T35)/4</f>
        <v>27.375</v>
      </c>
      <c r="V35" s="29">
        <v>27</v>
      </c>
      <c r="W35" s="29">
        <v>25.2</v>
      </c>
      <c r="X35" s="29"/>
      <c r="Y35" s="29"/>
      <c r="Z35" s="29">
        <v>26</v>
      </c>
      <c r="AA35" s="29">
        <v>26.3</v>
      </c>
      <c r="AB35" s="29">
        <v>26.6</v>
      </c>
      <c r="AC35" s="29">
        <v>26.9</v>
      </c>
      <c r="AD35" s="29">
        <v>27.3</v>
      </c>
    </row>
    <row r="36" spans="1:35" ht="19.5">
      <c r="A36" s="29"/>
      <c r="B36" s="35" t="s">
        <v>203</v>
      </c>
      <c r="C36" s="29"/>
      <c r="D36" s="29"/>
      <c r="E36" s="29"/>
      <c r="F36" s="31"/>
      <c r="G36" s="29"/>
      <c r="H36" s="29"/>
      <c r="I36" s="29"/>
      <c r="J36" s="31"/>
      <c r="K36" s="108"/>
      <c r="L36" s="29"/>
      <c r="M36" s="29"/>
      <c r="N36" s="29"/>
      <c r="O36" s="31"/>
      <c r="P36" s="108"/>
      <c r="Q36" s="29"/>
      <c r="R36" s="29"/>
      <c r="S36" s="29"/>
      <c r="T36" s="31"/>
      <c r="U36" s="108"/>
      <c r="V36" s="29"/>
      <c r="W36" s="29"/>
      <c r="X36" s="29"/>
      <c r="Y36" s="29"/>
      <c r="Z36" s="47">
        <v>0.08</v>
      </c>
      <c r="AA36" s="47">
        <v>0.09</v>
      </c>
      <c r="AB36" s="47">
        <v>0.1</v>
      </c>
      <c r="AC36" s="47">
        <v>0.08</v>
      </c>
      <c r="AD36" s="47">
        <v>0.04</v>
      </c>
    </row>
    <row r="37" spans="1:35" ht="19.5">
      <c r="A37" s="29"/>
      <c r="B37" s="49" t="s">
        <v>205</v>
      </c>
      <c r="C37" s="50"/>
      <c r="D37" s="50"/>
      <c r="E37" s="50"/>
      <c r="F37" s="109"/>
      <c r="G37" s="50"/>
      <c r="H37" s="51">
        <f t="shared" ref="H37:J37" si="42">(H35-G35)/G35</f>
        <v>0.34782608695652173</v>
      </c>
      <c r="I37" s="51">
        <f t="shared" si="42"/>
        <v>3.5483870967741984E-2</v>
      </c>
      <c r="J37" s="51">
        <f t="shared" si="42"/>
        <v>2.8037383177570048E-2</v>
      </c>
      <c r="K37" s="51"/>
      <c r="L37" s="51">
        <f>(L35-J35)/J35</f>
        <v>-3.6363636363636341E-2</v>
      </c>
      <c r="M37" s="51">
        <f t="shared" ref="M37:O37" si="43">(M35-L35)/L35</f>
        <v>-2.5157232704402538E-2</v>
      </c>
      <c r="N37" s="51">
        <f t="shared" si="43"/>
        <v>-2.9032258064516082E-2</v>
      </c>
      <c r="O37" s="51">
        <f t="shared" si="43"/>
        <v>-3.6544850498338916E-2</v>
      </c>
      <c r="P37" s="51"/>
      <c r="Q37" s="51">
        <f>(Q35-O35)/O35</f>
        <v>3.4482758620689655E-2</v>
      </c>
      <c r="R37" s="51">
        <f t="shared" ref="R37:T37" si="44">(R35-Q35)/Q35</f>
        <v>-6.6666666666666666E-2</v>
      </c>
      <c r="S37" s="51">
        <f t="shared" si="44"/>
        <v>-3.5714285714285712E-2</v>
      </c>
      <c r="T37" s="51">
        <f t="shared" si="44"/>
        <v>-9.2592592592592587E-2</v>
      </c>
      <c r="U37" s="51"/>
      <c r="V37" s="51">
        <f>(V35-T35)/T35</f>
        <v>0.10204081632653061</v>
      </c>
      <c r="W37" s="51">
        <f>(W35-V35)/V35</f>
        <v>-6.6666666666666693E-2</v>
      </c>
      <c r="X37" s="50"/>
      <c r="Y37" s="50"/>
      <c r="Z37" s="51">
        <f>(Z35-U35)/U35</f>
        <v>-5.0228310502283102E-2</v>
      </c>
      <c r="AA37" s="51">
        <f>(AA35-Z35)/Z35+Z2</f>
        <v>1.1538461538461565E-2</v>
      </c>
      <c r="AB37" s="51">
        <f>(AB35-AA35)/AA35+Z2</f>
        <v>1.1406844106463905E-2</v>
      </c>
      <c r="AC37" s="51">
        <f>(AC35-AB35)/AB35+Z2</f>
        <v>1.1278195488721696E-2</v>
      </c>
      <c r="AD37" s="51">
        <f>(AD35-AC35)/AC35+Z2</f>
        <v>1.4869888475836512E-2</v>
      </c>
      <c r="AF37" s="411">
        <f>AVERAGE(AA37:AD37)</f>
        <v>1.227334740237092E-2</v>
      </c>
      <c r="AH37" s="607" t="s">
        <v>1008</v>
      </c>
      <c r="AI37" s="411">
        <f>AVERAGE(AF37,AF26,AF15,AF9)</f>
        <v>1.494333685059273E-2</v>
      </c>
    </row>
    <row r="38" spans="1:35" ht="19.5">
      <c r="A38" s="74" t="s">
        <v>214</v>
      </c>
      <c r="B38" s="110"/>
      <c r="C38" s="74"/>
      <c r="D38" s="74"/>
      <c r="E38" s="74"/>
      <c r="F38" s="76"/>
      <c r="G38" s="74"/>
      <c r="H38" s="74"/>
      <c r="I38" s="74"/>
      <c r="J38" s="76"/>
      <c r="K38" s="77"/>
      <c r="L38" s="74"/>
      <c r="M38" s="74"/>
      <c r="N38" s="74"/>
      <c r="O38" s="76"/>
      <c r="P38" s="77"/>
      <c r="Q38" s="74"/>
      <c r="R38" s="74"/>
      <c r="S38" s="74"/>
      <c r="T38" s="76"/>
      <c r="U38" s="77"/>
      <c r="V38" s="74"/>
      <c r="W38" s="74"/>
      <c r="X38" s="74"/>
      <c r="Y38" s="74"/>
      <c r="Z38" s="74"/>
      <c r="AA38" s="74"/>
      <c r="AB38" s="74"/>
      <c r="AC38" s="74"/>
      <c r="AD38" s="74"/>
    </row>
    <row r="39" spans="1:35" ht="19.5">
      <c r="A39" s="111" t="s">
        <v>215</v>
      </c>
      <c r="B39" s="75" t="s">
        <v>216</v>
      </c>
      <c r="C39" s="74"/>
      <c r="D39" s="74"/>
      <c r="E39" s="74"/>
      <c r="F39" s="76">
        <v>105</v>
      </c>
      <c r="G39" s="74">
        <v>131.07</v>
      </c>
      <c r="H39" s="74">
        <v>158.44999999999999</v>
      </c>
      <c r="I39" s="74">
        <v>256.3</v>
      </c>
      <c r="J39" s="76">
        <v>304.75</v>
      </c>
      <c r="K39" s="77">
        <f>AVERAGE(G39:J39)</f>
        <v>212.64249999999998</v>
      </c>
      <c r="L39" s="74">
        <v>448.75</v>
      </c>
      <c r="M39" s="74">
        <v>413.75</v>
      </c>
      <c r="N39" s="74">
        <v>279.18</v>
      </c>
      <c r="O39" s="76">
        <v>263.70999999999998</v>
      </c>
      <c r="P39" s="77">
        <f>AVERAGE(L39:O39)</f>
        <v>351.34750000000003</v>
      </c>
      <c r="Q39" s="74">
        <v>345.8</v>
      </c>
      <c r="R39" s="74">
        <v>223.3</v>
      </c>
      <c r="S39" s="74">
        <v>270.43</v>
      </c>
      <c r="T39" s="76">
        <v>328.97</v>
      </c>
      <c r="U39" s="77">
        <f>AVERAGE(Q39:T39)</f>
        <v>292.125</v>
      </c>
      <c r="V39" s="74">
        <v>304.08</v>
      </c>
      <c r="W39" s="74">
        <v>249.58</v>
      </c>
      <c r="X39" s="74">
        <f t="shared" ref="X39:Y39" si="45">W39*(1+X40)</f>
        <v>284.52120000000002</v>
      </c>
      <c r="Y39" s="74">
        <f t="shared" si="45"/>
        <v>290.21162400000003</v>
      </c>
      <c r="Z39" s="74">
        <f>AVERAGE(V39:Y39)</f>
        <v>282.098206</v>
      </c>
      <c r="AA39" s="74">
        <f t="shared" ref="AA39:AD39" si="46">Z39*(1+AA40)</f>
        <v>287.74017012000002</v>
      </c>
      <c r="AB39" s="74">
        <f t="shared" si="46"/>
        <v>305.00458032720002</v>
      </c>
      <c r="AC39" s="74">
        <f t="shared" si="46"/>
        <v>320.25480934356005</v>
      </c>
      <c r="AD39" s="74">
        <f t="shared" si="46"/>
        <v>310.64716506325323</v>
      </c>
    </row>
    <row r="40" spans="1:35" ht="19.5">
      <c r="A40" s="89">
        <v>0.8</v>
      </c>
      <c r="B40" s="75" t="s">
        <v>205</v>
      </c>
      <c r="C40" s="74"/>
      <c r="D40" s="74"/>
      <c r="E40" s="74"/>
      <c r="F40" s="76"/>
      <c r="G40" s="112">
        <f t="shared" ref="G40:J40" si="47">(G39-F39)/F39</f>
        <v>0.24828571428571422</v>
      </c>
      <c r="H40" s="112">
        <f t="shared" si="47"/>
        <v>0.20889600976577399</v>
      </c>
      <c r="I40" s="112">
        <f t="shared" si="47"/>
        <v>0.61754496686651961</v>
      </c>
      <c r="J40" s="112">
        <f t="shared" si="47"/>
        <v>0.18903628560280916</v>
      </c>
      <c r="K40" s="88">
        <f>(J39-G39)/G39</f>
        <v>1.3250934615091174</v>
      </c>
      <c r="L40" s="112">
        <f>(L39-J39)/J39</f>
        <v>0.47251845775225593</v>
      </c>
      <c r="M40" s="112">
        <f t="shared" ref="M40:O40" si="48">(M39-L39)/L39</f>
        <v>-7.7994428969359333E-2</v>
      </c>
      <c r="N40" s="112">
        <f t="shared" si="48"/>
        <v>-0.32524471299093655</v>
      </c>
      <c r="O40" s="112">
        <f t="shared" si="48"/>
        <v>-5.5412278816534231E-2</v>
      </c>
      <c r="P40" s="112">
        <f>(O39-L39)/L39</f>
        <v>-0.41234540389972152</v>
      </c>
      <c r="Q40" s="112">
        <f>(Q39-O39)/O39</f>
        <v>0.31128891585453733</v>
      </c>
      <c r="R40" s="112">
        <f t="shared" ref="R40:T40" si="49">(R39-Q39)/Q39</f>
        <v>-0.354251012145749</v>
      </c>
      <c r="S40" s="112">
        <f t="shared" si="49"/>
        <v>0.21106135244066276</v>
      </c>
      <c r="T40" s="112">
        <f t="shared" si="49"/>
        <v>0.21647006619088127</v>
      </c>
      <c r="U40" s="113">
        <f>(T39-Q39)/Q39</f>
        <v>-4.8669751301330201E-2</v>
      </c>
      <c r="V40" s="114">
        <f>(V39-T39)/T39</f>
        <v>-7.5660394564854058E-2</v>
      </c>
      <c r="W40" s="114">
        <f>(W39-V39)/V39</f>
        <v>-0.17922915022362529</v>
      </c>
      <c r="X40" s="114">
        <v>0.14000000000000001</v>
      </c>
      <c r="Y40" s="114">
        <v>0.02</v>
      </c>
      <c r="Z40" s="82">
        <f>SUM(V40:Y40)/4</f>
        <v>-2.3722386197119836E-2</v>
      </c>
      <c r="AA40" s="114">
        <f>2%+Z3</f>
        <v>0.02</v>
      </c>
      <c r="AB40" s="114">
        <f>6%+Z3</f>
        <v>0.06</v>
      </c>
      <c r="AC40" s="114">
        <f>5%+Z3</f>
        <v>0.05</v>
      </c>
      <c r="AD40" s="114">
        <f>-3%+Z3</f>
        <v>-0.03</v>
      </c>
      <c r="AF40" s="411">
        <f>AVERAGE(AA40:AD40)</f>
        <v>2.5000000000000001E-2</v>
      </c>
    </row>
    <row r="41" spans="1:35" ht="19.5">
      <c r="A41" s="115" t="s">
        <v>217</v>
      </c>
      <c r="B41" s="116"/>
      <c r="C41" s="115"/>
      <c r="D41" s="115"/>
      <c r="E41" s="115"/>
      <c r="F41" s="117"/>
      <c r="G41" s="115"/>
      <c r="H41" s="115"/>
      <c r="I41" s="115"/>
      <c r="J41" s="117"/>
      <c r="K41" s="118"/>
      <c r="L41" s="115"/>
      <c r="M41" s="115"/>
      <c r="N41" s="115"/>
      <c r="O41" s="117"/>
      <c r="P41" s="118"/>
      <c r="Q41" s="115"/>
      <c r="R41" s="115"/>
      <c r="S41" s="115"/>
      <c r="T41" s="117"/>
      <c r="U41" s="118"/>
      <c r="V41" s="115"/>
      <c r="W41" s="115"/>
      <c r="X41" s="115"/>
      <c r="Y41" s="115"/>
      <c r="Z41" s="115"/>
      <c r="AA41" s="115"/>
      <c r="AB41" s="115"/>
      <c r="AC41" s="115"/>
      <c r="AD41" s="115"/>
    </row>
    <row r="42" spans="1:35" ht="19.5">
      <c r="A42" s="119" t="s">
        <v>215</v>
      </c>
      <c r="B42" s="120" t="s">
        <v>216</v>
      </c>
      <c r="C42" s="115"/>
      <c r="D42" s="115"/>
      <c r="E42" s="115"/>
      <c r="F42" s="117">
        <v>124.62</v>
      </c>
      <c r="G42" s="115">
        <v>165.61</v>
      </c>
      <c r="H42" s="115">
        <v>205.73</v>
      </c>
      <c r="I42" s="115">
        <v>159.25</v>
      </c>
      <c r="J42" s="117">
        <v>94.97</v>
      </c>
      <c r="K42" s="118">
        <f>AVERAGE(G42:J42)</f>
        <v>156.39000000000001</v>
      </c>
      <c r="L42" s="115">
        <v>141.99</v>
      </c>
      <c r="M42" s="115">
        <v>150.77000000000001</v>
      </c>
      <c r="N42" s="115">
        <v>107.22</v>
      </c>
      <c r="O42" s="117">
        <v>93.25</v>
      </c>
      <c r="P42" s="121">
        <f>AVERAGE(L42:O42)</f>
        <v>123.3075</v>
      </c>
      <c r="Q42" s="115">
        <v>125.75</v>
      </c>
      <c r="R42" s="115">
        <v>105.07</v>
      </c>
      <c r="S42" s="115">
        <v>112.46</v>
      </c>
      <c r="T42" s="117">
        <v>130.46</v>
      </c>
      <c r="U42" s="118">
        <f>AVERAGE(Q42:T42)</f>
        <v>118.435</v>
      </c>
      <c r="V42" s="122">
        <v>124.86</v>
      </c>
      <c r="W42" s="122">
        <v>107.69</v>
      </c>
      <c r="X42" s="122">
        <f t="shared" ref="X42:Y42" si="50">W42*(1+X43)</f>
        <v>118.459</v>
      </c>
      <c r="Y42" s="122">
        <f t="shared" si="50"/>
        <v>114.90523</v>
      </c>
      <c r="Z42" s="122">
        <f t="shared" ref="Z42:Z43" si="51">SUM(V42:Y42)/4</f>
        <v>116.47855750000001</v>
      </c>
      <c r="AA42" s="115">
        <f t="shared" ref="AA42:AD42" si="52">Z42*(1+AA43)</f>
        <v>118.2257358625</v>
      </c>
      <c r="AB42" s="115">
        <f t="shared" si="52"/>
        <v>124.137022655625</v>
      </c>
      <c r="AC42" s="115">
        <f t="shared" si="52"/>
        <v>130.34387378840626</v>
      </c>
      <c r="AD42" s="115">
        <f t="shared" si="52"/>
        <v>125.13011883687</v>
      </c>
      <c r="AH42" s="607" t="s">
        <v>1009</v>
      </c>
      <c r="AI42" s="411">
        <f>AVERAGE(AF44,AF40)</f>
        <v>2.4375000000000001E-2</v>
      </c>
    </row>
    <row r="43" spans="1:35" ht="19.5">
      <c r="A43" s="114">
        <v>0.2</v>
      </c>
      <c r="B43" s="120" t="s">
        <v>205</v>
      </c>
      <c r="C43" s="115"/>
      <c r="D43" s="115"/>
      <c r="E43" s="115"/>
      <c r="F43" s="117"/>
      <c r="G43" s="112">
        <f t="shared" ref="G43:J43" si="53">(G42-F42)/F42</f>
        <v>0.32891991654630082</v>
      </c>
      <c r="H43" s="112">
        <f t="shared" si="53"/>
        <v>0.2422559024213512</v>
      </c>
      <c r="I43" s="112">
        <f t="shared" si="53"/>
        <v>-0.22592718611772708</v>
      </c>
      <c r="J43" s="112">
        <f t="shared" si="53"/>
        <v>-0.40364207221350079</v>
      </c>
      <c r="K43" s="112">
        <f>(J42-G42)/G42</f>
        <v>-0.42654429080369549</v>
      </c>
      <c r="L43" s="112">
        <f>(L42-J42)/J42</f>
        <v>0.49510371696325167</v>
      </c>
      <c r="M43" s="112">
        <f t="shared" ref="M43:O43" si="54">(M42-L42)/L42</f>
        <v>6.1835340516937815E-2</v>
      </c>
      <c r="N43" s="112">
        <f t="shared" si="54"/>
        <v>-0.28885056708894347</v>
      </c>
      <c r="O43" s="112">
        <f t="shared" si="54"/>
        <v>-0.13029285581048311</v>
      </c>
      <c r="P43" s="112">
        <f>(O42-L42)/L42</f>
        <v>-0.3432636101133883</v>
      </c>
      <c r="Q43" s="112">
        <f>(Q42-O42)/O42</f>
        <v>0.34852546916890081</v>
      </c>
      <c r="R43" s="112">
        <f t="shared" ref="R43:T43" si="55">(R42-Q42)/Q42</f>
        <v>-0.1644532803180915</v>
      </c>
      <c r="S43" s="112">
        <f t="shared" si="55"/>
        <v>7.0334063005615316E-2</v>
      </c>
      <c r="T43" s="112">
        <f t="shared" si="55"/>
        <v>0.16005690912324397</v>
      </c>
      <c r="U43" s="113">
        <f>(T42-Q42)/Q42</f>
        <v>3.7455268389662094E-2</v>
      </c>
      <c r="V43" s="114">
        <f>(V42-T42)/T42</f>
        <v>-4.2925034493331349E-2</v>
      </c>
      <c r="W43" s="114">
        <f>(W42-V42)/V42</f>
        <v>-0.13751401569758132</v>
      </c>
      <c r="X43" s="114">
        <v>0.1</v>
      </c>
      <c r="Y43" s="114">
        <v>-0.03</v>
      </c>
      <c r="Z43" s="112">
        <f t="shared" si="51"/>
        <v>-2.7609762547728164E-2</v>
      </c>
      <c r="AA43" s="123">
        <f>1.5%+Z3</f>
        <v>1.4999999999999999E-2</v>
      </c>
      <c r="AB43" s="114">
        <f>5%+Z3</f>
        <v>0.05</v>
      </c>
      <c r="AC43" s="114">
        <f>5%+Z3</f>
        <v>0.05</v>
      </c>
      <c r="AD43" s="114">
        <f>-4%+Z3</f>
        <v>-0.04</v>
      </c>
    </row>
    <row r="44" spans="1:35" ht="39">
      <c r="A44" s="20" t="s">
        <v>218</v>
      </c>
      <c r="B44" s="20"/>
      <c r="C44" s="20"/>
      <c r="D44" s="20"/>
      <c r="E44" s="20"/>
      <c r="F44" s="124"/>
      <c r="G44" s="20"/>
      <c r="H44" s="20"/>
      <c r="I44" s="20"/>
      <c r="J44" s="124"/>
      <c r="K44" s="125">
        <f t="shared" ref="K44:AD44" si="56">(K40*$A$40+K43*$A$43)</f>
        <v>0.97476591104655497</v>
      </c>
      <c r="L44" s="125">
        <f t="shared" si="56"/>
        <v>0.47703550959445506</v>
      </c>
      <c r="M44" s="125">
        <f t="shared" si="56"/>
        <v>-5.0028475072099905E-2</v>
      </c>
      <c r="N44" s="125">
        <f t="shared" si="56"/>
        <v>-0.31796588381053797</v>
      </c>
      <c r="O44" s="125">
        <f t="shared" si="56"/>
        <v>-7.0388394215324002E-2</v>
      </c>
      <c r="P44" s="125">
        <f t="shared" si="56"/>
        <v>-0.39852904514245491</v>
      </c>
      <c r="Q44" s="125">
        <f t="shared" si="56"/>
        <v>0.31873622651741002</v>
      </c>
      <c r="R44" s="125">
        <f t="shared" si="56"/>
        <v>-0.3162914657802175</v>
      </c>
      <c r="S44" s="125">
        <f t="shared" si="56"/>
        <v>0.18291589455365329</v>
      </c>
      <c r="T44" s="125">
        <f t="shared" si="56"/>
        <v>0.20518743477735382</v>
      </c>
      <c r="U44" s="125">
        <f t="shared" si="56"/>
        <v>-3.1444747363131742E-2</v>
      </c>
      <c r="V44" s="125">
        <f t="shared" si="56"/>
        <v>-6.9113322550549514E-2</v>
      </c>
      <c r="W44" s="125">
        <f t="shared" si="56"/>
        <v>-0.17088612331841652</v>
      </c>
      <c r="X44" s="125">
        <f t="shared" si="56"/>
        <v>0.13200000000000001</v>
      </c>
      <c r="Y44" s="125">
        <f t="shared" si="56"/>
        <v>0.01</v>
      </c>
      <c r="Z44" s="126">
        <f t="shared" si="56"/>
        <v>-2.44998614672415E-2</v>
      </c>
      <c r="AA44" s="126">
        <f t="shared" si="56"/>
        <v>1.9E-2</v>
      </c>
      <c r="AB44" s="126">
        <f t="shared" si="56"/>
        <v>5.8000000000000003E-2</v>
      </c>
      <c r="AC44" s="126">
        <f t="shared" si="56"/>
        <v>5.000000000000001E-2</v>
      </c>
      <c r="AD44" s="126">
        <f t="shared" si="56"/>
        <v>-3.2000000000000001E-2</v>
      </c>
      <c r="AF44" s="411">
        <f>AVERAGE(AA44:AD44)</f>
        <v>2.375E-2</v>
      </c>
    </row>
    <row r="45" spans="1:35" ht="19.5">
      <c r="A45" s="20"/>
      <c r="B45" s="20"/>
      <c r="C45" s="20"/>
      <c r="D45" s="20"/>
      <c r="E45" s="20"/>
      <c r="F45" s="124"/>
      <c r="G45" s="20"/>
      <c r="H45" s="20"/>
      <c r="I45" s="20"/>
      <c r="J45" s="124"/>
      <c r="K45" s="127"/>
      <c r="L45" s="20"/>
      <c r="M45" s="20"/>
      <c r="N45" s="20"/>
      <c r="O45" s="124"/>
      <c r="P45" s="127"/>
      <c r="Q45" s="20"/>
      <c r="R45" s="20"/>
      <c r="S45" s="20"/>
      <c r="T45" s="124"/>
      <c r="U45" s="127"/>
      <c r="V45" s="20"/>
      <c r="W45" s="20"/>
      <c r="X45" s="20"/>
      <c r="Y45" s="20"/>
      <c r="Z45" s="20">
        <f t="shared" ref="Z45:Z60" si="57">SUM(V45:Y45)/4</f>
        <v>0</v>
      </c>
      <c r="AA45" s="20"/>
      <c r="AB45" s="20"/>
      <c r="AC45" s="20"/>
      <c r="AD45" s="20"/>
    </row>
    <row r="46" spans="1:35" ht="19.5">
      <c r="A46" s="20"/>
      <c r="B46" s="20"/>
      <c r="C46" s="20"/>
      <c r="D46" s="20"/>
      <c r="E46" s="20"/>
      <c r="F46" s="124"/>
      <c r="G46" s="20"/>
      <c r="H46" s="20"/>
      <c r="I46" s="20">
        <v>2023</v>
      </c>
      <c r="J46" s="124">
        <v>1822</v>
      </c>
      <c r="K46" s="127"/>
      <c r="L46" s="20"/>
      <c r="M46" s="20"/>
      <c r="N46" s="20"/>
      <c r="O46" s="124"/>
      <c r="P46" s="127"/>
      <c r="Q46" s="20"/>
      <c r="R46" s="20"/>
      <c r="S46" s="20"/>
      <c r="T46" s="124"/>
      <c r="U46" s="127"/>
      <c r="V46" s="20"/>
      <c r="W46" s="20"/>
      <c r="X46" s="20"/>
      <c r="Y46" s="20"/>
      <c r="Z46" s="20">
        <f t="shared" si="57"/>
        <v>0</v>
      </c>
      <c r="AA46" s="20"/>
      <c r="AB46" s="20"/>
      <c r="AC46" s="20"/>
      <c r="AD46" s="20"/>
    </row>
    <row r="47" spans="1:35" ht="19.5">
      <c r="A47" s="20"/>
      <c r="B47" s="20"/>
      <c r="C47" s="20"/>
      <c r="D47" s="20"/>
      <c r="E47" s="20"/>
      <c r="F47" s="124"/>
      <c r="G47" s="20"/>
      <c r="H47" s="20"/>
      <c r="I47" s="20">
        <v>2024</v>
      </c>
      <c r="J47" s="124">
        <v>1854</v>
      </c>
      <c r="K47" s="127"/>
      <c r="L47" s="20"/>
      <c r="M47" s="20"/>
      <c r="N47" s="20"/>
      <c r="O47" s="124"/>
      <c r="P47" s="127"/>
      <c r="Q47" s="20"/>
      <c r="R47" s="20"/>
      <c r="S47" s="20"/>
      <c r="T47" s="124"/>
      <c r="U47" s="127"/>
      <c r="V47" s="20"/>
      <c r="W47" s="20"/>
      <c r="X47" s="20"/>
      <c r="Y47" s="20"/>
      <c r="Z47" s="20">
        <f t="shared" si="57"/>
        <v>0</v>
      </c>
      <c r="AA47" s="20"/>
      <c r="AB47" s="20"/>
      <c r="AC47" s="20"/>
      <c r="AD47" s="20"/>
    </row>
    <row r="48" spans="1:35" ht="19.5">
      <c r="A48" s="20"/>
      <c r="B48" s="20"/>
      <c r="C48" s="20"/>
      <c r="D48" s="20"/>
      <c r="E48" s="20"/>
      <c r="F48" s="124"/>
      <c r="G48" s="20"/>
      <c r="H48" s="20"/>
      <c r="I48" s="20">
        <v>2025</v>
      </c>
      <c r="J48" s="124">
        <v>1882</v>
      </c>
      <c r="K48" s="127"/>
      <c r="L48" s="20"/>
      <c r="M48" s="20"/>
      <c r="N48" s="20"/>
      <c r="O48" s="124"/>
      <c r="P48" s="127"/>
      <c r="Q48" s="20"/>
      <c r="R48" s="20"/>
      <c r="S48" s="20"/>
      <c r="T48" s="124"/>
      <c r="U48" s="127"/>
      <c r="V48" s="20"/>
      <c r="W48" s="20"/>
      <c r="X48" s="20"/>
      <c r="Y48" s="20"/>
      <c r="Z48" s="20">
        <f t="shared" si="57"/>
        <v>0</v>
      </c>
      <c r="AA48" s="20"/>
      <c r="AB48" s="20"/>
      <c r="AC48" s="20"/>
      <c r="AD48" s="20"/>
    </row>
    <row r="49" spans="1:30" ht="19.5">
      <c r="A49" s="20"/>
      <c r="B49" s="20"/>
      <c r="C49" s="20"/>
      <c r="D49" s="20"/>
      <c r="E49" s="20"/>
      <c r="F49" s="124"/>
      <c r="G49" s="20"/>
      <c r="H49" s="20"/>
      <c r="I49" s="20">
        <v>2026</v>
      </c>
      <c r="J49" s="124">
        <v>1910</v>
      </c>
      <c r="K49" s="127"/>
      <c r="L49" s="20"/>
      <c r="M49" s="20"/>
      <c r="N49" s="20"/>
      <c r="O49" s="124"/>
      <c r="P49" s="127"/>
      <c r="Q49" s="20"/>
      <c r="R49" s="20"/>
      <c r="S49" s="20"/>
      <c r="T49" s="124"/>
      <c r="U49" s="127"/>
      <c r="V49" s="20"/>
      <c r="W49" s="20"/>
      <c r="X49" s="20"/>
      <c r="Y49" s="20"/>
      <c r="Z49" s="20">
        <f t="shared" si="57"/>
        <v>0</v>
      </c>
      <c r="AA49" s="20"/>
      <c r="AB49" s="20"/>
      <c r="AC49" s="20"/>
      <c r="AD49" s="20"/>
    </row>
    <row r="50" spans="1:30" ht="19.5">
      <c r="A50" s="20"/>
      <c r="B50" s="20"/>
      <c r="C50" s="20"/>
      <c r="D50" s="20"/>
      <c r="E50" s="20"/>
      <c r="F50" s="124"/>
      <c r="G50" s="20"/>
      <c r="H50" s="20"/>
      <c r="I50" s="20"/>
      <c r="J50" s="124"/>
      <c r="K50" s="127"/>
      <c r="L50" s="20"/>
      <c r="M50" s="20"/>
      <c r="N50" s="20"/>
      <c r="O50" s="124"/>
      <c r="P50" s="127"/>
      <c r="Q50" s="20"/>
      <c r="R50" s="20"/>
      <c r="S50" s="20"/>
      <c r="T50" s="124"/>
      <c r="U50" s="127"/>
      <c r="V50" s="20"/>
      <c r="W50" s="20"/>
      <c r="X50" s="20"/>
      <c r="Y50" s="20"/>
      <c r="Z50" s="20">
        <f t="shared" si="57"/>
        <v>0</v>
      </c>
      <c r="AA50" s="20"/>
      <c r="AB50" s="20"/>
      <c r="AC50" s="20"/>
      <c r="AD50" s="20"/>
    </row>
    <row r="51" spans="1:30" ht="19.5">
      <c r="A51" s="20"/>
      <c r="B51" s="20"/>
      <c r="C51" s="20"/>
      <c r="D51" s="20"/>
      <c r="E51" s="20"/>
      <c r="F51" s="124"/>
      <c r="G51" s="20"/>
      <c r="H51" s="20"/>
      <c r="I51" s="20"/>
      <c r="J51" s="124"/>
      <c r="K51" s="127"/>
      <c r="L51" s="20"/>
      <c r="M51" s="20"/>
      <c r="N51" s="20"/>
      <c r="O51" s="124"/>
      <c r="P51" s="127"/>
      <c r="Q51" s="20"/>
      <c r="R51" s="20"/>
      <c r="S51" s="20"/>
      <c r="T51" s="124"/>
      <c r="U51" s="127"/>
      <c r="V51" s="20"/>
      <c r="W51" s="20"/>
      <c r="X51" s="20"/>
      <c r="Y51" s="20"/>
      <c r="Z51" s="20">
        <f t="shared" si="57"/>
        <v>0</v>
      </c>
      <c r="AA51" s="20"/>
      <c r="AB51" s="20"/>
      <c r="AC51" s="20"/>
      <c r="AD51" s="20"/>
    </row>
    <row r="52" spans="1:30" ht="19.5">
      <c r="A52" s="20"/>
      <c r="B52" s="20"/>
      <c r="C52" s="20"/>
      <c r="D52" s="20"/>
      <c r="E52" s="20"/>
      <c r="F52" s="124"/>
      <c r="G52" s="20"/>
      <c r="H52" s="20"/>
      <c r="I52" s="20"/>
      <c r="J52" s="124"/>
      <c r="K52" s="127"/>
      <c r="L52" s="20"/>
      <c r="M52" s="20"/>
      <c r="N52" s="20"/>
      <c r="O52" s="124"/>
      <c r="P52" s="127"/>
      <c r="Q52" s="20"/>
      <c r="R52" s="20"/>
      <c r="S52" s="20"/>
      <c r="T52" s="124"/>
      <c r="U52" s="127"/>
      <c r="V52" s="20"/>
      <c r="W52" s="20"/>
      <c r="X52" s="20"/>
      <c r="Y52" s="20"/>
      <c r="Z52" s="20">
        <f t="shared" si="57"/>
        <v>0</v>
      </c>
      <c r="AA52" s="20"/>
      <c r="AB52" s="20"/>
      <c r="AC52" s="20"/>
      <c r="AD52" s="20"/>
    </row>
    <row r="53" spans="1:30" ht="19.5">
      <c r="A53" s="20"/>
      <c r="B53" s="20"/>
      <c r="C53" s="20"/>
      <c r="D53" s="20"/>
      <c r="E53" s="20"/>
      <c r="F53" s="124"/>
      <c r="G53" s="20"/>
      <c r="H53" s="20"/>
      <c r="I53" s="20"/>
      <c r="J53" s="124"/>
      <c r="K53" s="127"/>
      <c r="L53" s="20"/>
      <c r="M53" s="20"/>
      <c r="N53" s="20"/>
      <c r="O53" s="124"/>
      <c r="P53" s="127"/>
      <c r="Q53" s="20"/>
      <c r="R53" s="20"/>
      <c r="S53" s="20"/>
      <c r="T53" s="124"/>
      <c r="U53" s="127"/>
      <c r="V53" s="20"/>
      <c r="W53" s="20"/>
      <c r="X53" s="20"/>
      <c r="Y53" s="20"/>
      <c r="Z53" s="20">
        <f t="shared" si="57"/>
        <v>0</v>
      </c>
      <c r="AA53" s="20"/>
      <c r="AB53" s="20"/>
      <c r="AC53" s="20"/>
      <c r="AD53" s="20"/>
    </row>
    <row r="54" spans="1:30" ht="19.5">
      <c r="A54" s="20"/>
      <c r="B54" s="20"/>
      <c r="C54" s="20"/>
      <c r="D54" s="20"/>
      <c r="E54" s="20"/>
      <c r="F54" s="124"/>
      <c r="G54" s="20"/>
      <c r="H54" s="20"/>
      <c r="I54" s="20"/>
      <c r="J54" s="124"/>
      <c r="K54" s="127"/>
      <c r="L54" s="20"/>
      <c r="M54" s="20"/>
      <c r="N54" s="20"/>
      <c r="O54" s="124"/>
      <c r="P54" s="127"/>
      <c r="Q54" s="20"/>
      <c r="R54" s="20"/>
      <c r="S54" s="20"/>
      <c r="T54" s="124"/>
      <c r="U54" s="127"/>
      <c r="V54" s="20"/>
      <c r="W54" s="20"/>
      <c r="X54" s="20"/>
      <c r="Y54" s="20"/>
      <c r="Z54" s="20">
        <f t="shared" si="57"/>
        <v>0</v>
      </c>
      <c r="AA54" s="20"/>
      <c r="AB54" s="20"/>
      <c r="AC54" s="20"/>
      <c r="AD54" s="20"/>
    </row>
    <row r="55" spans="1:30" ht="19.5">
      <c r="A55" s="20"/>
      <c r="B55" s="20"/>
      <c r="C55" s="20"/>
      <c r="D55" s="20"/>
      <c r="E55" s="20"/>
      <c r="F55" s="124"/>
      <c r="G55" s="20"/>
      <c r="H55" s="20"/>
      <c r="I55" s="20"/>
      <c r="J55" s="124"/>
      <c r="K55" s="127"/>
      <c r="L55" s="20"/>
      <c r="M55" s="20"/>
      <c r="N55" s="20"/>
      <c r="O55" s="124"/>
      <c r="P55" s="127"/>
      <c r="Q55" s="20"/>
      <c r="R55" s="20"/>
      <c r="S55" s="20"/>
      <c r="T55" s="124"/>
      <c r="U55" s="127"/>
      <c r="V55" s="20"/>
      <c r="W55" s="20"/>
      <c r="X55" s="20"/>
      <c r="Y55" s="20"/>
      <c r="Z55" s="20">
        <f t="shared" si="57"/>
        <v>0</v>
      </c>
      <c r="AA55" s="20"/>
      <c r="AB55" s="20"/>
      <c r="AC55" s="20"/>
      <c r="AD55" s="20"/>
    </row>
    <row r="56" spans="1:30" ht="19.5">
      <c r="A56" s="20"/>
      <c r="B56" s="20"/>
      <c r="C56" s="20"/>
      <c r="D56" s="20"/>
      <c r="E56" s="20"/>
      <c r="F56" s="124"/>
      <c r="G56" s="20"/>
      <c r="H56" s="20"/>
      <c r="I56" s="20"/>
      <c r="J56" s="124"/>
      <c r="K56" s="127"/>
      <c r="L56" s="20"/>
      <c r="M56" s="20"/>
      <c r="N56" s="20"/>
      <c r="O56" s="124"/>
      <c r="P56" s="127"/>
      <c r="Q56" s="20"/>
      <c r="R56" s="20"/>
      <c r="S56" s="20"/>
      <c r="T56" s="124"/>
      <c r="U56" s="127"/>
      <c r="V56" s="20"/>
      <c r="W56" s="20"/>
      <c r="X56" s="20"/>
      <c r="Y56" s="20"/>
      <c r="Z56" s="20">
        <f t="shared" si="57"/>
        <v>0</v>
      </c>
      <c r="AA56" s="20"/>
      <c r="AB56" s="20"/>
      <c r="AC56" s="20"/>
      <c r="AD56" s="20"/>
    </row>
    <row r="57" spans="1:30" ht="19.5">
      <c r="A57" s="20"/>
      <c r="B57" s="20"/>
      <c r="C57" s="20"/>
      <c r="D57" s="20"/>
      <c r="E57" s="20"/>
      <c r="F57" s="124"/>
      <c r="G57" s="20"/>
      <c r="H57" s="20"/>
      <c r="I57" s="20"/>
      <c r="J57" s="124"/>
      <c r="K57" s="127"/>
      <c r="L57" s="20"/>
      <c r="M57" s="20"/>
      <c r="N57" s="20"/>
      <c r="O57" s="124"/>
      <c r="P57" s="127"/>
      <c r="Q57" s="20"/>
      <c r="R57" s="20"/>
      <c r="S57" s="20"/>
      <c r="T57" s="124"/>
      <c r="U57" s="127"/>
      <c r="V57" s="20"/>
      <c r="W57" s="20"/>
      <c r="X57" s="20"/>
      <c r="Y57" s="20"/>
      <c r="Z57" s="20">
        <f t="shared" si="57"/>
        <v>0</v>
      </c>
      <c r="AA57" s="20"/>
      <c r="AB57" s="20"/>
      <c r="AC57" s="20"/>
      <c r="AD57" s="20"/>
    </row>
    <row r="58" spans="1:30" ht="19.5">
      <c r="A58" s="20"/>
      <c r="B58" s="20"/>
      <c r="C58" s="20"/>
      <c r="D58" s="20"/>
      <c r="E58" s="20"/>
      <c r="F58" s="124"/>
      <c r="G58" s="20"/>
      <c r="H58" s="20"/>
      <c r="I58" s="20"/>
      <c r="J58" s="124"/>
      <c r="K58" s="127"/>
      <c r="L58" s="20"/>
      <c r="M58" s="20"/>
      <c r="N58" s="20"/>
      <c r="O58" s="124"/>
      <c r="P58" s="127"/>
      <c r="Q58" s="20"/>
      <c r="R58" s="20"/>
      <c r="S58" s="20"/>
      <c r="T58" s="124"/>
      <c r="U58" s="127"/>
      <c r="V58" s="20"/>
      <c r="W58" s="20"/>
      <c r="X58" s="20"/>
      <c r="Y58" s="20"/>
      <c r="Z58" s="20">
        <f t="shared" si="57"/>
        <v>0</v>
      </c>
      <c r="AA58" s="20"/>
      <c r="AB58" s="20"/>
      <c r="AC58" s="20"/>
      <c r="AD58" s="20"/>
    </row>
    <row r="59" spans="1:30" ht="19.5">
      <c r="A59" s="20"/>
      <c r="B59" s="20"/>
      <c r="C59" s="20"/>
      <c r="D59" s="20"/>
      <c r="E59" s="20"/>
      <c r="F59" s="124"/>
      <c r="G59" s="20"/>
      <c r="H59" s="20"/>
      <c r="I59" s="20"/>
      <c r="J59" s="124"/>
      <c r="K59" s="127"/>
      <c r="L59" s="20"/>
      <c r="M59" s="20"/>
      <c r="N59" s="20"/>
      <c r="O59" s="124"/>
      <c r="P59" s="127"/>
      <c r="Q59" s="20"/>
      <c r="R59" s="20"/>
      <c r="S59" s="20"/>
      <c r="T59" s="124"/>
      <c r="U59" s="127"/>
      <c r="V59" s="20"/>
      <c r="W59" s="20"/>
      <c r="X59" s="20"/>
      <c r="Y59" s="20"/>
      <c r="Z59" s="20">
        <f t="shared" si="57"/>
        <v>0</v>
      </c>
      <c r="AA59" s="20"/>
      <c r="AB59" s="20"/>
      <c r="AC59" s="20"/>
      <c r="AD59" s="20"/>
    </row>
    <row r="60" spans="1:30" ht="19.5">
      <c r="A60" s="20"/>
      <c r="B60" s="20"/>
      <c r="C60" s="20"/>
      <c r="D60" s="20"/>
      <c r="E60" s="20"/>
      <c r="F60" s="124"/>
      <c r="G60" s="20"/>
      <c r="H60" s="20"/>
      <c r="I60" s="20"/>
      <c r="J60" s="124"/>
      <c r="K60" s="127"/>
      <c r="L60" s="20"/>
      <c r="M60" s="20"/>
      <c r="N60" s="20"/>
      <c r="O60" s="124"/>
      <c r="P60" s="127"/>
      <c r="Q60" s="20"/>
      <c r="R60" s="20"/>
      <c r="S60" s="20"/>
      <c r="T60" s="124"/>
      <c r="U60" s="127"/>
      <c r="V60" s="20"/>
      <c r="W60" s="20"/>
      <c r="X60" s="20"/>
      <c r="Y60" s="20"/>
      <c r="Z60" s="20">
        <f t="shared" si="57"/>
        <v>0</v>
      </c>
      <c r="AA60" s="20"/>
      <c r="AB60" s="20"/>
      <c r="AC60" s="20"/>
      <c r="AD60" s="20"/>
    </row>
    <row r="61" spans="1:30" ht="19.5">
      <c r="A61" s="20"/>
      <c r="B61" s="20"/>
      <c r="C61" s="20"/>
      <c r="D61" s="20"/>
      <c r="E61" s="20"/>
      <c r="F61" s="124"/>
      <c r="G61" s="20"/>
      <c r="H61" s="20"/>
      <c r="I61" s="20"/>
      <c r="J61" s="124"/>
      <c r="K61" s="127"/>
      <c r="L61" s="20"/>
      <c r="M61" s="20"/>
      <c r="N61" s="20"/>
      <c r="O61" s="124"/>
      <c r="P61" s="127"/>
      <c r="Q61" s="20"/>
      <c r="R61" s="20"/>
      <c r="S61" s="20"/>
      <c r="T61" s="124"/>
      <c r="U61" s="127"/>
      <c r="V61" s="20"/>
      <c r="W61" s="20"/>
      <c r="X61" s="20"/>
      <c r="Y61" s="20"/>
      <c r="Z61" s="20"/>
      <c r="AA61" s="20"/>
      <c r="AB61" s="20"/>
      <c r="AC61" s="20"/>
      <c r="AD61" s="20"/>
    </row>
    <row r="62" spans="1:30" ht="19.5">
      <c r="A62" s="20"/>
      <c r="B62" s="20"/>
      <c r="C62" s="20"/>
      <c r="D62" s="20"/>
      <c r="E62" s="20"/>
      <c r="F62" s="124"/>
      <c r="G62" s="20"/>
      <c r="H62" s="20"/>
      <c r="I62" s="20"/>
      <c r="J62" s="124"/>
      <c r="K62" s="127"/>
      <c r="L62" s="20"/>
      <c r="M62" s="20"/>
      <c r="N62" s="20"/>
      <c r="O62" s="124"/>
      <c r="P62" s="127"/>
      <c r="Q62" s="20"/>
      <c r="R62" s="20"/>
      <c r="S62" s="20"/>
      <c r="T62" s="124"/>
      <c r="U62" s="127"/>
      <c r="V62" s="20"/>
      <c r="W62" s="20"/>
      <c r="X62" s="20"/>
      <c r="Y62" s="20"/>
      <c r="Z62" s="20"/>
      <c r="AA62" s="20"/>
      <c r="AB62" s="20"/>
      <c r="AC62" s="20"/>
      <c r="AD62" s="20"/>
    </row>
    <row r="63" spans="1:30" ht="19.5">
      <c r="A63" s="20"/>
      <c r="B63" s="20"/>
      <c r="C63" s="20"/>
      <c r="D63" s="20"/>
      <c r="E63" s="20"/>
      <c r="F63" s="124"/>
      <c r="G63" s="20"/>
      <c r="H63" s="20"/>
      <c r="I63" s="20"/>
      <c r="J63" s="124"/>
      <c r="K63" s="127"/>
      <c r="L63" s="20"/>
      <c r="M63" s="20"/>
      <c r="N63" s="20"/>
      <c r="O63" s="124"/>
      <c r="P63" s="127"/>
      <c r="Q63" s="20"/>
      <c r="R63" s="20"/>
      <c r="S63" s="20"/>
      <c r="T63" s="124"/>
      <c r="U63" s="127"/>
      <c r="V63" s="20"/>
      <c r="W63" s="20"/>
      <c r="X63" s="20"/>
      <c r="Y63" s="20"/>
      <c r="Z63" s="20"/>
      <c r="AA63" s="20"/>
      <c r="AB63" s="20"/>
      <c r="AC63" s="20"/>
      <c r="AD63" s="20"/>
    </row>
    <row r="64" spans="1:30" ht="19.5">
      <c r="A64" s="20"/>
      <c r="B64" s="20"/>
      <c r="C64" s="20"/>
      <c r="D64" s="20"/>
      <c r="E64" s="20"/>
      <c r="F64" s="124"/>
      <c r="G64" s="20"/>
      <c r="H64" s="20"/>
      <c r="I64" s="20"/>
      <c r="J64" s="124"/>
      <c r="K64" s="127"/>
      <c r="L64" s="20"/>
      <c r="M64" s="20"/>
      <c r="N64" s="20"/>
      <c r="O64" s="124"/>
      <c r="P64" s="127"/>
      <c r="Q64" s="20"/>
      <c r="R64" s="20"/>
      <c r="S64" s="20"/>
      <c r="T64" s="124"/>
      <c r="U64" s="127"/>
      <c r="V64" s="20"/>
      <c r="W64" s="20"/>
      <c r="X64" s="20"/>
      <c r="Y64" s="20"/>
      <c r="Z64" s="20"/>
      <c r="AA64" s="20"/>
      <c r="AB64" s="20"/>
      <c r="AC64" s="20"/>
      <c r="AD64" s="20"/>
    </row>
    <row r="65" spans="1:30" ht="19.5">
      <c r="A65" s="20"/>
      <c r="B65" s="20"/>
      <c r="C65" s="20"/>
      <c r="D65" s="20"/>
      <c r="E65" s="20"/>
      <c r="F65" s="124"/>
      <c r="G65" s="20"/>
      <c r="H65" s="20"/>
      <c r="I65" s="20"/>
      <c r="J65" s="124"/>
      <c r="K65" s="127"/>
      <c r="L65" s="20"/>
      <c r="M65" s="20"/>
      <c r="N65" s="20"/>
      <c r="O65" s="124"/>
      <c r="P65" s="127"/>
      <c r="Q65" s="20"/>
      <c r="R65" s="20"/>
      <c r="S65" s="20"/>
      <c r="T65" s="124"/>
      <c r="U65" s="127"/>
      <c r="V65" s="20"/>
      <c r="W65" s="20"/>
      <c r="X65" s="20"/>
      <c r="Y65" s="20"/>
      <c r="Z65" s="20"/>
      <c r="AA65" s="20"/>
      <c r="AB65" s="20"/>
      <c r="AC65" s="20"/>
      <c r="AD65" s="20"/>
    </row>
    <row r="66" spans="1:30" ht="19.5">
      <c r="A66" s="20"/>
      <c r="B66" s="20"/>
      <c r="C66" s="20"/>
      <c r="D66" s="20"/>
      <c r="E66" s="20"/>
      <c r="F66" s="124"/>
      <c r="G66" s="20"/>
      <c r="H66" s="20"/>
      <c r="I66" s="20"/>
      <c r="J66" s="124"/>
      <c r="K66" s="127"/>
      <c r="L66" s="20"/>
      <c r="M66" s="20"/>
      <c r="N66" s="20"/>
      <c r="O66" s="124"/>
      <c r="P66" s="127"/>
      <c r="Q66" s="20"/>
      <c r="R66" s="20"/>
      <c r="S66" s="20"/>
      <c r="T66" s="124"/>
      <c r="U66" s="127"/>
      <c r="V66" s="20"/>
      <c r="W66" s="20"/>
      <c r="X66" s="20"/>
      <c r="Y66" s="20"/>
      <c r="Z66" s="20"/>
      <c r="AA66" s="20"/>
      <c r="AB66" s="20"/>
      <c r="AC66" s="20"/>
      <c r="AD66" s="20"/>
    </row>
    <row r="67" spans="1:30" ht="19.5">
      <c r="A67" s="20"/>
      <c r="B67" s="20"/>
      <c r="C67" s="20"/>
      <c r="D67" s="20"/>
      <c r="E67" s="20"/>
      <c r="F67" s="124"/>
      <c r="G67" s="20"/>
      <c r="H67" s="20"/>
      <c r="I67" s="20"/>
      <c r="J67" s="124"/>
      <c r="K67" s="127"/>
      <c r="L67" s="20"/>
      <c r="M67" s="20"/>
      <c r="N67" s="20"/>
      <c r="O67" s="124"/>
      <c r="P67" s="127"/>
      <c r="Q67" s="20"/>
      <c r="R67" s="20"/>
      <c r="S67" s="20"/>
      <c r="T67" s="124"/>
      <c r="U67" s="127"/>
      <c r="V67" s="20"/>
      <c r="W67" s="20"/>
      <c r="X67" s="20"/>
      <c r="Y67" s="20"/>
      <c r="Z67" s="20"/>
      <c r="AA67" s="20"/>
      <c r="AB67" s="20"/>
      <c r="AC67" s="20"/>
      <c r="AD67" s="20"/>
    </row>
    <row r="68" spans="1:30" ht="19.5">
      <c r="A68" s="20"/>
      <c r="B68" s="20"/>
      <c r="D68" s="20"/>
      <c r="E68" s="20"/>
      <c r="F68" s="124"/>
      <c r="G68" s="20"/>
      <c r="H68" s="20"/>
      <c r="I68" s="20"/>
      <c r="J68" s="124"/>
      <c r="K68" s="127"/>
      <c r="L68" s="20"/>
      <c r="M68" s="20"/>
      <c r="N68" s="20"/>
      <c r="O68" s="124"/>
      <c r="P68" s="127"/>
      <c r="Q68" s="20"/>
      <c r="R68" s="20"/>
      <c r="S68" s="20"/>
      <c r="T68" s="124"/>
      <c r="U68" s="127"/>
      <c r="V68" s="20"/>
      <c r="W68" s="20"/>
      <c r="X68" s="20"/>
      <c r="Y68" s="20"/>
      <c r="Z68" s="20"/>
      <c r="AA68" s="20"/>
      <c r="AB68" s="20"/>
      <c r="AC68" s="20"/>
      <c r="AD68" s="20"/>
    </row>
    <row r="69" spans="1:30" ht="78">
      <c r="A69" s="20"/>
      <c r="B69" s="20"/>
      <c r="C69" s="28" t="s">
        <v>220</v>
      </c>
      <c r="D69" s="28" t="s">
        <v>221</v>
      </c>
      <c r="E69" s="28">
        <v>2025</v>
      </c>
      <c r="F69" s="124"/>
      <c r="G69" s="20"/>
      <c r="H69" s="20"/>
      <c r="I69" s="20"/>
      <c r="J69" s="124"/>
      <c r="K69" s="127"/>
      <c r="L69" s="20"/>
      <c r="M69" s="20"/>
      <c r="N69" s="20"/>
      <c r="O69" s="124"/>
      <c r="P69" s="127"/>
      <c r="Q69" s="20"/>
      <c r="R69" s="20"/>
      <c r="S69" s="20"/>
      <c r="T69" s="124"/>
      <c r="U69" s="127"/>
      <c r="V69" s="20"/>
      <c r="W69" s="20"/>
      <c r="X69" s="20"/>
      <c r="Y69" s="20"/>
      <c r="Z69" s="20"/>
      <c r="AA69" s="20"/>
      <c r="AB69" s="20"/>
      <c r="AC69" s="20"/>
      <c r="AD69" s="20"/>
    </row>
    <row r="70" spans="1:30" ht="409.5">
      <c r="A70" s="20"/>
      <c r="B70" s="20"/>
      <c r="C70" s="20" t="s">
        <v>223</v>
      </c>
      <c r="D70" s="20" t="s">
        <v>224</v>
      </c>
      <c r="E70" s="20" t="s">
        <v>225</v>
      </c>
      <c r="F70" s="124"/>
      <c r="G70" s="20"/>
      <c r="H70" s="20"/>
      <c r="I70" s="20"/>
      <c r="J70" s="124"/>
      <c r="K70" s="127"/>
      <c r="L70" s="20"/>
      <c r="M70" s="20"/>
      <c r="N70" s="20"/>
      <c r="O70" s="124"/>
      <c r="P70" s="127"/>
      <c r="Q70" s="20"/>
      <c r="R70" s="20"/>
      <c r="S70" s="20"/>
      <c r="T70" s="124"/>
      <c r="U70" s="127"/>
      <c r="V70" s="20"/>
      <c r="W70" s="20"/>
      <c r="X70" s="20"/>
      <c r="Y70" s="20"/>
      <c r="Z70" s="20"/>
      <c r="AA70" s="20"/>
      <c r="AB70" s="20"/>
      <c r="AC70" s="20"/>
      <c r="AD70" s="20"/>
    </row>
    <row r="71" spans="1:30" ht="19.5">
      <c r="A71" s="20"/>
      <c r="B71" s="20"/>
      <c r="C71" s="20"/>
      <c r="D71" s="20"/>
      <c r="E71" s="20"/>
      <c r="F71" s="124"/>
      <c r="G71" s="20"/>
      <c r="H71" s="20"/>
      <c r="I71" s="20"/>
      <c r="J71" s="124"/>
      <c r="K71" s="127"/>
      <c r="L71" s="20"/>
      <c r="M71" s="20"/>
      <c r="N71" s="20"/>
      <c r="O71" s="124"/>
      <c r="P71" s="127"/>
      <c r="Q71" s="20"/>
      <c r="R71" s="20"/>
      <c r="S71" s="20"/>
      <c r="T71" s="124"/>
      <c r="U71" s="127"/>
      <c r="V71" s="20"/>
      <c r="W71" s="20"/>
      <c r="X71" s="20"/>
      <c r="Y71" s="20"/>
      <c r="Z71" s="20"/>
      <c r="AA71" s="20"/>
      <c r="AB71" s="20"/>
      <c r="AC71" s="20"/>
      <c r="AD71" s="20"/>
    </row>
    <row r="72" spans="1:30" ht="19.5">
      <c r="A72" s="20"/>
      <c r="B72" s="20"/>
      <c r="C72" s="20"/>
      <c r="D72" s="20"/>
      <c r="E72" s="20"/>
      <c r="F72" s="124"/>
      <c r="G72" s="20"/>
      <c r="H72" s="20"/>
      <c r="I72" s="20"/>
      <c r="J72" s="124"/>
      <c r="K72" s="127"/>
      <c r="L72" s="20"/>
      <c r="M72" s="20"/>
      <c r="N72" s="20"/>
      <c r="O72" s="124"/>
      <c r="P72" s="127"/>
      <c r="Q72" s="20"/>
      <c r="R72" s="20"/>
      <c r="S72" s="20"/>
      <c r="T72" s="124"/>
      <c r="U72" s="127"/>
      <c r="V72" s="20"/>
      <c r="W72" s="20"/>
      <c r="X72" s="20"/>
      <c r="Y72" s="20"/>
      <c r="Z72" s="20"/>
      <c r="AA72" s="20"/>
      <c r="AB72" s="20"/>
      <c r="AC72" s="20"/>
      <c r="AD72" s="20"/>
    </row>
    <row r="73" spans="1:30" ht="19.5">
      <c r="A73" s="20"/>
      <c r="B73" s="20"/>
      <c r="C73" s="20"/>
      <c r="D73" s="20"/>
      <c r="E73" s="20"/>
      <c r="F73" s="124"/>
      <c r="G73" s="20"/>
      <c r="H73" s="20"/>
      <c r="I73" s="20"/>
      <c r="J73" s="124"/>
      <c r="K73" s="127"/>
      <c r="L73" s="20"/>
      <c r="M73" s="20"/>
      <c r="N73" s="20"/>
      <c r="O73" s="124"/>
      <c r="P73" s="127"/>
      <c r="Q73" s="20"/>
      <c r="R73" s="20"/>
      <c r="S73" s="20"/>
      <c r="T73" s="124"/>
      <c r="U73" s="127"/>
      <c r="V73" s="20"/>
      <c r="W73" s="20"/>
      <c r="X73" s="20"/>
      <c r="Y73" s="20"/>
      <c r="Z73" s="20"/>
      <c r="AA73" s="20"/>
      <c r="AB73" s="20"/>
      <c r="AC73" s="20"/>
      <c r="AD73" s="20"/>
    </row>
    <row r="74" spans="1:30" ht="19.5">
      <c r="A74" s="20"/>
      <c r="B74" s="20"/>
      <c r="C74" s="20"/>
      <c r="D74" s="20"/>
      <c r="E74" s="20"/>
      <c r="F74" s="124"/>
      <c r="G74" s="20"/>
      <c r="H74" s="20"/>
      <c r="I74" s="20"/>
      <c r="J74" s="124"/>
      <c r="K74" s="127"/>
      <c r="L74" s="20"/>
      <c r="M74" s="20"/>
      <c r="N74" s="20"/>
      <c r="O74" s="124"/>
      <c r="P74" s="127"/>
      <c r="Q74" s="20"/>
      <c r="R74" s="20"/>
      <c r="S74" s="20"/>
      <c r="T74" s="124"/>
      <c r="U74" s="127"/>
      <c r="V74" s="20"/>
      <c r="W74" s="20"/>
      <c r="X74" s="20"/>
      <c r="Y74" s="20"/>
      <c r="Z74" s="20"/>
      <c r="AA74" s="20"/>
      <c r="AB74" s="20"/>
      <c r="AC74" s="20"/>
      <c r="AD74" s="20"/>
    </row>
    <row r="75" spans="1:30" ht="19.5">
      <c r="A75" s="20"/>
      <c r="B75" s="20"/>
      <c r="C75" s="20"/>
      <c r="D75" s="20"/>
      <c r="E75" s="20"/>
      <c r="F75" s="124"/>
      <c r="G75" s="20"/>
      <c r="H75" s="20"/>
      <c r="I75" s="20"/>
      <c r="J75" s="124"/>
      <c r="K75" s="127"/>
      <c r="L75" s="20"/>
      <c r="M75" s="20"/>
      <c r="N75" s="20"/>
      <c r="O75" s="124"/>
      <c r="P75" s="127"/>
      <c r="Q75" s="20"/>
      <c r="R75" s="20"/>
      <c r="S75" s="20"/>
      <c r="T75" s="124"/>
      <c r="U75" s="127"/>
      <c r="V75" s="20"/>
      <c r="W75" s="20"/>
      <c r="X75" s="20"/>
      <c r="Y75" s="20"/>
      <c r="Z75" s="20"/>
      <c r="AA75" s="20"/>
      <c r="AB75" s="20"/>
      <c r="AC75" s="20"/>
      <c r="AD75" s="20"/>
    </row>
    <row r="76" spans="1:30" ht="19.5">
      <c r="A76" s="20"/>
      <c r="B76" s="20"/>
      <c r="C76" s="20"/>
      <c r="D76" s="20"/>
      <c r="E76" s="20"/>
      <c r="F76" s="124"/>
      <c r="G76" s="20"/>
      <c r="H76" s="20"/>
      <c r="I76" s="20"/>
      <c r="J76" s="124"/>
      <c r="K76" s="127"/>
      <c r="L76" s="20"/>
      <c r="M76" s="20"/>
      <c r="N76" s="20"/>
      <c r="O76" s="124"/>
      <c r="P76" s="127"/>
      <c r="Q76" s="20"/>
      <c r="R76" s="20"/>
      <c r="S76" s="20"/>
      <c r="T76" s="124"/>
      <c r="U76" s="127"/>
      <c r="V76" s="20"/>
      <c r="W76" s="20"/>
      <c r="X76" s="20"/>
      <c r="Y76" s="20"/>
      <c r="Z76" s="20"/>
      <c r="AA76" s="20"/>
      <c r="AB76" s="20"/>
      <c r="AC76" s="20"/>
      <c r="AD76" s="20"/>
    </row>
    <row r="77" spans="1:30" ht="19.5">
      <c r="A77" s="20"/>
      <c r="B77" s="20"/>
      <c r="C77" s="20"/>
      <c r="D77" s="20"/>
      <c r="E77" s="20"/>
      <c r="F77" s="124"/>
      <c r="G77" s="20"/>
      <c r="H77" s="20"/>
      <c r="I77" s="20"/>
      <c r="J77" s="124"/>
      <c r="K77" s="127"/>
      <c r="L77" s="20"/>
      <c r="M77" s="20"/>
      <c r="N77" s="20"/>
      <c r="O77" s="124"/>
      <c r="P77" s="127"/>
      <c r="Q77" s="20"/>
      <c r="R77" s="20"/>
      <c r="S77" s="20"/>
      <c r="T77" s="124"/>
      <c r="U77" s="127"/>
      <c r="V77" s="20"/>
      <c r="W77" s="20"/>
      <c r="X77" s="20"/>
      <c r="Y77" s="20"/>
      <c r="Z77" s="20"/>
      <c r="AA77" s="20"/>
      <c r="AB77" s="20"/>
      <c r="AC77" s="20"/>
      <c r="AD77" s="20"/>
    </row>
    <row r="78" spans="1:30" ht="19.5">
      <c r="A78" s="20"/>
      <c r="B78" s="20"/>
      <c r="C78" s="20"/>
      <c r="D78" s="20"/>
      <c r="E78" s="20"/>
      <c r="F78" s="124"/>
      <c r="G78" s="20"/>
      <c r="H78" s="20"/>
      <c r="I78" s="20"/>
      <c r="J78" s="124"/>
      <c r="K78" s="127"/>
      <c r="L78" s="20"/>
      <c r="M78" s="20"/>
      <c r="N78" s="20"/>
      <c r="O78" s="124"/>
      <c r="P78" s="127"/>
      <c r="Q78" s="20"/>
      <c r="R78" s="20"/>
      <c r="S78" s="20"/>
      <c r="T78" s="124"/>
      <c r="U78" s="127"/>
      <c r="V78" s="20"/>
      <c r="W78" s="20"/>
      <c r="X78" s="20"/>
      <c r="Y78" s="20"/>
      <c r="Z78" s="20"/>
      <c r="AA78" s="20"/>
      <c r="AB78" s="20"/>
      <c r="AC78" s="20"/>
      <c r="AD78" s="20"/>
    </row>
    <row r="79" spans="1:30" ht="19.5">
      <c r="A79" s="20"/>
      <c r="B79" s="20"/>
      <c r="C79" s="20">
        <v>2024</v>
      </c>
      <c r="D79" s="20">
        <v>2025</v>
      </c>
      <c r="E79" s="20">
        <v>2026</v>
      </c>
      <c r="F79" s="124"/>
      <c r="G79" s="20"/>
      <c r="H79" s="20"/>
      <c r="I79" s="20"/>
      <c r="J79" s="124"/>
      <c r="K79" s="127"/>
      <c r="L79" s="20"/>
      <c r="M79" s="20"/>
      <c r="N79" s="20"/>
      <c r="O79" s="124"/>
      <c r="P79" s="127"/>
      <c r="Q79" s="20"/>
      <c r="R79" s="20"/>
      <c r="S79" s="20"/>
      <c r="T79" s="124"/>
      <c r="U79" s="127"/>
      <c r="V79" s="20"/>
      <c r="W79" s="20"/>
      <c r="X79" s="20"/>
      <c r="Y79" s="20"/>
      <c r="Z79" s="20"/>
      <c r="AA79" s="20"/>
      <c r="AB79" s="20"/>
      <c r="AC79" s="20"/>
      <c r="AD79" s="20"/>
    </row>
    <row r="80" spans="1:30" ht="409.5">
      <c r="A80" s="20"/>
      <c r="B80" s="20"/>
      <c r="C80" s="20" t="s">
        <v>228</v>
      </c>
      <c r="D80" s="20" t="s">
        <v>229</v>
      </c>
      <c r="E80" s="20" t="s">
        <v>230</v>
      </c>
      <c r="F80" s="124"/>
      <c r="G80" s="20"/>
      <c r="H80" s="20"/>
      <c r="I80" s="20"/>
      <c r="J80" s="124"/>
      <c r="K80" s="127"/>
      <c r="L80" s="20"/>
      <c r="M80" s="20"/>
      <c r="N80" s="20"/>
      <c r="O80" s="124"/>
      <c r="P80" s="127"/>
      <c r="Q80" s="20"/>
      <c r="R80" s="20"/>
      <c r="S80" s="20"/>
      <c r="T80" s="124"/>
      <c r="U80" s="127"/>
      <c r="V80" s="20"/>
      <c r="W80" s="20"/>
      <c r="X80" s="20"/>
      <c r="Y80" s="20"/>
      <c r="Z80" s="20"/>
      <c r="AA80" s="20"/>
      <c r="AB80" s="20"/>
      <c r="AC80" s="20"/>
      <c r="AD80" s="20"/>
    </row>
    <row r="81" spans="1:30" ht="409.5">
      <c r="A81" s="20"/>
      <c r="B81" s="20"/>
      <c r="C81" s="20" t="s">
        <v>232</v>
      </c>
      <c r="D81" s="20"/>
      <c r="E81" s="20"/>
      <c r="F81" s="124"/>
      <c r="G81" s="20"/>
      <c r="H81" s="20"/>
      <c r="I81" s="20"/>
      <c r="J81" s="124"/>
      <c r="K81" s="127"/>
      <c r="L81" s="20"/>
      <c r="M81" s="20"/>
      <c r="N81" s="20"/>
      <c r="O81" s="124"/>
      <c r="P81" s="127"/>
      <c r="Q81" s="20"/>
      <c r="R81" s="20"/>
      <c r="S81" s="20"/>
      <c r="T81" s="124"/>
      <c r="U81" s="127"/>
      <c r="V81" s="20"/>
      <c r="W81" s="20"/>
      <c r="X81" s="20"/>
      <c r="Y81" s="20"/>
      <c r="Z81" s="20"/>
      <c r="AA81" s="20"/>
      <c r="AB81" s="20"/>
      <c r="AC81" s="20"/>
      <c r="AD81" s="20"/>
    </row>
    <row r="82" spans="1:30" ht="19.5">
      <c r="A82" s="20"/>
      <c r="B82" s="20"/>
      <c r="C82" s="20"/>
      <c r="D82" s="20"/>
      <c r="E82" s="20"/>
      <c r="F82" s="124"/>
      <c r="G82" s="20"/>
      <c r="H82" s="20"/>
      <c r="I82" s="20"/>
      <c r="J82" s="124"/>
      <c r="K82" s="127"/>
      <c r="L82" s="20"/>
      <c r="M82" s="20"/>
      <c r="N82" s="20"/>
      <c r="O82" s="124"/>
      <c r="P82" s="127"/>
      <c r="Q82" s="20"/>
      <c r="R82" s="20"/>
      <c r="S82" s="20"/>
      <c r="T82" s="124"/>
      <c r="U82" s="127"/>
      <c r="V82" s="20"/>
      <c r="W82" s="20"/>
      <c r="X82" s="20"/>
      <c r="Y82" s="20"/>
      <c r="Z82" s="20"/>
      <c r="AA82" s="20"/>
      <c r="AB82" s="20"/>
      <c r="AC82" s="20"/>
      <c r="AD82" s="20"/>
    </row>
    <row r="83" spans="1:30" ht="19.5">
      <c r="A83" s="20"/>
      <c r="B83" s="20"/>
      <c r="C83" s="20"/>
      <c r="D83" s="20"/>
      <c r="E83" s="20"/>
      <c r="F83" s="124"/>
      <c r="G83" s="20"/>
      <c r="H83" s="20"/>
      <c r="I83" s="20"/>
      <c r="J83" s="124"/>
      <c r="K83" s="127"/>
      <c r="L83" s="20"/>
      <c r="M83" s="20"/>
      <c r="N83" s="20"/>
      <c r="O83" s="124"/>
      <c r="P83" s="127"/>
      <c r="Q83" s="20"/>
      <c r="R83" s="20"/>
      <c r="S83" s="20"/>
      <c r="T83" s="124"/>
      <c r="U83" s="127"/>
      <c r="V83" s="20"/>
      <c r="W83" s="20"/>
      <c r="X83" s="20"/>
      <c r="Y83" s="20"/>
      <c r="Z83" s="20"/>
      <c r="AA83" s="20"/>
      <c r="AB83" s="20"/>
      <c r="AC83" s="20"/>
      <c r="AD83" s="20"/>
    </row>
    <row r="84" spans="1:30" ht="19.5">
      <c r="A84" s="20"/>
      <c r="B84" s="20"/>
      <c r="C84" s="20"/>
      <c r="D84" s="20"/>
      <c r="E84" s="20"/>
      <c r="F84" s="124"/>
      <c r="G84" s="20"/>
      <c r="H84" s="20"/>
      <c r="I84" s="20"/>
      <c r="J84" s="124"/>
      <c r="K84" s="127"/>
      <c r="L84" s="20"/>
      <c r="M84" s="20"/>
      <c r="N84" s="20"/>
      <c r="O84" s="124"/>
      <c r="P84" s="127"/>
      <c r="Q84" s="20"/>
      <c r="R84" s="20"/>
      <c r="S84" s="20"/>
      <c r="T84" s="124"/>
      <c r="U84" s="127"/>
      <c r="V84" s="20"/>
      <c r="W84" s="20"/>
      <c r="X84" s="20"/>
      <c r="Y84" s="20"/>
      <c r="Z84" s="20"/>
      <c r="AA84" s="20"/>
      <c r="AB84" s="20"/>
      <c r="AC84" s="20"/>
      <c r="AD84" s="20"/>
    </row>
    <row r="85" spans="1:30" ht="19.5">
      <c r="A85" s="20"/>
      <c r="B85" s="20"/>
      <c r="C85" s="20"/>
      <c r="D85" s="20"/>
      <c r="E85" s="20"/>
      <c r="F85" s="124"/>
      <c r="G85" s="20"/>
      <c r="H85" s="20"/>
      <c r="I85" s="20"/>
      <c r="J85" s="124"/>
      <c r="K85" s="127"/>
      <c r="L85" s="20"/>
      <c r="M85" s="20"/>
      <c r="N85" s="20"/>
      <c r="O85" s="124"/>
      <c r="P85" s="127"/>
      <c r="Q85" s="20"/>
      <c r="R85" s="20"/>
      <c r="S85" s="20"/>
      <c r="T85" s="124"/>
      <c r="U85" s="127"/>
      <c r="V85" s="20"/>
      <c r="W85" s="20"/>
      <c r="X85" s="20"/>
      <c r="Y85" s="20"/>
      <c r="Z85" s="20"/>
      <c r="AA85" s="20"/>
      <c r="AB85" s="20"/>
      <c r="AC85" s="20"/>
      <c r="AD85" s="20"/>
    </row>
    <row r="86" spans="1:30" ht="19.5">
      <c r="A86" s="20"/>
      <c r="B86" s="20"/>
      <c r="C86" s="20"/>
      <c r="D86" s="20"/>
      <c r="E86" s="20"/>
      <c r="F86" s="124"/>
      <c r="G86" s="20"/>
      <c r="H86" s="20"/>
      <c r="I86" s="20"/>
      <c r="J86" s="124"/>
      <c r="K86" s="127"/>
      <c r="L86" s="20"/>
      <c r="M86" s="20"/>
      <c r="N86" s="20"/>
      <c r="O86" s="124"/>
      <c r="P86" s="127"/>
      <c r="Q86" s="20"/>
      <c r="R86" s="20"/>
      <c r="S86" s="20"/>
      <c r="T86" s="124"/>
      <c r="U86" s="127"/>
      <c r="V86" s="20"/>
      <c r="W86" s="20"/>
      <c r="X86" s="20"/>
      <c r="Y86" s="20"/>
      <c r="Z86" s="20"/>
      <c r="AA86" s="20"/>
      <c r="AB86" s="20"/>
      <c r="AC86" s="20"/>
      <c r="AD86" s="20"/>
    </row>
    <row r="87" spans="1:30" ht="19.5">
      <c r="A87" s="20"/>
      <c r="B87" s="20"/>
      <c r="C87" s="20"/>
      <c r="D87" s="20"/>
      <c r="E87" s="20"/>
      <c r="F87" s="124"/>
      <c r="G87" s="20"/>
      <c r="H87" s="20"/>
      <c r="I87" s="20"/>
      <c r="J87" s="124"/>
      <c r="K87" s="127"/>
      <c r="L87" s="20"/>
      <c r="M87" s="20"/>
      <c r="N87" s="20"/>
      <c r="O87" s="124"/>
      <c r="P87" s="127"/>
      <c r="Q87" s="20"/>
      <c r="R87" s="20"/>
      <c r="S87" s="20"/>
      <c r="T87" s="124"/>
      <c r="U87" s="127"/>
      <c r="V87" s="20"/>
      <c r="W87" s="20"/>
      <c r="X87" s="20"/>
      <c r="Y87" s="20"/>
      <c r="Z87" s="20"/>
      <c r="AA87" s="20"/>
      <c r="AB87" s="20"/>
      <c r="AC87" s="20"/>
      <c r="AD87" s="20"/>
    </row>
    <row r="88" spans="1:30" ht="19.5">
      <c r="A88" s="20"/>
      <c r="B88" s="20"/>
      <c r="C88" s="20"/>
      <c r="D88" s="20"/>
      <c r="E88" s="20"/>
      <c r="F88" s="124"/>
      <c r="G88" s="20"/>
      <c r="H88" s="20"/>
      <c r="I88" s="20"/>
      <c r="J88" s="124"/>
      <c r="K88" s="127"/>
      <c r="L88" s="20"/>
      <c r="M88" s="20"/>
      <c r="N88" s="20"/>
      <c r="O88" s="124"/>
      <c r="P88" s="127"/>
      <c r="Q88" s="20"/>
      <c r="R88" s="20"/>
      <c r="S88" s="20"/>
      <c r="T88" s="124"/>
      <c r="U88" s="127"/>
      <c r="V88" s="20"/>
      <c r="W88" s="20"/>
      <c r="X88" s="20"/>
      <c r="Y88" s="20"/>
      <c r="Z88" s="20"/>
      <c r="AA88" s="20"/>
      <c r="AB88" s="20"/>
      <c r="AC88" s="20"/>
      <c r="AD88" s="20"/>
    </row>
    <row r="89" spans="1:30" ht="19.5">
      <c r="A89" s="20"/>
      <c r="B89" s="20"/>
      <c r="C89" s="20"/>
      <c r="D89" s="20"/>
      <c r="E89" s="20"/>
      <c r="F89" s="124"/>
      <c r="G89" s="20"/>
      <c r="H89" s="20"/>
      <c r="I89" s="20"/>
      <c r="J89" s="124"/>
      <c r="K89" s="127"/>
      <c r="L89" s="20"/>
      <c r="M89" s="20"/>
      <c r="N89" s="20"/>
      <c r="O89" s="124"/>
      <c r="P89" s="127"/>
      <c r="Q89" s="20"/>
      <c r="R89" s="20"/>
      <c r="S89" s="20"/>
      <c r="T89" s="124"/>
      <c r="U89" s="127"/>
      <c r="V89" s="20"/>
      <c r="W89" s="20"/>
      <c r="X89" s="20"/>
      <c r="Y89" s="20"/>
      <c r="Z89" s="20"/>
      <c r="AA89" s="20"/>
      <c r="AB89" s="20"/>
      <c r="AC89" s="20"/>
      <c r="AD89" s="20"/>
    </row>
    <row r="90" spans="1:30" ht="19.5">
      <c r="A90" s="20"/>
      <c r="B90" s="20"/>
      <c r="C90" s="20"/>
      <c r="D90" s="20"/>
      <c r="E90" s="20"/>
      <c r="F90" s="124"/>
      <c r="G90" s="20"/>
      <c r="H90" s="20"/>
      <c r="I90" s="20"/>
      <c r="J90" s="124"/>
      <c r="K90" s="127"/>
      <c r="L90" s="20"/>
      <c r="M90" s="20"/>
      <c r="N90" s="20"/>
      <c r="O90" s="124"/>
      <c r="P90" s="127"/>
      <c r="Q90" s="20"/>
      <c r="R90" s="20"/>
      <c r="S90" s="20"/>
      <c r="T90" s="124"/>
      <c r="U90" s="127"/>
      <c r="V90" s="20"/>
      <c r="W90" s="20"/>
      <c r="X90" s="20"/>
      <c r="Y90" s="20"/>
      <c r="Z90" s="20"/>
      <c r="AA90" s="20"/>
      <c r="AB90" s="20"/>
      <c r="AC90" s="20"/>
      <c r="AD90" s="20"/>
    </row>
    <row r="91" spans="1:30" ht="19.5">
      <c r="A91" s="20"/>
      <c r="B91" s="20"/>
      <c r="C91" s="20"/>
      <c r="D91" s="20"/>
      <c r="E91" s="20"/>
      <c r="F91" s="124"/>
      <c r="G91" s="20"/>
      <c r="H91" s="20"/>
      <c r="I91" s="20"/>
      <c r="J91" s="124"/>
      <c r="K91" s="127"/>
      <c r="L91" s="20"/>
      <c r="M91" s="20"/>
      <c r="N91" s="20"/>
      <c r="O91" s="124"/>
      <c r="P91" s="127"/>
      <c r="Q91" s="20"/>
      <c r="R91" s="20"/>
      <c r="S91" s="20"/>
      <c r="T91" s="124"/>
      <c r="U91" s="127"/>
      <c r="V91" s="20"/>
      <c r="W91" s="20"/>
      <c r="X91" s="20"/>
      <c r="Y91" s="20"/>
      <c r="Z91" s="20"/>
      <c r="AA91" s="20"/>
      <c r="AB91" s="20"/>
      <c r="AC91" s="20"/>
      <c r="AD91" s="20"/>
    </row>
    <row r="92" spans="1:30" ht="19.5">
      <c r="A92" s="20"/>
      <c r="B92" s="20"/>
      <c r="C92" s="20"/>
      <c r="D92" s="20"/>
      <c r="E92" s="20"/>
      <c r="F92" s="124"/>
      <c r="G92" s="20"/>
      <c r="H92" s="20"/>
      <c r="I92" s="20"/>
      <c r="J92" s="124"/>
      <c r="K92" s="127"/>
      <c r="L92" s="20"/>
      <c r="M92" s="20"/>
      <c r="N92" s="20"/>
      <c r="O92" s="124"/>
      <c r="P92" s="127"/>
      <c r="Q92" s="20"/>
      <c r="R92" s="20"/>
      <c r="S92" s="20"/>
      <c r="T92" s="124"/>
      <c r="U92" s="127"/>
      <c r="V92" s="20"/>
      <c r="W92" s="20"/>
      <c r="X92" s="20"/>
      <c r="Y92" s="20"/>
      <c r="Z92" s="20"/>
      <c r="AA92" s="20"/>
      <c r="AB92" s="20"/>
      <c r="AC92" s="20"/>
      <c r="AD92" s="20"/>
    </row>
    <row r="93" spans="1:30" ht="19.5">
      <c r="A93" s="20"/>
      <c r="B93" s="20"/>
      <c r="C93" s="20"/>
      <c r="D93" s="20"/>
      <c r="E93" s="20"/>
      <c r="F93" s="124"/>
      <c r="G93" s="20"/>
      <c r="H93" s="20"/>
      <c r="I93" s="20"/>
      <c r="J93" s="124"/>
      <c r="K93" s="127"/>
      <c r="L93" s="20"/>
      <c r="M93" s="20"/>
      <c r="N93" s="20"/>
      <c r="O93" s="124"/>
      <c r="P93" s="127"/>
      <c r="Q93" s="20"/>
      <c r="R93" s="20"/>
      <c r="S93" s="20"/>
      <c r="T93" s="124"/>
      <c r="U93" s="127"/>
      <c r="V93" s="20"/>
      <c r="W93" s="20"/>
      <c r="X93" s="20"/>
      <c r="Y93" s="20"/>
      <c r="Z93" s="20"/>
      <c r="AA93" s="20"/>
      <c r="AB93" s="20"/>
      <c r="AC93" s="20"/>
      <c r="AD93" s="20"/>
    </row>
    <row r="94" spans="1:30" ht="19.5">
      <c r="A94" s="20"/>
      <c r="B94" s="20"/>
      <c r="C94" s="20"/>
      <c r="D94" s="20"/>
      <c r="E94" s="20"/>
      <c r="F94" s="124"/>
      <c r="G94" s="20"/>
      <c r="H94" s="20"/>
      <c r="I94" s="20"/>
      <c r="J94" s="124"/>
      <c r="K94" s="127"/>
      <c r="L94" s="20"/>
      <c r="M94" s="20"/>
      <c r="N94" s="20"/>
      <c r="O94" s="124"/>
      <c r="P94" s="127"/>
      <c r="Q94" s="20"/>
      <c r="R94" s="20"/>
      <c r="S94" s="20"/>
      <c r="T94" s="124"/>
      <c r="U94" s="127"/>
      <c r="V94" s="20"/>
      <c r="W94" s="20"/>
      <c r="X94" s="20"/>
      <c r="Y94" s="20"/>
      <c r="Z94" s="20"/>
      <c r="AA94" s="20"/>
      <c r="AB94" s="20"/>
      <c r="AC94" s="20"/>
      <c r="AD94" s="20"/>
    </row>
    <row r="95" spans="1:30" ht="19.5">
      <c r="A95" s="20"/>
      <c r="B95" s="20"/>
      <c r="C95" s="20"/>
      <c r="D95" s="20"/>
      <c r="E95" s="20"/>
      <c r="F95" s="124"/>
      <c r="G95" s="20"/>
      <c r="H95" s="20"/>
      <c r="I95" s="20"/>
      <c r="J95" s="124"/>
      <c r="K95" s="127"/>
      <c r="L95" s="20"/>
      <c r="M95" s="20"/>
      <c r="N95" s="20"/>
      <c r="O95" s="124"/>
      <c r="P95" s="127"/>
      <c r="Q95" s="20"/>
      <c r="R95" s="20"/>
      <c r="S95" s="20"/>
      <c r="T95" s="124"/>
      <c r="U95" s="127"/>
      <c r="V95" s="20"/>
      <c r="W95" s="20"/>
      <c r="X95" s="20"/>
      <c r="Y95" s="20"/>
      <c r="Z95" s="20"/>
      <c r="AA95" s="20"/>
      <c r="AB95" s="20"/>
      <c r="AC95" s="20"/>
      <c r="AD95" s="20"/>
    </row>
    <row r="96" spans="1:30" ht="19.5">
      <c r="A96" s="20"/>
      <c r="B96" s="20"/>
      <c r="C96" s="20"/>
      <c r="D96" s="20"/>
      <c r="E96" s="20"/>
      <c r="F96" s="124"/>
      <c r="G96" s="20"/>
      <c r="H96" s="20"/>
      <c r="I96" s="20"/>
      <c r="J96" s="124"/>
      <c r="K96" s="127"/>
      <c r="L96" s="20"/>
      <c r="M96" s="20"/>
      <c r="N96" s="20"/>
      <c r="O96" s="124"/>
      <c r="P96" s="127"/>
      <c r="Q96" s="20"/>
      <c r="R96" s="20"/>
      <c r="S96" s="20"/>
      <c r="T96" s="124"/>
      <c r="U96" s="127"/>
      <c r="V96" s="20"/>
      <c r="W96" s="20"/>
      <c r="X96" s="20"/>
      <c r="Y96" s="20"/>
      <c r="Z96" s="20"/>
      <c r="AA96" s="20"/>
      <c r="AB96" s="20"/>
      <c r="AC96" s="20"/>
      <c r="AD96" s="20"/>
    </row>
    <row r="97" spans="1:30" ht="19.5">
      <c r="A97" s="20"/>
      <c r="B97" s="20"/>
      <c r="C97" s="20"/>
      <c r="D97" s="20"/>
      <c r="E97" s="20"/>
      <c r="F97" s="124"/>
      <c r="G97" s="20"/>
      <c r="H97" s="20"/>
      <c r="I97" s="20"/>
      <c r="J97" s="124"/>
      <c r="K97" s="127"/>
      <c r="L97" s="20"/>
      <c r="M97" s="20"/>
      <c r="N97" s="20"/>
      <c r="O97" s="124"/>
      <c r="P97" s="127"/>
      <c r="Q97" s="20"/>
      <c r="R97" s="20"/>
      <c r="S97" s="20"/>
      <c r="T97" s="124"/>
      <c r="U97" s="127"/>
      <c r="V97" s="20"/>
      <c r="W97" s="20"/>
      <c r="X97" s="20"/>
      <c r="Y97" s="20"/>
      <c r="Z97" s="20"/>
      <c r="AA97" s="20"/>
      <c r="AB97" s="20"/>
      <c r="AC97" s="20"/>
      <c r="AD97" s="20"/>
    </row>
    <row r="98" spans="1:30" ht="19.5">
      <c r="A98" s="20"/>
      <c r="B98" s="20"/>
      <c r="C98" s="20"/>
      <c r="D98" s="20"/>
      <c r="E98" s="20"/>
      <c r="F98" s="124"/>
      <c r="G98" s="20"/>
      <c r="H98" s="20"/>
      <c r="I98" s="20"/>
      <c r="J98" s="124"/>
      <c r="K98" s="127"/>
      <c r="L98" s="20"/>
      <c r="M98" s="20"/>
      <c r="N98" s="20"/>
      <c r="O98" s="124"/>
      <c r="P98" s="127"/>
      <c r="Q98" s="20"/>
      <c r="R98" s="20"/>
      <c r="S98" s="20"/>
      <c r="T98" s="124"/>
      <c r="U98" s="127"/>
      <c r="V98" s="20"/>
      <c r="W98" s="20"/>
      <c r="X98" s="20"/>
      <c r="Y98" s="20"/>
      <c r="Z98" s="20"/>
      <c r="AA98" s="20"/>
      <c r="AB98" s="20"/>
      <c r="AC98" s="20"/>
      <c r="AD98" s="20"/>
    </row>
    <row r="99" spans="1:30" ht="19.5">
      <c r="A99" s="20"/>
      <c r="B99" s="20"/>
      <c r="C99" s="20"/>
      <c r="D99" s="20"/>
      <c r="E99" s="20"/>
      <c r="F99" s="124"/>
      <c r="G99" s="20"/>
      <c r="H99" s="20"/>
      <c r="I99" s="20"/>
      <c r="J99" s="124"/>
      <c r="K99" s="127"/>
      <c r="L99" s="20"/>
      <c r="M99" s="20"/>
      <c r="N99" s="20"/>
      <c r="O99" s="124"/>
      <c r="P99" s="127"/>
      <c r="Q99" s="20"/>
      <c r="R99" s="20"/>
      <c r="S99" s="20"/>
      <c r="T99" s="124"/>
      <c r="U99" s="127"/>
      <c r="V99" s="20"/>
      <c r="W99" s="20"/>
      <c r="X99" s="20"/>
      <c r="Y99" s="20"/>
      <c r="Z99" s="20"/>
      <c r="AA99" s="20"/>
      <c r="AB99" s="20"/>
      <c r="AC99" s="20"/>
      <c r="AD99" s="20"/>
    </row>
    <row r="100" spans="1:30" ht="19.5">
      <c r="A100" s="20"/>
      <c r="B100" s="20"/>
      <c r="C100" s="20"/>
      <c r="D100" s="20"/>
      <c r="E100" s="20"/>
      <c r="F100" s="124"/>
      <c r="G100" s="20"/>
      <c r="H100" s="20"/>
      <c r="I100" s="20"/>
      <c r="J100" s="124"/>
      <c r="K100" s="127"/>
      <c r="L100" s="20"/>
      <c r="M100" s="20"/>
      <c r="N100" s="20"/>
      <c r="O100" s="124"/>
      <c r="P100" s="127"/>
      <c r="Q100" s="20"/>
      <c r="R100" s="20"/>
      <c r="S100" s="20"/>
      <c r="T100" s="124"/>
      <c r="U100" s="127"/>
      <c r="V100" s="20"/>
      <c r="W100" s="20"/>
      <c r="X100" s="20"/>
      <c r="Y100" s="20"/>
      <c r="Z100" s="20"/>
      <c r="AA100" s="20"/>
      <c r="AB100" s="20"/>
      <c r="AC100" s="20"/>
      <c r="AD100" s="20"/>
    </row>
    <row r="101" spans="1:30" ht="19.5">
      <c r="A101" s="20"/>
      <c r="B101" s="20"/>
      <c r="C101" s="20"/>
      <c r="D101" s="20"/>
      <c r="E101" s="20"/>
      <c r="F101" s="124"/>
      <c r="G101" s="20"/>
      <c r="H101" s="20"/>
      <c r="I101" s="20"/>
      <c r="J101" s="124"/>
      <c r="K101" s="127"/>
      <c r="L101" s="20"/>
      <c r="M101" s="20"/>
      <c r="N101" s="20"/>
      <c r="O101" s="124"/>
      <c r="P101" s="127"/>
      <c r="Q101" s="20"/>
      <c r="R101" s="20"/>
      <c r="S101" s="20"/>
      <c r="T101" s="124"/>
      <c r="U101" s="127"/>
      <c r="V101" s="20"/>
      <c r="W101" s="20"/>
      <c r="X101" s="20"/>
      <c r="Y101" s="20"/>
      <c r="Z101" s="20"/>
      <c r="AA101" s="20"/>
      <c r="AB101" s="20"/>
      <c r="AC101" s="20"/>
      <c r="AD101" s="20"/>
    </row>
    <row r="102" spans="1:30" ht="19.5">
      <c r="A102" s="20"/>
      <c r="B102" s="20"/>
      <c r="C102" s="20"/>
      <c r="D102" s="20"/>
      <c r="E102" s="20"/>
      <c r="F102" s="124"/>
      <c r="G102" s="20"/>
      <c r="H102" s="20"/>
      <c r="I102" s="20"/>
      <c r="J102" s="124"/>
      <c r="K102" s="127"/>
      <c r="L102" s="20"/>
      <c r="M102" s="20"/>
      <c r="N102" s="20"/>
      <c r="O102" s="124"/>
      <c r="P102" s="127"/>
      <c r="Q102" s="20"/>
      <c r="R102" s="20"/>
      <c r="S102" s="20"/>
      <c r="T102" s="124"/>
      <c r="U102" s="127"/>
      <c r="V102" s="20"/>
      <c r="W102" s="20"/>
      <c r="X102" s="20"/>
      <c r="Y102" s="20"/>
      <c r="Z102" s="20"/>
      <c r="AA102" s="20"/>
      <c r="AB102" s="20"/>
      <c r="AC102" s="20"/>
      <c r="AD102" s="20"/>
    </row>
    <row r="103" spans="1:30" ht="19.5">
      <c r="A103" s="20"/>
      <c r="B103" s="20"/>
      <c r="C103" s="20"/>
      <c r="D103" s="20"/>
      <c r="E103" s="20"/>
      <c r="F103" s="124"/>
      <c r="G103" s="20"/>
      <c r="H103" s="20"/>
      <c r="I103" s="20"/>
      <c r="J103" s="124"/>
      <c r="K103" s="127"/>
      <c r="L103" s="20"/>
      <c r="M103" s="20"/>
      <c r="N103" s="20"/>
      <c r="O103" s="124"/>
      <c r="P103" s="127"/>
      <c r="Q103" s="20"/>
      <c r="R103" s="20"/>
      <c r="S103" s="20"/>
      <c r="T103" s="124"/>
      <c r="U103" s="127"/>
      <c r="V103" s="20"/>
      <c r="W103" s="20"/>
      <c r="X103" s="20"/>
      <c r="Y103" s="20"/>
      <c r="Z103" s="20"/>
      <c r="AA103" s="20"/>
      <c r="AB103" s="20"/>
      <c r="AC103" s="20"/>
      <c r="AD103" s="20"/>
    </row>
    <row r="104" spans="1:30" ht="19.5">
      <c r="A104" s="20"/>
      <c r="B104" s="20"/>
      <c r="C104" s="20"/>
      <c r="D104" s="20"/>
      <c r="E104" s="20"/>
      <c r="F104" s="124"/>
      <c r="G104" s="20"/>
      <c r="H104" s="20"/>
      <c r="I104" s="20"/>
      <c r="J104" s="124"/>
      <c r="K104" s="127"/>
      <c r="L104" s="20"/>
      <c r="M104" s="20"/>
      <c r="N104" s="20"/>
      <c r="O104" s="124"/>
      <c r="P104" s="127"/>
      <c r="Q104" s="20"/>
      <c r="R104" s="20"/>
      <c r="S104" s="20"/>
      <c r="T104" s="124"/>
      <c r="U104" s="127"/>
      <c r="V104" s="20"/>
      <c r="W104" s="20"/>
      <c r="X104" s="20"/>
      <c r="Y104" s="20"/>
      <c r="Z104" s="20"/>
      <c r="AA104" s="20"/>
      <c r="AB104" s="20"/>
      <c r="AC104" s="20"/>
      <c r="AD104" s="20"/>
    </row>
    <row r="105" spans="1:30" ht="19.5">
      <c r="A105" s="20"/>
      <c r="B105" s="20"/>
      <c r="C105" s="20"/>
      <c r="D105" s="20"/>
      <c r="E105" s="20"/>
      <c r="F105" s="124"/>
      <c r="G105" s="20"/>
      <c r="H105" s="20"/>
      <c r="I105" s="20"/>
      <c r="J105" s="124"/>
      <c r="K105" s="127"/>
      <c r="L105" s="20"/>
      <c r="M105" s="20"/>
      <c r="N105" s="20"/>
      <c r="O105" s="124"/>
      <c r="P105" s="127"/>
      <c r="Q105" s="20"/>
      <c r="R105" s="20"/>
      <c r="S105" s="20"/>
      <c r="T105" s="124"/>
      <c r="U105" s="127"/>
      <c r="V105" s="20"/>
      <c r="W105" s="20"/>
      <c r="X105" s="20"/>
      <c r="Y105" s="20"/>
      <c r="Z105" s="20"/>
      <c r="AA105" s="20"/>
      <c r="AB105" s="20"/>
      <c r="AC105" s="20"/>
      <c r="AD105" s="20"/>
    </row>
    <row r="106" spans="1:30" ht="19.5">
      <c r="A106" s="20"/>
      <c r="B106" s="20"/>
      <c r="C106" s="20"/>
      <c r="D106" s="20"/>
      <c r="E106" s="20"/>
      <c r="F106" s="124"/>
      <c r="G106" s="20"/>
      <c r="H106" s="20"/>
      <c r="I106" s="20"/>
      <c r="J106" s="124"/>
      <c r="K106" s="127"/>
      <c r="L106" s="20"/>
      <c r="M106" s="20"/>
      <c r="N106" s="20"/>
      <c r="O106" s="124"/>
      <c r="P106" s="127"/>
      <c r="Q106" s="20"/>
      <c r="R106" s="20"/>
      <c r="S106" s="20"/>
      <c r="T106" s="124"/>
      <c r="U106" s="127"/>
      <c r="V106" s="20"/>
      <c r="W106" s="20"/>
      <c r="X106" s="20"/>
      <c r="Y106" s="20"/>
      <c r="Z106" s="20"/>
      <c r="AA106" s="20"/>
      <c r="AB106" s="20"/>
      <c r="AC106" s="20"/>
      <c r="AD106" s="20"/>
    </row>
    <row r="107" spans="1:30" ht="19.5">
      <c r="A107" s="20"/>
      <c r="B107" s="20"/>
      <c r="C107" s="20"/>
      <c r="D107" s="20"/>
      <c r="E107" s="20"/>
      <c r="F107" s="124"/>
      <c r="G107" s="20"/>
      <c r="H107" s="20"/>
      <c r="I107" s="20"/>
      <c r="J107" s="124"/>
      <c r="K107" s="127"/>
      <c r="L107" s="20"/>
      <c r="M107" s="20"/>
      <c r="N107" s="20"/>
      <c r="O107" s="124"/>
      <c r="P107" s="127"/>
      <c r="Q107" s="20"/>
      <c r="R107" s="20"/>
      <c r="S107" s="20"/>
      <c r="T107" s="124"/>
      <c r="U107" s="127"/>
      <c r="V107" s="20"/>
      <c r="W107" s="20"/>
      <c r="X107" s="20"/>
      <c r="Y107" s="20"/>
      <c r="Z107" s="20"/>
      <c r="AA107" s="20"/>
      <c r="AB107" s="20"/>
      <c r="AC107" s="20"/>
      <c r="AD107" s="20"/>
    </row>
    <row r="108" spans="1:30" ht="19.5">
      <c r="A108" s="20"/>
      <c r="B108" s="20"/>
      <c r="C108" s="20"/>
      <c r="D108" s="20"/>
      <c r="E108" s="20"/>
      <c r="F108" s="124"/>
      <c r="G108" s="20"/>
      <c r="H108" s="20"/>
      <c r="I108" s="20"/>
      <c r="J108" s="124"/>
      <c r="K108" s="127"/>
      <c r="L108" s="20"/>
      <c r="M108" s="20"/>
      <c r="N108" s="20"/>
      <c r="O108" s="124"/>
      <c r="P108" s="127"/>
      <c r="Q108" s="20"/>
      <c r="R108" s="20"/>
      <c r="S108" s="20"/>
      <c r="T108" s="124"/>
      <c r="U108" s="127"/>
      <c r="V108" s="20"/>
      <c r="W108" s="20"/>
      <c r="X108" s="20"/>
      <c r="Y108" s="20"/>
      <c r="Z108" s="20"/>
      <c r="AA108" s="20"/>
      <c r="AB108" s="20"/>
      <c r="AC108" s="20"/>
      <c r="AD108" s="20"/>
    </row>
    <row r="109" spans="1:30" ht="19.5">
      <c r="A109" s="20"/>
      <c r="B109" s="20"/>
      <c r="C109" s="20"/>
      <c r="D109" s="20"/>
      <c r="E109" s="20"/>
      <c r="F109" s="124"/>
      <c r="G109" s="20"/>
      <c r="H109" s="20"/>
      <c r="I109" s="20"/>
      <c r="J109" s="124"/>
      <c r="K109" s="127"/>
      <c r="L109" s="20"/>
      <c r="M109" s="20"/>
      <c r="N109" s="20"/>
      <c r="O109" s="124"/>
      <c r="P109" s="127"/>
      <c r="Q109" s="20"/>
      <c r="R109" s="20"/>
      <c r="S109" s="20"/>
      <c r="T109" s="124"/>
      <c r="U109" s="127"/>
      <c r="V109" s="20"/>
      <c r="W109" s="20"/>
      <c r="X109" s="20"/>
      <c r="Y109" s="20"/>
      <c r="Z109" s="20"/>
      <c r="AA109" s="20"/>
      <c r="AB109" s="20"/>
      <c r="AC109" s="20"/>
      <c r="AD109" s="20"/>
    </row>
    <row r="110" spans="1:30" ht="19.5">
      <c r="A110" s="20"/>
      <c r="B110" s="20"/>
      <c r="C110" s="20"/>
      <c r="D110" s="20"/>
      <c r="E110" s="20"/>
      <c r="F110" s="124"/>
      <c r="G110" s="20"/>
      <c r="H110" s="20"/>
      <c r="I110" s="20"/>
      <c r="J110" s="124"/>
      <c r="K110" s="127"/>
      <c r="L110" s="20"/>
      <c r="M110" s="20"/>
      <c r="N110" s="20"/>
      <c r="O110" s="124"/>
      <c r="P110" s="127"/>
      <c r="Q110" s="20"/>
      <c r="R110" s="20"/>
      <c r="S110" s="20"/>
      <c r="T110" s="124"/>
      <c r="U110" s="127"/>
      <c r="V110" s="20"/>
      <c r="W110" s="20"/>
      <c r="X110" s="20"/>
      <c r="Y110" s="20"/>
      <c r="Z110" s="20"/>
      <c r="AA110" s="20"/>
      <c r="AB110" s="20"/>
      <c r="AC110" s="20"/>
      <c r="AD110" s="20"/>
    </row>
    <row r="111" spans="1:30" ht="19.5">
      <c r="A111" s="20"/>
      <c r="B111" s="20"/>
      <c r="C111" s="20"/>
      <c r="D111" s="20"/>
      <c r="E111" s="20"/>
      <c r="F111" s="124"/>
      <c r="G111" s="20"/>
      <c r="H111" s="20"/>
      <c r="I111" s="20"/>
      <c r="J111" s="124"/>
      <c r="K111" s="127"/>
      <c r="L111" s="20"/>
      <c r="M111" s="20"/>
      <c r="N111" s="20"/>
      <c r="O111" s="124"/>
      <c r="P111" s="127"/>
      <c r="Q111" s="20"/>
      <c r="R111" s="20"/>
      <c r="S111" s="20"/>
      <c r="T111" s="124"/>
      <c r="U111" s="127"/>
      <c r="V111" s="20"/>
      <c r="W111" s="20"/>
      <c r="X111" s="20"/>
      <c r="Y111" s="20"/>
      <c r="Z111" s="20"/>
      <c r="AA111" s="20"/>
      <c r="AB111" s="20"/>
      <c r="AC111" s="20"/>
      <c r="AD111" s="20"/>
    </row>
    <row r="112" spans="1:30" ht="19.5">
      <c r="A112" s="20"/>
      <c r="B112" s="20"/>
      <c r="C112" s="20"/>
      <c r="D112" s="20"/>
      <c r="E112" s="20"/>
      <c r="F112" s="124"/>
      <c r="G112" s="20"/>
      <c r="H112" s="20"/>
      <c r="I112" s="20"/>
      <c r="J112" s="124"/>
      <c r="K112" s="127"/>
      <c r="L112" s="20"/>
      <c r="M112" s="20"/>
      <c r="N112" s="20"/>
      <c r="O112" s="124"/>
      <c r="P112" s="127"/>
      <c r="Q112" s="20"/>
      <c r="R112" s="20"/>
      <c r="S112" s="20"/>
      <c r="T112" s="124"/>
      <c r="U112" s="127"/>
      <c r="V112" s="20"/>
      <c r="W112" s="20"/>
      <c r="X112" s="20"/>
      <c r="Y112" s="20"/>
      <c r="Z112" s="20"/>
      <c r="AA112" s="20"/>
      <c r="AB112" s="20"/>
      <c r="AC112" s="20"/>
      <c r="AD112" s="20"/>
    </row>
    <row r="113" spans="1:30" ht="19.5">
      <c r="A113" s="20"/>
      <c r="B113" s="20"/>
      <c r="C113" s="20"/>
      <c r="D113" s="20"/>
      <c r="E113" s="20"/>
      <c r="F113" s="124"/>
      <c r="G113" s="20"/>
      <c r="H113" s="20"/>
      <c r="I113" s="20"/>
      <c r="J113" s="124"/>
      <c r="K113" s="127"/>
      <c r="L113" s="20"/>
      <c r="M113" s="20"/>
      <c r="N113" s="20"/>
      <c r="O113" s="124"/>
      <c r="P113" s="127"/>
      <c r="Q113" s="20"/>
      <c r="R113" s="20"/>
      <c r="S113" s="20"/>
      <c r="T113" s="124"/>
      <c r="U113" s="127"/>
      <c r="V113" s="20"/>
      <c r="W113" s="20"/>
      <c r="X113" s="20"/>
      <c r="Y113" s="20"/>
      <c r="Z113" s="20"/>
      <c r="AA113" s="20"/>
      <c r="AB113" s="20"/>
      <c r="AC113" s="20"/>
      <c r="AD113" s="20"/>
    </row>
    <row r="114" spans="1:30" ht="19.5">
      <c r="A114" s="20"/>
      <c r="B114" s="20"/>
      <c r="C114" s="20"/>
      <c r="D114" s="20"/>
      <c r="E114" s="20"/>
      <c r="F114" s="124"/>
      <c r="G114" s="20"/>
      <c r="H114" s="20"/>
      <c r="I114" s="20"/>
      <c r="J114" s="124"/>
      <c r="K114" s="127"/>
      <c r="L114" s="20"/>
      <c r="M114" s="20"/>
      <c r="N114" s="20"/>
      <c r="O114" s="124"/>
      <c r="P114" s="127"/>
      <c r="Q114" s="20"/>
      <c r="R114" s="20"/>
      <c r="S114" s="20"/>
      <c r="T114" s="124"/>
      <c r="U114" s="127"/>
      <c r="V114" s="20"/>
      <c r="W114" s="20"/>
      <c r="X114" s="20"/>
      <c r="Y114" s="20"/>
      <c r="Z114" s="20"/>
      <c r="AA114" s="20"/>
      <c r="AB114" s="20"/>
      <c r="AC114" s="20"/>
      <c r="AD114" s="20"/>
    </row>
    <row r="115" spans="1:30" ht="19.5">
      <c r="A115" s="20"/>
      <c r="B115" s="20"/>
      <c r="C115" s="20"/>
      <c r="D115" s="20"/>
      <c r="E115" s="20"/>
      <c r="F115" s="124"/>
      <c r="G115" s="20"/>
      <c r="H115" s="20"/>
      <c r="I115" s="20"/>
      <c r="J115" s="124"/>
      <c r="K115" s="127"/>
      <c r="L115" s="20"/>
      <c r="M115" s="20"/>
      <c r="N115" s="20"/>
      <c r="O115" s="124"/>
      <c r="P115" s="127"/>
      <c r="Q115" s="20"/>
      <c r="R115" s="20"/>
      <c r="S115" s="20"/>
      <c r="T115" s="124"/>
      <c r="U115" s="127"/>
      <c r="V115" s="20"/>
      <c r="W115" s="20"/>
      <c r="X115" s="20"/>
      <c r="Y115" s="20"/>
      <c r="Z115" s="20"/>
      <c r="AA115" s="20"/>
      <c r="AB115" s="20"/>
      <c r="AC115" s="20"/>
      <c r="AD115" s="20"/>
    </row>
    <row r="116" spans="1:30" ht="19.5">
      <c r="A116" s="20"/>
      <c r="B116" s="20"/>
      <c r="C116" s="20"/>
      <c r="D116" s="20"/>
      <c r="E116" s="20"/>
      <c r="F116" s="124"/>
      <c r="G116" s="20"/>
      <c r="H116" s="20"/>
      <c r="I116" s="20"/>
      <c r="J116" s="124"/>
      <c r="K116" s="127"/>
      <c r="L116" s="20"/>
      <c r="M116" s="20"/>
      <c r="N116" s="20"/>
      <c r="O116" s="124"/>
      <c r="P116" s="127"/>
      <c r="Q116" s="20"/>
      <c r="R116" s="20"/>
      <c r="S116" s="20"/>
      <c r="T116" s="124"/>
      <c r="U116" s="127"/>
      <c r="V116" s="20"/>
      <c r="W116" s="20"/>
      <c r="X116" s="20"/>
      <c r="Y116" s="20"/>
      <c r="Z116" s="20"/>
      <c r="AA116" s="20"/>
      <c r="AB116" s="20"/>
      <c r="AC116" s="20"/>
      <c r="AD116" s="20"/>
    </row>
    <row r="117" spans="1:30" ht="19.5">
      <c r="A117" s="20"/>
      <c r="B117" s="20"/>
      <c r="C117" s="20"/>
      <c r="D117" s="20"/>
      <c r="E117" s="20"/>
      <c r="F117" s="124"/>
      <c r="G117" s="20"/>
      <c r="H117" s="20"/>
      <c r="I117" s="20"/>
      <c r="J117" s="124"/>
      <c r="K117" s="127"/>
      <c r="L117" s="20"/>
      <c r="M117" s="20"/>
      <c r="N117" s="20"/>
      <c r="O117" s="124"/>
      <c r="P117" s="127"/>
      <c r="Q117" s="20"/>
      <c r="R117" s="20"/>
      <c r="S117" s="20"/>
      <c r="T117" s="124"/>
      <c r="U117" s="127"/>
      <c r="V117" s="20"/>
      <c r="W117" s="20"/>
      <c r="X117" s="20"/>
      <c r="Y117" s="20"/>
      <c r="Z117" s="20"/>
      <c r="AA117" s="20"/>
      <c r="AB117" s="20"/>
      <c r="AC117" s="20"/>
      <c r="AD117" s="20"/>
    </row>
    <row r="118" spans="1:30" ht="19.5">
      <c r="A118" s="20"/>
      <c r="B118" s="20"/>
      <c r="C118" s="20"/>
      <c r="D118" s="20"/>
      <c r="E118" s="20"/>
      <c r="F118" s="124"/>
      <c r="G118" s="20"/>
      <c r="H118" s="20"/>
      <c r="I118" s="20"/>
      <c r="J118" s="124"/>
      <c r="K118" s="127"/>
      <c r="L118" s="20"/>
      <c r="M118" s="20"/>
      <c r="N118" s="20"/>
      <c r="O118" s="124"/>
      <c r="P118" s="127"/>
      <c r="Q118" s="20"/>
      <c r="R118" s="20"/>
      <c r="S118" s="20"/>
      <c r="T118" s="124"/>
      <c r="U118" s="127"/>
      <c r="V118" s="20"/>
      <c r="W118" s="20"/>
      <c r="X118" s="20"/>
      <c r="Y118" s="20"/>
      <c r="Z118" s="20"/>
      <c r="AA118" s="20"/>
      <c r="AB118" s="20"/>
      <c r="AC118" s="20"/>
      <c r="AD118" s="20"/>
    </row>
    <row r="119" spans="1:30" ht="19.5">
      <c r="A119" s="20"/>
      <c r="B119" s="20"/>
      <c r="C119" s="20"/>
      <c r="D119" s="20"/>
      <c r="E119" s="20"/>
      <c r="F119" s="124"/>
      <c r="G119" s="20"/>
      <c r="H119" s="20"/>
      <c r="I119" s="20"/>
      <c r="J119" s="124"/>
      <c r="K119" s="127"/>
      <c r="L119" s="20"/>
      <c r="M119" s="20"/>
      <c r="N119" s="20"/>
      <c r="O119" s="124"/>
      <c r="P119" s="127"/>
      <c r="Q119" s="20"/>
      <c r="R119" s="20"/>
      <c r="S119" s="20"/>
      <c r="T119" s="124"/>
      <c r="U119" s="127"/>
      <c r="V119" s="20"/>
      <c r="W119" s="20"/>
      <c r="X119" s="20"/>
      <c r="Y119" s="20"/>
      <c r="Z119" s="20"/>
      <c r="AA119" s="20"/>
      <c r="AB119" s="20"/>
      <c r="AC119" s="20"/>
      <c r="AD119" s="20"/>
    </row>
    <row r="120" spans="1:30" ht="19.5">
      <c r="A120" s="20"/>
      <c r="B120" s="20"/>
      <c r="C120" s="20"/>
      <c r="D120" s="20"/>
      <c r="E120" s="20"/>
      <c r="F120" s="124"/>
      <c r="G120" s="20"/>
      <c r="H120" s="20"/>
      <c r="I120" s="20"/>
      <c r="J120" s="124"/>
      <c r="K120" s="127"/>
      <c r="L120" s="20"/>
      <c r="M120" s="20"/>
      <c r="N120" s="20"/>
      <c r="O120" s="124"/>
      <c r="P120" s="127"/>
      <c r="Q120" s="20"/>
      <c r="R120" s="20"/>
      <c r="S120" s="20"/>
      <c r="T120" s="124"/>
      <c r="U120" s="127"/>
      <c r="V120" s="20"/>
      <c r="W120" s="20"/>
      <c r="X120" s="20"/>
      <c r="Y120" s="20"/>
      <c r="Z120" s="20"/>
      <c r="AA120" s="20"/>
      <c r="AB120" s="20"/>
      <c r="AC120" s="20"/>
      <c r="AD120" s="20"/>
    </row>
    <row r="121" spans="1:30" ht="19.5">
      <c r="A121" s="20"/>
      <c r="B121" s="20"/>
      <c r="C121" s="20"/>
      <c r="D121" s="20"/>
      <c r="E121" s="20"/>
      <c r="F121" s="124"/>
      <c r="G121" s="20"/>
      <c r="H121" s="20"/>
      <c r="I121" s="20"/>
      <c r="J121" s="124"/>
      <c r="K121" s="127"/>
      <c r="L121" s="20"/>
      <c r="M121" s="20"/>
      <c r="N121" s="20"/>
      <c r="O121" s="124"/>
      <c r="P121" s="127"/>
      <c r="Q121" s="20"/>
      <c r="R121" s="20"/>
      <c r="S121" s="20"/>
      <c r="T121" s="124"/>
      <c r="U121" s="127"/>
      <c r="V121" s="20"/>
      <c r="W121" s="20"/>
      <c r="X121" s="20"/>
      <c r="Y121" s="20"/>
      <c r="Z121" s="20"/>
      <c r="AA121" s="20"/>
      <c r="AB121" s="20"/>
      <c r="AC121" s="20"/>
      <c r="AD121" s="20"/>
    </row>
    <row r="122" spans="1:30" ht="19.5">
      <c r="A122" s="20"/>
      <c r="B122" s="20"/>
      <c r="C122" s="20"/>
      <c r="D122" s="20"/>
      <c r="E122" s="20"/>
      <c r="F122" s="124"/>
      <c r="G122" s="20"/>
      <c r="H122" s="20"/>
      <c r="I122" s="20"/>
      <c r="J122" s="124"/>
      <c r="K122" s="127"/>
      <c r="L122" s="20"/>
      <c r="M122" s="20"/>
      <c r="N122" s="20"/>
      <c r="O122" s="124"/>
      <c r="P122" s="127"/>
      <c r="Q122" s="20"/>
      <c r="R122" s="20"/>
      <c r="S122" s="20"/>
      <c r="T122" s="124"/>
      <c r="U122" s="127"/>
      <c r="V122" s="20"/>
      <c r="W122" s="20"/>
      <c r="X122" s="20"/>
      <c r="Y122" s="20"/>
      <c r="Z122" s="20"/>
      <c r="AA122" s="20"/>
      <c r="AB122" s="20"/>
      <c r="AC122" s="20"/>
      <c r="AD122" s="20"/>
    </row>
    <row r="123" spans="1:30" ht="19.5">
      <c r="A123" s="20"/>
      <c r="B123" s="20"/>
      <c r="C123" s="20"/>
      <c r="D123" s="20"/>
      <c r="E123" s="20"/>
      <c r="F123" s="124"/>
      <c r="G123" s="20"/>
      <c r="H123" s="20"/>
      <c r="I123" s="20"/>
      <c r="J123" s="124"/>
      <c r="K123" s="127"/>
      <c r="L123" s="20"/>
      <c r="M123" s="20"/>
      <c r="N123" s="20"/>
      <c r="O123" s="124"/>
      <c r="P123" s="127"/>
      <c r="Q123" s="20"/>
      <c r="R123" s="20"/>
      <c r="S123" s="20"/>
      <c r="T123" s="124"/>
      <c r="U123" s="127"/>
      <c r="V123" s="20"/>
      <c r="W123" s="20"/>
      <c r="X123" s="20"/>
      <c r="Y123" s="20"/>
      <c r="Z123" s="20"/>
      <c r="AA123" s="20"/>
      <c r="AB123" s="20"/>
      <c r="AC123" s="20"/>
      <c r="AD123" s="20"/>
    </row>
    <row r="124" spans="1:30" ht="19.5">
      <c r="A124" s="20"/>
      <c r="B124" s="20"/>
      <c r="C124" s="20"/>
      <c r="D124" s="20"/>
      <c r="E124" s="20"/>
      <c r="F124" s="124"/>
      <c r="G124" s="20"/>
      <c r="H124" s="20"/>
      <c r="I124" s="20"/>
      <c r="J124" s="124"/>
      <c r="K124" s="127"/>
      <c r="L124" s="20"/>
      <c r="M124" s="20"/>
      <c r="N124" s="20"/>
      <c r="O124" s="124"/>
      <c r="P124" s="127"/>
      <c r="Q124" s="20"/>
      <c r="R124" s="20"/>
      <c r="S124" s="20"/>
      <c r="T124" s="124"/>
      <c r="U124" s="127"/>
      <c r="V124" s="20"/>
      <c r="W124" s="20"/>
      <c r="X124" s="20"/>
      <c r="Y124" s="20"/>
      <c r="Z124" s="20"/>
      <c r="AA124" s="20"/>
      <c r="AB124" s="20"/>
      <c r="AC124" s="20"/>
      <c r="AD124" s="20"/>
    </row>
    <row r="125" spans="1:30" ht="19.5">
      <c r="A125" s="20"/>
      <c r="B125" s="20"/>
      <c r="C125" s="20"/>
      <c r="D125" s="20"/>
      <c r="E125" s="20"/>
      <c r="F125" s="124"/>
      <c r="G125" s="20"/>
      <c r="H125" s="20"/>
      <c r="I125" s="20"/>
      <c r="J125" s="124"/>
      <c r="K125" s="127"/>
      <c r="L125" s="20"/>
      <c r="M125" s="20"/>
      <c r="N125" s="20"/>
      <c r="O125" s="124"/>
      <c r="P125" s="127"/>
      <c r="Q125" s="20"/>
      <c r="R125" s="20"/>
      <c r="S125" s="20"/>
      <c r="T125" s="124"/>
      <c r="U125" s="127"/>
      <c r="V125" s="20"/>
      <c r="W125" s="20"/>
      <c r="X125" s="20"/>
      <c r="Y125" s="20"/>
      <c r="Z125" s="20"/>
      <c r="AA125" s="20"/>
      <c r="AB125" s="20"/>
      <c r="AC125" s="20"/>
      <c r="AD125" s="20"/>
    </row>
    <row r="126" spans="1:30" ht="19.5">
      <c r="A126" s="20"/>
      <c r="B126" s="20"/>
      <c r="C126" s="20"/>
      <c r="D126" s="20"/>
      <c r="E126" s="20"/>
      <c r="F126" s="124"/>
      <c r="G126" s="20"/>
      <c r="H126" s="20"/>
      <c r="I126" s="20"/>
      <c r="J126" s="124"/>
      <c r="K126" s="127"/>
      <c r="L126" s="20"/>
      <c r="M126" s="20"/>
      <c r="N126" s="20"/>
      <c r="O126" s="124"/>
      <c r="P126" s="127"/>
      <c r="Q126" s="20"/>
      <c r="R126" s="20"/>
      <c r="S126" s="20"/>
      <c r="T126" s="124"/>
      <c r="U126" s="127"/>
      <c r="V126" s="20"/>
      <c r="W126" s="20"/>
      <c r="X126" s="20"/>
      <c r="Y126" s="20"/>
      <c r="Z126" s="20"/>
      <c r="AA126" s="20"/>
      <c r="AB126" s="20"/>
      <c r="AC126" s="20"/>
      <c r="AD126" s="20"/>
    </row>
    <row r="127" spans="1:30" ht="19.5">
      <c r="A127" s="20"/>
      <c r="B127" s="20"/>
      <c r="C127" s="20"/>
      <c r="D127" s="20"/>
      <c r="E127" s="20"/>
      <c r="F127" s="124"/>
      <c r="G127" s="20"/>
      <c r="H127" s="20"/>
      <c r="I127" s="20"/>
      <c r="J127" s="124"/>
      <c r="K127" s="127"/>
      <c r="L127" s="20"/>
      <c r="M127" s="20"/>
      <c r="N127" s="20"/>
      <c r="O127" s="124"/>
      <c r="P127" s="127"/>
      <c r="Q127" s="20"/>
      <c r="R127" s="20"/>
      <c r="S127" s="20"/>
      <c r="T127" s="124"/>
      <c r="U127" s="127"/>
      <c r="V127" s="20"/>
      <c r="W127" s="20"/>
      <c r="X127" s="20"/>
      <c r="Y127" s="20"/>
      <c r="Z127" s="20"/>
      <c r="AA127" s="20"/>
      <c r="AB127" s="20"/>
      <c r="AC127" s="20"/>
      <c r="AD127" s="20"/>
    </row>
    <row r="128" spans="1:30" ht="19.5">
      <c r="A128" s="20"/>
      <c r="B128" s="20"/>
      <c r="C128" s="20"/>
      <c r="D128" s="20"/>
      <c r="E128" s="20"/>
      <c r="F128" s="124"/>
      <c r="G128" s="20"/>
      <c r="H128" s="20"/>
      <c r="I128" s="20"/>
      <c r="J128" s="124"/>
      <c r="K128" s="127"/>
      <c r="L128" s="20"/>
      <c r="M128" s="20"/>
      <c r="N128" s="20"/>
      <c r="O128" s="124"/>
      <c r="P128" s="127"/>
      <c r="Q128" s="20"/>
      <c r="R128" s="20"/>
      <c r="S128" s="20"/>
      <c r="T128" s="124"/>
      <c r="U128" s="127"/>
      <c r="V128" s="20"/>
      <c r="W128" s="20"/>
      <c r="X128" s="20"/>
      <c r="Y128" s="20"/>
      <c r="Z128" s="20"/>
      <c r="AA128" s="20"/>
      <c r="AB128" s="20"/>
      <c r="AC128" s="20"/>
      <c r="AD128" s="20"/>
    </row>
    <row r="129" spans="1:30" ht="19.5">
      <c r="A129" s="20"/>
      <c r="B129" s="20"/>
      <c r="C129" s="20"/>
      <c r="D129" s="20"/>
      <c r="E129" s="20"/>
      <c r="F129" s="124"/>
      <c r="G129" s="20"/>
      <c r="H129" s="20"/>
      <c r="I129" s="20"/>
      <c r="J129" s="124"/>
      <c r="K129" s="127"/>
      <c r="L129" s="20"/>
      <c r="M129" s="20"/>
      <c r="N129" s="20"/>
      <c r="O129" s="124"/>
      <c r="P129" s="127"/>
      <c r="Q129" s="20"/>
      <c r="R129" s="20"/>
      <c r="S129" s="20"/>
      <c r="T129" s="124"/>
      <c r="U129" s="127"/>
      <c r="V129" s="20"/>
      <c r="W129" s="20"/>
      <c r="X129" s="20"/>
      <c r="Y129" s="20"/>
      <c r="Z129" s="20"/>
      <c r="AA129" s="20"/>
      <c r="AB129" s="20"/>
      <c r="AC129" s="20"/>
      <c r="AD129" s="20"/>
    </row>
    <row r="130" spans="1:30" ht="19.5">
      <c r="A130" s="20"/>
      <c r="B130" s="20"/>
      <c r="C130" s="20"/>
      <c r="D130" s="20"/>
      <c r="E130" s="20"/>
      <c r="F130" s="124"/>
      <c r="G130" s="20"/>
      <c r="H130" s="20"/>
      <c r="I130" s="20"/>
      <c r="J130" s="124"/>
      <c r="K130" s="127"/>
      <c r="L130" s="20"/>
      <c r="M130" s="20"/>
      <c r="N130" s="20"/>
      <c r="O130" s="124"/>
      <c r="P130" s="127"/>
      <c r="Q130" s="20"/>
      <c r="R130" s="20"/>
      <c r="S130" s="20"/>
      <c r="T130" s="124"/>
      <c r="U130" s="127"/>
      <c r="V130" s="20"/>
      <c r="W130" s="20"/>
      <c r="X130" s="20"/>
      <c r="Y130" s="20"/>
      <c r="Z130" s="20"/>
      <c r="AA130" s="20"/>
      <c r="AB130" s="20"/>
      <c r="AC130" s="20"/>
      <c r="AD130" s="20"/>
    </row>
    <row r="131" spans="1:30" ht="19.5">
      <c r="A131" s="20"/>
      <c r="B131" s="20"/>
      <c r="C131" s="20"/>
      <c r="D131" s="20"/>
      <c r="E131" s="20"/>
      <c r="F131" s="124"/>
      <c r="G131" s="20"/>
      <c r="H131" s="20"/>
      <c r="I131" s="20"/>
      <c r="J131" s="124"/>
      <c r="K131" s="127"/>
      <c r="L131" s="20"/>
      <c r="M131" s="20"/>
      <c r="N131" s="20"/>
      <c r="O131" s="124"/>
      <c r="P131" s="127"/>
      <c r="Q131" s="20"/>
      <c r="R131" s="20"/>
      <c r="S131" s="20"/>
      <c r="T131" s="124"/>
      <c r="U131" s="127"/>
      <c r="V131" s="20"/>
      <c r="W131" s="20"/>
      <c r="X131" s="20"/>
      <c r="Y131" s="20"/>
      <c r="Z131" s="20"/>
      <c r="AA131" s="20"/>
      <c r="AB131" s="20"/>
      <c r="AC131" s="20"/>
      <c r="AD131" s="20"/>
    </row>
    <row r="132" spans="1:30" ht="19.5">
      <c r="A132" s="20"/>
      <c r="B132" s="20"/>
      <c r="C132" s="20"/>
      <c r="D132" s="20"/>
      <c r="E132" s="20"/>
      <c r="F132" s="124"/>
      <c r="G132" s="20"/>
      <c r="H132" s="20"/>
      <c r="I132" s="20"/>
      <c r="J132" s="124"/>
      <c r="K132" s="127"/>
      <c r="L132" s="20"/>
      <c r="M132" s="20"/>
      <c r="N132" s="20"/>
      <c r="O132" s="124"/>
      <c r="P132" s="127"/>
      <c r="Q132" s="20"/>
      <c r="R132" s="20"/>
      <c r="S132" s="20"/>
      <c r="T132" s="124"/>
      <c r="U132" s="127"/>
      <c r="V132" s="20"/>
      <c r="W132" s="20"/>
      <c r="X132" s="20"/>
      <c r="Y132" s="20"/>
      <c r="Z132" s="20"/>
      <c r="AA132" s="20"/>
      <c r="AB132" s="20"/>
      <c r="AC132" s="20"/>
      <c r="AD132" s="20"/>
    </row>
    <row r="133" spans="1:30" ht="19.5">
      <c r="A133" s="20"/>
      <c r="B133" s="20"/>
      <c r="C133" s="20"/>
      <c r="D133" s="20"/>
      <c r="E133" s="20"/>
      <c r="F133" s="124"/>
      <c r="G133" s="20"/>
      <c r="H133" s="20"/>
      <c r="I133" s="20"/>
      <c r="J133" s="124"/>
      <c r="K133" s="127"/>
      <c r="L133" s="20"/>
      <c r="M133" s="20"/>
      <c r="N133" s="20"/>
      <c r="O133" s="124"/>
      <c r="P133" s="127"/>
      <c r="Q133" s="20"/>
      <c r="R133" s="20"/>
      <c r="S133" s="20"/>
      <c r="T133" s="124"/>
      <c r="U133" s="127"/>
      <c r="V133" s="20"/>
      <c r="W133" s="20"/>
      <c r="X133" s="20"/>
      <c r="Y133" s="20"/>
      <c r="Z133" s="20"/>
      <c r="AA133" s="20"/>
      <c r="AB133" s="20"/>
      <c r="AC133" s="20"/>
      <c r="AD133" s="20"/>
    </row>
    <row r="134" spans="1:30" ht="19.5">
      <c r="A134" s="20"/>
      <c r="B134" s="20"/>
      <c r="C134" s="20"/>
      <c r="D134" s="20"/>
      <c r="E134" s="20"/>
      <c r="F134" s="124"/>
      <c r="G134" s="20"/>
      <c r="H134" s="20"/>
      <c r="I134" s="20"/>
      <c r="J134" s="124"/>
      <c r="K134" s="127"/>
      <c r="L134" s="20"/>
      <c r="M134" s="20"/>
      <c r="N134" s="20"/>
      <c r="O134" s="124"/>
      <c r="P134" s="127"/>
      <c r="Q134" s="20"/>
      <c r="R134" s="20"/>
      <c r="S134" s="20"/>
      <c r="T134" s="124"/>
      <c r="U134" s="127"/>
      <c r="V134" s="20"/>
      <c r="W134" s="20"/>
      <c r="X134" s="20"/>
      <c r="Y134" s="20"/>
      <c r="Z134" s="20"/>
      <c r="AA134" s="20"/>
      <c r="AB134" s="20"/>
      <c r="AC134" s="20"/>
      <c r="AD134" s="20"/>
    </row>
    <row r="135" spans="1:30" ht="19.5">
      <c r="A135" s="20"/>
      <c r="B135" s="20"/>
      <c r="C135" s="20"/>
      <c r="D135" s="20"/>
      <c r="E135" s="20"/>
      <c r="F135" s="124"/>
      <c r="G135" s="20"/>
      <c r="H135" s="20"/>
      <c r="I135" s="20"/>
      <c r="J135" s="124"/>
      <c r="K135" s="127"/>
      <c r="L135" s="20"/>
      <c r="M135" s="20"/>
      <c r="N135" s="20"/>
      <c r="O135" s="124"/>
      <c r="P135" s="127"/>
      <c r="Q135" s="20"/>
      <c r="R135" s="20"/>
      <c r="S135" s="20"/>
      <c r="T135" s="124"/>
      <c r="U135" s="127"/>
      <c r="V135" s="20"/>
      <c r="W135" s="20"/>
      <c r="X135" s="20"/>
      <c r="Y135" s="20"/>
      <c r="Z135" s="20"/>
      <c r="AA135" s="20"/>
      <c r="AB135" s="20"/>
      <c r="AC135" s="20"/>
      <c r="AD135" s="20"/>
    </row>
    <row r="136" spans="1:30" ht="19.5">
      <c r="A136" s="20"/>
      <c r="B136" s="20"/>
      <c r="C136" s="20"/>
      <c r="D136" s="20"/>
      <c r="E136" s="20"/>
      <c r="F136" s="124"/>
      <c r="G136" s="20"/>
      <c r="H136" s="20"/>
      <c r="I136" s="20"/>
      <c r="J136" s="124"/>
      <c r="K136" s="127"/>
      <c r="L136" s="20"/>
      <c r="M136" s="20"/>
      <c r="N136" s="20"/>
      <c r="O136" s="124"/>
      <c r="P136" s="127"/>
      <c r="Q136" s="20"/>
      <c r="R136" s="20"/>
      <c r="S136" s="20"/>
      <c r="T136" s="124"/>
      <c r="U136" s="127"/>
      <c r="V136" s="20"/>
      <c r="W136" s="20"/>
      <c r="X136" s="20"/>
      <c r="Y136" s="20"/>
      <c r="Z136" s="20"/>
      <c r="AA136" s="20"/>
      <c r="AB136" s="20"/>
      <c r="AC136" s="20"/>
      <c r="AD136" s="20"/>
    </row>
    <row r="137" spans="1:30" ht="19.5">
      <c r="A137" s="20"/>
      <c r="B137" s="20"/>
      <c r="C137" s="20"/>
      <c r="D137" s="20"/>
      <c r="E137" s="20"/>
      <c r="F137" s="124"/>
      <c r="G137" s="20"/>
      <c r="H137" s="20"/>
      <c r="I137" s="20"/>
      <c r="J137" s="124"/>
      <c r="K137" s="127"/>
      <c r="L137" s="20"/>
      <c r="M137" s="20"/>
      <c r="N137" s="20"/>
      <c r="O137" s="124"/>
      <c r="P137" s="127"/>
      <c r="Q137" s="20"/>
      <c r="R137" s="20"/>
      <c r="S137" s="20"/>
      <c r="T137" s="124"/>
      <c r="U137" s="127"/>
      <c r="V137" s="20"/>
      <c r="W137" s="20"/>
      <c r="X137" s="20"/>
      <c r="Y137" s="20"/>
      <c r="Z137" s="20"/>
      <c r="AA137" s="20"/>
      <c r="AB137" s="20"/>
      <c r="AC137" s="20"/>
      <c r="AD137" s="20"/>
    </row>
    <row r="138" spans="1:30" ht="19.5">
      <c r="A138" s="20"/>
      <c r="B138" s="20"/>
      <c r="C138" s="20"/>
      <c r="D138" s="20"/>
      <c r="E138" s="20"/>
      <c r="F138" s="124"/>
      <c r="G138" s="20"/>
      <c r="H138" s="20"/>
      <c r="I138" s="20"/>
      <c r="J138" s="124"/>
      <c r="K138" s="127"/>
      <c r="L138" s="20"/>
      <c r="M138" s="20"/>
      <c r="N138" s="20"/>
      <c r="O138" s="124"/>
      <c r="P138" s="127"/>
      <c r="Q138" s="20"/>
      <c r="R138" s="20"/>
      <c r="S138" s="20"/>
      <c r="T138" s="124"/>
      <c r="U138" s="127"/>
      <c r="V138" s="20"/>
      <c r="W138" s="20"/>
      <c r="X138" s="20"/>
      <c r="Y138" s="20"/>
      <c r="Z138" s="20"/>
      <c r="AA138" s="20"/>
      <c r="AB138" s="20"/>
      <c r="AC138" s="20"/>
      <c r="AD138" s="20"/>
    </row>
    <row r="139" spans="1:30" ht="19.5">
      <c r="A139" s="20"/>
      <c r="B139" s="20"/>
      <c r="C139" s="20"/>
      <c r="D139" s="20"/>
      <c r="E139" s="20"/>
      <c r="F139" s="124"/>
      <c r="G139" s="20"/>
      <c r="H139" s="20"/>
      <c r="I139" s="20"/>
      <c r="J139" s="124"/>
      <c r="K139" s="127"/>
      <c r="L139" s="20"/>
      <c r="M139" s="20"/>
      <c r="N139" s="20"/>
      <c r="O139" s="124"/>
      <c r="P139" s="127"/>
      <c r="Q139" s="20"/>
      <c r="R139" s="20"/>
      <c r="S139" s="20"/>
      <c r="T139" s="124"/>
      <c r="U139" s="127"/>
      <c r="V139" s="20"/>
      <c r="W139" s="20"/>
      <c r="X139" s="20"/>
      <c r="Y139" s="20"/>
      <c r="Z139" s="20"/>
      <c r="AA139" s="20"/>
      <c r="AB139" s="20"/>
      <c r="AC139" s="20"/>
      <c r="AD139" s="20"/>
    </row>
    <row r="140" spans="1:30" ht="19.5">
      <c r="A140" s="20"/>
      <c r="B140" s="20"/>
      <c r="C140" s="20"/>
      <c r="D140" s="20"/>
      <c r="E140" s="20"/>
      <c r="F140" s="124"/>
      <c r="G140" s="20"/>
      <c r="H140" s="20"/>
      <c r="I140" s="20"/>
      <c r="J140" s="124"/>
      <c r="K140" s="127"/>
      <c r="L140" s="20"/>
      <c r="M140" s="20"/>
      <c r="N140" s="20"/>
      <c r="O140" s="124"/>
      <c r="P140" s="127"/>
      <c r="Q140" s="20"/>
      <c r="R140" s="20"/>
      <c r="S140" s="20"/>
      <c r="T140" s="124"/>
      <c r="U140" s="127"/>
      <c r="V140" s="20"/>
      <c r="W140" s="20"/>
      <c r="X140" s="20"/>
      <c r="Y140" s="20"/>
      <c r="Z140" s="20"/>
      <c r="AA140" s="20"/>
      <c r="AB140" s="20"/>
      <c r="AC140" s="20"/>
      <c r="AD140" s="20"/>
    </row>
    <row r="141" spans="1:30" ht="19.5">
      <c r="A141" s="20"/>
      <c r="B141" s="20"/>
      <c r="C141" s="20"/>
      <c r="D141" s="20"/>
      <c r="E141" s="20"/>
      <c r="F141" s="124"/>
      <c r="G141" s="20"/>
      <c r="H141" s="20"/>
      <c r="I141" s="20"/>
      <c r="J141" s="124"/>
      <c r="K141" s="127"/>
      <c r="L141" s="20"/>
      <c r="M141" s="20"/>
      <c r="N141" s="20"/>
      <c r="O141" s="124"/>
      <c r="P141" s="127"/>
      <c r="Q141" s="20"/>
      <c r="R141" s="20"/>
      <c r="S141" s="20"/>
      <c r="T141" s="124"/>
      <c r="U141" s="127"/>
      <c r="V141" s="20"/>
      <c r="W141" s="20"/>
      <c r="X141" s="20"/>
      <c r="Y141" s="20"/>
      <c r="Z141" s="20"/>
      <c r="AA141" s="20"/>
      <c r="AB141" s="20"/>
      <c r="AC141" s="20"/>
      <c r="AD141" s="20"/>
    </row>
    <row r="142" spans="1:30" ht="19.5">
      <c r="A142" s="20"/>
      <c r="B142" s="20"/>
      <c r="C142" s="20"/>
      <c r="D142" s="20"/>
      <c r="E142" s="20"/>
      <c r="F142" s="124"/>
      <c r="G142" s="20"/>
      <c r="H142" s="20"/>
      <c r="I142" s="20"/>
      <c r="J142" s="124"/>
      <c r="K142" s="127"/>
      <c r="L142" s="20"/>
      <c r="M142" s="20"/>
      <c r="N142" s="20"/>
      <c r="O142" s="124"/>
      <c r="P142" s="127"/>
      <c r="Q142" s="20"/>
      <c r="R142" s="20"/>
      <c r="S142" s="20"/>
      <c r="T142" s="124"/>
      <c r="U142" s="127"/>
      <c r="V142" s="20"/>
      <c r="W142" s="20"/>
      <c r="X142" s="20"/>
      <c r="Y142" s="20"/>
      <c r="Z142" s="20"/>
      <c r="AA142" s="20"/>
      <c r="AB142" s="20"/>
      <c r="AC142" s="20"/>
      <c r="AD142" s="20"/>
    </row>
    <row r="143" spans="1:30" ht="19.5">
      <c r="A143" s="20"/>
      <c r="B143" s="20"/>
      <c r="C143" s="20"/>
      <c r="D143" s="20"/>
      <c r="E143" s="20"/>
      <c r="F143" s="124"/>
      <c r="G143" s="20"/>
      <c r="H143" s="20"/>
      <c r="I143" s="20"/>
      <c r="J143" s="124"/>
      <c r="K143" s="127"/>
      <c r="L143" s="20"/>
      <c r="M143" s="20"/>
      <c r="N143" s="20"/>
      <c r="O143" s="124"/>
      <c r="P143" s="127"/>
      <c r="Q143" s="20"/>
      <c r="R143" s="20"/>
      <c r="S143" s="20"/>
      <c r="T143" s="124"/>
      <c r="U143" s="127"/>
      <c r="V143" s="20"/>
      <c r="W143" s="20"/>
      <c r="X143" s="20"/>
      <c r="Y143" s="20"/>
      <c r="Z143" s="20"/>
      <c r="AA143" s="20"/>
      <c r="AB143" s="20"/>
      <c r="AC143" s="20"/>
      <c r="AD143" s="20"/>
    </row>
    <row r="144" spans="1:30" ht="19.5">
      <c r="A144" s="20"/>
      <c r="B144" s="20"/>
      <c r="C144" s="20"/>
      <c r="D144" s="20"/>
      <c r="E144" s="20"/>
      <c r="F144" s="124"/>
      <c r="G144" s="20"/>
      <c r="H144" s="20"/>
      <c r="I144" s="20"/>
      <c r="J144" s="124"/>
      <c r="K144" s="127"/>
      <c r="L144" s="20"/>
      <c r="M144" s="20"/>
      <c r="N144" s="20"/>
      <c r="O144" s="124"/>
      <c r="P144" s="127"/>
      <c r="Q144" s="20"/>
      <c r="R144" s="20"/>
      <c r="S144" s="20"/>
      <c r="T144" s="124"/>
      <c r="U144" s="127"/>
      <c r="V144" s="20"/>
      <c r="W144" s="20"/>
      <c r="X144" s="20"/>
      <c r="Y144" s="20"/>
      <c r="Z144" s="20"/>
      <c r="AA144" s="20"/>
      <c r="AB144" s="20"/>
      <c r="AC144" s="20"/>
      <c r="AD144" s="20"/>
    </row>
    <row r="145" spans="1:30" ht="19.5">
      <c r="A145" s="20"/>
      <c r="B145" s="20"/>
      <c r="C145" s="20"/>
      <c r="D145" s="20"/>
      <c r="E145" s="20"/>
      <c r="F145" s="124"/>
      <c r="G145" s="20"/>
      <c r="H145" s="20"/>
      <c r="I145" s="20"/>
      <c r="J145" s="124"/>
      <c r="K145" s="127"/>
      <c r="L145" s="20"/>
      <c r="M145" s="20"/>
      <c r="N145" s="20"/>
      <c r="O145" s="124"/>
      <c r="P145" s="127"/>
      <c r="Q145" s="20"/>
      <c r="R145" s="20"/>
      <c r="S145" s="20"/>
      <c r="T145" s="124"/>
      <c r="U145" s="127"/>
      <c r="V145" s="20"/>
      <c r="W145" s="20"/>
      <c r="X145" s="20"/>
      <c r="Y145" s="20"/>
      <c r="Z145" s="20"/>
      <c r="AA145" s="20"/>
      <c r="AB145" s="20"/>
      <c r="AC145" s="20"/>
      <c r="AD145" s="20"/>
    </row>
    <row r="146" spans="1:30" ht="19.5">
      <c r="A146" s="20"/>
      <c r="B146" s="20"/>
      <c r="C146" s="20"/>
      <c r="D146" s="20"/>
      <c r="E146" s="20"/>
      <c r="F146" s="124"/>
      <c r="G146" s="20"/>
      <c r="H146" s="20"/>
      <c r="I146" s="20"/>
      <c r="J146" s="124"/>
      <c r="K146" s="127"/>
      <c r="L146" s="20"/>
      <c r="M146" s="20"/>
      <c r="N146" s="20"/>
      <c r="O146" s="124"/>
      <c r="P146" s="127"/>
      <c r="Q146" s="20"/>
      <c r="R146" s="20"/>
      <c r="S146" s="20"/>
      <c r="T146" s="124"/>
      <c r="U146" s="127"/>
      <c r="V146" s="20"/>
      <c r="W146" s="20"/>
      <c r="X146" s="20"/>
      <c r="Y146" s="20"/>
      <c r="Z146" s="20"/>
      <c r="AA146" s="20"/>
      <c r="AB146" s="20"/>
      <c r="AC146" s="20"/>
      <c r="AD146" s="20"/>
    </row>
    <row r="147" spans="1:30" ht="19.5">
      <c r="A147" s="20"/>
      <c r="B147" s="20"/>
      <c r="C147" s="20"/>
      <c r="D147" s="20"/>
      <c r="E147" s="20"/>
      <c r="F147" s="124"/>
      <c r="G147" s="20"/>
      <c r="H147" s="20"/>
      <c r="I147" s="20"/>
      <c r="J147" s="124"/>
      <c r="K147" s="127"/>
      <c r="L147" s="20"/>
      <c r="M147" s="20"/>
      <c r="N147" s="20"/>
      <c r="O147" s="124"/>
      <c r="P147" s="127"/>
      <c r="Q147" s="20"/>
      <c r="R147" s="20"/>
      <c r="S147" s="20"/>
      <c r="T147" s="124"/>
      <c r="U147" s="127"/>
      <c r="V147" s="20"/>
      <c r="W147" s="20"/>
      <c r="X147" s="20"/>
      <c r="Y147" s="20"/>
      <c r="Z147" s="20"/>
      <c r="AA147" s="20"/>
      <c r="AB147" s="20"/>
      <c r="AC147" s="20"/>
      <c r="AD147" s="20"/>
    </row>
    <row r="148" spans="1:30" ht="19.5">
      <c r="A148" s="20"/>
      <c r="B148" s="20"/>
      <c r="C148" s="20"/>
      <c r="D148" s="20"/>
      <c r="E148" s="20"/>
      <c r="F148" s="124"/>
      <c r="G148" s="20"/>
      <c r="H148" s="20"/>
      <c r="I148" s="20"/>
      <c r="J148" s="124"/>
      <c r="K148" s="127"/>
      <c r="L148" s="20"/>
      <c r="M148" s="20"/>
      <c r="N148" s="20"/>
      <c r="O148" s="124"/>
      <c r="P148" s="127"/>
      <c r="Q148" s="20"/>
      <c r="R148" s="20"/>
      <c r="S148" s="20"/>
      <c r="T148" s="124"/>
      <c r="U148" s="127"/>
      <c r="V148" s="20"/>
      <c r="W148" s="20"/>
      <c r="X148" s="20"/>
      <c r="Y148" s="20"/>
      <c r="Z148" s="20"/>
      <c r="AA148" s="20"/>
      <c r="AB148" s="20"/>
      <c r="AC148" s="20"/>
      <c r="AD148" s="20"/>
    </row>
    <row r="149" spans="1:30" ht="19.5">
      <c r="A149" s="20"/>
      <c r="B149" s="20"/>
      <c r="C149" s="20"/>
      <c r="D149" s="20"/>
      <c r="E149" s="20"/>
      <c r="F149" s="124"/>
      <c r="G149" s="20"/>
      <c r="H149" s="20"/>
      <c r="I149" s="20"/>
      <c r="J149" s="124"/>
      <c r="K149" s="127"/>
      <c r="L149" s="20"/>
      <c r="M149" s="20"/>
      <c r="N149" s="20"/>
      <c r="O149" s="124"/>
      <c r="P149" s="127"/>
      <c r="Q149" s="20"/>
      <c r="R149" s="20"/>
      <c r="S149" s="20"/>
      <c r="T149" s="124"/>
      <c r="U149" s="127"/>
      <c r="V149" s="20"/>
      <c r="W149" s="20"/>
      <c r="X149" s="20"/>
      <c r="Y149" s="20"/>
      <c r="Z149" s="20"/>
      <c r="AA149" s="20"/>
      <c r="AB149" s="20"/>
      <c r="AC149" s="20"/>
      <c r="AD149" s="20"/>
    </row>
    <row r="150" spans="1:30" ht="19.5">
      <c r="A150" s="20"/>
      <c r="B150" s="20"/>
      <c r="C150" s="20"/>
      <c r="D150" s="20"/>
      <c r="E150" s="20"/>
      <c r="F150" s="124"/>
      <c r="G150" s="20"/>
      <c r="H150" s="20"/>
      <c r="I150" s="20"/>
      <c r="J150" s="124"/>
      <c r="K150" s="127"/>
      <c r="L150" s="20"/>
      <c r="M150" s="20"/>
      <c r="N150" s="20"/>
      <c r="O150" s="124"/>
      <c r="P150" s="127"/>
      <c r="Q150" s="20"/>
      <c r="R150" s="20"/>
      <c r="S150" s="20"/>
      <c r="T150" s="124"/>
      <c r="U150" s="127"/>
      <c r="V150" s="20"/>
      <c r="W150" s="20"/>
      <c r="X150" s="20"/>
      <c r="Y150" s="20"/>
      <c r="Z150" s="20"/>
      <c r="AA150" s="20"/>
      <c r="AB150" s="20"/>
      <c r="AC150" s="20"/>
      <c r="AD150" s="20"/>
    </row>
    <row r="151" spans="1:30" ht="19.5">
      <c r="A151" s="20"/>
      <c r="B151" s="20"/>
      <c r="C151" s="20"/>
      <c r="D151" s="20"/>
      <c r="E151" s="20"/>
      <c r="F151" s="124"/>
      <c r="G151" s="20"/>
      <c r="H151" s="20"/>
      <c r="I151" s="20"/>
      <c r="J151" s="124"/>
      <c r="K151" s="127"/>
      <c r="L151" s="20"/>
      <c r="M151" s="20"/>
      <c r="N151" s="20"/>
      <c r="O151" s="124"/>
      <c r="P151" s="127"/>
      <c r="Q151" s="20"/>
      <c r="R151" s="20"/>
      <c r="S151" s="20"/>
      <c r="T151" s="124"/>
      <c r="U151" s="127"/>
      <c r="V151" s="20"/>
      <c r="W151" s="20"/>
      <c r="X151" s="20"/>
      <c r="Y151" s="20"/>
      <c r="Z151" s="20"/>
      <c r="AA151" s="20"/>
      <c r="AB151" s="20"/>
      <c r="AC151" s="20"/>
      <c r="AD151" s="20"/>
    </row>
    <row r="152" spans="1:30" ht="19.5">
      <c r="A152" s="20"/>
      <c r="B152" s="20"/>
      <c r="C152" s="20"/>
      <c r="D152" s="20"/>
      <c r="E152" s="20"/>
      <c r="F152" s="124"/>
      <c r="G152" s="20"/>
      <c r="H152" s="20"/>
      <c r="I152" s="20"/>
      <c r="J152" s="124"/>
      <c r="K152" s="127"/>
      <c r="L152" s="20"/>
      <c r="M152" s="20"/>
      <c r="N152" s="20"/>
      <c r="O152" s="124"/>
      <c r="P152" s="127"/>
      <c r="Q152" s="20"/>
      <c r="R152" s="20"/>
      <c r="S152" s="20"/>
      <c r="T152" s="124"/>
      <c r="U152" s="127"/>
      <c r="V152" s="20"/>
      <c r="W152" s="20"/>
      <c r="X152" s="20"/>
      <c r="Y152" s="20"/>
      <c r="Z152" s="20"/>
      <c r="AA152" s="20"/>
      <c r="AB152" s="20"/>
      <c r="AC152" s="20"/>
      <c r="AD152" s="20"/>
    </row>
    <row r="153" spans="1:30" ht="19.5">
      <c r="A153" s="20"/>
      <c r="B153" s="20"/>
      <c r="C153" s="20"/>
      <c r="D153" s="20"/>
      <c r="E153" s="20"/>
      <c r="F153" s="124"/>
      <c r="G153" s="20"/>
      <c r="H153" s="20"/>
      <c r="I153" s="20"/>
      <c r="J153" s="124"/>
      <c r="K153" s="127"/>
      <c r="L153" s="20"/>
      <c r="M153" s="20"/>
      <c r="N153" s="20"/>
      <c r="O153" s="124"/>
      <c r="P153" s="127"/>
      <c r="Q153" s="20"/>
      <c r="R153" s="20"/>
      <c r="S153" s="20"/>
      <c r="T153" s="124"/>
      <c r="U153" s="127"/>
      <c r="V153" s="20"/>
      <c r="W153" s="20"/>
      <c r="X153" s="20"/>
      <c r="Y153" s="20"/>
      <c r="Z153" s="20"/>
      <c r="AA153" s="20"/>
      <c r="AB153" s="20"/>
      <c r="AC153" s="20"/>
      <c r="AD153" s="20"/>
    </row>
    <row r="154" spans="1:30" ht="19.5">
      <c r="A154" s="20"/>
      <c r="B154" s="20"/>
      <c r="C154" s="20"/>
      <c r="D154" s="20"/>
      <c r="E154" s="20"/>
      <c r="F154" s="124"/>
      <c r="G154" s="20"/>
      <c r="H154" s="20"/>
      <c r="I154" s="20"/>
      <c r="J154" s="124"/>
      <c r="K154" s="127"/>
      <c r="L154" s="20"/>
      <c r="M154" s="20"/>
      <c r="N154" s="20"/>
      <c r="O154" s="124"/>
      <c r="P154" s="127"/>
      <c r="Q154" s="20"/>
      <c r="R154" s="20"/>
      <c r="S154" s="20"/>
      <c r="T154" s="124"/>
      <c r="U154" s="127"/>
      <c r="V154" s="20"/>
      <c r="W154" s="20"/>
      <c r="X154" s="20"/>
      <c r="Y154" s="20"/>
      <c r="Z154" s="20"/>
      <c r="AA154" s="20"/>
      <c r="AB154" s="20"/>
      <c r="AC154" s="20"/>
      <c r="AD154" s="20"/>
    </row>
    <row r="155" spans="1:30" ht="19.5">
      <c r="A155" s="20"/>
      <c r="B155" s="20"/>
      <c r="C155" s="20"/>
      <c r="D155" s="20"/>
      <c r="E155" s="20"/>
      <c r="F155" s="124"/>
      <c r="G155" s="20"/>
      <c r="H155" s="20"/>
      <c r="I155" s="20"/>
      <c r="J155" s="124"/>
      <c r="K155" s="127"/>
      <c r="L155" s="20"/>
      <c r="M155" s="20"/>
      <c r="N155" s="20"/>
      <c r="O155" s="124"/>
      <c r="P155" s="127"/>
      <c r="Q155" s="20"/>
      <c r="R155" s="20"/>
      <c r="S155" s="20"/>
      <c r="T155" s="124"/>
      <c r="U155" s="127"/>
      <c r="V155" s="20"/>
      <c r="W155" s="20"/>
      <c r="X155" s="20"/>
      <c r="Y155" s="20"/>
      <c r="Z155" s="20"/>
      <c r="AA155" s="20"/>
      <c r="AB155" s="20"/>
      <c r="AC155" s="20"/>
      <c r="AD155" s="20"/>
    </row>
    <row r="156" spans="1:30" ht="19.5">
      <c r="A156" s="20"/>
      <c r="B156" s="20"/>
      <c r="C156" s="20"/>
      <c r="D156" s="20"/>
      <c r="E156" s="20"/>
      <c r="F156" s="124"/>
      <c r="G156" s="20"/>
      <c r="H156" s="20"/>
      <c r="I156" s="20"/>
      <c r="J156" s="124"/>
      <c r="K156" s="127"/>
      <c r="L156" s="20"/>
      <c r="M156" s="20"/>
      <c r="N156" s="20"/>
      <c r="O156" s="124"/>
      <c r="P156" s="127"/>
      <c r="Q156" s="20"/>
      <c r="R156" s="20"/>
      <c r="S156" s="20"/>
      <c r="T156" s="124"/>
      <c r="U156" s="127"/>
      <c r="V156" s="20"/>
      <c r="W156" s="20"/>
      <c r="X156" s="20"/>
      <c r="Y156" s="20"/>
      <c r="Z156" s="20"/>
      <c r="AA156" s="20"/>
      <c r="AB156" s="20"/>
      <c r="AC156" s="20"/>
      <c r="AD156" s="20"/>
    </row>
    <row r="157" spans="1:30" ht="19.5">
      <c r="A157" s="20"/>
      <c r="B157" s="20"/>
      <c r="C157" s="20"/>
      <c r="D157" s="20"/>
      <c r="E157" s="20"/>
      <c r="F157" s="124"/>
      <c r="G157" s="20"/>
      <c r="H157" s="20"/>
      <c r="I157" s="20"/>
      <c r="J157" s="124"/>
      <c r="K157" s="127"/>
      <c r="L157" s="20"/>
      <c r="M157" s="20"/>
      <c r="N157" s="20"/>
      <c r="O157" s="124"/>
      <c r="P157" s="127"/>
      <c r="Q157" s="20"/>
      <c r="R157" s="20"/>
      <c r="S157" s="20"/>
      <c r="T157" s="124"/>
      <c r="U157" s="127"/>
      <c r="V157" s="20"/>
      <c r="W157" s="20"/>
      <c r="X157" s="20"/>
      <c r="Y157" s="20"/>
      <c r="Z157" s="20"/>
      <c r="AA157" s="20"/>
      <c r="AB157" s="20"/>
      <c r="AC157" s="20"/>
      <c r="AD157" s="20"/>
    </row>
    <row r="158" spans="1:30" ht="19.5">
      <c r="A158" s="20"/>
      <c r="B158" s="20"/>
      <c r="C158" s="20"/>
      <c r="D158" s="20"/>
      <c r="E158" s="20"/>
      <c r="F158" s="124"/>
      <c r="G158" s="20"/>
      <c r="H158" s="20"/>
      <c r="I158" s="20"/>
      <c r="J158" s="124"/>
      <c r="K158" s="127"/>
      <c r="L158" s="20"/>
      <c r="M158" s="20"/>
      <c r="N158" s="20"/>
      <c r="O158" s="124"/>
      <c r="P158" s="127"/>
      <c r="Q158" s="20"/>
      <c r="R158" s="20"/>
      <c r="S158" s="20"/>
      <c r="T158" s="124"/>
      <c r="U158" s="127"/>
      <c r="V158" s="20"/>
      <c r="W158" s="20"/>
      <c r="X158" s="20"/>
      <c r="Y158" s="20"/>
      <c r="Z158" s="20"/>
      <c r="AA158" s="20"/>
      <c r="AB158" s="20"/>
      <c r="AC158" s="20"/>
      <c r="AD158" s="20"/>
    </row>
    <row r="159" spans="1:30" ht="19.5">
      <c r="A159" s="20"/>
      <c r="B159" s="20"/>
      <c r="C159" s="20"/>
      <c r="D159" s="20"/>
      <c r="E159" s="20"/>
      <c r="F159" s="124"/>
      <c r="G159" s="20"/>
      <c r="H159" s="20"/>
      <c r="I159" s="20"/>
      <c r="J159" s="124"/>
      <c r="K159" s="127"/>
      <c r="L159" s="20"/>
      <c r="M159" s="20"/>
      <c r="N159" s="20"/>
      <c r="O159" s="124"/>
      <c r="P159" s="127"/>
      <c r="Q159" s="20"/>
      <c r="R159" s="20"/>
      <c r="S159" s="20"/>
      <c r="T159" s="124"/>
      <c r="U159" s="127"/>
      <c r="V159" s="20"/>
      <c r="W159" s="20"/>
      <c r="X159" s="20"/>
      <c r="Y159" s="20"/>
      <c r="Z159" s="20"/>
      <c r="AA159" s="20"/>
      <c r="AB159" s="20"/>
      <c r="AC159" s="20"/>
      <c r="AD159" s="20"/>
    </row>
    <row r="160" spans="1:30" ht="19.5">
      <c r="A160" s="20"/>
      <c r="B160" s="20"/>
      <c r="C160" s="20"/>
      <c r="D160" s="20"/>
      <c r="E160" s="20"/>
      <c r="F160" s="124"/>
      <c r="G160" s="20"/>
      <c r="H160" s="20"/>
      <c r="I160" s="20"/>
      <c r="J160" s="124"/>
      <c r="K160" s="127"/>
      <c r="L160" s="20"/>
      <c r="M160" s="20"/>
      <c r="N160" s="20"/>
      <c r="O160" s="124"/>
      <c r="P160" s="127"/>
      <c r="Q160" s="20"/>
      <c r="R160" s="20"/>
      <c r="S160" s="20"/>
      <c r="T160" s="124"/>
      <c r="U160" s="127"/>
      <c r="V160" s="20"/>
      <c r="W160" s="20"/>
      <c r="X160" s="20"/>
      <c r="Y160" s="20"/>
      <c r="Z160" s="20"/>
      <c r="AA160" s="20"/>
      <c r="AB160" s="20"/>
      <c r="AC160" s="20"/>
      <c r="AD160" s="20"/>
    </row>
    <row r="161" spans="1:30" ht="19.5">
      <c r="A161" s="20"/>
      <c r="B161" s="20"/>
      <c r="C161" s="20"/>
      <c r="D161" s="20"/>
      <c r="E161" s="20"/>
      <c r="F161" s="124"/>
      <c r="G161" s="20"/>
      <c r="H161" s="20"/>
      <c r="I161" s="20"/>
      <c r="J161" s="124"/>
      <c r="K161" s="127"/>
      <c r="L161" s="20"/>
      <c r="M161" s="20"/>
      <c r="N161" s="20"/>
      <c r="O161" s="124"/>
      <c r="P161" s="127"/>
      <c r="Q161" s="20"/>
      <c r="R161" s="20"/>
      <c r="S161" s="20"/>
      <c r="T161" s="124"/>
      <c r="U161" s="127"/>
      <c r="V161" s="20"/>
      <c r="W161" s="20"/>
      <c r="X161" s="20"/>
      <c r="Y161" s="20"/>
      <c r="Z161" s="20"/>
      <c r="AA161" s="20"/>
      <c r="AB161" s="20"/>
      <c r="AC161" s="20"/>
      <c r="AD161" s="20"/>
    </row>
    <row r="162" spans="1:30" ht="19.5">
      <c r="A162" s="20"/>
      <c r="B162" s="20"/>
      <c r="C162" s="20"/>
      <c r="D162" s="20"/>
      <c r="E162" s="20"/>
      <c r="F162" s="124"/>
      <c r="G162" s="20"/>
      <c r="H162" s="20"/>
      <c r="I162" s="20"/>
      <c r="J162" s="124"/>
      <c r="K162" s="127"/>
      <c r="L162" s="20"/>
      <c r="M162" s="20"/>
      <c r="N162" s="20"/>
      <c r="O162" s="124"/>
      <c r="P162" s="127"/>
      <c r="Q162" s="20"/>
      <c r="R162" s="20"/>
      <c r="S162" s="20"/>
      <c r="T162" s="124"/>
      <c r="U162" s="127"/>
      <c r="V162" s="20"/>
      <c r="W162" s="20"/>
      <c r="X162" s="20"/>
      <c r="Y162" s="20"/>
      <c r="Z162" s="20"/>
      <c r="AA162" s="20"/>
      <c r="AB162" s="20"/>
      <c r="AC162" s="20"/>
      <c r="AD162" s="20"/>
    </row>
    <row r="163" spans="1:30" ht="19.5">
      <c r="A163" s="20"/>
      <c r="B163" s="20"/>
      <c r="C163" s="20"/>
      <c r="D163" s="20"/>
      <c r="E163" s="20"/>
      <c r="F163" s="124"/>
      <c r="G163" s="20"/>
      <c r="H163" s="20"/>
      <c r="I163" s="20"/>
      <c r="J163" s="124"/>
      <c r="K163" s="127"/>
      <c r="L163" s="20"/>
      <c r="M163" s="20"/>
      <c r="N163" s="20"/>
      <c r="O163" s="124"/>
      <c r="P163" s="127"/>
      <c r="Q163" s="20"/>
      <c r="R163" s="20"/>
      <c r="S163" s="20"/>
      <c r="T163" s="124"/>
      <c r="U163" s="127"/>
      <c r="V163" s="20"/>
      <c r="W163" s="20"/>
      <c r="X163" s="20"/>
      <c r="Y163" s="20"/>
      <c r="Z163" s="20"/>
      <c r="AA163" s="20"/>
      <c r="AB163" s="20"/>
      <c r="AC163" s="20"/>
      <c r="AD163" s="20"/>
    </row>
    <row r="164" spans="1:30" ht="19.5">
      <c r="A164" s="20"/>
      <c r="B164" s="20"/>
      <c r="C164" s="20"/>
      <c r="D164" s="20"/>
      <c r="E164" s="20"/>
      <c r="F164" s="124"/>
      <c r="G164" s="20"/>
      <c r="H164" s="20"/>
      <c r="I164" s="20"/>
      <c r="J164" s="124"/>
      <c r="K164" s="127"/>
      <c r="L164" s="20"/>
      <c r="M164" s="20"/>
      <c r="N164" s="20"/>
      <c r="O164" s="124"/>
      <c r="P164" s="127"/>
      <c r="Q164" s="20"/>
      <c r="R164" s="20"/>
      <c r="S164" s="20"/>
      <c r="T164" s="124"/>
      <c r="U164" s="127"/>
      <c r="V164" s="20"/>
      <c r="W164" s="20"/>
      <c r="X164" s="20"/>
      <c r="Y164" s="20"/>
      <c r="Z164" s="20"/>
      <c r="AA164" s="20"/>
      <c r="AB164" s="20"/>
      <c r="AC164" s="20"/>
      <c r="AD164" s="20"/>
    </row>
    <row r="165" spans="1:30" ht="19.5">
      <c r="A165" s="20"/>
      <c r="B165" s="20"/>
      <c r="C165" s="20"/>
      <c r="D165" s="20"/>
      <c r="E165" s="20"/>
      <c r="F165" s="124"/>
      <c r="G165" s="20"/>
      <c r="H165" s="20"/>
      <c r="I165" s="20"/>
      <c r="J165" s="124"/>
      <c r="K165" s="127"/>
      <c r="L165" s="20"/>
      <c r="M165" s="20"/>
      <c r="N165" s="20"/>
      <c r="O165" s="124"/>
      <c r="P165" s="127"/>
      <c r="Q165" s="20"/>
      <c r="R165" s="20"/>
      <c r="S165" s="20"/>
      <c r="T165" s="124"/>
      <c r="U165" s="127"/>
      <c r="V165" s="20"/>
      <c r="W165" s="20"/>
      <c r="X165" s="20"/>
      <c r="Y165" s="20"/>
      <c r="Z165" s="20"/>
      <c r="AA165" s="20"/>
      <c r="AB165" s="20"/>
      <c r="AC165" s="20"/>
      <c r="AD165" s="20"/>
    </row>
    <row r="166" spans="1:30" ht="19.5">
      <c r="A166" s="20"/>
      <c r="B166" s="20"/>
      <c r="C166" s="20"/>
      <c r="D166" s="20"/>
      <c r="E166" s="20"/>
      <c r="F166" s="124"/>
      <c r="G166" s="20"/>
      <c r="H166" s="20"/>
      <c r="I166" s="20"/>
      <c r="J166" s="124"/>
      <c r="K166" s="127"/>
      <c r="L166" s="20"/>
      <c r="M166" s="20"/>
      <c r="N166" s="20"/>
      <c r="O166" s="124"/>
      <c r="P166" s="127"/>
      <c r="Q166" s="20"/>
      <c r="R166" s="20"/>
      <c r="S166" s="20"/>
      <c r="T166" s="124"/>
      <c r="U166" s="127"/>
      <c r="V166" s="20"/>
      <c r="W166" s="20"/>
      <c r="X166" s="20"/>
      <c r="Y166" s="20"/>
      <c r="Z166" s="20"/>
      <c r="AA166" s="20"/>
      <c r="AB166" s="20"/>
      <c r="AC166" s="20"/>
      <c r="AD166" s="20"/>
    </row>
    <row r="167" spans="1:30" ht="19.5">
      <c r="A167" s="20"/>
      <c r="B167" s="20"/>
      <c r="C167" s="20"/>
      <c r="D167" s="20"/>
      <c r="E167" s="20"/>
      <c r="F167" s="124"/>
      <c r="G167" s="20"/>
      <c r="H167" s="20"/>
      <c r="I167" s="20"/>
      <c r="J167" s="124"/>
      <c r="K167" s="127"/>
      <c r="L167" s="20"/>
      <c r="M167" s="20"/>
      <c r="N167" s="20"/>
      <c r="O167" s="124"/>
      <c r="P167" s="127"/>
      <c r="Q167" s="20"/>
      <c r="R167" s="20"/>
      <c r="S167" s="20"/>
      <c r="T167" s="124"/>
      <c r="U167" s="127"/>
      <c r="V167" s="20"/>
      <c r="W167" s="20"/>
      <c r="X167" s="20"/>
      <c r="Y167" s="20"/>
      <c r="Z167" s="20"/>
      <c r="AA167" s="20"/>
      <c r="AB167" s="20"/>
      <c r="AC167" s="20"/>
      <c r="AD167" s="20"/>
    </row>
    <row r="168" spans="1:30" ht="19.5">
      <c r="A168" s="20"/>
      <c r="B168" s="20"/>
      <c r="C168" s="20"/>
      <c r="D168" s="20"/>
      <c r="E168" s="20"/>
      <c r="F168" s="124"/>
      <c r="G168" s="20"/>
      <c r="H168" s="20"/>
      <c r="I168" s="20"/>
      <c r="J168" s="124"/>
      <c r="K168" s="127"/>
      <c r="L168" s="20"/>
      <c r="M168" s="20"/>
      <c r="N168" s="20"/>
      <c r="O168" s="124"/>
      <c r="P168" s="127"/>
      <c r="Q168" s="20"/>
      <c r="R168" s="20"/>
      <c r="S168" s="20"/>
      <c r="T168" s="124"/>
      <c r="U168" s="127"/>
      <c r="V168" s="20"/>
      <c r="W168" s="20"/>
      <c r="X168" s="20"/>
      <c r="Y168" s="20"/>
      <c r="Z168" s="20"/>
      <c r="AA168" s="20"/>
      <c r="AB168" s="20"/>
      <c r="AC168" s="20"/>
      <c r="AD168" s="20"/>
    </row>
    <row r="169" spans="1:30" ht="19.5">
      <c r="A169" s="20"/>
      <c r="B169" s="20"/>
      <c r="C169" s="20"/>
      <c r="D169" s="20"/>
      <c r="E169" s="20"/>
      <c r="F169" s="124"/>
      <c r="G169" s="20"/>
      <c r="H169" s="20"/>
      <c r="I169" s="20"/>
      <c r="J169" s="124"/>
      <c r="K169" s="127"/>
      <c r="L169" s="20"/>
      <c r="M169" s="20"/>
      <c r="N169" s="20"/>
      <c r="O169" s="124"/>
      <c r="P169" s="127"/>
      <c r="Q169" s="20"/>
      <c r="R169" s="20"/>
      <c r="S169" s="20"/>
      <c r="T169" s="124"/>
      <c r="U169" s="127"/>
      <c r="V169" s="20"/>
      <c r="W169" s="20"/>
      <c r="X169" s="20"/>
      <c r="Y169" s="20"/>
      <c r="Z169" s="20"/>
      <c r="AA169" s="20"/>
      <c r="AB169" s="20"/>
      <c r="AC169" s="20"/>
      <c r="AD169" s="20"/>
    </row>
    <row r="170" spans="1:30" ht="19.5">
      <c r="A170" s="20"/>
      <c r="B170" s="20"/>
      <c r="C170" s="20"/>
      <c r="D170" s="20"/>
      <c r="E170" s="20"/>
      <c r="F170" s="124"/>
      <c r="G170" s="20"/>
      <c r="H170" s="20"/>
      <c r="I170" s="20"/>
      <c r="J170" s="124"/>
      <c r="K170" s="127"/>
      <c r="L170" s="20"/>
      <c r="M170" s="20"/>
      <c r="N170" s="20"/>
      <c r="O170" s="124"/>
      <c r="P170" s="127"/>
      <c r="Q170" s="20"/>
      <c r="R170" s="20"/>
      <c r="S170" s="20"/>
      <c r="T170" s="124"/>
      <c r="U170" s="127"/>
      <c r="V170" s="20"/>
      <c r="W170" s="20"/>
      <c r="X170" s="20"/>
      <c r="Y170" s="20"/>
      <c r="Z170" s="20"/>
      <c r="AA170" s="20"/>
      <c r="AB170" s="20"/>
      <c r="AC170" s="20"/>
      <c r="AD170" s="20"/>
    </row>
    <row r="171" spans="1:30" ht="19.5">
      <c r="A171" s="20"/>
      <c r="B171" s="20"/>
      <c r="C171" s="20"/>
      <c r="D171" s="20"/>
      <c r="E171" s="20"/>
      <c r="F171" s="124"/>
      <c r="G171" s="20"/>
      <c r="H171" s="20"/>
      <c r="I171" s="20"/>
      <c r="J171" s="124"/>
      <c r="K171" s="127"/>
      <c r="L171" s="20"/>
      <c r="M171" s="20"/>
      <c r="N171" s="20"/>
      <c r="O171" s="124"/>
      <c r="P171" s="127"/>
      <c r="Q171" s="20"/>
      <c r="R171" s="20"/>
      <c r="S171" s="20"/>
      <c r="T171" s="124"/>
      <c r="U171" s="127"/>
      <c r="V171" s="20"/>
      <c r="W171" s="20"/>
      <c r="X171" s="20"/>
      <c r="Y171" s="20"/>
      <c r="Z171" s="20"/>
      <c r="AA171" s="20"/>
      <c r="AB171" s="20"/>
      <c r="AC171" s="20"/>
      <c r="AD171" s="20"/>
    </row>
    <row r="172" spans="1:30" ht="19.5">
      <c r="A172" s="20"/>
      <c r="B172" s="20"/>
      <c r="C172" s="20"/>
      <c r="D172" s="20"/>
      <c r="E172" s="20"/>
      <c r="F172" s="124"/>
      <c r="G172" s="20"/>
      <c r="H172" s="20"/>
      <c r="I172" s="20"/>
      <c r="J172" s="124"/>
      <c r="K172" s="127"/>
      <c r="L172" s="20"/>
      <c r="M172" s="20"/>
      <c r="N172" s="20"/>
      <c r="O172" s="124"/>
      <c r="P172" s="127"/>
      <c r="Q172" s="20"/>
      <c r="R172" s="20"/>
      <c r="S172" s="20"/>
      <c r="T172" s="124"/>
      <c r="U172" s="127"/>
      <c r="V172" s="20"/>
      <c r="W172" s="20"/>
      <c r="X172" s="20"/>
      <c r="Y172" s="20"/>
      <c r="Z172" s="20"/>
      <c r="AA172" s="20"/>
      <c r="AB172" s="20"/>
      <c r="AC172" s="20"/>
      <c r="AD172" s="20"/>
    </row>
    <row r="173" spans="1:30" ht="19.5">
      <c r="A173" s="20"/>
      <c r="B173" s="20"/>
      <c r="C173" s="20"/>
      <c r="D173" s="20"/>
      <c r="E173" s="20"/>
      <c r="F173" s="124"/>
      <c r="G173" s="20"/>
      <c r="H173" s="20"/>
      <c r="I173" s="20"/>
      <c r="J173" s="124"/>
      <c r="K173" s="127"/>
      <c r="L173" s="20"/>
      <c r="M173" s="20"/>
      <c r="N173" s="20"/>
      <c r="O173" s="124"/>
      <c r="P173" s="127"/>
      <c r="Q173" s="20"/>
      <c r="R173" s="20"/>
      <c r="S173" s="20"/>
      <c r="T173" s="124"/>
      <c r="U173" s="127"/>
      <c r="V173" s="20"/>
      <c r="W173" s="20"/>
      <c r="X173" s="20"/>
      <c r="Y173" s="20"/>
      <c r="Z173" s="20"/>
      <c r="AA173" s="20"/>
      <c r="AB173" s="20"/>
      <c r="AC173" s="20"/>
      <c r="AD173" s="20"/>
    </row>
    <row r="174" spans="1:30" ht="19.5">
      <c r="A174" s="20"/>
      <c r="B174" s="20"/>
      <c r="C174" s="20"/>
      <c r="D174" s="20"/>
      <c r="E174" s="20"/>
      <c r="F174" s="124"/>
      <c r="G174" s="20"/>
      <c r="H174" s="20"/>
      <c r="I174" s="20"/>
      <c r="J174" s="124"/>
      <c r="K174" s="127"/>
      <c r="L174" s="20"/>
      <c r="M174" s="20"/>
      <c r="N174" s="20"/>
      <c r="O174" s="124"/>
      <c r="P174" s="127"/>
      <c r="Q174" s="20"/>
      <c r="R174" s="20"/>
      <c r="S174" s="20"/>
      <c r="T174" s="124"/>
      <c r="U174" s="127"/>
      <c r="V174" s="20"/>
      <c r="W174" s="20"/>
      <c r="X174" s="20"/>
      <c r="Y174" s="20"/>
      <c r="Z174" s="20"/>
      <c r="AA174" s="20"/>
      <c r="AB174" s="20"/>
      <c r="AC174" s="20"/>
      <c r="AD174" s="20"/>
    </row>
    <row r="175" spans="1:30" ht="19.5">
      <c r="A175" s="20"/>
      <c r="B175" s="20"/>
      <c r="C175" s="20"/>
      <c r="D175" s="20"/>
      <c r="E175" s="20"/>
      <c r="F175" s="124"/>
      <c r="G175" s="20"/>
      <c r="H175" s="20"/>
      <c r="I175" s="20"/>
      <c r="J175" s="124"/>
      <c r="K175" s="127"/>
      <c r="L175" s="20"/>
      <c r="M175" s="20"/>
      <c r="N175" s="20"/>
      <c r="O175" s="124"/>
      <c r="P175" s="127"/>
      <c r="Q175" s="20"/>
      <c r="R175" s="20"/>
      <c r="S175" s="20"/>
      <c r="T175" s="124"/>
      <c r="U175" s="127"/>
      <c r="V175" s="20"/>
      <c r="W175" s="20"/>
      <c r="X175" s="20"/>
      <c r="Y175" s="20"/>
      <c r="Z175" s="20"/>
      <c r="AA175" s="20"/>
      <c r="AB175" s="20"/>
      <c r="AC175" s="20"/>
      <c r="AD175" s="20"/>
    </row>
    <row r="176" spans="1:30" ht="19.5">
      <c r="A176" s="20"/>
      <c r="B176" s="20"/>
      <c r="C176" s="20"/>
      <c r="D176" s="20"/>
      <c r="E176" s="20"/>
      <c r="F176" s="124"/>
      <c r="G176" s="20"/>
      <c r="H176" s="20"/>
      <c r="I176" s="20"/>
      <c r="J176" s="124"/>
      <c r="K176" s="127"/>
      <c r="L176" s="20"/>
      <c r="M176" s="20"/>
      <c r="N176" s="20"/>
      <c r="O176" s="124"/>
      <c r="P176" s="127"/>
      <c r="Q176" s="20"/>
      <c r="R176" s="20"/>
      <c r="S176" s="20"/>
      <c r="T176" s="124"/>
      <c r="U176" s="127"/>
      <c r="V176" s="20"/>
      <c r="W176" s="20"/>
      <c r="X176" s="20"/>
      <c r="Y176" s="20"/>
      <c r="Z176" s="20"/>
      <c r="AA176" s="20"/>
      <c r="AB176" s="20"/>
      <c r="AC176" s="20"/>
      <c r="AD176" s="20"/>
    </row>
    <row r="177" spans="1:30" ht="19.5">
      <c r="A177" s="20"/>
      <c r="B177" s="20"/>
      <c r="C177" s="20"/>
      <c r="D177" s="20"/>
      <c r="E177" s="20"/>
      <c r="F177" s="124"/>
      <c r="G177" s="20"/>
      <c r="H177" s="20"/>
      <c r="I177" s="20"/>
      <c r="J177" s="124"/>
      <c r="K177" s="127"/>
      <c r="L177" s="20"/>
      <c r="M177" s="20"/>
      <c r="N177" s="20"/>
      <c r="O177" s="124"/>
      <c r="P177" s="127"/>
      <c r="Q177" s="20"/>
      <c r="R177" s="20"/>
      <c r="S177" s="20"/>
      <c r="T177" s="124"/>
      <c r="U177" s="127"/>
      <c r="V177" s="20"/>
      <c r="W177" s="20"/>
      <c r="X177" s="20"/>
      <c r="Y177" s="20"/>
      <c r="Z177" s="20"/>
      <c r="AA177" s="20"/>
      <c r="AB177" s="20"/>
      <c r="AC177" s="20"/>
      <c r="AD177" s="20"/>
    </row>
    <row r="178" spans="1:30" ht="19.5">
      <c r="A178" s="20"/>
      <c r="B178" s="20"/>
      <c r="C178" s="20"/>
      <c r="D178" s="20"/>
      <c r="E178" s="20"/>
      <c r="F178" s="124"/>
      <c r="G178" s="20"/>
      <c r="H178" s="20"/>
      <c r="I178" s="20"/>
      <c r="J178" s="124"/>
      <c r="K178" s="127"/>
      <c r="L178" s="20"/>
      <c r="M178" s="20"/>
      <c r="N178" s="20"/>
      <c r="O178" s="124"/>
      <c r="P178" s="127"/>
      <c r="Q178" s="20"/>
      <c r="R178" s="20"/>
      <c r="S178" s="20"/>
      <c r="T178" s="124"/>
      <c r="U178" s="127"/>
      <c r="V178" s="20"/>
      <c r="W178" s="20"/>
      <c r="X178" s="20"/>
      <c r="Y178" s="20"/>
      <c r="Z178" s="20"/>
      <c r="AA178" s="20"/>
      <c r="AB178" s="20"/>
      <c r="AC178" s="20"/>
      <c r="AD178" s="20"/>
    </row>
    <row r="179" spans="1:30" ht="19.5">
      <c r="A179" s="20"/>
      <c r="B179" s="20"/>
      <c r="C179" s="20"/>
      <c r="D179" s="20"/>
      <c r="E179" s="20"/>
      <c r="F179" s="124"/>
      <c r="G179" s="20"/>
      <c r="H179" s="20"/>
      <c r="I179" s="20"/>
      <c r="J179" s="124"/>
      <c r="K179" s="127"/>
      <c r="L179" s="20"/>
      <c r="M179" s="20"/>
      <c r="N179" s="20"/>
      <c r="O179" s="124"/>
      <c r="P179" s="127"/>
      <c r="Q179" s="20"/>
      <c r="R179" s="20"/>
      <c r="S179" s="20"/>
      <c r="T179" s="124"/>
      <c r="U179" s="127"/>
      <c r="V179" s="20"/>
      <c r="W179" s="20"/>
      <c r="X179" s="20"/>
      <c r="Y179" s="20"/>
      <c r="Z179" s="20"/>
      <c r="AA179" s="20"/>
      <c r="AB179" s="20"/>
      <c r="AC179" s="20"/>
      <c r="AD179" s="20"/>
    </row>
    <row r="180" spans="1:30" ht="19.5">
      <c r="A180" s="20"/>
      <c r="B180" s="20"/>
      <c r="C180" s="20"/>
      <c r="D180" s="20"/>
      <c r="E180" s="20"/>
      <c r="F180" s="124"/>
      <c r="G180" s="20"/>
      <c r="H180" s="20"/>
      <c r="I180" s="20"/>
      <c r="J180" s="124"/>
      <c r="K180" s="127"/>
      <c r="L180" s="20"/>
      <c r="M180" s="20"/>
      <c r="N180" s="20"/>
      <c r="O180" s="124"/>
      <c r="P180" s="127"/>
      <c r="Q180" s="20"/>
      <c r="R180" s="20"/>
      <c r="S180" s="20"/>
      <c r="T180" s="124"/>
      <c r="U180" s="127"/>
      <c r="V180" s="20"/>
      <c r="W180" s="20"/>
      <c r="X180" s="20"/>
      <c r="Y180" s="20"/>
      <c r="Z180" s="20"/>
      <c r="AA180" s="20"/>
      <c r="AB180" s="20"/>
      <c r="AC180" s="20"/>
      <c r="AD180" s="20"/>
    </row>
    <row r="181" spans="1:30" ht="19.5">
      <c r="A181" s="20"/>
      <c r="B181" s="20"/>
      <c r="C181" s="20"/>
      <c r="D181" s="20"/>
      <c r="E181" s="20"/>
      <c r="F181" s="124"/>
      <c r="G181" s="20"/>
      <c r="H181" s="20"/>
      <c r="I181" s="20"/>
      <c r="J181" s="124"/>
      <c r="K181" s="127"/>
      <c r="L181" s="20"/>
      <c r="M181" s="20"/>
      <c r="N181" s="20"/>
      <c r="O181" s="124"/>
      <c r="P181" s="127"/>
      <c r="Q181" s="20"/>
      <c r="R181" s="20"/>
      <c r="S181" s="20"/>
      <c r="T181" s="124"/>
      <c r="U181" s="127"/>
      <c r="V181" s="20"/>
      <c r="W181" s="20"/>
      <c r="X181" s="20"/>
      <c r="Y181" s="20"/>
      <c r="Z181" s="20"/>
      <c r="AA181" s="20"/>
      <c r="AB181" s="20"/>
      <c r="AC181" s="20"/>
      <c r="AD181" s="20"/>
    </row>
    <row r="182" spans="1:30" ht="19.5">
      <c r="A182" s="20"/>
      <c r="B182" s="20"/>
      <c r="C182" s="20"/>
      <c r="D182" s="20"/>
      <c r="E182" s="20"/>
      <c r="F182" s="124"/>
      <c r="G182" s="20"/>
      <c r="H182" s="20"/>
      <c r="I182" s="20"/>
      <c r="J182" s="124"/>
      <c r="K182" s="127"/>
      <c r="L182" s="20"/>
      <c r="M182" s="20"/>
      <c r="N182" s="20"/>
      <c r="O182" s="124"/>
      <c r="P182" s="127"/>
      <c r="Q182" s="20"/>
      <c r="R182" s="20"/>
      <c r="S182" s="20"/>
      <c r="T182" s="124"/>
      <c r="U182" s="127"/>
      <c r="V182" s="20"/>
      <c r="W182" s="20"/>
      <c r="X182" s="20"/>
      <c r="Y182" s="20"/>
      <c r="Z182" s="20"/>
      <c r="AA182" s="20"/>
      <c r="AB182" s="20"/>
      <c r="AC182" s="20"/>
      <c r="AD182" s="20"/>
    </row>
    <row r="183" spans="1:30" ht="19.5">
      <c r="A183" s="20"/>
      <c r="B183" s="20"/>
      <c r="C183" s="20"/>
      <c r="D183" s="20"/>
      <c r="E183" s="20"/>
      <c r="F183" s="124"/>
      <c r="G183" s="20"/>
      <c r="H183" s="20"/>
      <c r="I183" s="20"/>
      <c r="J183" s="124"/>
      <c r="K183" s="127"/>
      <c r="L183" s="20"/>
      <c r="M183" s="20"/>
      <c r="N183" s="20"/>
      <c r="O183" s="124"/>
      <c r="P183" s="127"/>
      <c r="Q183" s="20"/>
      <c r="R183" s="20"/>
      <c r="S183" s="20"/>
      <c r="T183" s="124"/>
      <c r="U183" s="127"/>
      <c r="V183" s="20"/>
      <c r="W183" s="20"/>
      <c r="X183" s="20"/>
      <c r="Y183" s="20"/>
      <c r="Z183" s="20"/>
      <c r="AA183" s="20"/>
      <c r="AB183" s="20"/>
      <c r="AC183" s="20"/>
      <c r="AD183" s="20"/>
    </row>
    <row r="184" spans="1:30" ht="19.5">
      <c r="A184" s="20"/>
      <c r="B184" s="20"/>
      <c r="C184" s="20"/>
      <c r="D184" s="20"/>
      <c r="E184" s="20"/>
      <c r="F184" s="124"/>
      <c r="G184" s="20"/>
      <c r="H184" s="20"/>
      <c r="I184" s="20"/>
      <c r="J184" s="124"/>
      <c r="K184" s="127"/>
      <c r="L184" s="20"/>
      <c r="M184" s="20"/>
      <c r="N184" s="20"/>
      <c r="O184" s="124"/>
      <c r="P184" s="127"/>
      <c r="Q184" s="20"/>
      <c r="R184" s="20"/>
      <c r="S184" s="20"/>
      <c r="T184" s="124"/>
      <c r="U184" s="127"/>
      <c r="V184" s="20"/>
      <c r="W184" s="20"/>
      <c r="X184" s="20"/>
      <c r="Y184" s="20"/>
      <c r="Z184" s="20"/>
      <c r="AA184" s="20"/>
      <c r="AB184" s="20"/>
      <c r="AC184" s="20"/>
      <c r="AD184" s="20"/>
    </row>
    <row r="185" spans="1:30" ht="19.5">
      <c r="A185" s="20"/>
      <c r="B185" s="20"/>
      <c r="C185" s="20"/>
      <c r="D185" s="20"/>
      <c r="E185" s="20"/>
      <c r="F185" s="124"/>
      <c r="G185" s="20"/>
      <c r="H185" s="20"/>
      <c r="I185" s="20"/>
      <c r="J185" s="124"/>
      <c r="K185" s="127"/>
      <c r="L185" s="20"/>
      <c r="M185" s="20"/>
      <c r="N185" s="20"/>
      <c r="O185" s="124"/>
      <c r="P185" s="127"/>
      <c r="Q185" s="20"/>
      <c r="R185" s="20"/>
      <c r="S185" s="20"/>
      <c r="T185" s="124"/>
      <c r="U185" s="127"/>
      <c r="V185" s="20"/>
      <c r="W185" s="20"/>
      <c r="X185" s="20"/>
      <c r="Y185" s="20"/>
      <c r="Z185" s="20"/>
      <c r="AA185" s="20"/>
      <c r="AB185" s="20"/>
      <c r="AC185" s="20"/>
      <c r="AD185" s="20"/>
    </row>
    <row r="186" spans="1:30" ht="19.5">
      <c r="A186" s="20"/>
      <c r="B186" s="20"/>
      <c r="C186" s="20"/>
      <c r="D186" s="20"/>
      <c r="E186" s="20"/>
      <c r="F186" s="124"/>
      <c r="G186" s="20"/>
      <c r="H186" s="20"/>
      <c r="I186" s="20"/>
      <c r="J186" s="124"/>
      <c r="K186" s="127"/>
      <c r="L186" s="20"/>
      <c r="M186" s="20"/>
      <c r="N186" s="20"/>
      <c r="O186" s="124"/>
      <c r="P186" s="127"/>
      <c r="Q186" s="20"/>
      <c r="R186" s="20"/>
      <c r="S186" s="20"/>
      <c r="T186" s="124"/>
      <c r="U186" s="127"/>
      <c r="V186" s="20"/>
      <c r="W186" s="20"/>
      <c r="X186" s="20"/>
      <c r="Y186" s="20"/>
      <c r="Z186" s="20"/>
      <c r="AA186" s="20"/>
      <c r="AB186" s="20"/>
      <c r="AC186" s="20"/>
      <c r="AD186" s="20"/>
    </row>
    <row r="187" spans="1:30" ht="19.5">
      <c r="A187" s="20"/>
      <c r="B187" s="20"/>
      <c r="C187" s="20"/>
      <c r="D187" s="20"/>
      <c r="E187" s="20"/>
      <c r="F187" s="124"/>
      <c r="G187" s="20"/>
      <c r="H187" s="20"/>
      <c r="I187" s="20"/>
      <c r="J187" s="124"/>
      <c r="K187" s="127"/>
      <c r="L187" s="20"/>
      <c r="M187" s="20"/>
      <c r="N187" s="20"/>
      <c r="O187" s="124"/>
      <c r="P187" s="127"/>
      <c r="Q187" s="20"/>
      <c r="R187" s="20"/>
      <c r="S187" s="20"/>
      <c r="T187" s="124"/>
      <c r="U187" s="127"/>
      <c r="V187" s="20"/>
      <c r="W187" s="20"/>
      <c r="X187" s="20"/>
      <c r="Y187" s="20"/>
      <c r="Z187" s="20"/>
      <c r="AA187" s="20"/>
      <c r="AB187" s="20"/>
      <c r="AC187" s="20"/>
      <c r="AD187" s="20"/>
    </row>
    <row r="188" spans="1:30" ht="19.5">
      <c r="A188" s="20"/>
      <c r="B188" s="20"/>
      <c r="C188" s="20"/>
      <c r="D188" s="20"/>
      <c r="E188" s="20"/>
      <c r="F188" s="124"/>
      <c r="G188" s="20"/>
      <c r="H188" s="20"/>
      <c r="I188" s="20"/>
      <c r="J188" s="124"/>
      <c r="K188" s="127"/>
      <c r="L188" s="20"/>
      <c r="M188" s="20"/>
      <c r="N188" s="20"/>
      <c r="O188" s="124"/>
      <c r="P188" s="127"/>
      <c r="Q188" s="20"/>
      <c r="R188" s="20"/>
      <c r="S188" s="20"/>
      <c r="T188" s="124"/>
      <c r="U188" s="127"/>
      <c r="V188" s="20"/>
      <c r="W188" s="20"/>
      <c r="X188" s="20"/>
      <c r="Y188" s="20"/>
      <c r="Z188" s="20"/>
      <c r="AA188" s="20"/>
      <c r="AB188" s="20"/>
      <c r="AC188" s="20"/>
      <c r="AD188" s="20"/>
    </row>
    <row r="189" spans="1:30" ht="19.5">
      <c r="A189" s="20"/>
      <c r="B189" s="20"/>
      <c r="C189" s="20"/>
      <c r="D189" s="20"/>
      <c r="E189" s="20"/>
      <c r="F189" s="124"/>
      <c r="G189" s="20"/>
      <c r="H189" s="20"/>
      <c r="I189" s="20"/>
      <c r="J189" s="124"/>
      <c r="K189" s="127"/>
      <c r="L189" s="20"/>
      <c r="M189" s="20"/>
      <c r="N189" s="20"/>
      <c r="O189" s="124"/>
      <c r="P189" s="127"/>
      <c r="Q189" s="20"/>
      <c r="R189" s="20"/>
      <c r="S189" s="20"/>
      <c r="T189" s="124"/>
      <c r="U189" s="127"/>
      <c r="V189" s="20"/>
      <c r="W189" s="20"/>
      <c r="X189" s="20"/>
      <c r="Y189" s="20"/>
      <c r="Z189" s="20"/>
      <c r="AA189" s="20"/>
      <c r="AB189" s="20"/>
      <c r="AC189" s="20"/>
      <c r="AD189" s="20"/>
    </row>
    <row r="190" spans="1:30" ht="19.5">
      <c r="A190" s="20"/>
      <c r="B190" s="20"/>
      <c r="C190" s="20"/>
      <c r="D190" s="20"/>
      <c r="E190" s="20"/>
      <c r="F190" s="124"/>
      <c r="G190" s="20"/>
      <c r="H190" s="20"/>
      <c r="I190" s="20"/>
      <c r="J190" s="124"/>
      <c r="K190" s="127"/>
      <c r="L190" s="20"/>
      <c r="M190" s="20"/>
      <c r="N190" s="20"/>
      <c r="O190" s="124"/>
      <c r="P190" s="127"/>
      <c r="Q190" s="20"/>
      <c r="R190" s="20"/>
      <c r="S190" s="20"/>
      <c r="T190" s="124"/>
      <c r="U190" s="127"/>
      <c r="V190" s="20"/>
      <c r="W190" s="20"/>
      <c r="X190" s="20"/>
      <c r="Y190" s="20"/>
      <c r="Z190" s="20"/>
      <c r="AA190" s="20"/>
      <c r="AB190" s="20"/>
      <c r="AC190" s="20"/>
      <c r="AD190" s="20"/>
    </row>
    <row r="191" spans="1:30" ht="19.5">
      <c r="A191" s="20"/>
      <c r="B191" s="20"/>
      <c r="C191" s="20"/>
      <c r="D191" s="20"/>
      <c r="E191" s="20"/>
      <c r="F191" s="124"/>
      <c r="G191" s="20"/>
      <c r="H191" s="20"/>
      <c r="I191" s="20"/>
      <c r="J191" s="124"/>
      <c r="K191" s="127"/>
      <c r="L191" s="20"/>
      <c r="M191" s="20"/>
      <c r="N191" s="20"/>
      <c r="O191" s="124"/>
      <c r="P191" s="127"/>
      <c r="Q191" s="20"/>
      <c r="R191" s="20"/>
      <c r="S191" s="20"/>
      <c r="T191" s="124"/>
      <c r="U191" s="127"/>
      <c r="V191" s="20"/>
      <c r="W191" s="20"/>
      <c r="X191" s="20"/>
      <c r="Y191" s="20"/>
      <c r="Z191" s="20"/>
      <c r="AA191" s="20"/>
      <c r="AB191" s="20"/>
      <c r="AC191" s="20"/>
      <c r="AD191" s="20"/>
    </row>
    <row r="192" spans="1:30" ht="19.5">
      <c r="A192" s="20"/>
      <c r="B192" s="20"/>
      <c r="C192" s="20"/>
      <c r="D192" s="20"/>
      <c r="E192" s="20"/>
      <c r="F192" s="124"/>
      <c r="G192" s="20"/>
      <c r="H192" s="20"/>
      <c r="I192" s="20"/>
      <c r="J192" s="124"/>
      <c r="K192" s="127"/>
      <c r="L192" s="20"/>
      <c r="M192" s="20"/>
      <c r="N192" s="20"/>
      <c r="O192" s="124"/>
      <c r="P192" s="127"/>
      <c r="Q192" s="20"/>
      <c r="R192" s="20"/>
      <c r="S192" s="20"/>
      <c r="T192" s="124"/>
      <c r="U192" s="127"/>
      <c r="V192" s="20"/>
      <c r="W192" s="20"/>
      <c r="X192" s="20"/>
      <c r="Y192" s="20"/>
      <c r="Z192" s="20"/>
      <c r="AA192" s="20"/>
      <c r="AB192" s="20"/>
      <c r="AC192" s="20"/>
      <c r="AD192" s="20"/>
    </row>
    <row r="193" spans="1:30" ht="19.5">
      <c r="A193" s="20"/>
      <c r="B193" s="20"/>
      <c r="C193" s="20"/>
      <c r="D193" s="20"/>
      <c r="E193" s="20"/>
      <c r="F193" s="124"/>
      <c r="G193" s="20"/>
      <c r="H193" s="20"/>
      <c r="I193" s="20"/>
      <c r="J193" s="124"/>
      <c r="K193" s="127"/>
      <c r="L193" s="20"/>
      <c r="M193" s="20"/>
      <c r="N193" s="20"/>
      <c r="O193" s="124"/>
      <c r="P193" s="127"/>
      <c r="Q193" s="20"/>
      <c r="R193" s="20"/>
      <c r="S193" s="20"/>
      <c r="T193" s="124"/>
      <c r="U193" s="127"/>
      <c r="V193" s="20"/>
      <c r="W193" s="20"/>
      <c r="X193" s="20"/>
      <c r="Y193" s="20"/>
      <c r="Z193" s="20"/>
      <c r="AA193" s="20"/>
      <c r="AB193" s="20"/>
      <c r="AC193" s="20"/>
      <c r="AD193" s="20"/>
    </row>
    <row r="194" spans="1:30" ht="19.5">
      <c r="A194" s="20"/>
      <c r="B194" s="20"/>
      <c r="C194" s="20"/>
      <c r="D194" s="20"/>
      <c r="E194" s="20"/>
      <c r="F194" s="124"/>
      <c r="G194" s="20"/>
      <c r="H194" s="20"/>
      <c r="I194" s="20"/>
      <c r="J194" s="124"/>
      <c r="K194" s="127"/>
      <c r="L194" s="20"/>
      <c r="M194" s="20"/>
      <c r="N194" s="20"/>
      <c r="O194" s="124"/>
      <c r="P194" s="127"/>
      <c r="Q194" s="20"/>
      <c r="R194" s="20"/>
      <c r="S194" s="20"/>
      <c r="T194" s="124"/>
      <c r="U194" s="127"/>
      <c r="V194" s="20"/>
      <c r="W194" s="20"/>
      <c r="X194" s="20"/>
      <c r="Y194" s="20"/>
      <c r="Z194" s="20"/>
      <c r="AA194" s="20"/>
      <c r="AB194" s="20"/>
      <c r="AC194" s="20"/>
      <c r="AD194" s="20"/>
    </row>
    <row r="195" spans="1:30" ht="19.5">
      <c r="A195" s="20"/>
      <c r="B195" s="20"/>
      <c r="C195" s="20"/>
      <c r="D195" s="20"/>
      <c r="E195" s="20"/>
      <c r="F195" s="124"/>
      <c r="G195" s="20"/>
      <c r="H195" s="20"/>
      <c r="I195" s="20"/>
      <c r="J195" s="124"/>
      <c r="K195" s="127"/>
      <c r="L195" s="20"/>
      <c r="M195" s="20"/>
      <c r="N195" s="20"/>
      <c r="O195" s="124"/>
      <c r="P195" s="127"/>
      <c r="Q195" s="20"/>
      <c r="R195" s="20"/>
      <c r="S195" s="20"/>
      <c r="T195" s="124"/>
      <c r="U195" s="127"/>
      <c r="V195" s="20"/>
      <c r="W195" s="20"/>
      <c r="X195" s="20"/>
      <c r="Y195" s="20"/>
      <c r="Z195" s="20"/>
      <c r="AA195" s="20"/>
      <c r="AB195" s="20"/>
      <c r="AC195" s="20"/>
      <c r="AD195" s="20"/>
    </row>
    <row r="196" spans="1:30" ht="19.5">
      <c r="A196" s="20"/>
      <c r="B196" s="20"/>
      <c r="C196" s="20"/>
      <c r="D196" s="20"/>
      <c r="E196" s="20"/>
      <c r="F196" s="124"/>
      <c r="G196" s="20"/>
      <c r="H196" s="20"/>
      <c r="I196" s="20"/>
      <c r="J196" s="124"/>
      <c r="K196" s="127"/>
      <c r="L196" s="20"/>
      <c r="M196" s="20"/>
      <c r="N196" s="20"/>
      <c r="O196" s="124"/>
      <c r="P196" s="127"/>
      <c r="Q196" s="20"/>
      <c r="R196" s="20"/>
      <c r="S196" s="20"/>
      <c r="T196" s="124"/>
      <c r="U196" s="127"/>
      <c r="V196" s="20"/>
      <c r="W196" s="20"/>
      <c r="X196" s="20"/>
      <c r="Y196" s="20"/>
      <c r="Z196" s="20"/>
      <c r="AA196" s="20"/>
      <c r="AB196" s="20"/>
      <c r="AC196" s="20"/>
      <c r="AD196" s="20"/>
    </row>
    <row r="197" spans="1:30" ht="19.5">
      <c r="A197" s="20"/>
      <c r="B197" s="20"/>
      <c r="C197" s="20"/>
      <c r="D197" s="20"/>
      <c r="E197" s="20"/>
      <c r="F197" s="124"/>
      <c r="G197" s="20"/>
      <c r="H197" s="20"/>
      <c r="I197" s="20"/>
      <c r="J197" s="124"/>
      <c r="K197" s="127"/>
      <c r="L197" s="20"/>
      <c r="M197" s="20"/>
      <c r="N197" s="20"/>
      <c r="O197" s="124"/>
      <c r="P197" s="127"/>
      <c r="Q197" s="20"/>
      <c r="R197" s="20"/>
      <c r="S197" s="20"/>
      <c r="T197" s="124"/>
      <c r="U197" s="127"/>
      <c r="V197" s="20"/>
      <c r="W197" s="20"/>
      <c r="X197" s="20"/>
      <c r="Y197" s="20"/>
      <c r="Z197" s="20"/>
      <c r="AA197" s="20"/>
      <c r="AB197" s="20"/>
      <c r="AC197" s="20"/>
      <c r="AD197" s="20"/>
    </row>
    <row r="198" spans="1:30" ht="19.5">
      <c r="A198" s="20"/>
      <c r="B198" s="20"/>
      <c r="C198" s="20"/>
      <c r="D198" s="20"/>
      <c r="E198" s="20"/>
      <c r="F198" s="124"/>
      <c r="G198" s="20"/>
      <c r="H198" s="20"/>
      <c r="I198" s="20"/>
      <c r="J198" s="124"/>
      <c r="K198" s="127"/>
      <c r="L198" s="20"/>
      <c r="M198" s="20"/>
      <c r="N198" s="20"/>
      <c r="O198" s="124"/>
      <c r="P198" s="127"/>
      <c r="Q198" s="20"/>
      <c r="R198" s="20"/>
      <c r="S198" s="20"/>
      <c r="T198" s="124"/>
      <c r="U198" s="127"/>
      <c r="V198" s="20"/>
      <c r="W198" s="20"/>
      <c r="X198" s="20"/>
      <c r="Y198" s="20"/>
      <c r="Z198" s="20"/>
      <c r="AA198" s="20"/>
      <c r="AB198" s="20"/>
      <c r="AC198" s="20"/>
      <c r="AD198" s="20"/>
    </row>
    <row r="199" spans="1:30" ht="19.5">
      <c r="A199" s="20"/>
      <c r="B199" s="20"/>
      <c r="C199" s="20"/>
      <c r="D199" s="20"/>
      <c r="E199" s="20"/>
      <c r="F199" s="124"/>
      <c r="G199" s="20"/>
      <c r="H199" s="20"/>
      <c r="I199" s="20"/>
      <c r="J199" s="124"/>
      <c r="K199" s="127"/>
      <c r="L199" s="20"/>
      <c r="M199" s="20"/>
      <c r="N199" s="20"/>
      <c r="O199" s="124"/>
      <c r="P199" s="127"/>
      <c r="Q199" s="20"/>
      <c r="R199" s="20"/>
      <c r="S199" s="20"/>
      <c r="T199" s="124"/>
      <c r="U199" s="127"/>
      <c r="V199" s="20"/>
      <c r="W199" s="20"/>
      <c r="X199" s="20"/>
      <c r="Y199" s="20"/>
      <c r="Z199" s="20"/>
      <c r="AA199" s="20"/>
      <c r="AB199" s="20"/>
      <c r="AC199" s="20"/>
      <c r="AD199" s="20"/>
    </row>
    <row r="200" spans="1:30" ht="19.5">
      <c r="A200" s="20"/>
      <c r="B200" s="20"/>
      <c r="C200" s="20"/>
      <c r="D200" s="20"/>
      <c r="E200" s="20"/>
      <c r="F200" s="124"/>
      <c r="G200" s="20"/>
      <c r="H200" s="20"/>
      <c r="I200" s="20"/>
      <c r="J200" s="124"/>
      <c r="K200" s="127"/>
      <c r="L200" s="20"/>
      <c r="M200" s="20"/>
      <c r="N200" s="20"/>
      <c r="O200" s="124"/>
      <c r="P200" s="127"/>
      <c r="Q200" s="20"/>
      <c r="R200" s="20"/>
      <c r="S200" s="20"/>
      <c r="T200" s="124"/>
      <c r="U200" s="127"/>
      <c r="V200" s="20"/>
      <c r="W200" s="20"/>
      <c r="X200" s="20"/>
      <c r="Y200" s="20"/>
      <c r="Z200" s="20"/>
      <c r="AA200" s="20"/>
      <c r="AB200" s="20"/>
      <c r="AC200" s="20"/>
      <c r="AD200" s="20"/>
    </row>
    <row r="201" spans="1:30" ht="19.5">
      <c r="A201" s="20"/>
      <c r="B201" s="20"/>
      <c r="C201" s="20"/>
      <c r="D201" s="20"/>
      <c r="E201" s="20"/>
      <c r="F201" s="124"/>
      <c r="G201" s="20"/>
      <c r="H201" s="20"/>
      <c r="I201" s="20"/>
      <c r="J201" s="124"/>
      <c r="K201" s="127"/>
      <c r="L201" s="20"/>
      <c r="M201" s="20"/>
      <c r="N201" s="20"/>
      <c r="O201" s="124"/>
      <c r="P201" s="127"/>
      <c r="Q201" s="20"/>
      <c r="R201" s="20"/>
      <c r="S201" s="20"/>
      <c r="T201" s="124"/>
      <c r="U201" s="127"/>
      <c r="V201" s="20"/>
      <c r="W201" s="20"/>
      <c r="X201" s="20"/>
      <c r="Y201" s="20"/>
      <c r="Z201" s="20"/>
      <c r="AA201" s="20"/>
      <c r="AB201" s="20"/>
      <c r="AC201" s="20"/>
      <c r="AD201" s="20"/>
    </row>
    <row r="202" spans="1:30" ht="19.5">
      <c r="A202" s="20"/>
      <c r="B202" s="20"/>
      <c r="C202" s="20"/>
      <c r="D202" s="20"/>
      <c r="E202" s="20"/>
      <c r="F202" s="124"/>
      <c r="G202" s="20"/>
      <c r="H202" s="20"/>
      <c r="I202" s="20"/>
      <c r="J202" s="124"/>
      <c r="K202" s="127"/>
      <c r="L202" s="20"/>
      <c r="M202" s="20"/>
      <c r="N202" s="20"/>
      <c r="O202" s="124"/>
      <c r="P202" s="127"/>
      <c r="Q202" s="20"/>
      <c r="R202" s="20"/>
      <c r="S202" s="20"/>
      <c r="T202" s="124"/>
      <c r="U202" s="127"/>
      <c r="V202" s="20"/>
      <c r="W202" s="20"/>
      <c r="X202" s="20"/>
      <c r="Y202" s="20"/>
      <c r="Z202" s="20"/>
      <c r="AA202" s="20"/>
      <c r="AB202" s="20"/>
      <c r="AC202" s="20"/>
      <c r="AD202" s="20"/>
    </row>
    <row r="203" spans="1:30" ht="19.5">
      <c r="A203" s="20"/>
      <c r="B203" s="20"/>
      <c r="C203" s="20"/>
      <c r="D203" s="20"/>
      <c r="E203" s="20"/>
      <c r="F203" s="124"/>
      <c r="G203" s="20"/>
      <c r="H203" s="20"/>
      <c r="I203" s="20"/>
      <c r="J203" s="124"/>
      <c r="K203" s="127"/>
      <c r="L203" s="20"/>
      <c r="M203" s="20"/>
      <c r="N203" s="20"/>
      <c r="O203" s="124"/>
      <c r="P203" s="127"/>
      <c r="Q203" s="20"/>
      <c r="R203" s="20"/>
      <c r="S203" s="20"/>
      <c r="T203" s="124"/>
      <c r="U203" s="127"/>
      <c r="V203" s="20"/>
      <c r="W203" s="20"/>
      <c r="X203" s="20"/>
      <c r="Y203" s="20"/>
      <c r="Z203" s="20"/>
      <c r="AA203" s="20"/>
      <c r="AB203" s="20"/>
      <c r="AC203" s="20"/>
      <c r="AD203" s="20"/>
    </row>
    <row r="204" spans="1:30" ht="19.5">
      <c r="A204" s="20"/>
      <c r="B204" s="20"/>
      <c r="C204" s="20"/>
      <c r="D204" s="20"/>
      <c r="E204" s="20"/>
      <c r="F204" s="124"/>
      <c r="G204" s="20"/>
      <c r="H204" s="20"/>
      <c r="I204" s="20"/>
      <c r="J204" s="124"/>
      <c r="K204" s="127"/>
      <c r="L204" s="20"/>
      <c r="M204" s="20"/>
      <c r="N204" s="20"/>
      <c r="O204" s="124"/>
      <c r="P204" s="127"/>
      <c r="Q204" s="20"/>
      <c r="R204" s="20"/>
      <c r="S204" s="20"/>
      <c r="T204" s="124"/>
      <c r="U204" s="127"/>
      <c r="V204" s="20"/>
      <c r="W204" s="20"/>
      <c r="X204" s="20"/>
      <c r="Y204" s="20"/>
      <c r="Z204" s="20"/>
      <c r="AA204" s="20"/>
      <c r="AB204" s="20"/>
      <c r="AC204" s="20"/>
      <c r="AD204" s="20"/>
    </row>
    <row r="205" spans="1:30" ht="19.5">
      <c r="A205" s="20"/>
      <c r="B205" s="20"/>
      <c r="C205" s="20"/>
      <c r="D205" s="20"/>
      <c r="E205" s="20"/>
      <c r="F205" s="124"/>
      <c r="G205" s="20"/>
      <c r="H205" s="20"/>
      <c r="I205" s="20"/>
      <c r="J205" s="124"/>
      <c r="K205" s="127"/>
      <c r="L205" s="20"/>
      <c r="M205" s="20"/>
      <c r="N205" s="20"/>
      <c r="O205" s="124"/>
      <c r="P205" s="127"/>
      <c r="Q205" s="20"/>
      <c r="R205" s="20"/>
      <c r="S205" s="20"/>
      <c r="T205" s="124"/>
      <c r="U205" s="127"/>
      <c r="V205" s="20"/>
      <c r="W205" s="20"/>
      <c r="X205" s="20"/>
      <c r="Y205" s="20"/>
      <c r="Z205" s="20"/>
      <c r="AA205" s="20"/>
      <c r="AB205" s="20"/>
      <c r="AC205" s="20"/>
      <c r="AD205" s="20"/>
    </row>
    <row r="206" spans="1:30" ht="19.5">
      <c r="A206" s="20"/>
      <c r="B206" s="20"/>
      <c r="C206" s="20"/>
      <c r="D206" s="20"/>
      <c r="E206" s="20"/>
      <c r="F206" s="124"/>
      <c r="G206" s="20"/>
      <c r="H206" s="20"/>
      <c r="I206" s="20"/>
      <c r="J206" s="124"/>
      <c r="K206" s="127"/>
      <c r="L206" s="20"/>
      <c r="M206" s="20"/>
      <c r="N206" s="20"/>
      <c r="O206" s="124"/>
      <c r="P206" s="127"/>
      <c r="Q206" s="20"/>
      <c r="R206" s="20"/>
      <c r="S206" s="20"/>
      <c r="T206" s="124"/>
      <c r="U206" s="127"/>
      <c r="V206" s="20"/>
      <c r="W206" s="20"/>
      <c r="X206" s="20"/>
      <c r="Y206" s="20"/>
      <c r="Z206" s="20"/>
      <c r="AA206" s="20"/>
      <c r="AB206" s="20"/>
      <c r="AC206" s="20"/>
      <c r="AD206" s="20"/>
    </row>
    <row r="207" spans="1:30" ht="19.5">
      <c r="A207" s="20"/>
      <c r="B207" s="20"/>
      <c r="C207" s="20"/>
      <c r="D207" s="20"/>
      <c r="E207" s="20"/>
      <c r="F207" s="124"/>
      <c r="G207" s="20"/>
      <c r="H207" s="20"/>
      <c r="I207" s="20"/>
      <c r="J207" s="124"/>
      <c r="K207" s="127"/>
      <c r="L207" s="20"/>
      <c r="M207" s="20"/>
      <c r="N207" s="20"/>
      <c r="O207" s="124"/>
      <c r="P207" s="127"/>
      <c r="Q207" s="20"/>
      <c r="R207" s="20"/>
      <c r="S207" s="20"/>
      <c r="T207" s="124"/>
      <c r="U207" s="127"/>
      <c r="V207" s="20"/>
      <c r="W207" s="20"/>
      <c r="X207" s="20"/>
      <c r="Y207" s="20"/>
      <c r="Z207" s="20"/>
      <c r="AA207" s="20"/>
      <c r="AB207" s="20"/>
      <c r="AC207" s="20"/>
      <c r="AD207" s="20"/>
    </row>
    <row r="208" spans="1:30" ht="19.5">
      <c r="A208" s="20"/>
      <c r="B208" s="20"/>
      <c r="C208" s="20"/>
      <c r="D208" s="20"/>
      <c r="E208" s="20"/>
      <c r="F208" s="124"/>
      <c r="G208" s="20"/>
      <c r="H208" s="20"/>
      <c r="I208" s="20"/>
      <c r="J208" s="124"/>
      <c r="K208" s="127"/>
      <c r="L208" s="20"/>
      <c r="M208" s="20"/>
      <c r="N208" s="20"/>
      <c r="O208" s="124"/>
      <c r="P208" s="127"/>
      <c r="Q208" s="20"/>
      <c r="R208" s="20"/>
      <c r="S208" s="20"/>
      <c r="T208" s="124"/>
      <c r="U208" s="127"/>
      <c r="V208" s="20"/>
      <c r="W208" s="20"/>
      <c r="X208" s="20"/>
      <c r="Y208" s="20"/>
      <c r="Z208" s="20"/>
      <c r="AA208" s="20"/>
      <c r="AB208" s="20"/>
      <c r="AC208" s="20"/>
      <c r="AD208" s="20"/>
    </row>
    <row r="209" spans="1:30" ht="19.5">
      <c r="A209" s="20"/>
      <c r="B209" s="20"/>
      <c r="C209" s="20"/>
      <c r="D209" s="20"/>
      <c r="E209" s="20"/>
      <c r="F209" s="124"/>
      <c r="G209" s="20"/>
      <c r="H209" s="20"/>
      <c r="I209" s="20"/>
      <c r="J209" s="124"/>
      <c r="K209" s="127"/>
      <c r="L209" s="20"/>
      <c r="M209" s="20"/>
      <c r="N209" s="20"/>
      <c r="O209" s="124"/>
      <c r="P209" s="127"/>
      <c r="Q209" s="20"/>
      <c r="R209" s="20"/>
      <c r="S209" s="20"/>
      <c r="T209" s="124"/>
      <c r="U209" s="127"/>
      <c r="V209" s="20"/>
      <c r="W209" s="20"/>
      <c r="X209" s="20"/>
      <c r="Y209" s="20"/>
      <c r="Z209" s="20"/>
      <c r="AA209" s="20"/>
      <c r="AB209" s="20"/>
      <c r="AC209" s="20"/>
      <c r="AD209" s="20"/>
    </row>
    <row r="210" spans="1:30" ht="19.5">
      <c r="A210" s="20"/>
      <c r="B210" s="20"/>
      <c r="C210" s="20"/>
      <c r="D210" s="20"/>
      <c r="E210" s="20"/>
      <c r="F210" s="124"/>
      <c r="G210" s="20"/>
      <c r="H210" s="20"/>
      <c r="I210" s="20"/>
      <c r="J210" s="124"/>
      <c r="K210" s="127"/>
      <c r="L210" s="20"/>
      <c r="M210" s="20"/>
      <c r="N210" s="20"/>
      <c r="O210" s="124"/>
      <c r="P210" s="127"/>
      <c r="Q210" s="20"/>
      <c r="R210" s="20"/>
      <c r="S210" s="20"/>
      <c r="T210" s="124"/>
      <c r="U210" s="127"/>
      <c r="V210" s="20"/>
      <c r="W210" s="20"/>
      <c r="X210" s="20"/>
      <c r="Y210" s="20"/>
      <c r="Z210" s="20"/>
      <c r="AA210" s="20"/>
      <c r="AB210" s="20"/>
      <c r="AC210" s="20"/>
      <c r="AD210" s="20"/>
    </row>
    <row r="211" spans="1:30" ht="19.5">
      <c r="A211" s="20"/>
      <c r="B211" s="20"/>
      <c r="C211" s="20"/>
      <c r="D211" s="20"/>
      <c r="E211" s="20"/>
      <c r="F211" s="124"/>
      <c r="G211" s="20"/>
      <c r="H211" s="20"/>
      <c r="I211" s="20"/>
      <c r="J211" s="124"/>
      <c r="K211" s="127"/>
      <c r="L211" s="20"/>
      <c r="M211" s="20"/>
      <c r="N211" s="20"/>
      <c r="O211" s="124"/>
      <c r="P211" s="127"/>
      <c r="Q211" s="20"/>
      <c r="R211" s="20"/>
      <c r="S211" s="20"/>
      <c r="T211" s="124"/>
      <c r="U211" s="127"/>
      <c r="V211" s="20"/>
      <c r="W211" s="20"/>
      <c r="X211" s="20"/>
      <c r="Y211" s="20"/>
      <c r="Z211" s="20"/>
      <c r="AA211" s="20"/>
      <c r="AB211" s="20"/>
      <c r="AC211" s="20"/>
      <c r="AD211" s="20"/>
    </row>
    <row r="212" spans="1:30" ht="19.5">
      <c r="A212" s="20"/>
      <c r="B212" s="20"/>
      <c r="C212" s="20"/>
      <c r="D212" s="20"/>
      <c r="E212" s="20"/>
      <c r="F212" s="124"/>
      <c r="G212" s="20"/>
      <c r="H212" s="20"/>
      <c r="I212" s="20"/>
      <c r="J212" s="124"/>
      <c r="K212" s="127"/>
      <c r="L212" s="20"/>
      <c r="M212" s="20"/>
      <c r="N212" s="20"/>
      <c r="O212" s="124"/>
      <c r="P212" s="127"/>
      <c r="Q212" s="20"/>
      <c r="R212" s="20"/>
      <c r="S212" s="20"/>
      <c r="T212" s="124"/>
      <c r="U212" s="127"/>
      <c r="V212" s="20"/>
      <c r="W212" s="20"/>
      <c r="X212" s="20"/>
      <c r="Y212" s="20"/>
      <c r="Z212" s="20"/>
      <c r="AA212" s="20"/>
      <c r="AB212" s="20"/>
      <c r="AC212" s="20"/>
      <c r="AD212" s="20"/>
    </row>
    <row r="213" spans="1:30" ht="19.5">
      <c r="A213" s="20"/>
      <c r="B213" s="20"/>
      <c r="C213" s="20"/>
      <c r="D213" s="20"/>
      <c r="E213" s="20"/>
      <c r="F213" s="124"/>
      <c r="G213" s="20"/>
      <c r="H213" s="20"/>
      <c r="I213" s="20"/>
      <c r="J213" s="124"/>
      <c r="K213" s="127"/>
      <c r="L213" s="20"/>
      <c r="M213" s="20"/>
      <c r="N213" s="20"/>
      <c r="O213" s="124"/>
      <c r="P213" s="127"/>
      <c r="Q213" s="20"/>
      <c r="R213" s="20"/>
      <c r="S213" s="20"/>
      <c r="T213" s="124"/>
      <c r="U213" s="127"/>
      <c r="V213" s="20"/>
      <c r="W213" s="20"/>
      <c r="X213" s="20"/>
      <c r="Y213" s="20"/>
      <c r="Z213" s="20"/>
      <c r="AA213" s="20"/>
      <c r="AB213" s="20"/>
      <c r="AC213" s="20"/>
      <c r="AD213" s="20"/>
    </row>
    <row r="214" spans="1:30" ht="19.5">
      <c r="A214" s="20"/>
      <c r="B214" s="20"/>
      <c r="C214" s="20"/>
      <c r="D214" s="20"/>
      <c r="E214" s="20"/>
      <c r="F214" s="124"/>
      <c r="G214" s="20"/>
      <c r="H214" s="20"/>
      <c r="I214" s="20"/>
      <c r="J214" s="124"/>
      <c r="K214" s="127"/>
      <c r="L214" s="20"/>
      <c r="M214" s="20"/>
      <c r="N214" s="20"/>
      <c r="O214" s="124"/>
      <c r="P214" s="127"/>
      <c r="Q214" s="20"/>
      <c r="R214" s="20"/>
      <c r="S214" s="20"/>
      <c r="T214" s="124"/>
      <c r="U214" s="127"/>
      <c r="V214" s="20"/>
      <c r="W214" s="20"/>
      <c r="X214" s="20"/>
      <c r="Y214" s="20"/>
      <c r="Z214" s="20"/>
      <c r="AA214" s="20"/>
      <c r="AB214" s="20"/>
      <c r="AC214" s="20"/>
      <c r="AD214" s="20"/>
    </row>
    <row r="215" spans="1:30" ht="19.5">
      <c r="A215" s="20"/>
      <c r="B215" s="20"/>
      <c r="C215" s="20"/>
      <c r="D215" s="20"/>
      <c r="E215" s="20"/>
      <c r="F215" s="124"/>
      <c r="G215" s="20"/>
      <c r="H215" s="20"/>
      <c r="I215" s="20"/>
      <c r="J215" s="124"/>
      <c r="K215" s="127"/>
      <c r="L215" s="20"/>
      <c r="M215" s="20"/>
      <c r="N215" s="20"/>
      <c r="O215" s="124"/>
      <c r="P215" s="127"/>
      <c r="Q215" s="20"/>
      <c r="R215" s="20"/>
      <c r="S215" s="20"/>
      <c r="T215" s="124"/>
      <c r="U215" s="127"/>
      <c r="V215" s="20"/>
      <c r="W215" s="20"/>
      <c r="X215" s="20"/>
      <c r="Y215" s="20"/>
      <c r="Z215" s="20"/>
      <c r="AA215" s="20"/>
      <c r="AB215" s="20"/>
      <c r="AC215" s="20"/>
      <c r="AD215" s="20"/>
    </row>
    <row r="216" spans="1:30" ht="19.5">
      <c r="A216" s="20"/>
      <c r="B216" s="20"/>
      <c r="C216" s="20"/>
      <c r="D216" s="20"/>
      <c r="E216" s="20"/>
      <c r="F216" s="124"/>
      <c r="G216" s="20"/>
      <c r="H216" s="20"/>
      <c r="I216" s="20"/>
      <c r="J216" s="124"/>
      <c r="K216" s="127"/>
      <c r="L216" s="20"/>
      <c r="M216" s="20"/>
      <c r="N216" s="20"/>
      <c r="O216" s="124"/>
      <c r="P216" s="127"/>
      <c r="Q216" s="20"/>
      <c r="R216" s="20"/>
      <c r="S216" s="20"/>
      <c r="T216" s="124"/>
      <c r="U216" s="127"/>
      <c r="V216" s="20"/>
      <c r="W216" s="20"/>
      <c r="X216" s="20"/>
      <c r="Y216" s="20"/>
      <c r="Z216" s="20"/>
      <c r="AA216" s="20"/>
      <c r="AB216" s="20"/>
      <c r="AC216" s="20"/>
      <c r="AD216" s="20"/>
    </row>
    <row r="217" spans="1:30" ht="19.5">
      <c r="A217" s="20"/>
      <c r="B217" s="20"/>
      <c r="C217" s="20"/>
      <c r="D217" s="20"/>
      <c r="E217" s="20"/>
      <c r="F217" s="124"/>
      <c r="G217" s="20"/>
      <c r="H217" s="20"/>
      <c r="I217" s="20"/>
      <c r="J217" s="124"/>
      <c r="K217" s="127"/>
      <c r="L217" s="20"/>
      <c r="M217" s="20"/>
      <c r="N217" s="20"/>
      <c r="O217" s="124"/>
      <c r="P217" s="127"/>
      <c r="Q217" s="20"/>
      <c r="R217" s="20"/>
      <c r="S217" s="20"/>
      <c r="T217" s="124"/>
      <c r="U217" s="127"/>
      <c r="V217" s="20"/>
      <c r="W217" s="20"/>
      <c r="X217" s="20"/>
      <c r="Y217" s="20"/>
      <c r="Z217" s="20"/>
      <c r="AA217" s="20"/>
      <c r="AB217" s="20"/>
      <c r="AC217" s="20"/>
      <c r="AD217" s="20"/>
    </row>
    <row r="218" spans="1:30" ht="19.5">
      <c r="A218" s="20"/>
      <c r="B218" s="20"/>
      <c r="C218" s="20"/>
      <c r="D218" s="20"/>
      <c r="E218" s="20"/>
      <c r="F218" s="124"/>
      <c r="G218" s="20"/>
      <c r="H218" s="20"/>
      <c r="I218" s="20"/>
      <c r="J218" s="124"/>
      <c r="K218" s="127"/>
      <c r="L218" s="20"/>
      <c r="M218" s="20"/>
      <c r="N218" s="20"/>
      <c r="O218" s="124"/>
      <c r="P218" s="127"/>
      <c r="Q218" s="20"/>
      <c r="R218" s="20"/>
      <c r="S218" s="20"/>
      <c r="T218" s="124"/>
      <c r="U218" s="127"/>
      <c r="V218" s="20"/>
      <c r="W218" s="20"/>
      <c r="X218" s="20"/>
      <c r="Y218" s="20"/>
      <c r="Z218" s="20"/>
      <c r="AA218" s="20"/>
      <c r="AB218" s="20"/>
      <c r="AC218" s="20"/>
      <c r="AD218" s="20"/>
    </row>
    <row r="219" spans="1:30" ht="19.5">
      <c r="A219" s="20"/>
      <c r="B219" s="20"/>
      <c r="C219" s="20"/>
      <c r="D219" s="20"/>
      <c r="E219" s="20"/>
      <c r="F219" s="124"/>
      <c r="G219" s="20"/>
      <c r="H219" s="20"/>
      <c r="I219" s="20"/>
      <c r="J219" s="124"/>
      <c r="K219" s="127"/>
      <c r="L219" s="20"/>
      <c r="M219" s="20"/>
      <c r="N219" s="20"/>
      <c r="O219" s="124"/>
      <c r="P219" s="127"/>
      <c r="Q219" s="20"/>
      <c r="R219" s="20"/>
      <c r="S219" s="20"/>
      <c r="T219" s="124"/>
      <c r="U219" s="127"/>
      <c r="V219" s="20"/>
      <c r="W219" s="20"/>
      <c r="X219" s="20"/>
      <c r="Y219" s="20"/>
      <c r="Z219" s="20"/>
      <c r="AA219" s="20"/>
      <c r="AB219" s="20"/>
      <c r="AC219" s="20"/>
      <c r="AD219" s="20"/>
    </row>
    <row r="220" spans="1:30" ht="19.5">
      <c r="A220" s="20"/>
      <c r="B220" s="20"/>
      <c r="C220" s="20"/>
      <c r="D220" s="20"/>
      <c r="E220" s="20"/>
      <c r="F220" s="124"/>
      <c r="G220" s="20"/>
      <c r="H220" s="20"/>
      <c r="I220" s="20"/>
      <c r="J220" s="124"/>
      <c r="K220" s="127"/>
      <c r="L220" s="20"/>
      <c r="M220" s="20"/>
      <c r="N220" s="20"/>
      <c r="O220" s="124"/>
      <c r="P220" s="127"/>
      <c r="Q220" s="20"/>
      <c r="R220" s="20"/>
      <c r="S220" s="20"/>
      <c r="T220" s="124"/>
      <c r="U220" s="127"/>
      <c r="V220" s="20"/>
      <c r="W220" s="20"/>
      <c r="X220" s="20"/>
      <c r="Y220" s="20"/>
      <c r="Z220" s="20"/>
      <c r="AA220" s="20"/>
      <c r="AB220" s="20"/>
      <c r="AC220" s="20"/>
      <c r="AD220" s="20"/>
    </row>
    <row r="221" spans="1:30" ht="19.5">
      <c r="A221" s="20"/>
      <c r="B221" s="20"/>
      <c r="C221" s="20"/>
      <c r="D221" s="20"/>
      <c r="E221" s="20"/>
      <c r="F221" s="124"/>
      <c r="G221" s="20"/>
      <c r="H221" s="20"/>
      <c r="I221" s="20"/>
      <c r="J221" s="124"/>
      <c r="K221" s="127"/>
      <c r="L221" s="20"/>
      <c r="M221" s="20"/>
      <c r="N221" s="20"/>
      <c r="O221" s="124"/>
      <c r="P221" s="127"/>
      <c r="Q221" s="20"/>
      <c r="R221" s="20"/>
      <c r="S221" s="20"/>
      <c r="T221" s="124"/>
      <c r="U221" s="127"/>
      <c r="V221" s="20"/>
      <c r="W221" s="20"/>
      <c r="X221" s="20"/>
      <c r="Y221" s="20"/>
      <c r="Z221" s="20"/>
      <c r="AA221" s="20"/>
      <c r="AB221" s="20"/>
      <c r="AC221" s="20"/>
      <c r="AD221" s="20"/>
    </row>
    <row r="222" spans="1:30" ht="19.5">
      <c r="A222" s="20"/>
      <c r="B222" s="20"/>
      <c r="C222" s="20"/>
      <c r="D222" s="20"/>
      <c r="E222" s="20"/>
      <c r="F222" s="124"/>
      <c r="G222" s="20"/>
      <c r="H222" s="20"/>
      <c r="I222" s="20"/>
      <c r="J222" s="124"/>
      <c r="K222" s="127"/>
      <c r="L222" s="20"/>
      <c r="M222" s="20"/>
      <c r="N222" s="20"/>
      <c r="O222" s="124"/>
      <c r="P222" s="127"/>
      <c r="Q222" s="20"/>
      <c r="R222" s="20"/>
      <c r="S222" s="20"/>
      <c r="T222" s="124"/>
      <c r="U222" s="127"/>
      <c r="V222" s="20"/>
      <c r="W222" s="20"/>
      <c r="X222" s="20"/>
      <c r="Y222" s="20"/>
      <c r="Z222" s="20"/>
      <c r="AA222" s="20"/>
      <c r="AB222" s="20"/>
      <c r="AC222" s="20"/>
      <c r="AD222" s="20"/>
    </row>
    <row r="223" spans="1:30" ht="19.5">
      <c r="A223" s="20"/>
      <c r="B223" s="20"/>
      <c r="C223" s="20"/>
      <c r="D223" s="20"/>
      <c r="E223" s="20"/>
      <c r="F223" s="124"/>
      <c r="G223" s="20"/>
      <c r="H223" s="20"/>
      <c r="I223" s="20"/>
      <c r="J223" s="124"/>
      <c r="K223" s="127"/>
      <c r="L223" s="20"/>
      <c r="M223" s="20"/>
      <c r="N223" s="20"/>
      <c r="O223" s="124"/>
      <c r="P223" s="127"/>
      <c r="Q223" s="20"/>
      <c r="R223" s="20"/>
      <c r="S223" s="20"/>
      <c r="T223" s="124"/>
      <c r="U223" s="127"/>
      <c r="V223" s="20"/>
      <c r="W223" s="20"/>
      <c r="X223" s="20"/>
      <c r="Y223" s="20"/>
      <c r="Z223" s="20"/>
      <c r="AA223" s="20"/>
      <c r="AB223" s="20"/>
      <c r="AC223" s="20"/>
      <c r="AD223" s="20"/>
    </row>
    <row r="224" spans="1:30" ht="19.5">
      <c r="A224" s="20"/>
      <c r="B224" s="20"/>
      <c r="C224" s="20"/>
      <c r="D224" s="20"/>
      <c r="E224" s="20"/>
      <c r="F224" s="124"/>
      <c r="G224" s="20"/>
      <c r="H224" s="20"/>
      <c r="I224" s="20"/>
      <c r="J224" s="124"/>
      <c r="K224" s="127"/>
      <c r="L224" s="20"/>
      <c r="M224" s="20"/>
      <c r="N224" s="20"/>
      <c r="O224" s="124"/>
      <c r="P224" s="127"/>
      <c r="Q224" s="20"/>
      <c r="R224" s="20"/>
      <c r="S224" s="20"/>
      <c r="T224" s="124"/>
      <c r="U224" s="127"/>
      <c r="V224" s="20"/>
      <c r="W224" s="20"/>
      <c r="X224" s="20"/>
      <c r="Y224" s="20"/>
      <c r="Z224" s="20"/>
      <c r="AA224" s="20"/>
      <c r="AB224" s="20"/>
      <c r="AC224" s="20"/>
      <c r="AD224" s="20"/>
    </row>
    <row r="225" spans="1:30" ht="19.5">
      <c r="A225" s="20"/>
      <c r="B225" s="20"/>
      <c r="C225" s="20"/>
      <c r="D225" s="20"/>
      <c r="E225" s="20"/>
      <c r="F225" s="124"/>
      <c r="G225" s="20"/>
      <c r="H225" s="20"/>
      <c r="I225" s="20"/>
      <c r="J225" s="124"/>
      <c r="K225" s="127"/>
      <c r="L225" s="20"/>
      <c r="M225" s="20"/>
      <c r="N225" s="20"/>
      <c r="O225" s="124"/>
      <c r="P225" s="127"/>
      <c r="Q225" s="20"/>
      <c r="R225" s="20"/>
      <c r="S225" s="20"/>
      <c r="T225" s="124"/>
      <c r="U225" s="127"/>
      <c r="V225" s="20"/>
      <c r="W225" s="20"/>
      <c r="X225" s="20"/>
      <c r="Y225" s="20"/>
      <c r="Z225" s="20"/>
      <c r="AA225" s="20"/>
      <c r="AB225" s="20"/>
      <c r="AC225" s="20"/>
      <c r="AD225" s="20"/>
    </row>
    <row r="226" spans="1:30" ht="19.5">
      <c r="A226" s="20"/>
      <c r="B226" s="20"/>
      <c r="C226" s="20"/>
      <c r="D226" s="20"/>
      <c r="E226" s="20"/>
      <c r="F226" s="124"/>
      <c r="G226" s="20"/>
      <c r="H226" s="20"/>
      <c r="I226" s="20"/>
      <c r="J226" s="124"/>
      <c r="K226" s="127"/>
      <c r="L226" s="20"/>
      <c r="M226" s="20"/>
      <c r="N226" s="20"/>
      <c r="O226" s="124"/>
      <c r="P226" s="127"/>
      <c r="Q226" s="20"/>
      <c r="R226" s="20"/>
      <c r="S226" s="20"/>
      <c r="T226" s="124"/>
      <c r="U226" s="127"/>
      <c r="V226" s="20"/>
      <c r="W226" s="20"/>
      <c r="X226" s="20"/>
      <c r="Y226" s="20"/>
      <c r="Z226" s="20"/>
      <c r="AA226" s="20"/>
      <c r="AB226" s="20"/>
      <c r="AC226" s="20"/>
      <c r="AD226" s="20"/>
    </row>
    <row r="227" spans="1:30" ht="19.5">
      <c r="A227" s="20"/>
      <c r="B227" s="20"/>
      <c r="C227" s="20"/>
      <c r="D227" s="20"/>
      <c r="E227" s="20"/>
      <c r="F227" s="124"/>
      <c r="G227" s="20"/>
      <c r="H227" s="20"/>
      <c r="I227" s="20"/>
      <c r="J227" s="124"/>
      <c r="K227" s="127"/>
      <c r="L227" s="20"/>
      <c r="M227" s="20"/>
      <c r="N227" s="20"/>
      <c r="O227" s="124"/>
      <c r="P227" s="127"/>
      <c r="Q227" s="20"/>
      <c r="R227" s="20"/>
      <c r="S227" s="20"/>
      <c r="T227" s="124"/>
      <c r="U227" s="127"/>
      <c r="V227" s="20"/>
      <c r="W227" s="20"/>
      <c r="X227" s="20"/>
      <c r="Y227" s="20"/>
      <c r="Z227" s="20"/>
      <c r="AA227" s="20"/>
      <c r="AB227" s="20"/>
      <c r="AC227" s="20"/>
      <c r="AD227" s="20"/>
    </row>
    <row r="228" spans="1:30" ht="19.5">
      <c r="A228" s="20"/>
      <c r="B228" s="20"/>
      <c r="C228" s="20"/>
      <c r="D228" s="20"/>
      <c r="E228" s="20"/>
      <c r="F228" s="124"/>
      <c r="G228" s="20"/>
      <c r="H228" s="20"/>
      <c r="I228" s="20"/>
      <c r="J228" s="124"/>
      <c r="K228" s="127"/>
      <c r="L228" s="20"/>
      <c r="M228" s="20"/>
      <c r="N228" s="20"/>
      <c r="O228" s="124"/>
      <c r="P228" s="127"/>
      <c r="Q228" s="20"/>
      <c r="R228" s="20"/>
      <c r="S228" s="20"/>
      <c r="T228" s="124"/>
      <c r="U228" s="127"/>
      <c r="V228" s="20"/>
      <c r="W228" s="20"/>
      <c r="X228" s="20"/>
      <c r="Y228" s="20"/>
      <c r="Z228" s="20"/>
      <c r="AA228" s="20"/>
      <c r="AB228" s="20"/>
      <c r="AC228" s="20"/>
      <c r="AD228" s="20"/>
    </row>
    <row r="229" spans="1:30" ht="19.5">
      <c r="A229" s="20"/>
      <c r="B229" s="20"/>
      <c r="C229" s="20"/>
      <c r="D229" s="20"/>
      <c r="E229" s="20"/>
      <c r="F229" s="124"/>
      <c r="G229" s="20"/>
      <c r="H229" s="20"/>
      <c r="I229" s="20"/>
      <c r="J229" s="124"/>
      <c r="K229" s="127"/>
      <c r="L229" s="20"/>
      <c r="M229" s="20"/>
      <c r="N229" s="20"/>
      <c r="O229" s="124"/>
      <c r="P229" s="127"/>
      <c r="Q229" s="20"/>
      <c r="R229" s="20"/>
      <c r="S229" s="20"/>
      <c r="T229" s="124"/>
      <c r="U229" s="127"/>
      <c r="V229" s="20"/>
      <c r="W229" s="20"/>
      <c r="X229" s="20"/>
      <c r="Y229" s="20"/>
      <c r="Z229" s="20"/>
      <c r="AA229" s="20"/>
      <c r="AB229" s="20"/>
      <c r="AC229" s="20"/>
      <c r="AD229" s="20"/>
    </row>
    <row r="230" spans="1:30" ht="19.5">
      <c r="A230" s="20"/>
      <c r="B230" s="20"/>
      <c r="C230" s="20"/>
      <c r="D230" s="20"/>
      <c r="E230" s="20"/>
      <c r="F230" s="124"/>
      <c r="G230" s="20"/>
      <c r="H230" s="20"/>
      <c r="I230" s="20"/>
      <c r="J230" s="124"/>
      <c r="K230" s="127"/>
      <c r="L230" s="20"/>
      <c r="M230" s="20"/>
      <c r="N230" s="20"/>
      <c r="O230" s="124"/>
      <c r="P230" s="127"/>
      <c r="Q230" s="20"/>
      <c r="R230" s="20"/>
      <c r="S230" s="20"/>
      <c r="T230" s="124"/>
      <c r="U230" s="127"/>
      <c r="V230" s="20"/>
      <c r="W230" s="20"/>
      <c r="X230" s="20"/>
      <c r="Y230" s="20"/>
      <c r="Z230" s="20"/>
      <c r="AA230" s="20"/>
      <c r="AB230" s="20"/>
      <c r="AC230" s="20"/>
      <c r="AD230" s="20"/>
    </row>
    <row r="231" spans="1:30" ht="19.5">
      <c r="A231" s="20"/>
      <c r="B231" s="20"/>
      <c r="C231" s="20"/>
      <c r="D231" s="20"/>
      <c r="E231" s="20"/>
      <c r="F231" s="124"/>
      <c r="G231" s="20"/>
      <c r="H231" s="20"/>
      <c r="I231" s="20"/>
      <c r="J231" s="124"/>
      <c r="K231" s="127"/>
      <c r="L231" s="20"/>
      <c r="M231" s="20"/>
      <c r="N231" s="20"/>
      <c r="O231" s="124"/>
      <c r="P231" s="127"/>
      <c r="Q231" s="20"/>
      <c r="R231" s="20"/>
      <c r="S231" s="20"/>
      <c r="T231" s="124"/>
      <c r="U231" s="127"/>
      <c r="V231" s="20"/>
      <c r="W231" s="20"/>
      <c r="X231" s="20"/>
      <c r="Y231" s="20"/>
      <c r="Z231" s="20"/>
      <c r="AA231" s="20"/>
      <c r="AB231" s="20"/>
      <c r="AC231" s="20"/>
      <c r="AD231" s="20"/>
    </row>
    <row r="232" spans="1:30" ht="19.5">
      <c r="A232" s="20"/>
      <c r="B232" s="20"/>
      <c r="C232" s="20"/>
      <c r="D232" s="20"/>
      <c r="E232" s="20"/>
      <c r="F232" s="124"/>
      <c r="G232" s="20"/>
      <c r="H232" s="20"/>
      <c r="I232" s="20"/>
      <c r="J232" s="124"/>
      <c r="K232" s="127"/>
      <c r="L232" s="20"/>
      <c r="M232" s="20"/>
      <c r="N232" s="20"/>
      <c r="O232" s="124"/>
      <c r="P232" s="127"/>
      <c r="Q232" s="20"/>
      <c r="R232" s="20"/>
      <c r="S232" s="20"/>
      <c r="T232" s="124"/>
      <c r="U232" s="127"/>
      <c r="V232" s="20"/>
      <c r="W232" s="20"/>
      <c r="X232" s="20"/>
      <c r="Y232" s="20"/>
      <c r="Z232" s="20"/>
      <c r="AA232" s="20"/>
      <c r="AB232" s="20"/>
      <c r="AC232" s="20"/>
      <c r="AD232" s="20"/>
    </row>
    <row r="233" spans="1:30" ht="19.5">
      <c r="A233" s="20"/>
      <c r="B233" s="20"/>
      <c r="C233" s="20"/>
      <c r="D233" s="20"/>
      <c r="E233" s="20"/>
      <c r="F233" s="124"/>
      <c r="G233" s="20"/>
      <c r="H233" s="20"/>
      <c r="I233" s="20"/>
      <c r="J233" s="124"/>
      <c r="K233" s="127"/>
      <c r="L233" s="20"/>
      <c r="M233" s="20"/>
      <c r="N233" s="20"/>
      <c r="O233" s="124"/>
      <c r="P233" s="127"/>
      <c r="Q233" s="20"/>
      <c r="R233" s="20"/>
      <c r="S233" s="20"/>
      <c r="T233" s="124"/>
      <c r="U233" s="127"/>
      <c r="V233" s="20"/>
      <c r="W233" s="20"/>
      <c r="X233" s="20"/>
      <c r="Y233" s="20"/>
      <c r="Z233" s="20"/>
      <c r="AA233" s="20"/>
      <c r="AB233" s="20"/>
      <c r="AC233" s="20"/>
      <c r="AD233" s="20"/>
    </row>
    <row r="234" spans="1:30" ht="19.5">
      <c r="A234" s="20"/>
      <c r="B234" s="20"/>
      <c r="C234" s="20"/>
      <c r="D234" s="20"/>
      <c r="E234" s="20"/>
      <c r="F234" s="124"/>
      <c r="G234" s="20"/>
      <c r="H234" s="20"/>
      <c r="I234" s="20"/>
      <c r="J234" s="124"/>
      <c r="K234" s="127"/>
      <c r="L234" s="20"/>
      <c r="M234" s="20"/>
      <c r="N234" s="20"/>
      <c r="O234" s="124"/>
      <c r="P234" s="127"/>
      <c r="Q234" s="20"/>
      <c r="R234" s="20"/>
      <c r="S234" s="20"/>
      <c r="T234" s="124"/>
      <c r="U234" s="127"/>
      <c r="V234" s="20"/>
      <c r="W234" s="20"/>
      <c r="X234" s="20"/>
      <c r="Y234" s="20"/>
      <c r="Z234" s="20"/>
      <c r="AA234" s="20"/>
      <c r="AB234" s="20"/>
      <c r="AC234" s="20"/>
      <c r="AD234" s="20"/>
    </row>
    <row r="235" spans="1:30" ht="19.5">
      <c r="A235" s="20"/>
      <c r="B235" s="20"/>
      <c r="C235" s="20"/>
      <c r="D235" s="20"/>
      <c r="E235" s="20"/>
      <c r="F235" s="124"/>
      <c r="G235" s="20"/>
      <c r="H235" s="20"/>
      <c r="I235" s="20"/>
      <c r="J235" s="124"/>
      <c r="K235" s="127"/>
      <c r="L235" s="20"/>
      <c r="M235" s="20"/>
      <c r="N235" s="20"/>
      <c r="O235" s="124"/>
      <c r="P235" s="127"/>
      <c r="Q235" s="20"/>
      <c r="R235" s="20"/>
      <c r="S235" s="20"/>
      <c r="T235" s="124"/>
      <c r="U235" s="127"/>
      <c r="V235" s="20"/>
      <c r="W235" s="20"/>
      <c r="X235" s="20"/>
      <c r="Y235" s="20"/>
      <c r="Z235" s="20"/>
      <c r="AA235" s="20"/>
      <c r="AB235" s="20"/>
      <c r="AC235" s="20"/>
      <c r="AD235" s="20"/>
    </row>
    <row r="236" spans="1:30" ht="19.5">
      <c r="A236" s="20"/>
      <c r="B236" s="20"/>
      <c r="C236" s="20"/>
      <c r="D236" s="20"/>
      <c r="E236" s="20"/>
      <c r="F236" s="124"/>
      <c r="G236" s="20"/>
      <c r="H236" s="20"/>
      <c r="I236" s="20"/>
      <c r="J236" s="124"/>
      <c r="K236" s="127"/>
      <c r="L236" s="20"/>
      <c r="M236" s="20"/>
      <c r="N236" s="20"/>
      <c r="O236" s="124"/>
      <c r="P236" s="127"/>
      <c r="Q236" s="20"/>
      <c r="R236" s="20"/>
      <c r="S236" s="20"/>
      <c r="T236" s="124"/>
      <c r="U236" s="127"/>
      <c r="V236" s="20"/>
      <c r="W236" s="20"/>
      <c r="X236" s="20"/>
      <c r="Y236" s="20"/>
      <c r="Z236" s="20"/>
      <c r="AA236" s="20"/>
      <c r="AB236" s="20"/>
      <c r="AC236" s="20"/>
      <c r="AD236" s="20"/>
    </row>
    <row r="237" spans="1:30" ht="19.5">
      <c r="A237" s="20"/>
      <c r="B237" s="20"/>
      <c r="C237" s="20"/>
      <c r="D237" s="20"/>
      <c r="E237" s="20"/>
      <c r="F237" s="124"/>
      <c r="G237" s="20"/>
      <c r="H237" s="20"/>
      <c r="I237" s="20"/>
      <c r="J237" s="124"/>
      <c r="K237" s="127"/>
      <c r="L237" s="20"/>
      <c r="M237" s="20"/>
      <c r="N237" s="20"/>
      <c r="O237" s="124"/>
      <c r="P237" s="127"/>
      <c r="Q237" s="20"/>
      <c r="R237" s="20"/>
      <c r="S237" s="20"/>
      <c r="T237" s="124"/>
      <c r="U237" s="127"/>
      <c r="V237" s="20"/>
      <c r="W237" s="20"/>
      <c r="X237" s="20"/>
      <c r="Y237" s="20"/>
      <c r="Z237" s="20"/>
      <c r="AA237" s="20"/>
      <c r="AB237" s="20"/>
      <c r="AC237" s="20"/>
      <c r="AD237" s="20"/>
    </row>
    <row r="238" spans="1:30" ht="19.5">
      <c r="A238" s="20"/>
      <c r="B238" s="20"/>
      <c r="C238" s="20"/>
      <c r="D238" s="20"/>
      <c r="E238" s="20"/>
      <c r="F238" s="124"/>
      <c r="G238" s="20"/>
      <c r="H238" s="20"/>
      <c r="I238" s="20"/>
      <c r="J238" s="124"/>
      <c r="K238" s="127"/>
      <c r="L238" s="20"/>
      <c r="M238" s="20"/>
      <c r="N238" s="20"/>
      <c r="O238" s="124"/>
      <c r="P238" s="127"/>
      <c r="Q238" s="20"/>
      <c r="R238" s="20"/>
      <c r="S238" s="20"/>
      <c r="T238" s="124"/>
      <c r="U238" s="127"/>
      <c r="V238" s="20"/>
      <c r="W238" s="20"/>
      <c r="X238" s="20"/>
      <c r="Y238" s="20"/>
      <c r="Z238" s="20"/>
      <c r="AA238" s="20"/>
      <c r="AB238" s="20"/>
      <c r="AC238" s="20"/>
      <c r="AD238" s="20"/>
    </row>
    <row r="239" spans="1:30" ht="19.5">
      <c r="A239" s="20"/>
      <c r="B239" s="20"/>
      <c r="C239" s="20"/>
      <c r="D239" s="20"/>
      <c r="E239" s="20"/>
      <c r="F239" s="124"/>
      <c r="G239" s="20"/>
      <c r="H239" s="20"/>
      <c r="I239" s="20"/>
      <c r="J239" s="124"/>
      <c r="K239" s="127"/>
      <c r="L239" s="20"/>
      <c r="M239" s="20"/>
      <c r="N239" s="20"/>
      <c r="O239" s="124"/>
      <c r="P239" s="127"/>
      <c r="Q239" s="20"/>
      <c r="R239" s="20"/>
      <c r="S239" s="20"/>
      <c r="T239" s="124"/>
      <c r="U239" s="127"/>
      <c r="V239" s="20"/>
      <c r="W239" s="20"/>
      <c r="X239" s="20"/>
      <c r="Y239" s="20"/>
      <c r="Z239" s="20"/>
      <c r="AA239" s="20"/>
      <c r="AB239" s="20"/>
      <c r="AC239" s="20"/>
      <c r="AD239" s="20"/>
    </row>
    <row r="240" spans="1:30" ht="19.5">
      <c r="A240" s="20"/>
      <c r="B240" s="20"/>
      <c r="C240" s="20"/>
      <c r="D240" s="20"/>
      <c r="E240" s="20"/>
      <c r="F240" s="124"/>
      <c r="G240" s="20"/>
      <c r="H240" s="20"/>
      <c r="I240" s="20"/>
      <c r="J240" s="124"/>
      <c r="K240" s="127"/>
      <c r="L240" s="20"/>
      <c r="M240" s="20"/>
      <c r="N240" s="20"/>
      <c r="O240" s="124"/>
      <c r="P240" s="127"/>
      <c r="Q240" s="20"/>
      <c r="R240" s="20"/>
      <c r="S240" s="20"/>
      <c r="T240" s="124"/>
      <c r="U240" s="127"/>
      <c r="V240" s="20"/>
      <c r="W240" s="20"/>
      <c r="X240" s="20"/>
      <c r="Y240" s="20"/>
      <c r="Z240" s="20"/>
      <c r="AA240" s="20"/>
      <c r="AB240" s="20"/>
      <c r="AC240" s="20"/>
      <c r="AD240" s="20"/>
    </row>
    <row r="241" spans="1:30" ht="19.5">
      <c r="A241" s="20"/>
      <c r="B241" s="20"/>
      <c r="C241" s="20"/>
      <c r="D241" s="20"/>
      <c r="E241" s="20"/>
      <c r="F241" s="124"/>
      <c r="G241" s="20"/>
      <c r="H241" s="20"/>
      <c r="I241" s="20"/>
      <c r="J241" s="124"/>
      <c r="K241" s="127"/>
      <c r="L241" s="20"/>
      <c r="M241" s="20"/>
      <c r="N241" s="20"/>
      <c r="O241" s="124"/>
      <c r="P241" s="127"/>
      <c r="Q241" s="20"/>
      <c r="R241" s="20"/>
      <c r="S241" s="20"/>
      <c r="T241" s="124"/>
      <c r="U241" s="127"/>
      <c r="V241" s="20"/>
      <c r="W241" s="20"/>
      <c r="X241" s="20"/>
      <c r="Y241" s="20"/>
      <c r="Z241" s="20"/>
      <c r="AA241" s="20"/>
      <c r="AB241" s="20"/>
      <c r="AC241" s="20"/>
      <c r="AD241" s="20"/>
    </row>
    <row r="242" spans="1:30" ht="19.5">
      <c r="A242" s="20"/>
      <c r="B242" s="20"/>
      <c r="C242" s="20"/>
      <c r="D242" s="20"/>
      <c r="E242" s="20"/>
      <c r="F242" s="124"/>
      <c r="G242" s="20"/>
      <c r="H242" s="20"/>
      <c r="I242" s="20"/>
      <c r="J242" s="124"/>
      <c r="K242" s="127"/>
      <c r="L242" s="20"/>
      <c r="M242" s="20"/>
      <c r="N242" s="20"/>
      <c r="O242" s="124"/>
      <c r="P242" s="127"/>
      <c r="Q242" s="20"/>
      <c r="R242" s="20"/>
      <c r="S242" s="20"/>
      <c r="T242" s="124"/>
      <c r="U242" s="127"/>
      <c r="V242" s="20"/>
      <c r="W242" s="20"/>
      <c r="X242" s="20"/>
      <c r="Y242" s="20"/>
      <c r="Z242" s="20"/>
      <c r="AA242" s="20"/>
      <c r="AB242" s="20"/>
      <c r="AC242" s="20"/>
      <c r="AD242" s="20"/>
    </row>
    <row r="243" spans="1:30" ht="19.5">
      <c r="A243" s="20"/>
      <c r="B243" s="20"/>
      <c r="C243" s="20"/>
      <c r="D243" s="20"/>
      <c r="E243" s="20"/>
      <c r="F243" s="124"/>
      <c r="G243" s="20"/>
      <c r="H243" s="20"/>
      <c r="I243" s="20"/>
      <c r="J243" s="124"/>
      <c r="K243" s="127"/>
      <c r="L243" s="20"/>
      <c r="M243" s="20"/>
      <c r="N243" s="20"/>
      <c r="O243" s="124"/>
      <c r="P243" s="127"/>
      <c r="Q243" s="20"/>
      <c r="R243" s="20"/>
      <c r="S243" s="20"/>
      <c r="T243" s="124"/>
      <c r="U243" s="127"/>
      <c r="V243" s="20"/>
      <c r="W243" s="20"/>
      <c r="X243" s="20"/>
      <c r="Y243" s="20"/>
      <c r="Z243" s="20"/>
      <c r="AA243" s="20"/>
      <c r="AB243" s="20"/>
      <c r="AC243" s="20"/>
      <c r="AD243" s="20"/>
    </row>
    <row r="244" spans="1:30" ht="19.5">
      <c r="A244" s="20"/>
      <c r="B244" s="20"/>
      <c r="C244" s="20"/>
      <c r="D244" s="20"/>
      <c r="E244" s="20"/>
      <c r="F244" s="124"/>
      <c r="G244" s="20"/>
      <c r="H244" s="20"/>
      <c r="I244" s="20"/>
      <c r="J244" s="124"/>
      <c r="K244" s="127"/>
      <c r="L244" s="20"/>
      <c r="M244" s="20"/>
      <c r="N244" s="20"/>
      <c r="O244" s="124"/>
      <c r="P244" s="127"/>
      <c r="Q244" s="20"/>
      <c r="R244" s="20"/>
      <c r="S244" s="20"/>
      <c r="T244" s="124"/>
      <c r="U244" s="127"/>
      <c r="V244" s="20"/>
      <c r="W244" s="20"/>
      <c r="X244" s="20"/>
      <c r="Y244" s="20"/>
      <c r="Z244" s="20"/>
      <c r="AA244" s="20"/>
      <c r="AB244" s="20"/>
      <c r="AC244" s="20"/>
      <c r="AD244" s="20"/>
    </row>
    <row r="245" spans="1:30" ht="19.5">
      <c r="A245" s="20"/>
      <c r="B245" s="20"/>
      <c r="C245" s="20"/>
      <c r="D245" s="20"/>
      <c r="E245" s="20"/>
      <c r="F245" s="124"/>
      <c r="G245" s="20"/>
      <c r="H245" s="20"/>
      <c r="I245" s="20"/>
      <c r="J245" s="124"/>
      <c r="K245" s="127"/>
      <c r="L245" s="20"/>
      <c r="M245" s="20"/>
      <c r="N245" s="20"/>
      <c r="O245" s="124"/>
      <c r="P245" s="127"/>
      <c r="Q245" s="20"/>
      <c r="R245" s="20"/>
      <c r="S245" s="20"/>
      <c r="T245" s="124"/>
      <c r="U245" s="127"/>
      <c r="V245" s="20"/>
      <c r="W245" s="20"/>
      <c r="X245" s="20"/>
      <c r="Y245" s="20"/>
      <c r="Z245" s="20"/>
      <c r="AA245" s="20"/>
      <c r="AB245" s="20"/>
      <c r="AC245" s="20"/>
      <c r="AD245" s="20"/>
    </row>
    <row r="246" spans="1:30" ht="19.5">
      <c r="A246" s="20"/>
      <c r="B246" s="20"/>
      <c r="C246" s="20"/>
      <c r="D246" s="20"/>
      <c r="E246" s="20"/>
      <c r="F246" s="124"/>
      <c r="G246" s="20"/>
      <c r="H246" s="20"/>
      <c r="I246" s="20"/>
      <c r="J246" s="124"/>
      <c r="K246" s="127"/>
      <c r="L246" s="20"/>
      <c r="M246" s="20"/>
      <c r="N246" s="20"/>
      <c r="O246" s="124"/>
      <c r="P246" s="127"/>
      <c r="Q246" s="20"/>
      <c r="R246" s="20"/>
      <c r="S246" s="20"/>
      <c r="T246" s="124"/>
      <c r="U246" s="127"/>
      <c r="V246" s="20"/>
      <c r="W246" s="20"/>
      <c r="X246" s="20"/>
      <c r="Y246" s="20"/>
      <c r="Z246" s="20"/>
      <c r="AA246" s="20"/>
      <c r="AB246" s="20"/>
      <c r="AC246" s="20"/>
      <c r="AD246" s="20"/>
    </row>
    <row r="247" spans="1:30" ht="19.5">
      <c r="A247" s="20"/>
      <c r="B247" s="20"/>
      <c r="C247" s="20"/>
      <c r="D247" s="20"/>
      <c r="E247" s="20"/>
      <c r="F247" s="124"/>
      <c r="G247" s="20"/>
      <c r="H247" s="20"/>
      <c r="I247" s="20"/>
      <c r="J247" s="124"/>
      <c r="K247" s="127"/>
      <c r="L247" s="20"/>
      <c r="M247" s="20"/>
      <c r="N247" s="20"/>
      <c r="O247" s="124"/>
      <c r="P247" s="127"/>
      <c r="Q247" s="20"/>
      <c r="R247" s="20"/>
      <c r="S247" s="20"/>
      <c r="T247" s="124"/>
      <c r="U247" s="127"/>
      <c r="V247" s="20"/>
      <c r="W247" s="20"/>
      <c r="X247" s="20"/>
      <c r="Y247" s="20"/>
      <c r="Z247" s="20"/>
      <c r="AA247" s="20"/>
      <c r="AB247" s="20"/>
      <c r="AC247" s="20"/>
      <c r="AD247" s="20"/>
    </row>
    <row r="248" spans="1:30" ht="19.5">
      <c r="A248" s="20"/>
      <c r="B248" s="20"/>
      <c r="C248" s="20"/>
      <c r="D248" s="20"/>
      <c r="E248" s="20"/>
      <c r="F248" s="124"/>
      <c r="G248" s="20"/>
      <c r="H248" s="20"/>
      <c r="I248" s="20"/>
      <c r="J248" s="124"/>
      <c r="K248" s="127"/>
      <c r="L248" s="20"/>
      <c r="M248" s="20"/>
      <c r="N248" s="20"/>
      <c r="O248" s="124"/>
      <c r="P248" s="127"/>
      <c r="Q248" s="20"/>
      <c r="R248" s="20"/>
      <c r="S248" s="20"/>
      <c r="T248" s="124"/>
      <c r="U248" s="127"/>
      <c r="V248" s="20"/>
      <c r="W248" s="20"/>
      <c r="X248" s="20"/>
      <c r="Y248" s="20"/>
      <c r="Z248" s="20"/>
      <c r="AA248" s="20"/>
      <c r="AB248" s="20"/>
      <c r="AC248" s="20"/>
      <c r="AD248" s="20"/>
    </row>
    <row r="249" spans="1:30" ht="19.5">
      <c r="A249" s="20"/>
      <c r="B249" s="20"/>
      <c r="C249" s="20"/>
      <c r="D249" s="20"/>
      <c r="E249" s="20"/>
      <c r="F249" s="124"/>
      <c r="G249" s="20"/>
      <c r="H249" s="20"/>
      <c r="I249" s="20"/>
      <c r="J249" s="124"/>
      <c r="K249" s="127"/>
      <c r="L249" s="20"/>
      <c r="M249" s="20"/>
      <c r="N249" s="20"/>
      <c r="O249" s="124"/>
      <c r="P249" s="127"/>
      <c r="Q249" s="20"/>
      <c r="R249" s="20"/>
      <c r="S249" s="20"/>
      <c r="T249" s="124"/>
      <c r="U249" s="127"/>
      <c r="V249" s="20"/>
      <c r="W249" s="20"/>
      <c r="X249" s="20"/>
      <c r="Y249" s="20"/>
      <c r="Z249" s="20"/>
      <c r="AA249" s="20"/>
      <c r="AB249" s="20"/>
      <c r="AC249" s="20"/>
      <c r="AD249" s="20"/>
    </row>
    <row r="250" spans="1:30" ht="19.5">
      <c r="A250" s="20"/>
      <c r="B250" s="20"/>
      <c r="C250" s="20"/>
      <c r="D250" s="20"/>
      <c r="E250" s="20"/>
      <c r="F250" s="124"/>
      <c r="G250" s="20"/>
      <c r="H250" s="20"/>
      <c r="I250" s="20"/>
      <c r="J250" s="124"/>
      <c r="K250" s="127"/>
      <c r="L250" s="20"/>
      <c r="M250" s="20"/>
      <c r="N250" s="20"/>
      <c r="O250" s="124"/>
      <c r="P250" s="127"/>
      <c r="Q250" s="20"/>
      <c r="R250" s="20"/>
      <c r="S250" s="20"/>
      <c r="T250" s="124"/>
      <c r="U250" s="127"/>
      <c r="V250" s="20"/>
      <c r="W250" s="20"/>
      <c r="X250" s="20"/>
      <c r="Y250" s="20"/>
      <c r="Z250" s="20"/>
      <c r="AA250" s="20"/>
      <c r="AB250" s="20"/>
      <c r="AC250" s="20"/>
      <c r="AD250" s="20"/>
    </row>
    <row r="251" spans="1:30" ht="19.5">
      <c r="A251" s="20"/>
      <c r="B251" s="20"/>
      <c r="C251" s="20"/>
      <c r="D251" s="20"/>
      <c r="E251" s="20"/>
      <c r="F251" s="124"/>
      <c r="G251" s="20"/>
      <c r="H251" s="20"/>
      <c r="I251" s="20"/>
      <c r="J251" s="124"/>
      <c r="K251" s="127"/>
      <c r="L251" s="20"/>
      <c r="M251" s="20"/>
      <c r="N251" s="20"/>
      <c r="O251" s="124"/>
      <c r="P251" s="127"/>
      <c r="Q251" s="20"/>
      <c r="R251" s="20"/>
      <c r="S251" s="20"/>
      <c r="T251" s="124"/>
      <c r="U251" s="127"/>
      <c r="V251" s="20"/>
      <c r="W251" s="20"/>
      <c r="X251" s="20"/>
      <c r="Y251" s="20"/>
      <c r="Z251" s="20"/>
      <c r="AA251" s="20"/>
      <c r="AB251" s="20"/>
      <c r="AC251" s="20"/>
      <c r="AD251" s="20"/>
    </row>
    <row r="252" spans="1:30" ht="19.5">
      <c r="A252" s="20"/>
      <c r="B252" s="20"/>
      <c r="C252" s="20"/>
      <c r="D252" s="20"/>
      <c r="E252" s="20"/>
      <c r="F252" s="124"/>
      <c r="G252" s="20"/>
      <c r="H252" s="20"/>
      <c r="I252" s="20"/>
      <c r="J252" s="124"/>
      <c r="K252" s="127"/>
      <c r="L252" s="20"/>
      <c r="M252" s="20"/>
      <c r="N252" s="20"/>
      <c r="O252" s="124"/>
      <c r="P252" s="127"/>
      <c r="Q252" s="20"/>
      <c r="R252" s="20"/>
      <c r="S252" s="20"/>
      <c r="T252" s="124"/>
      <c r="U252" s="127"/>
      <c r="V252" s="20"/>
      <c r="W252" s="20"/>
      <c r="X252" s="20"/>
      <c r="Y252" s="20"/>
      <c r="Z252" s="20"/>
      <c r="AA252" s="20"/>
      <c r="AB252" s="20"/>
      <c r="AC252" s="20"/>
      <c r="AD252" s="20"/>
    </row>
    <row r="253" spans="1:30" ht="19.5">
      <c r="A253" s="20"/>
      <c r="B253" s="20"/>
      <c r="C253" s="20"/>
      <c r="D253" s="20"/>
      <c r="E253" s="20"/>
      <c r="F253" s="124"/>
      <c r="G253" s="20"/>
      <c r="H253" s="20"/>
      <c r="I253" s="20"/>
      <c r="J253" s="124"/>
      <c r="K253" s="127"/>
      <c r="L253" s="20"/>
      <c r="M253" s="20"/>
      <c r="N253" s="20"/>
      <c r="O253" s="124"/>
      <c r="P253" s="127"/>
      <c r="Q253" s="20"/>
      <c r="R253" s="20"/>
      <c r="S253" s="20"/>
      <c r="T253" s="124"/>
      <c r="U253" s="127"/>
      <c r="V253" s="20"/>
      <c r="W253" s="20"/>
      <c r="X253" s="20"/>
      <c r="Y253" s="20"/>
      <c r="Z253" s="20"/>
      <c r="AA253" s="20"/>
      <c r="AB253" s="20"/>
      <c r="AC253" s="20"/>
      <c r="AD253" s="20"/>
    </row>
    <row r="254" spans="1:30" ht="19.5">
      <c r="A254" s="20"/>
      <c r="B254" s="20"/>
      <c r="C254" s="20"/>
      <c r="D254" s="20"/>
      <c r="E254" s="20"/>
      <c r="F254" s="124"/>
      <c r="G254" s="20"/>
      <c r="H254" s="20"/>
      <c r="I254" s="20"/>
      <c r="J254" s="124"/>
      <c r="K254" s="127"/>
      <c r="L254" s="20"/>
      <c r="M254" s="20"/>
      <c r="N254" s="20"/>
      <c r="O254" s="124"/>
      <c r="P254" s="127"/>
      <c r="Q254" s="20"/>
      <c r="R254" s="20"/>
      <c r="S254" s="20"/>
      <c r="T254" s="124"/>
      <c r="U254" s="127"/>
      <c r="V254" s="20"/>
      <c r="W254" s="20"/>
      <c r="X254" s="20"/>
      <c r="Y254" s="20"/>
      <c r="Z254" s="20"/>
      <c r="AA254" s="20"/>
      <c r="AB254" s="20"/>
      <c r="AC254" s="20"/>
      <c r="AD254" s="20"/>
    </row>
    <row r="255" spans="1:30" ht="19.5">
      <c r="A255" s="20"/>
      <c r="B255" s="20"/>
      <c r="C255" s="20"/>
      <c r="D255" s="20"/>
      <c r="E255" s="20"/>
      <c r="F255" s="124"/>
      <c r="G255" s="20"/>
      <c r="H255" s="20"/>
      <c r="I255" s="20"/>
      <c r="J255" s="124"/>
      <c r="K255" s="127"/>
      <c r="L255" s="20"/>
      <c r="M255" s="20"/>
      <c r="N255" s="20"/>
      <c r="O255" s="124"/>
      <c r="P255" s="127"/>
      <c r="Q255" s="20"/>
      <c r="R255" s="20"/>
      <c r="S255" s="20"/>
      <c r="T255" s="124"/>
      <c r="U255" s="127"/>
      <c r="V255" s="20"/>
      <c r="W255" s="20"/>
      <c r="X255" s="20"/>
      <c r="Y255" s="20"/>
      <c r="Z255" s="20"/>
      <c r="AA255" s="20"/>
      <c r="AB255" s="20"/>
      <c r="AC255" s="20"/>
      <c r="AD255" s="20"/>
    </row>
    <row r="256" spans="1:30" ht="19.5">
      <c r="A256" s="20"/>
      <c r="B256" s="20"/>
      <c r="C256" s="20"/>
      <c r="D256" s="20"/>
      <c r="E256" s="20"/>
      <c r="F256" s="124"/>
      <c r="G256" s="20"/>
      <c r="H256" s="20"/>
      <c r="I256" s="20"/>
      <c r="J256" s="124"/>
      <c r="K256" s="127"/>
      <c r="L256" s="20"/>
      <c r="M256" s="20"/>
      <c r="N256" s="20"/>
      <c r="O256" s="124"/>
      <c r="P256" s="127"/>
      <c r="Q256" s="20"/>
      <c r="R256" s="20"/>
      <c r="S256" s="20"/>
      <c r="T256" s="124"/>
      <c r="U256" s="127"/>
      <c r="V256" s="20"/>
      <c r="W256" s="20"/>
      <c r="X256" s="20"/>
      <c r="Y256" s="20"/>
      <c r="Z256" s="20"/>
      <c r="AA256" s="20"/>
      <c r="AB256" s="20"/>
      <c r="AC256" s="20"/>
      <c r="AD256" s="20"/>
    </row>
    <row r="257" spans="1:30" ht="19.5">
      <c r="A257" s="20"/>
      <c r="B257" s="20"/>
      <c r="C257" s="20"/>
      <c r="D257" s="20"/>
      <c r="E257" s="20"/>
      <c r="F257" s="124"/>
      <c r="G257" s="20"/>
      <c r="H257" s="20"/>
      <c r="I257" s="20"/>
      <c r="J257" s="124"/>
      <c r="K257" s="127"/>
      <c r="L257" s="20"/>
      <c r="M257" s="20"/>
      <c r="N257" s="20"/>
      <c r="O257" s="124"/>
      <c r="P257" s="127"/>
      <c r="Q257" s="20"/>
      <c r="R257" s="20"/>
      <c r="S257" s="20"/>
      <c r="T257" s="124"/>
      <c r="U257" s="127"/>
      <c r="V257" s="20"/>
      <c r="W257" s="20"/>
      <c r="X257" s="20"/>
      <c r="Y257" s="20"/>
      <c r="Z257" s="20"/>
      <c r="AA257" s="20"/>
      <c r="AB257" s="20"/>
      <c r="AC257" s="20"/>
      <c r="AD257" s="20"/>
    </row>
    <row r="258" spans="1:30" ht="19.5">
      <c r="A258" s="20"/>
      <c r="B258" s="20"/>
      <c r="C258" s="20"/>
      <c r="D258" s="20"/>
      <c r="E258" s="20"/>
      <c r="F258" s="124"/>
      <c r="G258" s="20"/>
      <c r="H258" s="20"/>
      <c r="I258" s="20"/>
      <c r="J258" s="124"/>
      <c r="K258" s="127"/>
      <c r="L258" s="20"/>
      <c r="M258" s="20"/>
      <c r="N258" s="20"/>
      <c r="O258" s="124"/>
      <c r="P258" s="127"/>
      <c r="Q258" s="20"/>
      <c r="R258" s="20"/>
      <c r="S258" s="20"/>
      <c r="T258" s="124"/>
      <c r="U258" s="127"/>
      <c r="V258" s="20"/>
      <c r="W258" s="20"/>
      <c r="X258" s="20"/>
      <c r="Y258" s="20"/>
      <c r="Z258" s="20"/>
      <c r="AA258" s="20"/>
      <c r="AB258" s="20"/>
      <c r="AC258" s="20"/>
      <c r="AD258" s="20"/>
    </row>
    <row r="259" spans="1:30" ht="19.5">
      <c r="A259" s="20"/>
      <c r="B259" s="20"/>
      <c r="C259" s="20"/>
      <c r="D259" s="20"/>
      <c r="E259" s="20"/>
      <c r="F259" s="124"/>
      <c r="G259" s="20"/>
      <c r="H259" s="20"/>
      <c r="I259" s="20"/>
      <c r="J259" s="124"/>
      <c r="K259" s="127"/>
      <c r="L259" s="20"/>
      <c r="M259" s="20"/>
      <c r="N259" s="20"/>
      <c r="O259" s="124"/>
      <c r="P259" s="127"/>
      <c r="Q259" s="20"/>
      <c r="R259" s="20"/>
      <c r="S259" s="20"/>
      <c r="T259" s="124"/>
      <c r="U259" s="127"/>
      <c r="V259" s="20"/>
      <c r="W259" s="20"/>
      <c r="X259" s="20"/>
      <c r="Y259" s="20"/>
      <c r="Z259" s="20"/>
      <c r="AA259" s="20"/>
      <c r="AB259" s="20"/>
      <c r="AC259" s="20"/>
      <c r="AD259" s="20"/>
    </row>
    <row r="260" spans="1:30" ht="19.5">
      <c r="A260" s="20"/>
      <c r="B260" s="20"/>
      <c r="C260" s="20"/>
      <c r="D260" s="20"/>
      <c r="E260" s="20"/>
      <c r="F260" s="124"/>
      <c r="G260" s="20"/>
      <c r="H260" s="20"/>
      <c r="I260" s="20"/>
      <c r="J260" s="124"/>
      <c r="K260" s="127"/>
      <c r="L260" s="20"/>
      <c r="M260" s="20"/>
      <c r="N260" s="20"/>
      <c r="O260" s="124"/>
      <c r="P260" s="127"/>
      <c r="Q260" s="20"/>
      <c r="R260" s="20"/>
      <c r="S260" s="20"/>
      <c r="T260" s="124"/>
      <c r="U260" s="127"/>
      <c r="V260" s="20"/>
      <c r="W260" s="20"/>
      <c r="X260" s="20"/>
      <c r="Y260" s="20"/>
      <c r="Z260" s="20"/>
      <c r="AA260" s="20"/>
      <c r="AB260" s="20"/>
      <c r="AC260" s="20"/>
      <c r="AD260" s="20"/>
    </row>
    <row r="261" spans="1:30" ht="19.5">
      <c r="A261" s="20"/>
      <c r="B261" s="20"/>
      <c r="C261" s="20"/>
      <c r="D261" s="20"/>
      <c r="E261" s="20"/>
      <c r="F261" s="124"/>
      <c r="G261" s="20"/>
      <c r="H261" s="20"/>
      <c r="I261" s="20"/>
      <c r="J261" s="124"/>
      <c r="K261" s="127"/>
      <c r="L261" s="20"/>
      <c r="M261" s="20"/>
      <c r="N261" s="20"/>
      <c r="O261" s="124"/>
      <c r="P261" s="127"/>
      <c r="Q261" s="20"/>
      <c r="R261" s="20"/>
      <c r="S261" s="20"/>
      <c r="T261" s="124"/>
      <c r="U261" s="127"/>
      <c r="V261" s="20"/>
      <c r="W261" s="20"/>
      <c r="X261" s="20"/>
      <c r="Y261" s="20"/>
      <c r="Z261" s="20"/>
      <c r="AA261" s="20"/>
      <c r="AB261" s="20"/>
      <c r="AC261" s="20"/>
      <c r="AD261" s="20"/>
    </row>
    <row r="262" spans="1:30" ht="19.5">
      <c r="A262" s="20"/>
      <c r="B262" s="20"/>
      <c r="C262" s="20"/>
      <c r="D262" s="20"/>
      <c r="E262" s="20"/>
      <c r="F262" s="124"/>
      <c r="G262" s="20"/>
      <c r="H262" s="20"/>
      <c r="I262" s="20"/>
      <c r="J262" s="124"/>
      <c r="K262" s="127"/>
      <c r="L262" s="20"/>
      <c r="M262" s="20"/>
      <c r="N262" s="20"/>
      <c r="O262" s="124"/>
      <c r="P262" s="127"/>
      <c r="Q262" s="20"/>
      <c r="R262" s="20"/>
      <c r="S262" s="20"/>
      <c r="T262" s="124"/>
      <c r="U262" s="127"/>
      <c r="V262" s="20"/>
      <c r="W262" s="20"/>
      <c r="X262" s="20"/>
      <c r="Y262" s="20"/>
      <c r="Z262" s="20"/>
      <c r="AA262" s="20"/>
      <c r="AB262" s="20"/>
      <c r="AC262" s="20"/>
      <c r="AD262" s="20"/>
    </row>
    <row r="263" spans="1:30" ht="19.5">
      <c r="A263" s="20"/>
      <c r="B263" s="20"/>
      <c r="C263" s="20"/>
      <c r="D263" s="20"/>
      <c r="E263" s="20"/>
      <c r="F263" s="124"/>
      <c r="G263" s="20"/>
      <c r="H263" s="20"/>
      <c r="I263" s="20"/>
      <c r="J263" s="124"/>
      <c r="K263" s="127"/>
      <c r="L263" s="20"/>
      <c r="M263" s="20"/>
      <c r="N263" s="20"/>
      <c r="O263" s="124"/>
      <c r="P263" s="127"/>
      <c r="Q263" s="20"/>
      <c r="R263" s="20"/>
      <c r="S263" s="20"/>
      <c r="T263" s="124"/>
      <c r="U263" s="127"/>
      <c r="V263" s="20"/>
      <c r="W263" s="20"/>
      <c r="X263" s="20"/>
      <c r="Y263" s="20"/>
      <c r="Z263" s="20"/>
      <c r="AA263" s="20"/>
      <c r="AB263" s="20"/>
      <c r="AC263" s="20"/>
      <c r="AD263" s="20"/>
    </row>
    <row r="264" spans="1:30" ht="19.5">
      <c r="A264" s="20"/>
      <c r="B264" s="20"/>
      <c r="C264" s="20"/>
      <c r="D264" s="20"/>
      <c r="E264" s="20"/>
      <c r="F264" s="124"/>
      <c r="G264" s="20"/>
      <c r="H264" s="20"/>
      <c r="I264" s="20"/>
      <c r="J264" s="124"/>
      <c r="K264" s="127"/>
      <c r="L264" s="20"/>
      <c r="M264" s="20"/>
      <c r="N264" s="20"/>
      <c r="O264" s="124"/>
      <c r="P264" s="127"/>
      <c r="Q264" s="20"/>
      <c r="R264" s="20"/>
      <c r="S264" s="20"/>
      <c r="T264" s="124"/>
      <c r="U264" s="127"/>
      <c r="V264" s="20"/>
      <c r="W264" s="20"/>
      <c r="X264" s="20"/>
      <c r="Y264" s="20"/>
      <c r="Z264" s="20"/>
      <c r="AA264" s="20"/>
      <c r="AB264" s="20"/>
      <c r="AC264" s="20"/>
      <c r="AD264" s="20"/>
    </row>
    <row r="265" spans="1:30" ht="19.5">
      <c r="A265" s="20"/>
      <c r="B265" s="20"/>
      <c r="C265" s="20"/>
      <c r="D265" s="20"/>
      <c r="E265" s="20"/>
      <c r="F265" s="124"/>
      <c r="G265" s="20"/>
      <c r="H265" s="20"/>
      <c r="I265" s="20"/>
      <c r="J265" s="124"/>
      <c r="K265" s="127"/>
      <c r="L265" s="20"/>
      <c r="M265" s="20"/>
      <c r="N265" s="20"/>
      <c r="O265" s="124"/>
      <c r="P265" s="127"/>
      <c r="Q265" s="20"/>
      <c r="R265" s="20"/>
      <c r="S265" s="20"/>
      <c r="T265" s="124"/>
      <c r="U265" s="127"/>
      <c r="V265" s="20"/>
      <c r="W265" s="20"/>
      <c r="X265" s="20"/>
      <c r="Y265" s="20"/>
      <c r="Z265" s="20"/>
      <c r="AA265" s="20"/>
      <c r="AB265" s="20"/>
      <c r="AC265" s="20"/>
      <c r="AD265" s="20"/>
    </row>
    <row r="266" spans="1:30" ht="19.5">
      <c r="A266" s="20"/>
      <c r="B266" s="20"/>
      <c r="C266" s="20"/>
      <c r="D266" s="20"/>
      <c r="E266" s="20"/>
      <c r="F266" s="124"/>
      <c r="G266" s="20"/>
      <c r="H266" s="20"/>
      <c r="I266" s="20"/>
      <c r="J266" s="124"/>
      <c r="K266" s="127"/>
      <c r="L266" s="20"/>
      <c r="M266" s="20"/>
      <c r="N266" s="20"/>
      <c r="O266" s="124"/>
      <c r="P266" s="127"/>
      <c r="Q266" s="20"/>
      <c r="R266" s="20"/>
      <c r="S266" s="20"/>
      <c r="T266" s="124"/>
      <c r="U266" s="127"/>
      <c r="V266" s="20"/>
      <c r="W266" s="20"/>
      <c r="X266" s="20"/>
      <c r="Y266" s="20"/>
      <c r="Z266" s="20"/>
      <c r="AA266" s="20"/>
      <c r="AB266" s="20"/>
      <c r="AC266" s="20"/>
      <c r="AD266" s="20"/>
    </row>
    <row r="267" spans="1:30" ht="19.5">
      <c r="A267" s="20"/>
      <c r="B267" s="20"/>
      <c r="C267" s="20"/>
      <c r="D267" s="20"/>
      <c r="E267" s="20"/>
      <c r="F267" s="124"/>
      <c r="G267" s="20"/>
      <c r="H267" s="20"/>
      <c r="I267" s="20"/>
      <c r="J267" s="124"/>
      <c r="K267" s="127"/>
      <c r="L267" s="20"/>
      <c r="M267" s="20"/>
      <c r="N267" s="20"/>
      <c r="O267" s="124"/>
      <c r="P267" s="127"/>
      <c r="Q267" s="20"/>
      <c r="R267" s="20"/>
      <c r="S267" s="20"/>
      <c r="T267" s="124"/>
      <c r="U267" s="127"/>
      <c r="V267" s="20"/>
      <c r="W267" s="20"/>
      <c r="X267" s="20"/>
      <c r="Y267" s="20"/>
      <c r="Z267" s="20"/>
      <c r="AA267" s="20"/>
      <c r="AB267" s="20"/>
      <c r="AC267" s="20"/>
      <c r="AD267" s="20"/>
    </row>
    <row r="268" spans="1:30" ht="19.5">
      <c r="A268" s="20"/>
      <c r="B268" s="20"/>
      <c r="C268" s="20"/>
      <c r="D268" s="20"/>
      <c r="E268" s="20"/>
      <c r="F268" s="124"/>
      <c r="G268" s="20"/>
      <c r="H268" s="20"/>
      <c r="I268" s="20"/>
      <c r="J268" s="124"/>
      <c r="K268" s="127"/>
      <c r="L268" s="20"/>
      <c r="M268" s="20"/>
      <c r="N268" s="20"/>
      <c r="O268" s="124"/>
      <c r="P268" s="127"/>
      <c r="Q268" s="20"/>
      <c r="R268" s="20"/>
      <c r="S268" s="20"/>
      <c r="T268" s="124"/>
      <c r="U268" s="127"/>
      <c r="V268" s="20"/>
      <c r="W268" s="20"/>
      <c r="X268" s="20"/>
      <c r="Y268" s="20"/>
      <c r="Z268" s="20"/>
      <c r="AA268" s="20"/>
      <c r="AB268" s="20"/>
      <c r="AC268" s="20"/>
      <c r="AD268" s="20"/>
    </row>
    <row r="269" spans="1:30" ht="19.5">
      <c r="A269" s="20"/>
      <c r="B269" s="20"/>
      <c r="C269" s="20"/>
      <c r="D269" s="20"/>
      <c r="E269" s="20"/>
      <c r="F269" s="124"/>
      <c r="G269" s="20"/>
      <c r="H269" s="20"/>
      <c r="I269" s="20"/>
      <c r="J269" s="124"/>
      <c r="K269" s="127"/>
      <c r="L269" s="20"/>
      <c r="M269" s="20"/>
      <c r="N269" s="20"/>
      <c r="O269" s="124"/>
      <c r="P269" s="127"/>
      <c r="Q269" s="20"/>
      <c r="R269" s="20"/>
      <c r="S269" s="20"/>
      <c r="T269" s="124"/>
      <c r="U269" s="127"/>
      <c r="V269" s="20"/>
      <c r="W269" s="20"/>
      <c r="X269" s="20"/>
      <c r="Y269" s="20"/>
      <c r="Z269" s="20"/>
      <c r="AA269" s="20"/>
      <c r="AB269" s="20"/>
      <c r="AC269" s="20"/>
      <c r="AD269" s="20"/>
    </row>
    <row r="270" spans="1:30" ht="19.5">
      <c r="A270" s="20"/>
      <c r="B270" s="20"/>
      <c r="C270" s="20"/>
      <c r="D270" s="20"/>
      <c r="E270" s="20"/>
      <c r="F270" s="124"/>
      <c r="G270" s="20"/>
      <c r="H270" s="20"/>
      <c r="I270" s="20"/>
      <c r="J270" s="124"/>
      <c r="K270" s="127"/>
      <c r="L270" s="20"/>
      <c r="M270" s="20"/>
      <c r="N270" s="20"/>
      <c r="O270" s="124"/>
      <c r="P270" s="127"/>
      <c r="Q270" s="20"/>
      <c r="R270" s="20"/>
      <c r="S270" s="20"/>
      <c r="T270" s="124"/>
      <c r="U270" s="127"/>
      <c r="V270" s="20"/>
      <c r="W270" s="20"/>
      <c r="X270" s="20"/>
      <c r="Y270" s="20"/>
      <c r="Z270" s="20"/>
      <c r="AA270" s="20"/>
      <c r="AB270" s="20"/>
      <c r="AC270" s="20"/>
      <c r="AD270" s="20"/>
    </row>
    <row r="271" spans="1:30" ht="19.5">
      <c r="A271" s="20"/>
      <c r="B271" s="20"/>
      <c r="C271" s="20"/>
      <c r="D271" s="20"/>
      <c r="E271" s="20"/>
      <c r="F271" s="124"/>
      <c r="G271" s="20"/>
      <c r="H271" s="20"/>
      <c r="I271" s="20"/>
      <c r="J271" s="124"/>
      <c r="K271" s="127"/>
      <c r="L271" s="20"/>
      <c r="M271" s="20"/>
      <c r="N271" s="20"/>
      <c r="O271" s="124"/>
      <c r="P271" s="127"/>
      <c r="Q271" s="20"/>
      <c r="R271" s="20"/>
      <c r="S271" s="20"/>
      <c r="T271" s="124"/>
      <c r="U271" s="127"/>
      <c r="V271" s="20"/>
      <c r="W271" s="20"/>
      <c r="X271" s="20"/>
      <c r="Y271" s="20"/>
      <c r="Z271" s="20"/>
      <c r="AA271" s="20"/>
      <c r="AB271" s="20"/>
      <c r="AC271" s="20"/>
      <c r="AD271" s="20"/>
    </row>
    <row r="272" spans="1:30" ht="19.5">
      <c r="A272" s="20"/>
      <c r="B272" s="20"/>
      <c r="C272" s="20"/>
      <c r="D272" s="20"/>
      <c r="E272" s="20"/>
      <c r="F272" s="124"/>
      <c r="G272" s="20"/>
      <c r="H272" s="20"/>
      <c r="I272" s="20"/>
      <c r="J272" s="124"/>
      <c r="K272" s="127"/>
      <c r="L272" s="20"/>
      <c r="M272" s="20"/>
      <c r="N272" s="20"/>
      <c r="O272" s="124"/>
      <c r="P272" s="127"/>
      <c r="Q272" s="20"/>
      <c r="R272" s="20"/>
      <c r="S272" s="20"/>
      <c r="T272" s="124"/>
      <c r="U272" s="127"/>
      <c r="V272" s="20"/>
      <c r="W272" s="20"/>
      <c r="X272" s="20"/>
      <c r="Y272" s="20"/>
      <c r="Z272" s="20"/>
      <c r="AA272" s="20"/>
      <c r="AB272" s="20"/>
      <c r="AC272" s="20"/>
      <c r="AD272" s="20"/>
    </row>
    <row r="273" spans="1:30" ht="19.5">
      <c r="A273" s="20"/>
      <c r="B273" s="20"/>
      <c r="C273" s="20"/>
      <c r="D273" s="20"/>
      <c r="E273" s="20"/>
      <c r="F273" s="124"/>
      <c r="G273" s="20"/>
      <c r="H273" s="20"/>
      <c r="I273" s="20"/>
      <c r="J273" s="124"/>
      <c r="K273" s="127"/>
      <c r="L273" s="20"/>
      <c r="M273" s="20"/>
      <c r="N273" s="20"/>
      <c r="O273" s="124"/>
      <c r="P273" s="127"/>
      <c r="Q273" s="20"/>
      <c r="R273" s="20"/>
      <c r="S273" s="20"/>
      <c r="T273" s="124"/>
      <c r="U273" s="127"/>
      <c r="V273" s="20"/>
      <c r="W273" s="20"/>
      <c r="X273" s="20"/>
      <c r="Y273" s="20"/>
      <c r="Z273" s="20"/>
      <c r="AA273" s="20"/>
      <c r="AB273" s="20"/>
      <c r="AC273" s="20"/>
      <c r="AD273" s="20"/>
    </row>
    <row r="274" spans="1:30" ht="19.5">
      <c r="A274" s="20"/>
      <c r="B274" s="20"/>
      <c r="C274" s="20"/>
      <c r="D274" s="20"/>
      <c r="E274" s="20"/>
      <c r="F274" s="124"/>
      <c r="G274" s="20"/>
      <c r="H274" s="20"/>
      <c r="I274" s="20"/>
      <c r="J274" s="124"/>
      <c r="K274" s="127"/>
      <c r="L274" s="20"/>
      <c r="M274" s="20"/>
      <c r="N274" s="20"/>
      <c r="O274" s="124"/>
      <c r="P274" s="127"/>
      <c r="Q274" s="20"/>
      <c r="R274" s="20"/>
      <c r="S274" s="20"/>
      <c r="T274" s="124"/>
      <c r="U274" s="127"/>
      <c r="V274" s="20"/>
      <c r="W274" s="20"/>
      <c r="X274" s="20"/>
      <c r="Y274" s="20"/>
      <c r="Z274" s="20"/>
      <c r="AA274" s="20"/>
      <c r="AB274" s="20"/>
      <c r="AC274" s="20"/>
      <c r="AD274" s="20"/>
    </row>
    <row r="275" spans="1:30" ht="19.5">
      <c r="A275" s="20"/>
      <c r="B275" s="20"/>
      <c r="C275" s="20"/>
      <c r="D275" s="20"/>
      <c r="E275" s="20"/>
      <c r="F275" s="124"/>
      <c r="G275" s="20"/>
      <c r="H275" s="20"/>
      <c r="I275" s="20"/>
      <c r="J275" s="124"/>
      <c r="K275" s="127"/>
      <c r="L275" s="20"/>
      <c r="M275" s="20"/>
      <c r="N275" s="20"/>
      <c r="O275" s="124"/>
      <c r="P275" s="127"/>
      <c r="Q275" s="20"/>
      <c r="R275" s="20"/>
      <c r="S275" s="20"/>
      <c r="T275" s="124"/>
      <c r="U275" s="127"/>
      <c r="V275" s="20"/>
      <c r="W275" s="20"/>
      <c r="X275" s="20"/>
      <c r="Y275" s="20"/>
      <c r="Z275" s="20"/>
      <c r="AA275" s="20"/>
      <c r="AB275" s="20"/>
      <c r="AC275" s="20"/>
      <c r="AD275" s="20"/>
    </row>
    <row r="276" spans="1:30" ht="19.5">
      <c r="A276" s="20"/>
      <c r="B276" s="20"/>
      <c r="C276" s="20"/>
      <c r="D276" s="20"/>
      <c r="E276" s="20"/>
      <c r="F276" s="124"/>
      <c r="G276" s="20"/>
      <c r="H276" s="20"/>
      <c r="I276" s="20"/>
      <c r="J276" s="124"/>
      <c r="K276" s="127"/>
      <c r="L276" s="20"/>
      <c r="M276" s="20"/>
      <c r="N276" s="20"/>
      <c r="O276" s="124"/>
      <c r="P276" s="127"/>
      <c r="Q276" s="20"/>
      <c r="R276" s="20"/>
      <c r="S276" s="20"/>
      <c r="T276" s="124"/>
      <c r="U276" s="127"/>
      <c r="V276" s="20"/>
      <c r="W276" s="20"/>
      <c r="X276" s="20"/>
      <c r="Y276" s="20"/>
      <c r="Z276" s="20"/>
      <c r="AA276" s="20"/>
      <c r="AB276" s="20"/>
      <c r="AC276" s="20"/>
      <c r="AD276" s="20"/>
    </row>
    <row r="277" spans="1:30" ht="19.5">
      <c r="A277" s="20"/>
      <c r="B277" s="20"/>
      <c r="C277" s="20"/>
      <c r="D277" s="20"/>
      <c r="E277" s="20"/>
      <c r="F277" s="124"/>
      <c r="G277" s="20"/>
      <c r="H277" s="20"/>
      <c r="I277" s="20"/>
      <c r="J277" s="124"/>
      <c r="K277" s="127"/>
      <c r="L277" s="20"/>
      <c r="M277" s="20"/>
      <c r="N277" s="20"/>
      <c r="O277" s="124"/>
      <c r="P277" s="127"/>
      <c r="Q277" s="20"/>
      <c r="R277" s="20"/>
      <c r="S277" s="20"/>
      <c r="T277" s="124"/>
      <c r="U277" s="127"/>
      <c r="V277" s="20"/>
      <c r="W277" s="20"/>
      <c r="X277" s="20"/>
      <c r="Y277" s="20"/>
      <c r="Z277" s="20"/>
      <c r="AA277" s="20"/>
      <c r="AB277" s="20"/>
      <c r="AC277" s="20"/>
      <c r="AD277" s="20"/>
    </row>
    <row r="278" spans="1:30" ht="19.5">
      <c r="A278" s="20"/>
      <c r="B278" s="20"/>
      <c r="C278" s="20"/>
      <c r="D278" s="20"/>
      <c r="E278" s="20"/>
      <c r="F278" s="124"/>
      <c r="G278" s="20"/>
      <c r="H278" s="20"/>
      <c r="I278" s="20"/>
      <c r="J278" s="124"/>
      <c r="K278" s="127"/>
      <c r="L278" s="20"/>
      <c r="M278" s="20"/>
      <c r="N278" s="20"/>
      <c r="O278" s="124"/>
      <c r="P278" s="127"/>
      <c r="Q278" s="20"/>
      <c r="R278" s="20"/>
      <c r="S278" s="20"/>
      <c r="T278" s="124"/>
      <c r="U278" s="127"/>
      <c r="V278" s="20"/>
      <c r="W278" s="20"/>
      <c r="X278" s="20"/>
      <c r="Y278" s="20"/>
      <c r="Z278" s="20"/>
      <c r="AA278" s="20"/>
      <c r="AB278" s="20"/>
      <c r="AC278" s="20"/>
      <c r="AD278" s="20"/>
    </row>
    <row r="279" spans="1:30" ht="19.5">
      <c r="A279" s="20"/>
      <c r="B279" s="20"/>
      <c r="C279" s="20"/>
      <c r="D279" s="20"/>
      <c r="E279" s="20"/>
      <c r="F279" s="124"/>
      <c r="G279" s="20"/>
      <c r="H279" s="20"/>
      <c r="I279" s="20"/>
      <c r="J279" s="124"/>
      <c r="K279" s="127"/>
      <c r="L279" s="20"/>
      <c r="M279" s="20"/>
      <c r="N279" s="20"/>
      <c r="O279" s="124"/>
      <c r="P279" s="127"/>
      <c r="Q279" s="20"/>
      <c r="R279" s="20"/>
      <c r="S279" s="20"/>
      <c r="T279" s="124"/>
      <c r="U279" s="127"/>
      <c r="V279" s="20"/>
      <c r="W279" s="20"/>
      <c r="X279" s="20"/>
      <c r="Y279" s="20"/>
      <c r="Z279" s="20"/>
      <c r="AA279" s="20"/>
      <c r="AB279" s="20"/>
      <c r="AC279" s="20"/>
      <c r="AD279" s="20"/>
    </row>
    <row r="280" spans="1:30" ht="19.5">
      <c r="A280" s="20"/>
      <c r="B280" s="20"/>
      <c r="C280" s="20"/>
      <c r="D280" s="20"/>
      <c r="E280" s="20"/>
      <c r="F280" s="124"/>
      <c r="G280" s="20"/>
      <c r="H280" s="20"/>
      <c r="I280" s="20"/>
      <c r="J280" s="124"/>
      <c r="K280" s="127"/>
      <c r="L280" s="20"/>
      <c r="M280" s="20"/>
      <c r="N280" s="20"/>
      <c r="O280" s="124"/>
      <c r="P280" s="127"/>
      <c r="Q280" s="20"/>
      <c r="R280" s="20"/>
      <c r="S280" s="20"/>
      <c r="T280" s="124"/>
      <c r="U280" s="127"/>
      <c r="V280" s="20"/>
      <c r="W280" s="20"/>
      <c r="X280" s="20"/>
      <c r="Y280" s="20"/>
      <c r="Z280" s="20"/>
      <c r="AA280" s="20"/>
      <c r="AB280" s="20"/>
      <c r="AC280" s="20"/>
      <c r="AD280" s="20"/>
    </row>
    <row r="281" spans="1:30" ht="19.5">
      <c r="A281" s="20"/>
      <c r="B281" s="20"/>
      <c r="C281" s="20"/>
      <c r="D281" s="20"/>
      <c r="E281" s="20"/>
      <c r="F281" s="124"/>
      <c r="G281" s="20"/>
      <c r="H281" s="20"/>
      <c r="I281" s="20"/>
      <c r="J281" s="124"/>
      <c r="K281" s="127"/>
      <c r="L281" s="20"/>
      <c r="M281" s="20"/>
      <c r="N281" s="20"/>
      <c r="O281" s="124"/>
      <c r="P281" s="127"/>
      <c r="Q281" s="20"/>
      <c r="R281" s="20"/>
      <c r="S281" s="20"/>
      <c r="T281" s="124"/>
      <c r="U281" s="127"/>
      <c r="V281" s="20"/>
      <c r="W281" s="20"/>
      <c r="X281" s="20"/>
      <c r="Y281" s="20"/>
      <c r="Z281" s="20"/>
      <c r="AA281" s="20"/>
      <c r="AB281" s="20"/>
      <c r="AC281" s="20"/>
      <c r="AD281" s="20"/>
    </row>
    <row r="282" spans="1:30" ht="19.5">
      <c r="A282" s="20"/>
      <c r="B282" s="20"/>
      <c r="C282" s="20"/>
      <c r="D282" s="20"/>
      <c r="E282" s="20"/>
      <c r="F282" s="124"/>
      <c r="G282" s="20"/>
      <c r="H282" s="20"/>
      <c r="I282" s="20"/>
      <c r="J282" s="124"/>
      <c r="K282" s="127"/>
      <c r="L282" s="20"/>
      <c r="M282" s="20"/>
      <c r="N282" s="20"/>
      <c r="O282" s="124"/>
      <c r="P282" s="127"/>
      <c r="Q282" s="20"/>
      <c r="R282" s="20"/>
      <c r="S282" s="20"/>
      <c r="T282" s="124"/>
      <c r="U282" s="127"/>
      <c r="V282" s="20"/>
      <c r="W282" s="20"/>
      <c r="X282" s="20"/>
      <c r="Y282" s="20"/>
      <c r="Z282" s="20"/>
      <c r="AA282" s="20"/>
      <c r="AB282" s="20"/>
      <c r="AC282" s="20"/>
      <c r="AD282" s="20"/>
    </row>
    <row r="283" spans="1:30" ht="19.5">
      <c r="A283" s="20"/>
      <c r="B283" s="20"/>
      <c r="C283" s="20"/>
      <c r="D283" s="20"/>
      <c r="E283" s="20"/>
      <c r="F283" s="124"/>
      <c r="G283" s="20"/>
      <c r="H283" s="20"/>
      <c r="I283" s="20"/>
      <c r="J283" s="124"/>
      <c r="K283" s="127"/>
      <c r="L283" s="20"/>
      <c r="M283" s="20"/>
      <c r="N283" s="20"/>
      <c r="O283" s="124"/>
      <c r="P283" s="127"/>
      <c r="Q283" s="20"/>
      <c r="R283" s="20"/>
      <c r="S283" s="20"/>
      <c r="T283" s="124"/>
      <c r="U283" s="127"/>
      <c r="V283" s="20"/>
      <c r="W283" s="20"/>
      <c r="X283" s="20"/>
      <c r="Y283" s="20"/>
      <c r="Z283" s="20"/>
      <c r="AA283" s="20"/>
      <c r="AB283" s="20"/>
      <c r="AC283" s="20"/>
      <c r="AD283" s="20"/>
    </row>
    <row r="284" spans="1:30" ht="19.5">
      <c r="A284" s="20"/>
      <c r="B284" s="20"/>
      <c r="C284" s="20"/>
      <c r="D284" s="20"/>
      <c r="E284" s="20"/>
      <c r="F284" s="124"/>
      <c r="G284" s="20"/>
      <c r="H284" s="20"/>
      <c r="I284" s="20"/>
      <c r="J284" s="124"/>
      <c r="K284" s="127"/>
      <c r="L284" s="20"/>
      <c r="M284" s="20"/>
      <c r="N284" s="20"/>
      <c r="O284" s="124"/>
      <c r="P284" s="127"/>
      <c r="Q284" s="20"/>
      <c r="R284" s="20"/>
      <c r="S284" s="20"/>
      <c r="T284" s="124"/>
      <c r="U284" s="127"/>
      <c r="V284" s="20"/>
      <c r="W284" s="20"/>
      <c r="X284" s="20"/>
      <c r="Y284" s="20"/>
      <c r="Z284" s="20"/>
      <c r="AA284" s="20"/>
      <c r="AB284" s="20"/>
      <c r="AC284" s="20"/>
      <c r="AD284" s="20"/>
    </row>
    <row r="285" spans="1:30" ht="19.5">
      <c r="A285" s="20"/>
      <c r="B285" s="20"/>
      <c r="C285" s="20"/>
      <c r="D285" s="20"/>
      <c r="E285" s="20"/>
      <c r="F285" s="124"/>
      <c r="G285" s="20"/>
      <c r="H285" s="20"/>
      <c r="I285" s="20"/>
      <c r="J285" s="124"/>
      <c r="K285" s="127"/>
      <c r="L285" s="20"/>
      <c r="M285" s="20"/>
      <c r="N285" s="20"/>
      <c r="O285" s="124"/>
      <c r="P285" s="127"/>
      <c r="Q285" s="20"/>
      <c r="R285" s="20"/>
      <c r="S285" s="20"/>
      <c r="T285" s="124"/>
      <c r="U285" s="127"/>
      <c r="V285" s="20"/>
      <c r="W285" s="20"/>
      <c r="X285" s="20"/>
      <c r="Y285" s="20"/>
      <c r="Z285" s="20"/>
      <c r="AA285" s="20"/>
      <c r="AB285" s="20"/>
      <c r="AC285" s="20"/>
      <c r="AD285" s="20"/>
    </row>
    <row r="286" spans="1:30" ht="19.5">
      <c r="A286" s="20"/>
      <c r="B286" s="20"/>
      <c r="C286" s="20"/>
      <c r="D286" s="20"/>
      <c r="E286" s="20"/>
      <c r="F286" s="124"/>
      <c r="G286" s="20"/>
      <c r="H286" s="20"/>
      <c r="I286" s="20"/>
      <c r="J286" s="124"/>
      <c r="K286" s="127"/>
      <c r="L286" s="20"/>
      <c r="M286" s="20"/>
      <c r="N286" s="20"/>
      <c r="O286" s="124"/>
      <c r="P286" s="127"/>
      <c r="Q286" s="20"/>
      <c r="R286" s="20"/>
      <c r="S286" s="20"/>
      <c r="T286" s="124"/>
      <c r="U286" s="127"/>
      <c r="V286" s="20"/>
      <c r="W286" s="20"/>
      <c r="X286" s="20"/>
      <c r="Y286" s="20"/>
      <c r="Z286" s="20"/>
      <c r="AA286" s="20"/>
      <c r="AB286" s="20"/>
      <c r="AC286" s="20"/>
      <c r="AD286" s="20"/>
    </row>
    <row r="287" spans="1:30" ht="19.5">
      <c r="A287" s="20"/>
      <c r="B287" s="20"/>
      <c r="C287" s="20"/>
      <c r="D287" s="20"/>
      <c r="E287" s="20"/>
      <c r="F287" s="124"/>
      <c r="G287" s="20"/>
      <c r="H287" s="20"/>
      <c r="I287" s="20"/>
      <c r="J287" s="124"/>
      <c r="K287" s="127"/>
      <c r="L287" s="20"/>
      <c r="M287" s="20"/>
      <c r="N287" s="20"/>
      <c r="O287" s="124"/>
      <c r="P287" s="127"/>
      <c r="Q287" s="20"/>
      <c r="R287" s="20"/>
      <c r="S287" s="20"/>
      <c r="T287" s="124"/>
      <c r="U287" s="127"/>
      <c r="V287" s="20"/>
      <c r="W287" s="20"/>
      <c r="X287" s="20"/>
      <c r="Y287" s="20"/>
      <c r="Z287" s="20"/>
      <c r="AA287" s="20"/>
      <c r="AB287" s="20"/>
      <c r="AC287" s="20"/>
      <c r="AD287" s="20"/>
    </row>
    <row r="288" spans="1:30" ht="19.5">
      <c r="A288" s="20"/>
      <c r="B288" s="20"/>
      <c r="C288" s="20"/>
      <c r="D288" s="20"/>
      <c r="E288" s="20"/>
      <c r="F288" s="124"/>
      <c r="G288" s="20"/>
      <c r="H288" s="20"/>
      <c r="I288" s="20"/>
      <c r="J288" s="124"/>
      <c r="K288" s="127"/>
      <c r="L288" s="20"/>
      <c r="M288" s="20"/>
      <c r="N288" s="20"/>
      <c r="O288" s="124"/>
      <c r="P288" s="127"/>
      <c r="Q288" s="20"/>
      <c r="R288" s="20"/>
      <c r="S288" s="20"/>
      <c r="T288" s="124"/>
      <c r="U288" s="127"/>
      <c r="V288" s="20"/>
      <c r="W288" s="20"/>
      <c r="X288" s="20"/>
      <c r="Y288" s="20"/>
      <c r="Z288" s="20"/>
      <c r="AA288" s="20"/>
      <c r="AB288" s="20"/>
      <c r="AC288" s="20"/>
      <c r="AD288" s="20"/>
    </row>
    <row r="289" spans="1:30" ht="19.5">
      <c r="A289" s="20"/>
      <c r="B289" s="20"/>
      <c r="C289" s="20"/>
      <c r="D289" s="20"/>
      <c r="E289" s="20"/>
      <c r="F289" s="124"/>
      <c r="G289" s="20"/>
      <c r="H289" s="20"/>
      <c r="I289" s="20"/>
      <c r="J289" s="124"/>
      <c r="K289" s="127"/>
      <c r="L289" s="20"/>
      <c r="M289" s="20"/>
      <c r="N289" s="20"/>
      <c r="O289" s="124"/>
      <c r="P289" s="127"/>
      <c r="Q289" s="20"/>
      <c r="R289" s="20"/>
      <c r="S289" s="20"/>
      <c r="T289" s="124"/>
      <c r="U289" s="127"/>
      <c r="V289" s="20"/>
      <c r="W289" s="20"/>
      <c r="X289" s="20"/>
      <c r="Y289" s="20"/>
      <c r="Z289" s="20"/>
      <c r="AA289" s="20"/>
      <c r="AB289" s="20"/>
      <c r="AC289" s="20"/>
      <c r="AD289" s="20"/>
    </row>
    <row r="290" spans="1:30" ht="19.5">
      <c r="A290" s="20"/>
      <c r="B290" s="20"/>
      <c r="C290" s="20"/>
      <c r="D290" s="20"/>
      <c r="E290" s="20"/>
      <c r="F290" s="124"/>
      <c r="G290" s="20"/>
      <c r="H290" s="20"/>
      <c r="I290" s="20"/>
      <c r="J290" s="124"/>
      <c r="K290" s="127"/>
      <c r="L290" s="20"/>
      <c r="M290" s="20"/>
      <c r="N290" s="20"/>
      <c r="O290" s="124"/>
      <c r="P290" s="127"/>
      <c r="Q290" s="20"/>
      <c r="R290" s="20"/>
      <c r="S290" s="20"/>
      <c r="T290" s="124"/>
      <c r="U290" s="127"/>
      <c r="V290" s="20"/>
      <c r="W290" s="20"/>
      <c r="X290" s="20"/>
      <c r="Y290" s="20"/>
      <c r="Z290" s="20"/>
      <c r="AA290" s="20"/>
      <c r="AB290" s="20"/>
      <c r="AC290" s="20"/>
      <c r="AD290" s="20"/>
    </row>
    <row r="291" spans="1:30" ht="19.5">
      <c r="A291" s="20"/>
      <c r="B291" s="20"/>
      <c r="C291" s="20"/>
      <c r="D291" s="20"/>
      <c r="E291" s="20"/>
      <c r="F291" s="124"/>
      <c r="G291" s="20"/>
      <c r="H291" s="20"/>
      <c r="I291" s="20"/>
      <c r="J291" s="124"/>
      <c r="K291" s="127"/>
      <c r="L291" s="20"/>
      <c r="M291" s="20"/>
      <c r="N291" s="20"/>
      <c r="O291" s="124"/>
      <c r="P291" s="127"/>
      <c r="Q291" s="20"/>
      <c r="R291" s="20"/>
      <c r="S291" s="20"/>
      <c r="T291" s="124"/>
      <c r="U291" s="127"/>
      <c r="V291" s="20"/>
      <c r="W291" s="20"/>
      <c r="X291" s="20"/>
      <c r="Y291" s="20"/>
      <c r="Z291" s="20"/>
      <c r="AA291" s="20"/>
      <c r="AB291" s="20"/>
      <c r="AC291" s="20"/>
      <c r="AD291" s="20"/>
    </row>
    <row r="292" spans="1:30" ht="19.5">
      <c r="A292" s="20"/>
      <c r="B292" s="20"/>
      <c r="C292" s="20"/>
      <c r="D292" s="20"/>
      <c r="E292" s="20"/>
      <c r="F292" s="124"/>
      <c r="G292" s="20"/>
      <c r="H292" s="20"/>
      <c r="I292" s="20"/>
      <c r="J292" s="124"/>
      <c r="K292" s="127"/>
      <c r="L292" s="20"/>
      <c r="M292" s="20"/>
      <c r="N292" s="20"/>
      <c r="O292" s="124"/>
      <c r="P292" s="127"/>
      <c r="Q292" s="20"/>
      <c r="R292" s="20"/>
      <c r="S292" s="20"/>
      <c r="T292" s="124"/>
      <c r="U292" s="127"/>
      <c r="V292" s="20"/>
      <c r="W292" s="20"/>
      <c r="X292" s="20"/>
      <c r="Y292" s="20"/>
      <c r="Z292" s="20"/>
      <c r="AA292" s="20"/>
      <c r="AB292" s="20"/>
      <c r="AC292" s="20"/>
      <c r="AD292" s="20"/>
    </row>
    <row r="293" spans="1:30" ht="19.5">
      <c r="A293" s="20"/>
      <c r="B293" s="20"/>
      <c r="C293" s="20"/>
      <c r="D293" s="20"/>
      <c r="E293" s="20"/>
      <c r="F293" s="124"/>
      <c r="G293" s="20"/>
      <c r="H293" s="20"/>
      <c r="I293" s="20"/>
      <c r="J293" s="124"/>
      <c r="K293" s="127"/>
      <c r="L293" s="20"/>
      <c r="M293" s="20"/>
      <c r="N293" s="20"/>
      <c r="O293" s="124"/>
      <c r="P293" s="127"/>
      <c r="Q293" s="20"/>
      <c r="R293" s="20"/>
      <c r="S293" s="20"/>
      <c r="T293" s="124"/>
      <c r="U293" s="127"/>
      <c r="V293" s="20"/>
      <c r="W293" s="20"/>
      <c r="X293" s="20"/>
      <c r="Y293" s="20"/>
      <c r="Z293" s="20"/>
      <c r="AA293" s="20"/>
      <c r="AB293" s="20"/>
      <c r="AC293" s="20"/>
      <c r="AD293" s="20"/>
    </row>
    <row r="294" spans="1:30" ht="19.5">
      <c r="A294" s="20"/>
      <c r="B294" s="20"/>
      <c r="C294" s="20"/>
      <c r="D294" s="20"/>
      <c r="E294" s="20"/>
      <c r="F294" s="124"/>
      <c r="G294" s="20"/>
      <c r="H294" s="20"/>
      <c r="I294" s="20"/>
      <c r="J294" s="124"/>
      <c r="K294" s="127"/>
      <c r="L294" s="20"/>
      <c r="M294" s="20"/>
      <c r="N294" s="20"/>
      <c r="O294" s="124"/>
      <c r="P294" s="127"/>
      <c r="Q294" s="20"/>
      <c r="R294" s="20"/>
      <c r="S294" s="20"/>
      <c r="T294" s="124"/>
      <c r="U294" s="127"/>
      <c r="V294" s="20"/>
      <c r="W294" s="20"/>
      <c r="X294" s="20"/>
      <c r="Y294" s="20"/>
      <c r="Z294" s="20"/>
      <c r="AA294" s="20"/>
      <c r="AB294" s="20"/>
      <c r="AC294" s="20"/>
      <c r="AD294" s="20"/>
    </row>
    <row r="295" spans="1:30" ht="19.5">
      <c r="A295" s="20"/>
      <c r="B295" s="20"/>
      <c r="C295" s="20"/>
      <c r="D295" s="20"/>
      <c r="E295" s="20"/>
      <c r="F295" s="124"/>
      <c r="G295" s="20"/>
      <c r="H295" s="20"/>
      <c r="I295" s="20"/>
      <c r="J295" s="124"/>
      <c r="K295" s="127"/>
      <c r="L295" s="20"/>
      <c r="M295" s="20"/>
      <c r="N295" s="20"/>
      <c r="O295" s="124"/>
      <c r="P295" s="127"/>
      <c r="Q295" s="20"/>
      <c r="R295" s="20"/>
      <c r="S295" s="20"/>
      <c r="T295" s="124"/>
      <c r="U295" s="127"/>
      <c r="V295" s="20"/>
      <c r="W295" s="20"/>
      <c r="X295" s="20"/>
      <c r="Y295" s="20"/>
      <c r="Z295" s="20"/>
      <c r="AA295" s="20"/>
      <c r="AB295" s="20"/>
      <c r="AC295" s="20"/>
      <c r="AD295" s="20"/>
    </row>
    <row r="296" spans="1:30" ht="19.5">
      <c r="A296" s="20"/>
      <c r="B296" s="20"/>
      <c r="C296" s="20"/>
      <c r="D296" s="20"/>
      <c r="E296" s="20"/>
      <c r="F296" s="124"/>
      <c r="G296" s="20"/>
      <c r="H296" s="20"/>
      <c r="I296" s="20"/>
      <c r="J296" s="124"/>
      <c r="K296" s="127"/>
      <c r="L296" s="20"/>
      <c r="M296" s="20"/>
      <c r="N296" s="20"/>
      <c r="O296" s="124"/>
      <c r="P296" s="127"/>
      <c r="Q296" s="20"/>
      <c r="R296" s="20"/>
      <c r="S296" s="20"/>
      <c r="T296" s="124"/>
      <c r="U296" s="127"/>
      <c r="V296" s="20"/>
      <c r="W296" s="20"/>
      <c r="X296" s="20"/>
      <c r="Y296" s="20"/>
      <c r="Z296" s="20"/>
      <c r="AA296" s="20"/>
      <c r="AB296" s="20"/>
      <c r="AC296" s="20"/>
      <c r="AD296" s="20"/>
    </row>
    <row r="297" spans="1:30" ht="19.5">
      <c r="A297" s="20"/>
      <c r="B297" s="20"/>
      <c r="C297" s="20"/>
      <c r="D297" s="20"/>
      <c r="E297" s="20"/>
      <c r="F297" s="124"/>
      <c r="G297" s="20"/>
      <c r="H297" s="20"/>
      <c r="I297" s="20"/>
      <c r="J297" s="124"/>
      <c r="K297" s="127"/>
      <c r="L297" s="20"/>
      <c r="M297" s="20"/>
      <c r="N297" s="20"/>
      <c r="O297" s="124"/>
      <c r="P297" s="127"/>
      <c r="Q297" s="20"/>
      <c r="R297" s="20"/>
      <c r="S297" s="20"/>
      <c r="T297" s="124"/>
      <c r="U297" s="127"/>
      <c r="V297" s="20"/>
      <c r="W297" s="20"/>
      <c r="X297" s="20"/>
      <c r="Y297" s="20"/>
      <c r="Z297" s="20"/>
      <c r="AA297" s="20"/>
      <c r="AB297" s="20"/>
      <c r="AC297" s="20"/>
      <c r="AD297" s="20"/>
    </row>
    <row r="298" spans="1:30" ht="19.5">
      <c r="A298" s="20"/>
      <c r="B298" s="20"/>
      <c r="C298" s="20"/>
      <c r="D298" s="20"/>
      <c r="E298" s="20"/>
      <c r="F298" s="124"/>
      <c r="G298" s="20"/>
      <c r="H298" s="20"/>
      <c r="I298" s="20"/>
      <c r="J298" s="124"/>
      <c r="K298" s="127"/>
      <c r="L298" s="20"/>
      <c r="M298" s="20"/>
      <c r="N298" s="20"/>
      <c r="O298" s="124"/>
      <c r="P298" s="127"/>
      <c r="Q298" s="20"/>
      <c r="R298" s="20"/>
      <c r="S298" s="20"/>
      <c r="T298" s="124"/>
      <c r="U298" s="127"/>
      <c r="V298" s="20"/>
      <c r="W298" s="20"/>
      <c r="X298" s="20"/>
      <c r="Y298" s="20"/>
      <c r="Z298" s="20"/>
      <c r="AA298" s="20"/>
      <c r="AB298" s="20"/>
      <c r="AC298" s="20"/>
      <c r="AD298" s="20"/>
    </row>
    <row r="299" spans="1:30" ht="19.5">
      <c r="A299" s="20"/>
      <c r="B299" s="20"/>
      <c r="C299" s="20"/>
      <c r="D299" s="20"/>
      <c r="E299" s="20"/>
      <c r="F299" s="124"/>
      <c r="G299" s="20"/>
      <c r="H299" s="20"/>
      <c r="I299" s="20"/>
      <c r="J299" s="124"/>
      <c r="K299" s="127"/>
      <c r="L299" s="20"/>
      <c r="M299" s="20"/>
      <c r="N299" s="20"/>
      <c r="O299" s="124"/>
      <c r="P299" s="127"/>
      <c r="Q299" s="20"/>
      <c r="R299" s="20"/>
      <c r="S299" s="20"/>
      <c r="T299" s="124"/>
      <c r="U299" s="127"/>
      <c r="V299" s="20"/>
      <c r="W299" s="20"/>
      <c r="X299" s="20"/>
      <c r="Y299" s="20"/>
      <c r="Z299" s="20"/>
      <c r="AA299" s="20"/>
      <c r="AB299" s="20"/>
      <c r="AC299" s="20"/>
      <c r="AD299" s="20"/>
    </row>
    <row r="300" spans="1:30" ht="19.5">
      <c r="A300" s="20"/>
      <c r="B300" s="20"/>
      <c r="C300" s="20"/>
      <c r="D300" s="20"/>
      <c r="E300" s="20"/>
      <c r="F300" s="124"/>
      <c r="G300" s="20"/>
      <c r="H300" s="20"/>
      <c r="I300" s="20"/>
      <c r="J300" s="124"/>
      <c r="K300" s="127"/>
      <c r="L300" s="20"/>
      <c r="M300" s="20"/>
      <c r="N300" s="20"/>
      <c r="O300" s="124"/>
      <c r="P300" s="127"/>
      <c r="Q300" s="20"/>
      <c r="R300" s="20"/>
      <c r="S300" s="20"/>
      <c r="T300" s="124"/>
      <c r="U300" s="127"/>
      <c r="V300" s="20"/>
      <c r="W300" s="20"/>
      <c r="X300" s="20"/>
      <c r="Y300" s="20"/>
      <c r="Z300" s="20"/>
      <c r="AA300" s="20"/>
      <c r="AB300" s="20"/>
      <c r="AC300" s="20"/>
      <c r="AD300" s="20"/>
    </row>
    <row r="301" spans="1:30" ht="19.5">
      <c r="A301" s="20"/>
      <c r="B301" s="20"/>
      <c r="C301" s="20"/>
      <c r="D301" s="20"/>
      <c r="E301" s="20"/>
      <c r="F301" s="124"/>
      <c r="G301" s="20"/>
      <c r="H301" s="20"/>
      <c r="I301" s="20"/>
      <c r="J301" s="124"/>
      <c r="K301" s="127"/>
      <c r="L301" s="20"/>
      <c r="M301" s="20"/>
      <c r="N301" s="20"/>
      <c r="O301" s="124"/>
      <c r="P301" s="127"/>
      <c r="Q301" s="20"/>
      <c r="R301" s="20"/>
      <c r="S301" s="20"/>
      <c r="T301" s="124"/>
      <c r="U301" s="127"/>
      <c r="V301" s="20"/>
      <c r="W301" s="20"/>
      <c r="X301" s="20"/>
      <c r="Y301" s="20"/>
      <c r="Z301" s="20"/>
      <c r="AA301" s="20"/>
      <c r="AB301" s="20"/>
      <c r="AC301" s="20"/>
      <c r="AD301" s="20"/>
    </row>
    <row r="302" spans="1:30" ht="19.5">
      <c r="A302" s="20"/>
      <c r="B302" s="20"/>
      <c r="C302" s="20"/>
      <c r="D302" s="20"/>
      <c r="E302" s="20"/>
      <c r="F302" s="124"/>
      <c r="G302" s="20"/>
      <c r="H302" s="20"/>
      <c r="I302" s="20"/>
      <c r="J302" s="124"/>
      <c r="K302" s="127"/>
      <c r="L302" s="20"/>
      <c r="M302" s="20"/>
      <c r="N302" s="20"/>
      <c r="O302" s="124"/>
      <c r="P302" s="127"/>
      <c r="Q302" s="20"/>
      <c r="R302" s="20"/>
      <c r="S302" s="20"/>
      <c r="T302" s="124"/>
      <c r="U302" s="127"/>
      <c r="V302" s="20"/>
      <c r="W302" s="20"/>
      <c r="X302" s="20"/>
      <c r="Y302" s="20"/>
      <c r="Z302" s="20"/>
      <c r="AA302" s="20"/>
      <c r="AB302" s="20"/>
      <c r="AC302" s="20"/>
      <c r="AD302" s="20"/>
    </row>
    <row r="303" spans="1:30" ht="19.5">
      <c r="A303" s="20"/>
      <c r="B303" s="20"/>
      <c r="C303" s="20"/>
      <c r="D303" s="20"/>
      <c r="E303" s="20"/>
      <c r="F303" s="124"/>
      <c r="G303" s="20"/>
      <c r="H303" s="20"/>
      <c r="I303" s="20"/>
      <c r="J303" s="124"/>
      <c r="K303" s="127"/>
      <c r="L303" s="20"/>
      <c r="M303" s="20"/>
      <c r="N303" s="20"/>
      <c r="O303" s="124"/>
      <c r="P303" s="127"/>
      <c r="Q303" s="20"/>
      <c r="R303" s="20"/>
      <c r="S303" s="20"/>
      <c r="T303" s="124"/>
      <c r="U303" s="127"/>
      <c r="V303" s="20"/>
      <c r="W303" s="20"/>
      <c r="X303" s="20"/>
      <c r="Y303" s="20"/>
      <c r="Z303" s="20"/>
      <c r="AA303" s="20"/>
      <c r="AB303" s="20"/>
      <c r="AC303" s="20"/>
      <c r="AD303" s="20"/>
    </row>
    <row r="304" spans="1:30" ht="19.5">
      <c r="A304" s="20"/>
      <c r="B304" s="20"/>
      <c r="C304" s="20"/>
      <c r="D304" s="20"/>
      <c r="E304" s="20"/>
      <c r="F304" s="124"/>
      <c r="G304" s="20"/>
      <c r="H304" s="20"/>
      <c r="I304" s="20"/>
      <c r="J304" s="124"/>
      <c r="K304" s="127"/>
      <c r="L304" s="20"/>
      <c r="M304" s="20"/>
      <c r="N304" s="20"/>
      <c r="O304" s="124"/>
      <c r="P304" s="127"/>
      <c r="Q304" s="20"/>
      <c r="R304" s="20"/>
      <c r="S304" s="20"/>
      <c r="T304" s="124"/>
      <c r="U304" s="127"/>
      <c r="V304" s="20"/>
      <c r="W304" s="20"/>
      <c r="X304" s="20"/>
      <c r="Y304" s="20"/>
      <c r="Z304" s="20"/>
      <c r="AA304" s="20"/>
      <c r="AB304" s="20"/>
      <c r="AC304" s="20"/>
      <c r="AD304" s="20"/>
    </row>
    <row r="305" spans="1:30" ht="19.5">
      <c r="A305" s="20"/>
      <c r="B305" s="20"/>
      <c r="C305" s="20"/>
      <c r="D305" s="20"/>
      <c r="E305" s="20"/>
      <c r="F305" s="124"/>
      <c r="G305" s="20"/>
      <c r="H305" s="20"/>
      <c r="I305" s="20"/>
      <c r="J305" s="124"/>
      <c r="K305" s="127"/>
      <c r="L305" s="20"/>
      <c r="M305" s="20"/>
      <c r="N305" s="20"/>
      <c r="O305" s="124"/>
      <c r="P305" s="127"/>
      <c r="Q305" s="20"/>
      <c r="R305" s="20"/>
      <c r="S305" s="20"/>
      <c r="T305" s="124"/>
      <c r="U305" s="127"/>
      <c r="V305" s="20"/>
      <c r="W305" s="20"/>
      <c r="X305" s="20"/>
      <c r="Y305" s="20"/>
      <c r="Z305" s="20"/>
      <c r="AA305" s="20"/>
      <c r="AB305" s="20"/>
      <c r="AC305" s="20"/>
      <c r="AD305" s="20"/>
    </row>
    <row r="306" spans="1:30" ht="19.5">
      <c r="A306" s="20"/>
      <c r="B306" s="20"/>
      <c r="C306" s="20"/>
      <c r="D306" s="20"/>
      <c r="E306" s="20"/>
      <c r="F306" s="124"/>
      <c r="G306" s="20"/>
      <c r="H306" s="20"/>
      <c r="I306" s="20"/>
      <c r="J306" s="124"/>
      <c r="K306" s="127"/>
      <c r="L306" s="20"/>
      <c r="M306" s="20"/>
      <c r="N306" s="20"/>
      <c r="O306" s="124"/>
      <c r="P306" s="127"/>
      <c r="Q306" s="20"/>
      <c r="R306" s="20"/>
      <c r="S306" s="20"/>
      <c r="T306" s="124"/>
      <c r="U306" s="127"/>
      <c r="V306" s="20"/>
      <c r="W306" s="20"/>
      <c r="X306" s="20"/>
      <c r="Y306" s="20"/>
      <c r="Z306" s="20"/>
      <c r="AA306" s="20"/>
      <c r="AB306" s="20"/>
      <c r="AC306" s="20"/>
      <c r="AD306" s="20"/>
    </row>
    <row r="307" spans="1:30" ht="19.5">
      <c r="A307" s="20"/>
      <c r="B307" s="20"/>
      <c r="C307" s="20"/>
      <c r="D307" s="20"/>
      <c r="E307" s="20"/>
      <c r="F307" s="124"/>
      <c r="G307" s="20"/>
      <c r="H307" s="20"/>
      <c r="I307" s="20"/>
      <c r="J307" s="124"/>
      <c r="K307" s="127"/>
      <c r="L307" s="20"/>
      <c r="M307" s="20"/>
      <c r="N307" s="20"/>
      <c r="O307" s="124"/>
      <c r="P307" s="127"/>
      <c r="Q307" s="20"/>
      <c r="R307" s="20"/>
      <c r="S307" s="20"/>
      <c r="T307" s="124"/>
      <c r="U307" s="127"/>
      <c r="V307" s="20"/>
      <c r="W307" s="20"/>
      <c r="X307" s="20"/>
      <c r="Y307" s="20"/>
      <c r="Z307" s="20"/>
      <c r="AA307" s="20"/>
      <c r="AB307" s="20"/>
      <c r="AC307" s="20"/>
      <c r="AD307" s="20"/>
    </row>
    <row r="308" spans="1:30" ht="19.5">
      <c r="A308" s="20"/>
      <c r="B308" s="20"/>
      <c r="C308" s="20"/>
      <c r="D308" s="20"/>
      <c r="E308" s="20"/>
      <c r="F308" s="124"/>
      <c r="G308" s="20"/>
      <c r="H308" s="20"/>
      <c r="I308" s="20"/>
      <c r="J308" s="124"/>
      <c r="K308" s="127"/>
      <c r="L308" s="20"/>
      <c r="M308" s="20"/>
      <c r="N308" s="20"/>
      <c r="O308" s="124"/>
      <c r="P308" s="127"/>
      <c r="Q308" s="20"/>
      <c r="R308" s="20"/>
      <c r="S308" s="20"/>
      <c r="T308" s="124"/>
      <c r="U308" s="127"/>
      <c r="V308" s="20"/>
      <c r="W308" s="20"/>
      <c r="X308" s="20"/>
      <c r="Y308" s="20"/>
      <c r="Z308" s="20"/>
      <c r="AA308" s="20"/>
      <c r="AB308" s="20"/>
      <c r="AC308" s="20"/>
      <c r="AD308" s="20"/>
    </row>
    <row r="309" spans="1:30" ht="19.5">
      <c r="A309" s="20"/>
      <c r="B309" s="20"/>
      <c r="C309" s="20"/>
      <c r="D309" s="20"/>
      <c r="E309" s="20"/>
      <c r="F309" s="124"/>
      <c r="G309" s="20"/>
      <c r="H309" s="20"/>
      <c r="I309" s="20"/>
      <c r="J309" s="124"/>
      <c r="K309" s="127"/>
      <c r="L309" s="20"/>
      <c r="M309" s="20"/>
      <c r="N309" s="20"/>
      <c r="O309" s="124"/>
      <c r="P309" s="127"/>
      <c r="Q309" s="20"/>
      <c r="R309" s="20"/>
      <c r="S309" s="20"/>
      <c r="T309" s="124"/>
      <c r="U309" s="127"/>
      <c r="V309" s="20"/>
      <c r="W309" s="20"/>
      <c r="X309" s="20"/>
      <c r="Y309" s="20"/>
      <c r="Z309" s="20"/>
      <c r="AA309" s="20"/>
      <c r="AB309" s="20"/>
      <c r="AC309" s="20"/>
      <c r="AD309" s="20"/>
    </row>
    <row r="310" spans="1:30" ht="19.5">
      <c r="A310" s="20"/>
      <c r="B310" s="20"/>
      <c r="C310" s="20"/>
      <c r="D310" s="20"/>
      <c r="E310" s="20"/>
      <c r="F310" s="124"/>
      <c r="G310" s="20"/>
      <c r="H310" s="20"/>
      <c r="I310" s="20"/>
      <c r="J310" s="124"/>
      <c r="K310" s="127"/>
      <c r="L310" s="20"/>
      <c r="M310" s="20"/>
      <c r="N310" s="20"/>
      <c r="O310" s="124"/>
      <c r="P310" s="127"/>
      <c r="Q310" s="20"/>
      <c r="R310" s="20"/>
      <c r="S310" s="20"/>
      <c r="T310" s="124"/>
      <c r="U310" s="127"/>
      <c r="V310" s="20"/>
      <c r="W310" s="20"/>
      <c r="X310" s="20"/>
      <c r="Y310" s="20"/>
      <c r="Z310" s="20"/>
      <c r="AA310" s="20"/>
      <c r="AB310" s="20"/>
      <c r="AC310" s="20"/>
      <c r="AD310" s="20"/>
    </row>
    <row r="311" spans="1:30" ht="19.5">
      <c r="A311" s="20"/>
      <c r="B311" s="20"/>
      <c r="C311" s="20"/>
      <c r="D311" s="20"/>
      <c r="E311" s="20"/>
      <c r="F311" s="124"/>
      <c r="G311" s="20"/>
      <c r="H311" s="20"/>
      <c r="I311" s="20"/>
      <c r="J311" s="124"/>
      <c r="K311" s="127"/>
      <c r="L311" s="20"/>
      <c r="M311" s="20"/>
      <c r="N311" s="20"/>
      <c r="O311" s="124"/>
      <c r="P311" s="127"/>
      <c r="Q311" s="20"/>
      <c r="R311" s="20"/>
      <c r="S311" s="20"/>
      <c r="T311" s="124"/>
      <c r="U311" s="127"/>
      <c r="V311" s="20"/>
      <c r="W311" s="20"/>
      <c r="X311" s="20"/>
      <c r="Y311" s="20"/>
      <c r="Z311" s="20"/>
      <c r="AA311" s="20"/>
      <c r="AB311" s="20"/>
      <c r="AC311" s="20"/>
      <c r="AD311" s="20"/>
    </row>
    <row r="312" spans="1:30" ht="19.5">
      <c r="A312" s="20"/>
      <c r="B312" s="20"/>
      <c r="C312" s="20"/>
      <c r="D312" s="20"/>
      <c r="E312" s="20"/>
      <c r="F312" s="124"/>
      <c r="G312" s="20"/>
      <c r="H312" s="20"/>
      <c r="I312" s="20"/>
      <c r="J312" s="124"/>
      <c r="K312" s="127"/>
      <c r="L312" s="20"/>
      <c r="M312" s="20"/>
      <c r="N312" s="20"/>
      <c r="O312" s="124"/>
      <c r="P312" s="127"/>
      <c r="Q312" s="20"/>
      <c r="R312" s="20"/>
      <c r="S312" s="20"/>
      <c r="T312" s="124"/>
      <c r="U312" s="127"/>
      <c r="V312" s="20"/>
      <c r="W312" s="20"/>
      <c r="X312" s="20"/>
      <c r="Y312" s="20"/>
      <c r="Z312" s="20"/>
      <c r="AA312" s="20"/>
      <c r="AB312" s="20"/>
      <c r="AC312" s="20"/>
      <c r="AD312" s="20"/>
    </row>
    <row r="313" spans="1:30" ht="19.5">
      <c r="A313" s="20"/>
      <c r="B313" s="20"/>
      <c r="C313" s="20"/>
      <c r="D313" s="20"/>
      <c r="E313" s="20"/>
      <c r="F313" s="124"/>
      <c r="G313" s="20"/>
      <c r="H313" s="20"/>
      <c r="I313" s="20"/>
      <c r="J313" s="124"/>
      <c r="K313" s="127"/>
      <c r="L313" s="20"/>
      <c r="M313" s="20"/>
      <c r="N313" s="20"/>
      <c r="O313" s="124"/>
      <c r="P313" s="127"/>
      <c r="Q313" s="20"/>
      <c r="R313" s="20"/>
      <c r="S313" s="20"/>
      <c r="T313" s="124"/>
      <c r="U313" s="127"/>
      <c r="V313" s="20"/>
      <c r="W313" s="20"/>
      <c r="X313" s="20"/>
      <c r="Y313" s="20"/>
      <c r="Z313" s="20"/>
      <c r="AA313" s="20"/>
      <c r="AB313" s="20"/>
      <c r="AC313" s="20"/>
      <c r="AD313" s="20"/>
    </row>
    <row r="314" spans="1:30" ht="19.5">
      <c r="A314" s="20"/>
      <c r="B314" s="20"/>
      <c r="C314" s="20"/>
      <c r="D314" s="20"/>
      <c r="E314" s="20"/>
      <c r="F314" s="124"/>
      <c r="G314" s="20"/>
      <c r="H314" s="20"/>
      <c r="I314" s="20"/>
      <c r="J314" s="124"/>
      <c r="K314" s="127"/>
      <c r="L314" s="20"/>
      <c r="M314" s="20"/>
      <c r="N314" s="20"/>
      <c r="O314" s="124"/>
      <c r="P314" s="127"/>
      <c r="Q314" s="20"/>
      <c r="R314" s="20"/>
      <c r="S314" s="20"/>
      <c r="T314" s="124"/>
      <c r="U314" s="127"/>
      <c r="V314" s="20"/>
      <c r="W314" s="20"/>
      <c r="X314" s="20"/>
      <c r="Y314" s="20"/>
      <c r="Z314" s="20"/>
      <c r="AA314" s="20"/>
      <c r="AB314" s="20"/>
      <c r="AC314" s="20"/>
      <c r="AD314" s="20"/>
    </row>
    <row r="315" spans="1:30" ht="19.5">
      <c r="A315" s="20"/>
      <c r="B315" s="20"/>
      <c r="C315" s="20"/>
      <c r="D315" s="20"/>
      <c r="E315" s="20"/>
      <c r="F315" s="124"/>
      <c r="G315" s="20"/>
      <c r="H315" s="20"/>
      <c r="I315" s="20"/>
      <c r="J315" s="124"/>
      <c r="K315" s="127"/>
      <c r="L315" s="20"/>
      <c r="M315" s="20"/>
      <c r="N315" s="20"/>
      <c r="O315" s="124"/>
      <c r="P315" s="127"/>
      <c r="Q315" s="20"/>
      <c r="R315" s="20"/>
      <c r="S315" s="20"/>
      <c r="T315" s="124"/>
      <c r="U315" s="127"/>
      <c r="V315" s="20"/>
      <c r="W315" s="20"/>
      <c r="X315" s="20"/>
      <c r="Y315" s="20"/>
      <c r="Z315" s="20"/>
      <c r="AA315" s="20"/>
      <c r="AB315" s="20"/>
      <c r="AC315" s="20"/>
      <c r="AD315" s="20"/>
    </row>
    <row r="316" spans="1:30" ht="19.5">
      <c r="A316" s="20"/>
      <c r="B316" s="20"/>
      <c r="C316" s="20"/>
      <c r="D316" s="20"/>
      <c r="E316" s="20"/>
      <c r="F316" s="124"/>
      <c r="G316" s="20"/>
      <c r="H316" s="20"/>
      <c r="I316" s="20"/>
      <c r="J316" s="124"/>
      <c r="K316" s="127"/>
      <c r="L316" s="20"/>
      <c r="M316" s="20"/>
      <c r="N316" s="20"/>
      <c r="O316" s="124"/>
      <c r="P316" s="127"/>
      <c r="Q316" s="20"/>
      <c r="R316" s="20"/>
      <c r="S316" s="20"/>
      <c r="T316" s="124"/>
      <c r="U316" s="127"/>
      <c r="V316" s="20"/>
      <c r="W316" s="20"/>
      <c r="X316" s="20"/>
      <c r="Y316" s="20"/>
      <c r="Z316" s="20"/>
      <c r="AA316" s="20"/>
      <c r="AB316" s="20"/>
      <c r="AC316" s="20"/>
      <c r="AD316" s="20"/>
    </row>
    <row r="317" spans="1:30" ht="19.5">
      <c r="A317" s="20"/>
      <c r="B317" s="20"/>
      <c r="C317" s="20"/>
      <c r="D317" s="20"/>
      <c r="E317" s="20"/>
      <c r="F317" s="124"/>
      <c r="G317" s="20"/>
      <c r="H317" s="20"/>
      <c r="I317" s="20"/>
      <c r="J317" s="124"/>
      <c r="K317" s="127"/>
      <c r="L317" s="20"/>
      <c r="M317" s="20"/>
      <c r="N317" s="20"/>
      <c r="O317" s="124"/>
      <c r="P317" s="127"/>
      <c r="Q317" s="20"/>
      <c r="R317" s="20"/>
      <c r="S317" s="20"/>
      <c r="T317" s="124"/>
      <c r="U317" s="127"/>
      <c r="V317" s="20"/>
      <c r="W317" s="20"/>
      <c r="X317" s="20"/>
      <c r="Y317" s="20"/>
      <c r="Z317" s="20"/>
      <c r="AA317" s="20"/>
      <c r="AB317" s="20"/>
      <c r="AC317" s="20"/>
      <c r="AD317" s="20"/>
    </row>
    <row r="318" spans="1:30" ht="19.5">
      <c r="A318" s="20"/>
      <c r="B318" s="20"/>
      <c r="C318" s="20"/>
      <c r="D318" s="20"/>
      <c r="E318" s="20"/>
      <c r="F318" s="124"/>
      <c r="G318" s="20"/>
      <c r="H318" s="20"/>
      <c r="I318" s="20"/>
      <c r="J318" s="124"/>
      <c r="K318" s="127"/>
      <c r="L318" s="20"/>
      <c r="M318" s="20"/>
      <c r="N318" s="20"/>
      <c r="O318" s="124"/>
      <c r="P318" s="127"/>
      <c r="Q318" s="20"/>
      <c r="R318" s="20"/>
      <c r="S318" s="20"/>
      <c r="T318" s="124"/>
      <c r="U318" s="127"/>
      <c r="V318" s="20"/>
      <c r="W318" s="20"/>
      <c r="X318" s="20"/>
      <c r="Y318" s="20"/>
      <c r="Z318" s="20"/>
      <c r="AA318" s="20"/>
      <c r="AB318" s="20"/>
      <c r="AC318" s="20"/>
      <c r="AD318" s="20"/>
    </row>
    <row r="319" spans="1:30" ht="19.5">
      <c r="A319" s="20"/>
      <c r="B319" s="20"/>
      <c r="C319" s="20"/>
      <c r="D319" s="20"/>
      <c r="E319" s="20"/>
      <c r="F319" s="124"/>
      <c r="G319" s="20"/>
      <c r="H319" s="20"/>
      <c r="I319" s="20"/>
      <c r="J319" s="124"/>
      <c r="K319" s="127"/>
      <c r="L319" s="20"/>
      <c r="M319" s="20"/>
      <c r="N319" s="20"/>
      <c r="O319" s="124"/>
      <c r="P319" s="127"/>
      <c r="Q319" s="20"/>
      <c r="R319" s="20"/>
      <c r="S319" s="20"/>
      <c r="T319" s="124"/>
      <c r="U319" s="127"/>
      <c r="V319" s="20"/>
      <c r="W319" s="20"/>
      <c r="X319" s="20"/>
      <c r="Y319" s="20"/>
      <c r="Z319" s="20"/>
      <c r="AA319" s="20"/>
      <c r="AB319" s="20"/>
      <c r="AC319" s="20"/>
      <c r="AD319" s="20"/>
    </row>
    <row r="320" spans="1:30" ht="19.5">
      <c r="A320" s="20"/>
      <c r="B320" s="20"/>
      <c r="C320" s="20"/>
      <c r="D320" s="20"/>
      <c r="E320" s="20"/>
      <c r="F320" s="124"/>
      <c r="G320" s="20"/>
      <c r="H320" s="20"/>
      <c r="I320" s="20"/>
      <c r="J320" s="124"/>
      <c r="K320" s="127"/>
      <c r="L320" s="20"/>
      <c r="M320" s="20"/>
      <c r="N320" s="20"/>
      <c r="O320" s="124"/>
      <c r="P320" s="127"/>
      <c r="Q320" s="20"/>
      <c r="R320" s="20"/>
      <c r="S320" s="20"/>
      <c r="T320" s="124"/>
      <c r="U320" s="127"/>
      <c r="V320" s="20"/>
      <c r="W320" s="20"/>
      <c r="X320" s="20"/>
      <c r="Y320" s="20"/>
      <c r="Z320" s="20"/>
      <c r="AA320" s="20"/>
      <c r="AB320" s="20"/>
      <c r="AC320" s="20"/>
      <c r="AD320" s="20"/>
    </row>
    <row r="321" spans="1:30" ht="19.5">
      <c r="A321" s="20"/>
      <c r="B321" s="20"/>
      <c r="C321" s="20"/>
      <c r="D321" s="20"/>
      <c r="E321" s="20"/>
      <c r="F321" s="124"/>
      <c r="G321" s="20"/>
      <c r="H321" s="20"/>
      <c r="I321" s="20"/>
      <c r="J321" s="124"/>
      <c r="K321" s="127"/>
      <c r="L321" s="20"/>
      <c r="M321" s="20"/>
      <c r="N321" s="20"/>
      <c r="O321" s="124"/>
      <c r="P321" s="127"/>
      <c r="Q321" s="20"/>
      <c r="R321" s="20"/>
      <c r="S321" s="20"/>
      <c r="T321" s="124"/>
      <c r="U321" s="127"/>
      <c r="V321" s="20"/>
      <c r="W321" s="20"/>
      <c r="X321" s="20"/>
      <c r="Y321" s="20"/>
      <c r="Z321" s="20"/>
      <c r="AA321" s="20"/>
      <c r="AB321" s="20"/>
      <c r="AC321" s="20"/>
      <c r="AD321" s="20"/>
    </row>
    <row r="322" spans="1:30" ht="19.5">
      <c r="A322" s="20"/>
      <c r="B322" s="20"/>
      <c r="C322" s="20"/>
      <c r="D322" s="20"/>
      <c r="E322" s="20"/>
      <c r="F322" s="124"/>
      <c r="G322" s="20"/>
      <c r="H322" s="20"/>
      <c r="I322" s="20"/>
      <c r="J322" s="124"/>
      <c r="K322" s="127"/>
      <c r="L322" s="20"/>
      <c r="M322" s="20"/>
      <c r="N322" s="20"/>
      <c r="O322" s="124"/>
      <c r="P322" s="127"/>
      <c r="Q322" s="20"/>
      <c r="R322" s="20"/>
      <c r="S322" s="20"/>
      <c r="T322" s="124"/>
      <c r="U322" s="127"/>
      <c r="V322" s="20"/>
      <c r="W322" s="20"/>
      <c r="X322" s="20"/>
      <c r="Y322" s="20"/>
      <c r="Z322" s="20"/>
      <c r="AA322" s="20"/>
      <c r="AB322" s="20"/>
      <c r="AC322" s="20"/>
      <c r="AD322" s="20"/>
    </row>
    <row r="323" spans="1:30" ht="19.5">
      <c r="A323" s="20"/>
      <c r="B323" s="20"/>
      <c r="C323" s="20"/>
      <c r="D323" s="20"/>
      <c r="E323" s="20"/>
      <c r="F323" s="124"/>
      <c r="G323" s="20"/>
      <c r="H323" s="20"/>
      <c r="I323" s="20"/>
      <c r="J323" s="124"/>
      <c r="K323" s="127"/>
      <c r="L323" s="20"/>
      <c r="M323" s="20"/>
      <c r="N323" s="20"/>
      <c r="O323" s="124"/>
      <c r="P323" s="127"/>
      <c r="Q323" s="20"/>
      <c r="R323" s="20"/>
      <c r="S323" s="20"/>
      <c r="T323" s="124"/>
      <c r="U323" s="127"/>
      <c r="V323" s="20"/>
      <c r="W323" s="20"/>
      <c r="X323" s="20"/>
      <c r="Y323" s="20"/>
      <c r="Z323" s="20"/>
      <c r="AA323" s="20"/>
      <c r="AB323" s="20"/>
      <c r="AC323" s="20"/>
      <c r="AD323" s="20"/>
    </row>
    <row r="324" spans="1:30" ht="19.5">
      <c r="A324" s="20"/>
      <c r="B324" s="20"/>
      <c r="C324" s="20"/>
      <c r="D324" s="20"/>
      <c r="E324" s="20"/>
      <c r="F324" s="124"/>
      <c r="G324" s="20"/>
      <c r="H324" s="20"/>
      <c r="I324" s="20"/>
      <c r="J324" s="124"/>
      <c r="K324" s="127"/>
      <c r="L324" s="20"/>
      <c r="M324" s="20"/>
      <c r="N324" s="20"/>
      <c r="O324" s="124"/>
      <c r="P324" s="127"/>
      <c r="Q324" s="20"/>
      <c r="R324" s="20"/>
      <c r="S324" s="20"/>
      <c r="T324" s="124"/>
      <c r="U324" s="127"/>
      <c r="V324" s="20"/>
      <c r="W324" s="20"/>
      <c r="X324" s="20"/>
      <c r="Y324" s="20"/>
      <c r="Z324" s="20"/>
      <c r="AA324" s="20"/>
      <c r="AB324" s="20"/>
      <c r="AC324" s="20"/>
      <c r="AD324" s="20"/>
    </row>
    <row r="325" spans="1:30" ht="19.5">
      <c r="A325" s="20"/>
      <c r="B325" s="20"/>
      <c r="C325" s="20"/>
      <c r="D325" s="20"/>
      <c r="E325" s="20"/>
      <c r="F325" s="124"/>
      <c r="G325" s="20"/>
      <c r="H325" s="20"/>
      <c r="I325" s="20"/>
      <c r="J325" s="124"/>
      <c r="K325" s="127"/>
      <c r="L325" s="20"/>
      <c r="M325" s="20"/>
      <c r="N325" s="20"/>
      <c r="O325" s="124"/>
      <c r="P325" s="127"/>
      <c r="Q325" s="20"/>
      <c r="R325" s="20"/>
      <c r="S325" s="20"/>
      <c r="T325" s="124"/>
      <c r="U325" s="127"/>
      <c r="V325" s="20"/>
      <c r="W325" s="20"/>
      <c r="X325" s="20"/>
      <c r="Y325" s="20"/>
      <c r="Z325" s="20"/>
      <c r="AA325" s="20"/>
      <c r="AB325" s="20"/>
      <c r="AC325" s="20"/>
      <c r="AD325" s="20"/>
    </row>
    <row r="326" spans="1:30" ht="19.5">
      <c r="A326" s="20"/>
      <c r="B326" s="20"/>
      <c r="C326" s="20"/>
      <c r="D326" s="20"/>
      <c r="E326" s="20"/>
      <c r="F326" s="124"/>
      <c r="G326" s="20"/>
      <c r="H326" s="20"/>
      <c r="I326" s="20"/>
      <c r="J326" s="124"/>
      <c r="K326" s="127"/>
      <c r="L326" s="20"/>
      <c r="M326" s="20"/>
      <c r="N326" s="20"/>
      <c r="O326" s="124"/>
      <c r="P326" s="127"/>
      <c r="Q326" s="20"/>
      <c r="R326" s="20"/>
      <c r="S326" s="20"/>
      <c r="T326" s="124"/>
      <c r="U326" s="127"/>
      <c r="V326" s="20"/>
      <c r="W326" s="20"/>
      <c r="X326" s="20"/>
      <c r="Y326" s="20"/>
      <c r="Z326" s="20"/>
      <c r="AA326" s="20"/>
      <c r="AB326" s="20"/>
      <c r="AC326" s="20"/>
      <c r="AD326" s="20"/>
    </row>
    <row r="327" spans="1:30" ht="19.5">
      <c r="A327" s="20"/>
      <c r="B327" s="20"/>
      <c r="C327" s="20"/>
      <c r="D327" s="20"/>
      <c r="E327" s="20"/>
      <c r="F327" s="124"/>
      <c r="G327" s="20"/>
      <c r="H327" s="20"/>
      <c r="I327" s="20"/>
      <c r="J327" s="124"/>
      <c r="K327" s="127"/>
      <c r="L327" s="20"/>
      <c r="M327" s="20"/>
      <c r="N327" s="20"/>
      <c r="O327" s="124"/>
      <c r="P327" s="127"/>
      <c r="Q327" s="20"/>
      <c r="R327" s="20"/>
      <c r="S327" s="20"/>
      <c r="T327" s="124"/>
      <c r="U327" s="127"/>
      <c r="V327" s="20"/>
      <c r="W327" s="20"/>
      <c r="X327" s="20"/>
      <c r="Y327" s="20"/>
      <c r="Z327" s="20"/>
      <c r="AA327" s="20"/>
      <c r="AB327" s="20"/>
      <c r="AC327" s="20"/>
      <c r="AD327" s="20"/>
    </row>
    <row r="328" spans="1:30" ht="19.5">
      <c r="A328" s="20"/>
      <c r="B328" s="20"/>
      <c r="C328" s="20"/>
      <c r="D328" s="20"/>
      <c r="E328" s="20"/>
      <c r="F328" s="124"/>
      <c r="G328" s="20"/>
      <c r="H328" s="20"/>
      <c r="I328" s="20"/>
      <c r="J328" s="124"/>
      <c r="K328" s="127"/>
      <c r="L328" s="20"/>
      <c r="M328" s="20"/>
      <c r="N328" s="20"/>
      <c r="O328" s="124"/>
      <c r="P328" s="127"/>
      <c r="Q328" s="20"/>
      <c r="R328" s="20"/>
      <c r="S328" s="20"/>
      <c r="T328" s="124"/>
      <c r="U328" s="127"/>
      <c r="V328" s="20"/>
      <c r="W328" s="20"/>
      <c r="X328" s="20"/>
      <c r="Y328" s="20"/>
      <c r="Z328" s="20"/>
      <c r="AA328" s="20"/>
      <c r="AB328" s="20"/>
      <c r="AC328" s="20"/>
      <c r="AD328" s="20"/>
    </row>
    <row r="329" spans="1:30" ht="19.5">
      <c r="A329" s="20"/>
      <c r="B329" s="20"/>
      <c r="C329" s="20"/>
      <c r="D329" s="20"/>
      <c r="E329" s="20"/>
      <c r="F329" s="124"/>
      <c r="G329" s="20"/>
      <c r="H329" s="20"/>
      <c r="I329" s="20"/>
      <c r="J329" s="124"/>
      <c r="K329" s="127"/>
      <c r="L329" s="20"/>
      <c r="M329" s="20"/>
      <c r="N329" s="20"/>
      <c r="O329" s="124"/>
      <c r="P329" s="127"/>
      <c r="Q329" s="20"/>
      <c r="R329" s="20"/>
      <c r="S329" s="20"/>
      <c r="T329" s="124"/>
      <c r="U329" s="127"/>
      <c r="V329" s="20"/>
      <c r="W329" s="20"/>
      <c r="X329" s="20"/>
      <c r="Y329" s="20"/>
      <c r="Z329" s="20"/>
      <c r="AA329" s="20"/>
      <c r="AB329" s="20"/>
      <c r="AC329" s="20"/>
      <c r="AD329" s="20"/>
    </row>
    <row r="330" spans="1:30" ht="19.5">
      <c r="A330" s="20"/>
      <c r="B330" s="20"/>
      <c r="C330" s="20"/>
      <c r="D330" s="20"/>
      <c r="E330" s="20"/>
      <c r="F330" s="124"/>
      <c r="G330" s="20"/>
      <c r="H330" s="20"/>
      <c r="I330" s="20"/>
      <c r="J330" s="124"/>
      <c r="K330" s="127"/>
      <c r="L330" s="20"/>
      <c r="M330" s="20"/>
      <c r="N330" s="20"/>
      <c r="O330" s="124"/>
      <c r="P330" s="127"/>
      <c r="Q330" s="20"/>
      <c r="R330" s="20"/>
      <c r="S330" s="20"/>
      <c r="T330" s="124"/>
      <c r="U330" s="127"/>
      <c r="V330" s="20"/>
      <c r="W330" s="20"/>
      <c r="X330" s="20"/>
      <c r="Y330" s="20"/>
      <c r="Z330" s="20"/>
      <c r="AA330" s="20"/>
      <c r="AB330" s="20"/>
      <c r="AC330" s="20"/>
      <c r="AD330" s="20"/>
    </row>
    <row r="331" spans="1:30" ht="19.5">
      <c r="A331" s="20"/>
      <c r="B331" s="20"/>
      <c r="C331" s="20"/>
      <c r="D331" s="20"/>
      <c r="E331" s="20"/>
      <c r="F331" s="124"/>
      <c r="G331" s="20"/>
      <c r="H331" s="20"/>
      <c r="I331" s="20"/>
      <c r="J331" s="124"/>
      <c r="K331" s="127"/>
      <c r="L331" s="20"/>
      <c r="M331" s="20"/>
      <c r="N331" s="20"/>
      <c r="O331" s="124"/>
      <c r="P331" s="127"/>
      <c r="Q331" s="20"/>
      <c r="R331" s="20"/>
      <c r="S331" s="20"/>
      <c r="T331" s="124"/>
      <c r="U331" s="127"/>
      <c r="V331" s="20"/>
      <c r="W331" s="20"/>
      <c r="X331" s="20"/>
      <c r="Y331" s="20"/>
      <c r="Z331" s="20"/>
      <c r="AA331" s="20"/>
      <c r="AB331" s="20"/>
      <c r="AC331" s="20"/>
      <c r="AD331" s="20"/>
    </row>
    <row r="332" spans="1:30" ht="19.5">
      <c r="A332" s="20"/>
      <c r="B332" s="20"/>
      <c r="C332" s="20"/>
      <c r="D332" s="20"/>
      <c r="E332" s="20"/>
      <c r="F332" s="124"/>
      <c r="G332" s="20"/>
      <c r="H332" s="20"/>
      <c r="I332" s="20"/>
      <c r="J332" s="124"/>
      <c r="K332" s="127"/>
      <c r="L332" s="20"/>
      <c r="M332" s="20"/>
      <c r="N332" s="20"/>
      <c r="O332" s="124"/>
      <c r="P332" s="127"/>
      <c r="Q332" s="20"/>
      <c r="R332" s="20"/>
      <c r="S332" s="20"/>
      <c r="T332" s="124"/>
      <c r="U332" s="127"/>
      <c r="V332" s="20"/>
      <c r="W332" s="20"/>
      <c r="X332" s="20"/>
      <c r="Y332" s="20"/>
      <c r="Z332" s="20"/>
      <c r="AA332" s="20"/>
      <c r="AB332" s="20"/>
      <c r="AC332" s="20"/>
      <c r="AD332" s="20"/>
    </row>
    <row r="333" spans="1:30" ht="19.5">
      <c r="A333" s="20"/>
      <c r="B333" s="20"/>
      <c r="C333" s="20"/>
      <c r="D333" s="20"/>
      <c r="E333" s="20"/>
      <c r="F333" s="124"/>
      <c r="G333" s="20"/>
      <c r="H333" s="20"/>
      <c r="I333" s="20"/>
      <c r="J333" s="124"/>
      <c r="K333" s="127"/>
      <c r="L333" s="20"/>
      <c r="M333" s="20"/>
      <c r="N333" s="20"/>
      <c r="O333" s="124"/>
      <c r="P333" s="127"/>
      <c r="Q333" s="20"/>
      <c r="R333" s="20"/>
      <c r="S333" s="20"/>
      <c r="T333" s="124"/>
      <c r="U333" s="127"/>
      <c r="V333" s="20"/>
      <c r="W333" s="20"/>
      <c r="X333" s="20"/>
      <c r="Y333" s="20"/>
      <c r="Z333" s="20"/>
      <c r="AA333" s="20"/>
      <c r="AB333" s="20"/>
      <c r="AC333" s="20"/>
      <c r="AD333" s="20"/>
    </row>
    <row r="334" spans="1:30" ht="19.5">
      <c r="A334" s="20"/>
      <c r="B334" s="20"/>
      <c r="C334" s="20"/>
      <c r="D334" s="20"/>
      <c r="E334" s="20"/>
      <c r="F334" s="124"/>
      <c r="G334" s="20"/>
      <c r="H334" s="20"/>
      <c r="I334" s="20"/>
      <c r="J334" s="124"/>
      <c r="K334" s="127"/>
      <c r="L334" s="20"/>
      <c r="M334" s="20"/>
      <c r="N334" s="20"/>
      <c r="O334" s="124"/>
      <c r="P334" s="127"/>
      <c r="Q334" s="20"/>
      <c r="R334" s="20"/>
      <c r="S334" s="20"/>
      <c r="T334" s="124"/>
      <c r="U334" s="127"/>
      <c r="V334" s="20"/>
      <c r="W334" s="20"/>
      <c r="X334" s="20"/>
      <c r="Y334" s="20"/>
      <c r="Z334" s="20"/>
      <c r="AA334" s="20"/>
      <c r="AB334" s="20"/>
      <c r="AC334" s="20"/>
      <c r="AD334" s="20"/>
    </row>
    <row r="335" spans="1:30" ht="19.5">
      <c r="A335" s="20"/>
      <c r="B335" s="20"/>
      <c r="C335" s="20"/>
      <c r="D335" s="20"/>
      <c r="E335" s="20"/>
      <c r="F335" s="124"/>
      <c r="G335" s="20"/>
      <c r="H335" s="20"/>
      <c r="I335" s="20"/>
      <c r="J335" s="124"/>
      <c r="K335" s="127"/>
      <c r="L335" s="20"/>
      <c r="M335" s="20"/>
      <c r="N335" s="20"/>
      <c r="O335" s="124"/>
      <c r="P335" s="127"/>
      <c r="Q335" s="20"/>
      <c r="R335" s="20"/>
      <c r="S335" s="20"/>
      <c r="T335" s="124"/>
      <c r="U335" s="127"/>
      <c r="V335" s="20"/>
      <c r="W335" s="20"/>
      <c r="X335" s="20"/>
      <c r="Y335" s="20"/>
      <c r="Z335" s="20"/>
      <c r="AA335" s="20"/>
      <c r="AB335" s="20"/>
      <c r="AC335" s="20"/>
      <c r="AD335" s="20"/>
    </row>
    <row r="336" spans="1:30" ht="19.5">
      <c r="A336" s="20"/>
      <c r="B336" s="20"/>
      <c r="C336" s="20"/>
      <c r="D336" s="20"/>
      <c r="E336" s="20"/>
      <c r="F336" s="124"/>
      <c r="G336" s="20"/>
      <c r="H336" s="20"/>
      <c r="I336" s="20"/>
      <c r="J336" s="124"/>
      <c r="K336" s="127"/>
      <c r="L336" s="20"/>
      <c r="M336" s="20"/>
      <c r="N336" s="20"/>
      <c r="O336" s="124"/>
      <c r="P336" s="127"/>
      <c r="Q336" s="20"/>
      <c r="R336" s="20"/>
      <c r="S336" s="20"/>
      <c r="T336" s="124"/>
      <c r="U336" s="127"/>
      <c r="V336" s="20"/>
      <c r="W336" s="20"/>
      <c r="X336" s="20"/>
      <c r="Y336" s="20"/>
      <c r="Z336" s="20"/>
      <c r="AA336" s="20"/>
      <c r="AB336" s="20"/>
      <c r="AC336" s="20"/>
      <c r="AD336" s="20"/>
    </row>
    <row r="337" spans="1:30" ht="19.5">
      <c r="A337" s="20"/>
      <c r="B337" s="20"/>
      <c r="C337" s="20"/>
      <c r="D337" s="20"/>
      <c r="E337" s="20"/>
      <c r="F337" s="124"/>
      <c r="G337" s="20"/>
      <c r="H337" s="20"/>
      <c r="I337" s="20"/>
      <c r="J337" s="124"/>
      <c r="K337" s="127"/>
      <c r="L337" s="20"/>
      <c r="M337" s="20"/>
      <c r="N337" s="20"/>
      <c r="O337" s="124"/>
      <c r="P337" s="127"/>
      <c r="Q337" s="20"/>
      <c r="R337" s="20"/>
      <c r="S337" s="20"/>
      <c r="T337" s="124"/>
      <c r="U337" s="127"/>
      <c r="V337" s="20"/>
      <c r="W337" s="20"/>
      <c r="X337" s="20"/>
      <c r="Y337" s="20"/>
      <c r="Z337" s="20"/>
      <c r="AA337" s="20"/>
      <c r="AB337" s="20"/>
      <c r="AC337" s="20"/>
      <c r="AD337" s="20"/>
    </row>
    <row r="338" spans="1:30" ht="19.5">
      <c r="A338" s="20"/>
      <c r="B338" s="20"/>
      <c r="C338" s="20"/>
      <c r="D338" s="20"/>
      <c r="E338" s="20"/>
      <c r="F338" s="124"/>
      <c r="G338" s="20"/>
      <c r="H338" s="20"/>
      <c r="I338" s="20"/>
      <c r="J338" s="124"/>
      <c r="K338" s="127"/>
      <c r="L338" s="20"/>
      <c r="M338" s="20"/>
      <c r="N338" s="20"/>
      <c r="O338" s="124"/>
      <c r="P338" s="127"/>
      <c r="Q338" s="20"/>
      <c r="R338" s="20"/>
      <c r="S338" s="20"/>
      <c r="T338" s="124"/>
      <c r="U338" s="127"/>
      <c r="V338" s="20"/>
      <c r="W338" s="20"/>
      <c r="X338" s="20"/>
      <c r="Y338" s="20"/>
      <c r="Z338" s="20"/>
      <c r="AA338" s="20"/>
      <c r="AB338" s="20"/>
      <c r="AC338" s="20"/>
      <c r="AD338" s="20"/>
    </row>
    <row r="339" spans="1:30" ht="19.5">
      <c r="A339" s="20"/>
      <c r="B339" s="20"/>
      <c r="C339" s="20"/>
      <c r="D339" s="20"/>
      <c r="E339" s="20"/>
      <c r="F339" s="124"/>
      <c r="G339" s="20"/>
      <c r="H339" s="20"/>
      <c r="I339" s="20"/>
      <c r="J339" s="124"/>
      <c r="K339" s="127"/>
      <c r="L339" s="20"/>
      <c r="M339" s="20"/>
      <c r="N339" s="20"/>
      <c r="O339" s="124"/>
      <c r="P339" s="127"/>
      <c r="Q339" s="20"/>
      <c r="R339" s="20"/>
      <c r="S339" s="20"/>
      <c r="T339" s="124"/>
      <c r="U339" s="127"/>
      <c r="V339" s="20"/>
      <c r="W339" s="20"/>
      <c r="X339" s="20"/>
      <c r="Y339" s="20"/>
      <c r="Z339" s="20"/>
      <c r="AA339" s="20"/>
      <c r="AB339" s="20"/>
      <c r="AC339" s="20"/>
      <c r="AD339" s="20"/>
    </row>
    <row r="340" spans="1:30" ht="19.5">
      <c r="A340" s="20"/>
      <c r="B340" s="20"/>
      <c r="C340" s="20"/>
      <c r="D340" s="20"/>
      <c r="E340" s="20"/>
      <c r="F340" s="124"/>
      <c r="G340" s="20"/>
      <c r="H340" s="20"/>
      <c r="I340" s="20"/>
      <c r="J340" s="124"/>
      <c r="K340" s="127"/>
      <c r="L340" s="20"/>
      <c r="M340" s="20"/>
      <c r="N340" s="20"/>
      <c r="O340" s="124"/>
      <c r="P340" s="127"/>
      <c r="Q340" s="20"/>
      <c r="R340" s="20"/>
      <c r="S340" s="20"/>
      <c r="T340" s="124"/>
      <c r="U340" s="127"/>
      <c r="V340" s="20"/>
      <c r="W340" s="20"/>
      <c r="X340" s="20"/>
      <c r="Y340" s="20"/>
      <c r="Z340" s="20"/>
      <c r="AA340" s="20"/>
      <c r="AB340" s="20"/>
      <c r="AC340" s="20"/>
      <c r="AD340" s="20"/>
    </row>
    <row r="341" spans="1:30" ht="19.5">
      <c r="A341" s="20"/>
      <c r="B341" s="20"/>
      <c r="C341" s="20"/>
      <c r="D341" s="20"/>
      <c r="E341" s="20"/>
      <c r="F341" s="124"/>
      <c r="G341" s="20"/>
      <c r="H341" s="20"/>
      <c r="I341" s="20"/>
      <c r="J341" s="124"/>
      <c r="K341" s="127"/>
      <c r="L341" s="20"/>
      <c r="M341" s="20"/>
      <c r="N341" s="20"/>
      <c r="O341" s="124"/>
      <c r="P341" s="127"/>
      <c r="Q341" s="20"/>
      <c r="R341" s="20"/>
      <c r="S341" s="20"/>
      <c r="T341" s="124"/>
      <c r="U341" s="127"/>
      <c r="V341" s="20"/>
      <c r="W341" s="20"/>
      <c r="X341" s="20"/>
      <c r="Y341" s="20"/>
      <c r="Z341" s="20"/>
      <c r="AA341" s="20"/>
      <c r="AB341" s="20"/>
      <c r="AC341" s="20"/>
      <c r="AD341" s="20"/>
    </row>
    <row r="342" spans="1:30" ht="19.5">
      <c r="A342" s="20"/>
      <c r="B342" s="20"/>
      <c r="C342" s="20"/>
      <c r="D342" s="20"/>
      <c r="E342" s="20"/>
      <c r="F342" s="124"/>
      <c r="G342" s="20"/>
      <c r="H342" s="20"/>
      <c r="I342" s="20"/>
      <c r="J342" s="124"/>
      <c r="K342" s="127"/>
      <c r="L342" s="20"/>
      <c r="M342" s="20"/>
      <c r="N342" s="20"/>
      <c r="O342" s="124"/>
      <c r="P342" s="127"/>
      <c r="Q342" s="20"/>
      <c r="R342" s="20"/>
      <c r="S342" s="20"/>
      <c r="T342" s="124"/>
      <c r="U342" s="127"/>
      <c r="V342" s="20"/>
      <c r="W342" s="20"/>
      <c r="X342" s="20"/>
      <c r="Y342" s="20"/>
      <c r="Z342" s="20"/>
      <c r="AA342" s="20"/>
      <c r="AB342" s="20"/>
      <c r="AC342" s="20"/>
      <c r="AD342" s="20"/>
    </row>
    <row r="343" spans="1:30" ht="19.5">
      <c r="A343" s="20"/>
      <c r="B343" s="20"/>
      <c r="C343" s="20"/>
      <c r="D343" s="20"/>
      <c r="E343" s="20"/>
      <c r="F343" s="124"/>
      <c r="G343" s="20"/>
      <c r="H343" s="20"/>
      <c r="I343" s="20"/>
      <c r="J343" s="124"/>
      <c r="K343" s="127"/>
      <c r="L343" s="20"/>
      <c r="M343" s="20"/>
      <c r="N343" s="20"/>
      <c r="O343" s="124"/>
      <c r="P343" s="127"/>
      <c r="Q343" s="20"/>
      <c r="R343" s="20"/>
      <c r="S343" s="20"/>
      <c r="T343" s="124"/>
      <c r="U343" s="127"/>
      <c r="V343" s="20"/>
      <c r="W343" s="20"/>
      <c r="X343" s="20"/>
      <c r="Y343" s="20"/>
      <c r="Z343" s="20"/>
      <c r="AA343" s="20"/>
      <c r="AB343" s="20"/>
      <c r="AC343" s="20"/>
      <c r="AD343" s="20"/>
    </row>
    <row r="344" spans="1:30" ht="19.5">
      <c r="A344" s="20"/>
      <c r="B344" s="20"/>
      <c r="C344" s="20"/>
      <c r="D344" s="20"/>
      <c r="E344" s="20"/>
      <c r="F344" s="124"/>
      <c r="G344" s="20"/>
      <c r="H344" s="20"/>
      <c r="I344" s="20"/>
      <c r="J344" s="124"/>
      <c r="K344" s="127"/>
      <c r="L344" s="20"/>
      <c r="M344" s="20"/>
      <c r="N344" s="20"/>
      <c r="O344" s="124"/>
      <c r="P344" s="127"/>
      <c r="Q344" s="20"/>
      <c r="R344" s="20"/>
      <c r="S344" s="20"/>
      <c r="T344" s="124"/>
      <c r="U344" s="127"/>
      <c r="V344" s="20"/>
      <c r="W344" s="20"/>
      <c r="X344" s="20"/>
      <c r="Y344" s="20"/>
      <c r="Z344" s="20"/>
      <c r="AA344" s="20"/>
      <c r="AB344" s="20"/>
      <c r="AC344" s="20"/>
      <c r="AD344" s="20"/>
    </row>
    <row r="345" spans="1:30" ht="19.5">
      <c r="A345" s="20"/>
      <c r="B345" s="20"/>
      <c r="C345" s="20"/>
      <c r="D345" s="20"/>
      <c r="E345" s="20"/>
      <c r="F345" s="124"/>
      <c r="G345" s="20"/>
      <c r="H345" s="20"/>
      <c r="I345" s="20"/>
      <c r="J345" s="124"/>
      <c r="K345" s="127"/>
      <c r="L345" s="20"/>
      <c r="M345" s="20"/>
      <c r="N345" s="20"/>
      <c r="O345" s="124"/>
      <c r="P345" s="127"/>
      <c r="Q345" s="20"/>
      <c r="R345" s="20"/>
      <c r="S345" s="20"/>
      <c r="T345" s="124"/>
      <c r="U345" s="127"/>
      <c r="V345" s="20"/>
      <c r="W345" s="20"/>
      <c r="X345" s="20"/>
      <c r="Y345" s="20"/>
      <c r="Z345" s="20"/>
      <c r="AA345" s="20"/>
      <c r="AB345" s="20"/>
      <c r="AC345" s="20"/>
      <c r="AD345" s="20"/>
    </row>
    <row r="346" spans="1:30" ht="19.5">
      <c r="A346" s="20"/>
      <c r="B346" s="20"/>
      <c r="C346" s="20"/>
      <c r="D346" s="20"/>
      <c r="E346" s="20"/>
      <c r="F346" s="124"/>
      <c r="G346" s="20"/>
      <c r="H346" s="20"/>
      <c r="I346" s="20"/>
      <c r="J346" s="124"/>
      <c r="K346" s="127"/>
      <c r="L346" s="20"/>
      <c r="M346" s="20"/>
      <c r="N346" s="20"/>
      <c r="O346" s="124"/>
      <c r="P346" s="127"/>
      <c r="Q346" s="20"/>
      <c r="R346" s="20"/>
      <c r="S346" s="20"/>
      <c r="T346" s="124"/>
      <c r="U346" s="127"/>
      <c r="V346" s="20"/>
      <c r="W346" s="20"/>
      <c r="X346" s="20"/>
      <c r="Y346" s="20"/>
      <c r="Z346" s="20"/>
      <c r="AA346" s="20"/>
      <c r="AB346" s="20"/>
      <c r="AC346" s="20"/>
      <c r="AD346" s="20"/>
    </row>
    <row r="347" spans="1:30" ht="19.5">
      <c r="A347" s="20"/>
      <c r="B347" s="20"/>
      <c r="C347" s="20"/>
      <c r="D347" s="20"/>
      <c r="E347" s="20"/>
      <c r="F347" s="124"/>
      <c r="G347" s="20"/>
      <c r="H347" s="20"/>
      <c r="I347" s="20"/>
      <c r="J347" s="124"/>
      <c r="K347" s="127"/>
      <c r="L347" s="20"/>
      <c r="M347" s="20"/>
      <c r="N347" s="20"/>
      <c r="O347" s="124"/>
      <c r="P347" s="127"/>
      <c r="Q347" s="20"/>
      <c r="R347" s="20"/>
      <c r="S347" s="20"/>
      <c r="T347" s="124"/>
      <c r="U347" s="127"/>
      <c r="V347" s="20"/>
      <c r="W347" s="20"/>
      <c r="X347" s="20"/>
      <c r="Y347" s="20"/>
      <c r="Z347" s="20"/>
      <c r="AA347" s="20"/>
      <c r="AB347" s="20"/>
      <c r="AC347" s="20"/>
      <c r="AD347" s="20"/>
    </row>
    <row r="348" spans="1:30" ht="19.5">
      <c r="A348" s="20"/>
      <c r="B348" s="20"/>
      <c r="C348" s="20"/>
      <c r="D348" s="20"/>
      <c r="E348" s="20"/>
      <c r="F348" s="124"/>
      <c r="G348" s="20"/>
      <c r="H348" s="20"/>
      <c r="I348" s="20"/>
      <c r="J348" s="124"/>
      <c r="K348" s="127"/>
      <c r="L348" s="20"/>
      <c r="M348" s="20"/>
      <c r="N348" s="20"/>
      <c r="O348" s="124"/>
      <c r="P348" s="127"/>
      <c r="Q348" s="20"/>
      <c r="R348" s="20"/>
      <c r="S348" s="20"/>
      <c r="T348" s="124"/>
      <c r="U348" s="127"/>
      <c r="V348" s="20"/>
      <c r="W348" s="20"/>
      <c r="X348" s="20"/>
      <c r="Y348" s="20"/>
      <c r="Z348" s="20"/>
      <c r="AA348" s="20"/>
      <c r="AB348" s="20"/>
      <c r="AC348" s="20"/>
      <c r="AD348" s="20"/>
    </row>
    <row r="349" spans="1:30" ht="19.5">
      <c r="A349" s="20"/>
      <c r="B349" s="20"/>
      <c r="C349" s="20"/>
      <c r="D349" s="20"/>
      <c r="E349" s="20"/>
      <c r="F349" s="124"/>
      <c r="G349" s="20"/>
      <c r="H349" s="20"/>
      <c r="I349" s="20"/>
      <c r="J349" s="124"/>
      <c r="K349" s="127"/>
      <c r="L349" s="20"/>
      <c r="M349" s="20"/>
      <c r="N349" s="20"/>
      <c r="O349" s="124"/>
      <c r="P349" s="127"/>
      <c r="Q349" s="20"/>
      <c r="R349" s="20"/>
      <c r="S349" s="20"/>
      <c r="T349" s="124"/>
      <c r="U349" s="127"/>
      <c r="V349" s="20"/>
      <c r="W349" s="20"/>
      <c r="X349" s="20"/>
      <c r="Y349" s="20"/>
      <c r="Z349" s="20"/>
      <c r="AA349" s="20"/>
      <c r="AB349" s="20"/>
      <c r="AC349" s="20"/>
      <c r="AD349" s="20"/>
    </row>
    <row r="350" spans="1:30" ht="19.5">
      <c r="A350" s="20"/>
      <c r="B350" s="20"/>
      <c r="C350" s="20"/>
      <c r="D350" s="20"/>
      <c r="E350" s="20"/>
      <c r="F350" s="124"/>
      <c r="G350" s="20"/>
      <c r="H350" s="20"/>
      <c r="I350" s="20"/>
      <c r="J350" s="124"/>
      <c r="K350" s="127"/>
      <c r="L350" s="20"/>
      <c r="M350" s="20"/>
      <c r="N350" s="20"/>
      <c r="O350" s="124"/>
      <c r="P350" s="127"/>
      <c r="Q350" s="20"/>
      <c r="R350" s="20"/>
      <c r="S350" s="20"/>
      <c r="T350" s="124"/>
      <c r="U350" s="127"/>
      <c r="V350" s="20"/>
      <c r="W350" s="20"/>
      <c r="X350" s="20"/>
      <c r="Y350" s="20"/>
      <c r="Z350" s="20"/>
      <c r="AA350" s="20"/>
      <c r="AB350" s="20"/>
      <c r="AC350" s="20"/>
      <c r="AD350" s="20"/>
    </row>
    <row r="351" spans="1:30" ht="19.5">
      <c r="A351" s="20"/>
      <c r="B351" s="20"/>
      <c r="C351" s="20"/>
      <c r="D351" s="20"/>
      <c r="E351" s="20"/>
      <c r="F351" s="124"/>
      <c r="G351" s="20"/>
      <c r="H351" s="20"/>
      <c r="I351" s="20"/>
      <c r="J351" s="124"/>
      <c r="K351" s="127"/>
      <c r="L351" s="20"/>
      <c r="M351" s="20"/>
      <c r="N351" s="20"/>
      <c r="O351" s="124"/>
      <c r="P351" s="127"/>
      <c r="Q351" s="20"/>
      <c r="R351" s="20"/>
      <c r="S351" s="20"/>
      <c r="T351" s="124"/>
      <c r="U351" s="127"/>
      <c r="V351" s="20"/>
      <c r="W351" s="20"/>
      <c r="X351" s="20"/>
      <c r="Y351" s="20"/>
      <c r="Z351" s="20"/>
      <c r="AA351" s="20"/>
      <c r="AB351" s="20"/>
      <c r="AC351" s="20"/>
      <c r="AD351" s="20"/>
    </row>
    <row r="352" spans="1:30" ht="19.5">
      <c r="A352" s="20"/>
      <c r="B352" s="20"/>
      <c r="C352" s="20"/>
      <c r="D352" s="20"/>
      <c r="E352" s="20"/>
      <c r="F352" s="124"/>
      <c r="G352" s="20"/>
      <c r="H352" s="20"/>
      <c r="I352" s="20"/>
      <c r="J352" s="124"/>
      <c r="K352" s="127"/>
      <c r="L352" s="20"/>
      <c r="M352" s="20"/>
      <c r="N352" s="20"/>
      <c r="O352" s="124"/>
      <c r="P352" s="127"/>
      <c r="Q352" s="20"/>
      <c r="R352" s="20"/>
      <c r="S352" s="20"/>
      <c r="T352" s="124"/>
      <c r="U352" s="127"/>
      <c r="V352" s="20"/>
      <c r="W352" s="20"/>
      <c r="X352" s="20"/>
      <c r="Y352" s="20"/>
      <c r="Z352" s="20"/>
      <c r="AA352" s="20"/>
      <c r="AB352" s="20"/>
      <c r="AC352" s="20"/>
      <c r="AD352" s="20"/>
    </row>
    <row r="353" spans="1:30" ht="19.5">
      <c r="A353" s="20"/>
      <c r="B353" s="20"/>
      <c r="C353" s="20"/>
      <c r="D353" s="20"/>
      <c r="E353" s="20"/>
      <c r="F353" s="124"/>
      <c r="G353" s="20"/>
      <c r="H353" s="20"/>
      <c r="I353" s="20"/>
      <c r="J353" s="124"/>
      <c r="K353" s="127"/>
      <c r="L353" s="20"/>
      <c r="M353" s="20"/>
      <c r="N353" s="20"/>
      <c r="O353" s="124"/>
      <c r="P353" s="127"/>
      <c r="Q353" s="20"/>
      <c r="R353" s="20"/>
      <c r="S353" s="20"/>
      <c r="T353" s="124"/>
      <c r="U353" s="127"/>
      <c r="V353" s="20"/>
      <c r="W353" s="20"/>
      <c r="X353" s="20"/>
      <c r="Y353" s="20"/>
      <c r="Z353" s="20"/>
      <c r="AA353" s="20"/>
      <c r="AB353" s="20"/>
      <c r="AC353" s="20"/>
      <c r="AD353" s="20"/>
    </row>
    <row r="354" spans="1:30" ht="19.5">
      <c r="A354" s="20"/>
      <c r="B354" s="20"/>
      <c r="C354" s="20"/>
      <c r="D354" s="20"/>
      <c r="E354" s="20"/>
      <c r="F354" s="124"/>
      <c r="G354" s="20"/>
      <c r="H354" s="20"/>
      <c r="I354" s="20"/>
      <c r="J354" s="124"/>
      <c r="K354" s="127"/>
      <c r="L354" s="20"/>
      <c r="M354" s="20"/>
      <c r="N354" s="20"/>
      <c r="O354" s="124"/>
      <c r="P354" s="127"/>
      <c r="Q354" s="20"/>
      <c r="R354" s="20"/>
      <c r="S354" s="20"/>
      <c r="T354" s="124"/>
      <c r="U354" s="127"/>
      <c r="V354" s="20"/>
      <c r="W354" s="20"/>
      <c r="X354" s="20"/>
      <c r="Y354" s="20"/>
      <c r="Z354" s="20"/>
      <c r="AA354" s="20"/>
      <c r="AB354" s="20"/>
      <c r="AC354" s="20"/>
      <c r="AD354" s="20"/>
    </row>
    <row r="355" spans="1:30" ht="19.5">
      <c r="A355" s="20"/>
      <c r="B355" s="20"/>
      <c r="C355" s="20"/>
      <c r="D355" s="20"/>
      <c r="E355" s="20"/>
      <c r="F355" s="124"/>
      <c r="G355" s="20"/>
      <c r="H355" s="20"/>
      <c r="I355" s="20"/>
      <c r="J355" s="124"/>
      <c r="K355" s="127"/>
      <c r="L355" s="20"/>
      <c r="M355" s="20"/>
      <c r="N355" s="20"/>
      <c r="O355" s="124"/>
      <c r="P355" s="127"/>
      <c r="Q355" s="20"/>
      <c r="R355" s="20"/>
      <c r="S355" s="20"/>
      <c r="T355" s="124"/>
      <c r="U355" s="127"/>
      <c r="V355" s="20"/>
      <c r="W355" s="20"/>
      <c r="X355" s="20"/>
      <c r="Y355" s="20"/>
      <c r="Z355" s="20"/>
      <c r="AA355" s="20"/>
      <c r="AB355" s="20"/>
      <c r="AC355" s="20"/>
      <c r="AD355" s="20"/>
    </row>
    <row r="356" spans="1:30" ht="19.5">
      <c r="A356" s="20"/>
      <c r="B356" s="20"/>
      <c r="C356" s="20"/>
      <c r="D356" s="20"/>
      <c r="E356" s="20"/>
      <c r="F356" s="124"/>
      <c r="G356" s="20"/>
      <c r="H356" s="20"/>
      <c r="I356" s="20"/>
      <c r="J356" s="124"/>
      <c r="K356" s="127"/>
      <c r="L356" s="20"/>
      <c r="M356" s="20"/>
      <c r="N356" s="20"/>
      <c r="O356" s="124"/>
      <c r="P356" s="127"/>
      <c r="Q356" s="20"/>
      <c r="R356" s="20"/>
      <c r="S356" s="20"/>
      <c r="T356" s="124"/>
      <c r="U356" s="127"/>
      <c r="V356" s="20"/>
      <c r="W356" s="20"/>
      <c r="X356" s="20"/>
      <c r="Y356" s="20"/>
      <c r="Z356" s="20"/>
      <c r="AA356" s="20"/>
      <c r="AB356" s="20"/>
      <c r="AC356" s="20"/>
      <c r="AD356" s="20"/>
    </row>
    <row r="357" spans="1:30" ht="19.5">
      <c r="A357" s="20"/>
      <c r="B357" s="20"/>
      <c r="C357" s="20"/>
      <c r="D357" s="20"/>
      <c r="E357" s="20"/>
      <c r="F357" s="124"/>
      <c r="G357" s="20"/>
      <c r="H357" s="20"/>
      <c r="I357" s="20"/>
      <c r="J357" s="124"/>
      <c r="K357" s="127"/>
      <c r="L357" s="20"/>
      <c r="M357" s="20"/>
      <c r="N357" s="20"/>
      <c r="O357" s="124"/>
      <c r="P357" s="127"/>
      <c r="Q357" s="20"/>
      <c r="R357" s="20"/>
      <c r="S357" s="20"/>
      <c r="T357" s="124"/>
      <c r="U357" s="127"/>
      <c r="V357" s="20"/>
      <c r="W357" s="20"/>
      <c r="X357" s="20"/>
      <c r="Y357" s="20"/>
      <c r="Z357" s="20"/>
      <c r="AA357" s="20"/>
      <c r="AB357" s="20"/>
      <c r="AC357" s="20"/>
      <c r="AD357" s="20"/>
    </row>
    <row r="358" spans="1:30" ht="19.5">
      <c r="A358" s="20"/>
      <c r="B358" s="20"/>
      <c r="C358" s="20"/>
      <c r="D358" s="20"/>
      <c r="E358" s="20"/>
      <c r="F358" s="124"/>
      <c r="G358" s="20"/>
      <c r="H358" s="20"/>
      <c r="I358" s="20"/>
      <c r="J358" s="124"/>
      <c r="K358" s="127"/>
      <c r="L358" s="20"/>
      <c r="M358" s="20"/>
      <c r="N358" s="20"/>
      <c r="O358" s="124"/>
      <c r="P358" s="127"/>
      <c r="Q358" s="20"/>
      <c r="R358" s="20"/>
      <c r="S358" s="20"/>
      <c r="T358" s="124"/>
      <c r="U358" s="127"/>
      <c r="V358" s="20"/>
      <c r="W358" s="20"/>
      <c r="X358" s="20"/>
      <c r="Y358" s="20"/>
      <c r="Z358" s="20"/>
      <c r="AA358" s="20"/>
      <c r="AB358" s="20"/>
      <c r="AC358" s="20"/>
      <c r="AD358" s="20"/>
    </row>
    <row r="359" spans="1:30" ht="19.5">
      <c r="A359" s="20"/>
      <c r="B359" s="20"/>
      <c r="C359" s="20"/>
      <c r="D359" s="20"/>
      <c r="E359" s="20"/>
      <c r="F359" s="124"/>
      <c r="G359" s="20"/>
      <c r="H359" s="20"/>
      <c r="I359" s="20"/>
      <c r="J359" s="124"/>
      <c r="K359" s="127"/>
      <c r="L359" s="20"/>
      <c r="M359" s="20"/>
      <c r="N359" s="20"/>
      <c r="O359" s="124"/>
      <c r="P359" s="127"/>
      <c r="Q359" s="20"/>
      <c r="R359" s="20"/>
      <c r="S359" s="20"/>
      <c r="T359" s="124"/>
      <c r="U359" s="127"/>
      <c r="V359" s="20"/>
      <c r="W359" s="20"/>
      <c r="X359" s="20"/>
      <c r="Y359" s="20"/>
      <c r="Z359" s="20"/>
      <c r="AA359" s="20"/>
      <c r="AB359" s="20"/>
      <c r="AC359" s="20"/>
      <c r="AD359" s="20"/>
    </row>
    <row r="360" spans="1:30" ht="19.5">
      <c r="A360" s="20"/>
      <c r="B360" s="20"/>
      <c r="C360" s="20"/>
      <c r="D360" s="20"/>
      <c r="E360" s="20"/>
      <c r="F360" s="124"/>
      <c r="G360" s="20"/>
      <c r="H360" s="20"/>
      <c r="I360" s="20"/>
      <c r="J360" s="124"/>
      <c r="K360" s="127"/>
      <c r="L360" s="20"/>
      <c r="M360" s="20"/>
      <c r="N360" s="20"/>
      <c r="O360" s="124"/>
      <c r="P360" s="127"/>
      <c r="Q360" s="20"/>
      <c r="R360" s="20"/>
      <c r="S360" s="20"/>
      <c r="T360" s="124"/>
      <c r="U360" s="127"/>
      <c r="V360" s="20"/>
      <c r="W360" s="20"/>
      <c r="X360" s="20"/>
      <c r="Y360" s="20"/>
      <c r="Z360" s="20"/>
      <c r="AA360" s="20"/>
      <c r="AB360" s="20"/>
      <c r="AC360" s="20"/>
      <c r="AD360" s="20"/>
    </row>
    <row r="361" spans="1:30" ht="19.5">
      <c r="A361" s="20"/>
      <c r="B361" s="20"/>
      <c r="C361" s="20"/>
      <c r="D361" s="20"/>
      <c r="E361" s="20"/>
      <c r="F361" s="124"/>
      <c r="G361" s="20"/>
      <c r="H361" s="20"/>
      <c r="I361" s="20"/>
      <c r="J361" s="124"/>
      <c r="K361" s="127"/>
      <c r="L361" s="20"/>
      <c r="M361" s="20"/>
      <c r="N361" s="20"/>
      <c r="O361" s="124"/>
      <c r="P361" s="127"/>
      <c r="Q361" s="20"/>
      <c r="R361" s="20"/>
      <c r="S361" s="20"/>
      <c r="T361" s="124"/>
      <c r="U361" s="127"/>
      <c r="V361" s="20"/>
      <c r="W361" s="20"/>
      <c r="X361" s="20"/>
      <c r="Y361" s="20"/>
      <c r="Z361" s="20"/>
      <c r="AA361" s="20"/>
      <c r="AB361" s="20"/>
      <c r="AC361" s="20"/>
      <c r="AD361" s="20"/>
    </row>
    <row r="362" spans="1:30" ht="19.5">
      <c r="A362" s="20"/>
      <c r="B362" s="20"/>
      <c r="C362" s="20"/>
      <c r="D362" s="20"/>
      <c r="E362" s="20"/>
      <c r="F362" s="124"/>
      <c r="G362" s="20"/>
      <c r="H362" s="20"/>
      <c r="I362" s="20"/>
      <c r="J362" s="124"/>
      <c r="K362" s="127"/>
      <c r="L362" s="20"/>
      <c r="M362" s="20"/>
      <c r="N362" s="20"/>
      <c r="O362" s="124"/>
      <c r="P362" s="127"/>
      <c r="Q362" s="20"/>
      <c r="R362" s="20"/>
      <c r="S362" s="20"/>
      <c r="T362" s="124"/>
      <c r="U362" s="127"/>
      <c r="V362" s="20"/>
      <c r="W362" s="20"/>
      <c r="X362" s="20"/>
      <c r="Y362" s="20"/>
      <c r="Z362" s="20"/>
      <c r="AA362" s="20"/>
      <c r="AB362" s="20"/>
      <c r="AC362" s="20"/>
      <c r="AD362" s="20"/>
    </row>
    <row r="363" spans="1:30" ht="19.5">
      <c r="A363" s="20"/>
      <c r="B363" s="20"/>
      <c r="C363" s="20"/>
      <c r="D363" s="20"/>
      <c r="E363" s="20"/>
      <c r="F363" s="124"/>
      <c r="G363" s="20"/>
      <c r="H363" s="20"/>
      <c r="I363" s="20"/>
      <c r="J363" s="124"/>
      <c r="K363" s="127"/>
      <c r="L363" s="20"/>
      <c r="M363" s="20"/>
      <c r="N363" s="20"/>
      <c r="O363" s="124"/>
      <c r="P363" s="127"/>
      <c r="Q363" s="20"/>
      <c r="R363" s="20"/>
      <c r="S363" s="20"/>
      <c r="T363" s="124"/>
      <c r="U363" s="127"/>
      <c r="V363" s="20"/>
      <c r="W363" s="20"/>
      <c r="X363" s="20"/>
      <c r="Y363" s="20"/>
      <c r="Z363" s="20"/>
      <c r="AA363" s="20"/>
      <c r="AB363" s="20"/>
      <c r="AC363" s="20"/>
      <c r="AD363" s="20"/>
    </row>
    <row r="364" spans="1:30" ht="19.5">
      <c r="A364" s="20"/>
      <c r="B364" s="20"/>
      <c r="C364" s="20"/>
      <c r="D364" s="20"/>
      <c r="E364" s="20"/>
      <c r="F364" s="124"/>
      <c r="G364" s="20"/>
      <c r="H364" s="20"/>
      <c r="I364" s="20"/>
      <c r="J364" s="124"/>
      <c r="K364" s="127"/>
      <c r="L364" s="20"/>
      <c r="M364" s="20"/>
      <c r="N364" s="20"/>
      <c r="O364" s="124"/>
      <c r="P364" s="127"/>
      <c r="Q364" s="20"/>
      <c r="R364" s="20"/>
      <c r="S364" s="20"/>
      <c r="T364" s="124"/>
      <c r="U364" s="127"/>
      <c r="V364" s="20"/>
      <c r="W364" s="20"/>
      <c r="X364" s="20"/>
      <c r="Y364" s="20"/>
      <c r="Z364" s="20"/>
      <c r="AA364" s="20"/>
      <c r="AB364" s="20"/>
      <c r="AC364" s="20"/>
      <c r="AD364" s="20"/>
    </row>
    <row r="365" spans="1:30" ht="19.5">
      <c r="A365" s="20"/>
      <c r="B365" s="20"/>
      <c r="C365" s="20"/>
      <c r="D365" s="20"/>
      <c r="E365" s="20"/>
      <c r="F365" s="124"/>
      <c r="G365" s="20"/>
      <c r="H365" s="20"/>
      <c r="I365" s="20"/>
      <c r="J365" s="124"/>
      <c r="K365" s="127"/>
      <c r="L365" s="20"/>
      <c r="M365" s="20"/>
      <c r="N365" s="20"/>
      <c r="O365" s="124"/>
      <c r="P365" s="127"/>
      <c r="Q365" s="20"/>
      <c r="R365" s="20"/>
      <c r="S365" s="20"/>
      <c r="T365" s="124"/>
      <c r="U365" s="127"/>
      <c r="V365" s="20"/>
      <c r="W365" s="20"/>
      <c r="X365" s="20"/>
      <c r="Y365" s="20"/>
      <c r="Z365" s="20"/>
      <c r="AA365" s="20"/>
      <c r="AB365" s="20"/>
      <c r="AC365" s="20"/>
      <c r="AD365" s="20"/>
    </row>
    <row r="366" spans="1:30" ht="19.5">
      <c r="A366" s="20"/>
      <c r="B366" s="20"/>
      <c r="C366" s="20"/>
      <c r="D366" s="20"/>
      <c r="E366" s="20"/>
      <c r="F366" s="124"/>
      <c r="G366" s="20"/>
      <c r="H366" s="20"/>
      <c r="I366" s="20"/>
      <c r="J366" s="124"/>
      <c r="K366" s="127"/>
      <c r="L366" s="20"/>
      <c r="M366" s="20"/>
      <c r="N366" s="20"/>
      <c r="O366" s="124"/>
      <c r="P366" s="127"/>
      <c r="Q366" s="20"/>
      <c r="R366" s="20"/>
      <c r="S366" s="20"/>
      <c r="T366" s="124"/>
      <c r="U366" s="127"/>
      <c r="V366" s="20"/>
      <c r="W366" s="20"/>
      <c r="X366" s="20"/>
      <c r="Y366" s="20"/>
      <c r="Z366" s="20"/>
      <c r="AA366" s="20"/>
      <c r="AB366" s="20"/>
      <c r="AC366" s="20"/>
      <c r="AD366" s="20"/>
    </row>
    <row r="367" spans="1:30" ht="19.5">
      <c r="A367" s="20"/>
      <c r="B367" s="20"/>
      <c r="C367" s="20"/>
      <c r="D367" s="20"/>
      <c r="E367" s="20"/>
      <c r="F367" s="124"/>
      <c r="G367" s="20"/>
      <c r="H367" s="20"/>
      <c r="I367" s="20"/>
      <c r="J367" s="124"/>
      <c r="K367" s="127"/>
      <c r="L367" s="20"/>
      <c r="M367" s="20"/>
      <c r="N367" s="20"/>
      <c r="O367" s="124"/>
      <c r="P367" s="127"/>
      <c r="Q367" s="20"/>
      <c r="R367" s="20"/>
      <c r="S367" s="20"/>
      <c r="T367" s="124"/>
      <c r="U367" s="127"/>
      <c r="V367" s="20"/>
      <c r="W367" s="20"/>
      <c r="X367" s="20"/>
      <c r="Y367" s="20"/>
      <c r="Z367" s="20"/>
      <c r="AA367" s="20"/>
      <c r="AB367" s="20"/>
      <c r="AC367" s="20"/>
      <c r="AD367" s="20"/>
    </row>
    <row r="368" spans="1:30" ht="19.5">
      <c r="A368" s="20"/>
      <c r="B368" s="20"/>
      <c r="C368" s="20"/>
      <c r="D368" s="20"/>
      <c r="E368" s="20"/>
      <c r="F368" s="124"/>
      <c r="G368" s="20"/>
      <c r="H368" s="20"/>
      <c r="I368" s="20"/>
      <c r="J368" s="124"/>
      <c r="K368" s="127"/>
      <c r="L368" s="20"/>
      <c r="M368" s="20"/>
      <c r="N368" s="20"/>
      <c r="O368" s="124"/>
      <c r="P368" s="127"/>
      <c r="Q368" s="20"/>
      <c r="R368" s="20"/>
      <c r="S368" s="20"/>
      <c r="T368" s="124"/>
      <c r="U368" s="127"/>
      <c r="V368" s="20"/>
      <c r="W368" s="20"/>
      <c r="X368" s="20"/>
      <c r="Y368" s="20"/>
      <c r="Z368" s="20"/>
      <c r="AA368" s="20"/>
      <c r="AB368" s="20"/>
      <c r="AC368" s="20"/>
      <c r="AD368" s="20"/>
    </row>
    <row r="369" spans="1:30" ht="19.5">
      <c r="A369" s="20"/>
      <c r="B369" s="20"/>
      <c r="C369" s="20"/>
      <c r="D369" s="20"/>
      <c r="E369" s="20"/>
      <c r="F369" s="124"/>
      <c r="G369" s="20"/>
      <c r="H369" s="20"/>
      <c r="I369" s="20"/>
      <c r="J369" s="124"/>
      <c r="K369" s="127"/>
      <c r="L369" s="20"/>
      <c r="M369" s="20"/>
      <c r="N369" s="20"/>
      <c r="O369" s="124"/>
      <c r="P369" s="127"/>
      <c r="Q369" s="20"/>
      <c r="R369" s="20"/>
      <c r="S369" s="20"/>
      <c r="T369" s="124"/>
      <c r="U369" s="127"/>
      <c r="V369" s="20"/>
      <c r="W369" s="20"/>
      <c r="X369" s="20"/>
      <c r="Y369" s="20"/>
      <c r="Z369" s="20"/>
      <c r="AA369" s="20"/>
      <c r="AB369" s="20"/>
      <c r="AC369" s="20"/>
      <c r="AD369" s="20"/>
    </row>
    <row r="370" spans="1:30" ht="19.5">
      <c r="A370" s="20"/>
      <c r="B370" s="20"/>
      <c r="C370" s="20"/>
      <c r="D370" s="20"/>
      <c r="E370" s="20"/>
      <c r="F370" s="124"/>
      <c r="G370" s="20"/>
      <c r="H370" s="20"/>
      <c r="I370" s="20"/>
      <c r="J370" s="124"/>
      <c r="K370" s="127"/>
      <c r="L370" s="20"/>
      <c r="M370" s="20"/>
      <c r="N370" s="20"/>
      <c r="O370" s="124"/>
      <c r="P370" s="127"/>
      <c r="Q370" s="20"/>
      <c r="R370" s="20"/>
      <c r="S370" s="20"/>
      <c r="T370" s="124"/>
      <c r="U370" s="127"/>
      <c r="V370" s="20"/>
      <c r="W370" s="20"/>
      <c r="X370" s="20"/>
      <c r="Y370" s="20"/>
      <c r="Z370" s="20"/>
      <c r="AA370" s="20"/>
      <c r="AB370" s="20"/>
      <c r="AC370" s="20"/>
      <c r="AD370" s="20"/>
    </row>
    <row r="371" spans="1:30" ht="19.5">
      <c r="A371" s="20"/>
      <c r="B371" s="20"/>
      <c r="C371" s="20"/>
      <c r="D371" s="20"/>
      <c r="E371" s="20"/>
      <c r="F371" s="124"/>
      <c r="G371" s="20"/>
      <c r="H371" s="20"/>
      <c r="I371" s="20"/>
      <c r="J371" s="124"/>
      <c r="K371" s="127"/>
      <c r="L371" s="20"/>
      <c r="M371" s="20"/>
      <c r="N371" s="20"/>
      <c r="O371" s="124"/>
      <c r="P371" s="127"/>
      <c r="Q371" s="20"/>
      <c r="R371" s="20"/>
      <c r="S371" s="20"/>
      <c r="T371" s="124"/>
      <c r="U371" s="127"/>
      <c r="V371" s="20"/>
      <c r="W371" s="20"/>
      <c r="X371" s="20"/>
      <c r="Y371" s="20"/>
      <c r="Z371" s="20"/>
      <c r="AA371" s="20"/>
      <c r="AB371" s="20"/>
      <c r="AC371" s="20"/>
      <c r="AD371" s="20"/>
    </row>
    <row r="372" spans="1:30" ht="19.5">
      <c r="A372" s="20"/>
      <c r="B372" s="20"/>
      <c r="C372" s="20"/>
      <c r="D372" s="20"/>
      <c r="E372" s="20"/>
      <c r="F372" s="124"/>
      <c r="G372" s="20"/>
      <c r="H372" s="20"/>
      <c r="I372" s="20"/>
      <c r="J372" s="124"/>
      <c r="K372" s="127"/>
      <c r="L372" s="20"/>
      <c r="M372" s="20"/>
      <c r="N372" s="20"/>
      <c r="O372" s="124"/>
      <c r="P372" s="127"/>
      <c r="Q372" s="20"/>
      <c r="R372" s="20"/>
      <c r="S372" s="20"/>
      <c r="T372" s="124"/>
      <c r="U372" s="127"/>
      <c r="V372" s="20"/>
      <c r="W372" s="20"/>
      <c r="X372" s="20"/>
      <c r="Y372" s="20"/>
      <c r="Z372" s="20"/>
      <c r="AA372" s="20"/>
      <c r="AB372" s="20"/>
      <c r="AC372" s="20"/>
      <c r="AD372" s="20"/>
    </row>
    <row r="373" spans="1:30" ht="19.5">
      <c r="A373" s="20"/>
      <c r="B373" s="20"/>
      <c r="C373" s="20"/>
      <c r="D373" s="20"/>
      <c r="E373" s="20"/>
      <c r="F373" s="124"/>
      <c r="G373" s="20"/>
      <c r="H373" s="20"/>
      <c r="I373" s="20"/>
      <c r="J373" s="124"/>
      <c r="K373" s="127"/>
      <c r="L373" s="20"/>
      <c r="M373" s="20"/>
      <c r="N373" s="20"/>
      <c r="O373" s="124"/>
      <c r="P373" s="127"/>
      <c r="Q373" s="20"/>
      <c r="R373" s="20"/>
      <c r="S373" s="20"/>
      <c r="T373" s="124"/>
      <c r="U373" s="127"/>
      <c r="V373" s="20"/>
      <c r="W373" s="20"/>
      <c r="X373" s="20"/>
      <c r="Y373" s="20"/>
      <c r="Z373" s="20"/>
      <c r="AA373" s="20"/>
      <c r="AB373" s="20"/>
      <c r="AC373" s="20"/>
      <c r="AD373" s="20"/>
    </row>
    <row r="374" spans="1:30" ht="19.5">
      <c r="A374" s="20"/>
      <c r="B374" s="20"/>
      <c r="C374" s="20"/>
      <c r="D374" s="20"/>
      <c r="E374" s="20"/>
      <c r="F374" s="124"/>
      <c r="G374" s="20"/>
      <c r="H374" s="20"/>
      <c r="I374" s="20"/>
      <c r="J374" s="124"/>
      <c r="K374" s="127"/>
      <c r="L374" s="20"/>
      <c r="M374" s="20"/>
      <c r="N374" s="20"/>
      <c r="O374" s="124"/>
      <c r="P374" s="127"/>
      <c r="Q374" s="20"/>
      <c r="R374" s="20"/>
      <c r="S374" s="20"/>
      <c r="T374" s="124"/>
      <c r="U374" s="127"/>
      <c r="V374" s="20"/>
      <c r="W374" s="20"/>
      <c r="X374" s="20"/>
      <c r="Y374" s="20"/>
      <c r="Z374" s="20"/>
      <c r="AA374" s="20"/>
      <c r="AB374" s="20"/>
      <c r="AC374" s="20"/>
      <c r="AD374" s="20"/>
    </row>
    <row r="375" spans="1:30" ht="19.5">
      <c r="A375" s="20"/>
      <c r="B375" s="20"/>
      <c r="C375" s="20"/>
      <c r="D375" s="20"/>
      <c r="E375" s="20"/>
      <c r="F375" s="124"/>
      <c r="G375" s="20"/>
      <c r="H375" s="20"/>
      <c r="I375" s="20"/>
      <c r="J375" s="124"/>
      <c r="K375" s="127"/>
      <c r="L375" s="20"/>
      <c r="M375" s="20"/>
      <c r="N375" s="20"/>
      <c r="O375" s="124"/>
      <c r="P375" s="127"/>
      <c r="Q375" s="20"/>
      <c r="R375" s="20"/>
      <c r="S375" s="20"/>
      <c r="T375" s="124"/>
      <c r="U375" s="127"/>
      <c r="V375" s="20"/>
      <c r="W375" s="20"/>
      <c r="X375" s="20"/>
      <c r="Y375" s="20"/>
      <c r="Z375" s="20"/>
      <c r="AA375" s="20"/>
      <c r="AB375" s="20"/>
      <c r="AC375" s="20"/>
      <c r="AD375" s="20"/>
    </row>
    <row r="376" spans="1:30" ht="19.5">
      <c r="A376" s="20"/>
      <c r="B376" s="20"/>
      <c r="C376" s="20"/>
      <c r="D376" s="20"/>
      <c r="E376" s="20"/>
      <c r="F376" s="124"/>
      <c r="G376" s="20"/>
      <c r="H376" s="20"/>
      <c r="I376" s="20"/>
      <c r="J376" s="124"/>
      <c r="K376" s="127"/>
      <c r="L376" s="20"/>
      <c r="M376" s="20"/>
      <c r="N376" s="20"/>
      <c r="O376" s="124"/>
      <c r="P376" s="127"/>
      <c r="Q376" s="20"/>
      <c r="R376" s="20"/>
      <c r="S376" s="20"/>
      <c r="T376" s="124"/>
      <c r="U376" s="127"/>
      <c r="V376" s="20"/>
      <c r="W376" s="20"/>
      <c r="X376" s="20"/>
      <c r="Y376" s="20"/>
      <c r="Z376" s="20"/>
      <c r="AA376" s="20"/>
      <c r="AB376" s="20"/>
      <c r="AC376" s="20"/>
      <c r="AD376" s="20"/>
    </row>
    <row r="377" spans="1:30" ht="19.5">
      <c r="A377" s="20"/>
      <c r="B377" s="20"/>
      <c r="C377" s="20"/>
      <c r="D377" s="20"/>
      <c r="E377" s="20"/>
      <c r="F377" s="124"/>
      <c r="G377" s="20"/>
      <c r="H377" s="20"/>
      <c r="I377" s="20"/>
      <c r="J377" s="124"/>
      <c r="K377" s="127"/>
      <c r="L377" s="20"/>
      <c r="M377" s="20"/>
      <c r="N377" s="20"/>
      <c r="O377" s="124"/>
      <c r="P377" s="127"/>
      <c r="Q377" s="20"/>
      <c r="R377" s="20"/>
      <c r="S377" s="20"/>
      <c r="T377" s="124"/>
      <c r="U377" s="127"/>
      <c r="V377" s="20"/>
      <c r="W377" s="20"/>
      <c r="X377" s="20"/>
      <c r="Y377" s="20"/>
      <c r="Z377" s="20"/>
      <c r="AA377" s="20"/>
      <c r="AB377" s="20"/>
      <c r="AC377" s="20"/>
      <c r="AD377" s="20"/>
    </row>
    <row r="378" spans="1:30" ht="19.5">
      <c r="A378" s="20"/>
      <c r="B378" s="20"/>
      <c r="C378" s="20"/>
      <c r="D378" s="20"/>
      <c r="E378" s="20"/>
      <c r="F378" s="124"/>
      <c r="G378" s="20"/>
      <c r="H378" s="20"/>
      <c r="I378" s="20"/>
      <c r="J378" s="124"/>
      <c r="K378" s="127"/>
      <c r="L378" s="20"/>
      <c r="M378" s="20"/>
      <c r="N378" s="20"/>
      <c r="O378" s="124"/>
      <c r="P378" s="127"/>
      <c r="Q378" s="20"/>
      <c r="R378" s="20"/>
      <c r="S378" s="20"/>
      <c r="T378" s="124"/>
      <c r="U378" s="127"/>
      <c r="V378" s="20"/>
      <c r="W378" s="20"/>
      <c r="X378" s="20"/>
      <c r="Y378" s="20"/>
      <c r="Z378" s="20"/>
      <c r="AA378" s="20"/>
      <c r="AB378" s="20"/>
      <c r="AC378" s="20"/>
      <c r="AD378" s="20"/>
    </row>
    <row r="379" spans="1:30" ht="19.5">
      <c r="A379" s="20"/>
      <c r="B379" s="20"/>
      <c r="C379" s="20"/>
      <c r="D379" s="20"/>
      <c r="E379" s="20"/>
      <c r="F379" s="124"/>
      <c r="G379" s="20"/>
      <c r="H379" s="20"/>
      <c r="I379" s="20"/>
      <c r="J379" s="124"/>
      <c r="K379" s="127"/>
      <c r="L379" s="20"/>
      <c r="M379" s="20"/>
      <c r="N379" s="20"/>
      <c r="O379" s="124"/>
      <c r="P379" s="127"/>
      <c r="Q379" s="20"/>
      <c r="R379" s="20"/>
      <c r="S379" s="20"/>
      <c r="T379" s="124"/>
      <c r="U379" s="127"/>
      <c r="V379" s="20"/>
      <c r="W379" s="20"/>
      <c r="X379" s="20"/>
      <c r="Y379" s="20"/>
      <c r="Z379" s="20"/>
      <c r="AA379" s="20"/>
      <c r="AB379" s="20"/>
      <c r="AC379" s="20"/>
      <c r="AD379" s="20"/>
    </row>
    <row r="380" spans="1:30" ht="19.5">
      <c r="A380" s="20"/>
      <c r="B380" s="20"/>
      <c r="C380" s="20"/>
      <c r="D380" s="20"/>
      <c r="E380" s="20"/>
      <c r="F380" s="124"/>
      <c r="G380" s="20"/>
      <c r="H380" s="20"/>
      <c r="I380" s="20"/>
      <c r="J380" s="124"/>
      <c r="K380" s="127"/>
      <c r="L380" s="20"/>
      <c r="M380" s="20"/>
      <c r="N380" s="20"/>
      <c r="O380" s="124"/>
      <c r="P380" s="127"/>
      <c r="Q380" s="20"/>
      <c r="R380" s="20"/>
      <c r="S380" s="20"/>
      <c r="T380" s="124"/>
      <c r="U380" s="127"/>
      <c r="V380" s="20"/>
      <c r="W380" s="20"/>
      <c r="X380" s="20"/>
      <c r="Y380" s="20"/>
      <c r="Z380" s="20"/>
      <c r="AA380" s="20"/>
      <c r="AB380" s="20"/>
      <c r="AC380" s="20"/>
      <c r="AD380" s="20"/>
    </row>
    <row r="381" spans="1:30" ht="19.5">
      <c r="A381" s="20"/>
      <c r="B381" s="20"/>
      <c r="C381" s="20"/>
      <c r="D381" s="20"/>
      <c r="E381" s="20"/>
      <c r="F381" s="124"/>
      <c r="G381" s="20"/>
      <c r="H381" s="20"/>
      <c r="I381" s="20"/>
      <c r="J381" s="124"/>
      <c r="K381" s="127"/>
      <c r="L381" s="20"/>
      <c r="M381" s="20"/>
      <c r="N381" s="20"/>
      <c r="O381" s="124"/>
      <c r="P381" s="127"/>
      <c r="Q381" s="20"/>
      <c r="R381" s="20"/>
      <c r="S381" s="20"/>
      <c r="T381" s="124"/>
      <c r="U381" s="127"/>
      <c r="V381" s="20"/>
      <c r="W381" s="20"/>
      <c r="X381" s="20"/>
      <c r="Y381" s="20"/>
      <c r="Z381" s="20"/>
      <c r="AA381" s="20"/>
      <c r="AB381" s="20"/>
      <c r="AC381" s="20"/>
      <c r="AD381" s="20"/>
    </row>
    <row r="382" spans="1:30" ht="19.5">
      <c r="A382" s="20"/>
      <c r="B382" s="20"/>
      <c r="C382" s="20"/>
      <c r="D382" s="20"/>
      <c r="E382" s="20"/>
      <c r="F382" s="124"/>
      <c r="G382" s="20"/>
      <c r="H382" s="20"/>
      <c r="I382" s="20"/>
      <c r="J382" s="124"/>
      <c r="K382" s="127"/>
      <c r="L382" s="20"/>
      <c r="M382" s="20"/>
      <c r="N382" s="20"/>
      <c r="O382" s="124"/>
      <c r="P382" s="127"/>
      <c r="Q382" s="20"/>
      <c r="R382" s="20"/>
      <c r="S382" s="20"/>
      <c r="T382" s="124"/>
      <c r="U382" s="127"/>
      <c r="V382" s="20"/>
      <c r="W382" s="20"/>
      <c r="X382" s="20"/>
      <c r="Y382" s="20"/>
      <c r="Z382" s="20"/>
      <c r="AA382" s="20"/>
      <c r="AB382" s="20"/>
      <c r="AC382" s="20"/>
      <c r="AD382" s="20"/>
    </row>
    <row r="383" spans="1:30" ht="19.5">
      <c r="A383" s="20"/>
      <c r="B383" s="20"/>
      <c r="C383" s="20"/>
      <c r="D383" s="20"/>
      <c r="E383" s="20"/>
      <c r="F383" s="124"/>
      <c r="G383" s="20"/>
      <c r="H383" s="20"/>
      <c r="I383" s="20"/>
      <c r="J383" s="124"/>
      <c r="K383" s="127"/>
      <c r="L383" s="20"/>
      <c r="M383" s="20"/>
      <c r="N383" s="20"/>
      <c r="O383" s="124"/>
      <c r="P383" s="127"/>
      <c r="Q383" s="20"/>
      <c r="R383" s="20"/>
      <c r="S383" s="20"/>
      <c r="T383" s="124"/>
      <c r="U383" s="127"/>
      <c r="V383" s="20"/>
      <c r="W383" s="20"/>
      <c r="X383" s="20"/>
      <c r="Y383" s="20"/>
      <c r="Z383" s="20"/>
      <c r="AA383" s="20"/>
      <c r="AB383" s="20"/>
      <c r="AC383" s="20"/>
      <c r="AD383" s="20"/>
    </row>
    <row r="384" spans="1:30" ht="19.5">
      <c r="A384" s="20"/>
      <c r="B384" s="20"/>
      <c r="C384" s="20"/>
      <c r="D384" s="20"/>
      <c r="E384" s="20"/>
      <c r="F384" s="124"/>
      <c r="G384" s="20"/>
      <c r="H384" s="20"/>
      <c r="I384" s="20"/>
      <c r="J384" s="124"/>
      <c r="K384" s="127"/>
      <c r="L384" s="20"/>
      <c r="M384" s="20"/>
      <c r="N384" s="20"/>
      <c r="O384" s="124"/>
      <c r="P384" s="127"/>
      <c r="Q384" s="20"/>
      <c r="R384" s="20"/>
      <c r="S384" s="20"/>
      <c r="T384" s="124"/>
      <c r="U384" s="127"/>
      <c r="V384" s="20"/>
      <c r="W384" s="20"/>
      <c r="X384" s="20"/>
      <c r="Y384" s="20"/>
      <c r="Z384" s="20"/>
      <c r="AA384" s="20"/>
      <c r="AB384" s="20"/>
      <c r="AC384" s="20"/>
      <c r="AD384" s="20"/>
    </row>
    <row r="385" spans="1:30" ht="19.5">
      <c r="A385" s="20"/>
      <c r="B385" s="20"/>
      <c r="C385" s="20"/>
      <c r="D385" s="20"/>
      <c r="E385" s="20"/>
      <c r="F385" s="124"/>
      <c r="G385" s="20"/>
      <c r="H385" s="20"/>
      <c r="I385" s="20"/>
      <c r="J385" s="124"/>
      <c r="K385" s="127"/>
      <c r="L385" s="20"/>
      <c r="M385" s="20"/>
      <c r="N385" s="20"/>
      <c r="O385" s="124"/>
      <c r="P385" s="127"/>
      <c r="Q385" s="20"/>
      <c r="R385" s="20"/>
      <c r="S385" s="20"/>
      <c r="T385" s="124"/>
      <c r="U385" s="127"/>
      <c r="V385" s="20"/>
      <c r="W385" s="20"/>
      <c r="X385" s="20"/>
      <c r="Y385" s="20"/>
      <c r="Z385" s="20"/>
      <c r="AA385" s="20"/>
      <c r="AB385" s="20"/>
      <c r="AC385" s="20"/>
      <c r="AD385" s="20"/>
    </row>
    <row r="386" spans="1:30" ht="19.5">
      <c r="A386" s="20"/>
      <c r="B386" s="20"/>
      <c r="C386" s="20"/>
      <c r="D386" s="20"/>
      <c r="E386" s="20"/>
      <c r="F386" s="124"/>
      <c r="G386" s="20"/>
      <c r="H386" s="20"/>
      <c r="I386" s="20"/>
      <c r="J386" s="124"/>
      <c r="K386" s="127"/>
      <c r="L386" s="20"/>
      <c r="M386" s="20"/>
      <c r="N386" s="20"/>
      <c r="O386" s="124"/>
      <c r="P386" s="127"/>
      <c r="Q386" s="20"/>
      <c r="R386" s="20"/>
      <c r="S386" s="20"/>
      <c r="T386" s="124"/>
      <c r="U386" s="127"/>
      <c r="V386" s="20"/>
      <c r="W386" s="20"/>
      <c r="X386" s="20"/>
      <c r="Y386" s="20"/>
      <c r="Z386" s="20"/>
      <c r="AA386" s="20"/>
      <c r="AB386" s="20"/>
      <c r="AC386" s="20"/>
      <c r="AD386" s="20"/>
    </row>
    <row r="387" spans="1:30" ht="19.5">
      <c r="A387" s="20"/>
      <c r="B387" s="20"/>
      <c r="C387" s="20"/>
      <c r="D387" s="20"/>
      <c r="E387" s="20"/>
      <c r="F387" s="124"/>
      <c r="G387" s="20"/>
      <c r="H387" s="20"/>
      <c r="I387" s="20"/>
      <c r="J387" s="124"/>
      <c r="K387" s="127"/>
      <c r="L387" s="20"/>
      <c r="M387" s="20"/>
      <c r="N387" s="20"/>
      <c r="O387" s="124"/>
      <c r="P387" s="127"/>
      <c r="Q387" s="20"/>
      <c r="R387" s="20"/>
      <c r="S387" s="20"/>
      <c r="T387" s="124"/>
      <c r="U387" s="127"/>
      <c r="V387" s="20"/>
      <c r="W387" s="20"/>
      <c r="X387" s="20"/>
      <c r="Y387" s="20"/>
      <c r="Z387" s="20"/>
      <c r="AA387" s="20"/>
      <c r="AB387" s="20"/>
      <c r="AC387" s="20"/>
      <c r="AD387" s="20"/>
    </row>
    <row r="388" spans="1:30" ht="19.5">
      <c r="A388" s="20"/>
      <c r="B388" s="20"/>
      <c r="C388" s="20"/>
      <c r="D388" s="20"/>
      <c r="E388" s="20"/>
      <c r="F388" s="124"/>
      <c r="G388" s="20"/>
      <c r="H388" s="20"/>
      <c r="I388" s="20"/>
      <c r="J388" s="124"/>
      <c r="K388" s="127"/>
      <c r="L388" s="20"/>
      <c r="M388" s="20"/>
      <c r="N388" s="20"/>
      <c r="O388" s="124"/>
      <c r="P388" s="127"/>
      <c r="Q388" s="20"/>
      <c r="R388" s="20"/>
      <c r="S388" s="20"/>
      <c r="T388" s="124"/>
      <c r="U388" s="127"/>
      <c r="V388" s="20"/>
      <c r="W388" s="20"/>
      <c r="X388" s="20"/>
      <c r="Y388" s="20"/>
      <c r="Z388" s="20"/>
      <c r="AA388" s="20"/>
      <c r="AB388" s="20"/>
      <c r="AC388" s="20"/>
      <c r="AD388" s="20"/>
    </row>
    <row r="389" spans="1:30" ht="19.5">
      <c r="A389" s="20"/>
      <c r="B389" s="20"/>
      <c r="C389" s="20"/>
      <c r="D389" s="20"/>
      <c r="E389" s="20"/>
      <c r="F389" s="124"/>
      <c r="G389" s="20"/>
      <c r="H389" s="20"/>
      <c r="I389" s="20"/>
      <c r="J389" s="124"/>
      <c r="K389" s="127"/>
      <c r="L389" s="20"/>
      <c r="M389" s="20"/>
      <c r="N389" s="20"/>
      <c r="O389" s="124"/>
      <c r="P389" s="127"/>
      <c r="Q389" s="20"/>
      <c r="R389" s="20"/>
      <c r="S389" s="20"/>
      <c r="T389" s="124"/>
      <c r="U389" s="127"/>
      <c r="V389" s="20"/>
      <c r="W389" s="20"/>
      <c r="X389" s="20"/>
      <c r="Y389" s="20"/>
      <c r="Z389" s="20"/>
      <c r="AA389" s="20"/>
      <c r="AB389" s="20"/>
      <c r="AC389" s="20"/>
      <c r="AD389" s="20"/>
    </row>
    <row r="390" spans="1:30" ht="19.5">
      <c r="A390" s="20"/>
      <c r="B390" s="20"/>
      <c r="C390" s="20"/>
      <c r="D390" s="20"/>
      <c r="E390" s="20"/>
      <c r="F390" s="124"/>
      <c r="G390" s="20"/>
      <c r="H390" s="20"/>
      <c r="I390" s="20"/>
      <c r="J390" s="124"/>
      <c r="K390" s="127"/>
      <c r="L390" s="20"/>
      <c r="M390" s="20"/>
      <c r="N390" s="20"/>
      <c r="O390" s="124"/>
      <c r="P390" s="127"/>
      <c r="Q390" s="20"/>
      <c r="R390" s="20"/>
      <c r="S390" s="20"/>
      <c r="T390" s="124"/>
      <c r="U390" s="127"/>
      <c r="V390" s="20"/>
      <c r="W390" s="20"/>
      <c r="X390" s="20"/>
      <c r="Y390" s="20"/>
      <c r="Z390" s="20"/>
      <c r="AA390" s="20"/>
      <c r="AB390" s="20"/>
      <c r="AC390" s="20"/>
      <c r="AD390" s="20"/>
    </row>
    <row r="391" spans="1:30" ht="19.5">
      <c r="A391" s="20"/>
      <c r="B391" s="20"/>
      <c r="C391" s="20"/>
      <c r="D391" s="20"/>
      <c r="E391" s="20"/>
      <c r="F391" s="124"/>
      <c r="G391" s="20"/>
      <c r="H391" s="20"/>
      <c r="I391" s="20"/>
      <c r="J391" s="124"/>
      <c r="K391" s="127"/>
      <c r="L391" s="20"/>
      <c r="M391" s="20"/>
      <c r="N391" s="20"/>
      <c r="O391" s="124"/>
      <c r="P391" s="127"/>
      <c r="Q391" s="20"/>
      <c r="R391" s="20"/>
      <c r="S391" s="20"/>
      <c r="T391" s="124"/>
      <c r="U391" s="127"/>
      <c r="V391" s="20"/>
      <c r="W391" s="20"/>
      <c r="X391" s="20"/>
      <c r="Y391" s="20"/>
      <c r="Z391" s="20"/>
      <c r="AA391" s="20"/>
      <c r="AB391" s="20"/>
      <c r="AC391" s="20"/>
      <c r="AD391" s="20"/>
    </row>
    <row r="392" spans="1:30" ht="19.5">
      <c r="A392" s="20"/>
      <c r="B392" s="20"/>
      <c r="C392" s="20"/>
      <c r="D392" s="20"/>
      <c r="E392" s="20"/>
      <c r="F392" s="124"/>
      <c r="G392" s="20"/>
      <c r="H392" s="20"/>
      <c r="I392" s="20"/>
      <c r="J392" s="124"/>
      <c r="K392" s="127"/>
      <c r="L392" s="20"/>
      <c r="M392" s="20"/>
      <c r="N392" s="20"/>
      <c r="O392" s="124"/>
      <c r="P392" s="127"/>
      <c r="Q392" s="20"/>
      <c r="R392" s="20"/>
      <c r="S392" s="20"/>
      <c r="T392" s="124"/>
      <c r="U392" s="127"/>
      <c r="V392" s="20"/>
      <c r="W392" s="20"/>
      <c r="X392" s="20"/>
      <c r="Y392" s="20"/>
      <c r="Z392" s="20"/>
      <c r="AA392" s="20"/>
      <c r="AB392" s="20"/>
      <c r="AC392" s="20"/>
      <c r="AD392" s="20"/>
    </row>
    <row r="393" spans="1:30" ht="19.5">
      <c r="A393" s="20"/>
      <c r="B393" s="20"/>
      <c r="C393" s="20"/>
      <c r="D393" s="20"/>
      <c r="E393" s="20"/>
      <c r="F393" s="124"/>
      <c r="G393" s="20"/>
      <c r="H393" s="20"/>
      <c r="I393" s="20"/>
      <c r="J393" s="124"/>
      <c r="K393" s="127"/>
      <c r="L393" s="20"/>
      <c r="M393" s="20"/>
      <c r="N393" s="20"/>
      <c r="O393" s="124"/>
      <c r="P393" s="127"/>
      <c r="Q393" s="20"/>
      <c r="R393" s="20"/>
      <c r="S393" s="20"/>
      <c r="T393" s="124"/>
      <c r="U393" s="127"/>
      <c r="V393" s="20"/>
      <c r="W393" s="20"/>
      <c r="X393" s="20"/>
      <c r="Y393" s="20"/>
      <c r="Z393" s="20"/>
      <c r="AA393" s="20"/>
      <c r="AB393" s="20"/>
      <c r="AC393" s="20"/>
      <c r="AD393" s="20"/>
    </row>
    <row r="394" spans="1:30" ht="19.5">
      <c r="A394" s="20"/>
      <c r="B394" s="20"/>
      <c r="C394" s="20"/>
      <c r="D394" s="20"/>
      <c r="E394" s="20"/>
      <c r="F394" s="124"/>
      <c r="G394" s="20"/>
      <c r="H394" s="20"/>
      <c r="I394" s="20"/>
      <c r="J394" s="124"/>
      <c r="K394" s="127"/>
      <c r="L394" s="20"/>
      <c r="M394" s="20"/>
      <c r="N394" s="20"/>
      <c r="O394" s="124"/>
      <c r="P394" s="127"/>
      <c r="Q394" s="20"/>
      <c r="R394" s="20"/>
      <c r="S394" s="20"/>
      <c r="T394" s="124"/>
      <c r="U394" s="127"/>
      <c r="V394" s="20"/>
      <c r="W394" s="20"/>
      <c r="X394" s="20"/>
      <c r="Y394" s="20"/>
      <c r="Z394" s="20"/>
      <c r="AA394" s="20"/>
      <c r="AB394" s="20"/>
      <c r="AC394" s="20"/>
      <c r="AD394" s="20"/>
    </row>
    <row r="395" spans="1:30" ht="19.5">
      <c r="A395" s="20"/>
      <c r="B395" s="20"/>
      <c r="C395" s="20"/>
      <c r="D395" s="20"/>
      <c r="E395" s="20"/>
      <c r="F395" s="124"/>
      <c r="G395" s="20"/>
      <c r="H395" s="20"/>
      <c r="I395" s="20"/>
      <c r="J395" s="124"/>
      <c r="K395" s="127"/>
      <c r="L395" s="20"/>
      <c r="M395" s="20"/>
      <c r="N395" s="20"/>
      <c r="O395" s="124"/>
      <c r="P395" s="127"/>
      <c r="Q395" s="20"/>
      <c r="R395" s="20"/>
      <c r="S395" s="20"/>
      <c r="T395" s="124"/>
      <c r="U395" s="127"/>
      <c r="V395" s="20"/>
      <c r="W395" s="20"/>
      <c r="X395" s="20"/>
      <c r="Y395" s="20"/>
      <c r="Z395" s="20"/>
      <c r="AA395" s="20"/>
      <c r="AB395" s="20"/>
      <c r="AC395" s="20"/>
      <c r="AD395" s="20"/>
    </row>
    <row r="396" spans="1:30" ht="19.5">
      <c r="A396" s="20"/>
      <c r="B396" s="20"/>
      <c r="C396" s="20"/>
      <c r="D396" s="20"/>
      <c r="E396" s="20"/>
      <c r="F396" s="124"/>
      <c r="G396" s="20"/>
      <c r="H396" s="20"/>
      <c r="I396" s="20"/>
      <c r="J396" s="124"/>
      <c r="K396" s="127"/>
      <c r="L396" s="20"/>
      <c r="M396" s="20"/>
      <c r="N396" s="20"/>
      <c r="O396" s="124"/>
      <c r="P396" s="127"/>
      <c r="Q396" s="20"/>
      <c r="R396" s="20"/>
      <c r="S396" s="20"/>
      <c r="T396" s="124"/>
      <c r="U396" s="127"/>
      <c r="V396" s="20"/>
      <c r="W396" s="20"/>
      <c r="X396" s="20"/>
      <c r="Y396" s="20"/>
      <c r="Z396" s="20"/>
      <c r="AA396" s="20"/>
      <c r="AB396" s="20"/>
      <c r="AC396" s="20"/>
      <c r="AD396" s="20"/>
    </row>
    <row r="397" spans="1:30" ht="19.5">
      <c r="A397" s="20"/>
      <c r="B397" s="20"/>
      <c r="C397" s="20"/>
      <c r="D397" s="20"/>
      <c r="E397" s="20"/>
      <c r="F397" s="124"/>
      <c r="G397" s="20"/>
      <c r="H397" s="20"/>
      <c r="I397" s="20"/>
      <c r="J397" s="124"/>
      <c r="K397" s="127"/>
      <c r="L397" s="20"/>
      <c r="M397" s="20"/>
      <c r="N397" s="20"/>
      <c r="O397" s="124"/>
      <c r="P397" s="127"/>
      <c r="Q397" s="20"/>
      <c r="R397" s="20"/>
      <c r="S397" s="20"/>
      <c r="T397" s="124"/>
      <c r="U397" s="127"/>
      <c r="V397" s="20"/>
      <c r="W397" s="20"/>
      <c r="X397" s="20"/>
      <c r="Y397" s="20"/>
      <c r="Z397" s="20"/>
      <c r="AA397" s="20"/>
      <c r="AB397" s="20"/>
      <c r="AC397" s="20"/>
      <c r="AD397" s="20"/>
    </row>
    <row r="398" spans="1:30" ht="19.5">
      <c r="A398" s="20"/>
      <c r="B398" s="20"/>
      <c r="C398" s="20"/>
      <c r="D398" s="20"/>
      <c r="E398" s="20"/>
      <c r="F398" s="124"/>
      <c r="G398" s="20"/>
      <c r="H398" s="20"/>
      <c r="I398" s="20"/>
      <c r="J398" s="124"/>
      <c r="K398" s="127"/>
      <c r="L398" s="20"/>
      <c r="M398" s="20"/>
      <c r="N398" s="20"/>
      <c r="O398" s="124"/>
      <c r="P398" s="127"/>
      <c r="Q398" s="20"/>
      <c r="R398" s="20"/>
      <c r="S398" s="20"/>
      <c r="T398" s="124"/>
      <c r="U398" s="127"/>
      <c r="V398" s="20"/>
      <c r="W398" s="20"/>
      <c r="X398" s="20"/>
      <c r="Y398" s="20"/>
      <c r="Z398" s="20"/>
      <c r="AA398" s="20"/>
      <c r="AB398" s="20"/>
      <c r="AC398" s="20"/>
      <c r="AD398" s="20"/>
    </row>
    <row r="399" spans="1:30" ht="19.5">
      <c r="A399" s="20"/>
      <c r="B399" s="20"/>
      <c r="C399" s="20"/>
      <c r="D399" s="20"/>
      <c r="E399" s="20"/>
      <c r="F399" s="124"/>
      <c r="G399" s="20"/>
      <c r="H399" s="20"/>
      <c r="I399" s="20"/>
      <c r="J399" s="124"/>
      <c r="K399" s="127"/>
      <c r="L399" s="20"/>
      <c r="M399" s="20"/>
      <c r="N399" s="20"/>
      <c r="O399" s="124"/>
      <c r="P399" s="127"/>
      <c r="Q399" s="20"/>
      <c r="R399" s="20"/>
      <c r="S399" s="20"/>
      <c r="T399" s="124"/>
      <c r="U399" s="127"/>
      <c r="V399" s="20"/>
      <c r="W399" s="20"/>
      <c r="X399" s="20"/>
      <c r="Y399" s="20"/>
      <c r="Z399" s="20"/>
      <c r="AA399" s="20"/>
      <c r="AB399" s="20"/>
      <c r="AC399" s="20"/>
      <c r="AD399" s="20"/>
    </row>
    <row r="400" spans="1:30" ht="19.5">
      <c r="A400" s="20"/>
      <c r="B400" s="20"/>
      <c r="C400" s="20"/>
      <c r="D400" s="20"/>
      <c r="E400" s="20"/>
      <c r="F400" s="124"/>
      <c r="G400" s="20"/>
      <c r="H400" s="20"/>
      <c r="I400" s="20"/>
      <c r="J400" s="124"/>
      <c r="K400" s="127"/>
      <c r="L400" s="20"/>
      <c r="M400" s="20"/>
      <c r="N400" s="20"/>
      <c r="O400" s="124"/>
      <c r="P400" s="127"/>
      <c r="Q400" s="20"/>
      <c r="R400" s="20"/>
      <c r="S400" s="20"/>
      <c r="T400" s="124"/>
      <c r="U400" s="127"/>
      <c r="V400" s="20"/>
      <c r="W400" s="20"/>
      <c r="X400" s="20"/>
      <c r="Y400" s="20"/>
      <c r="Z400" s="20"/>
      <c r="AA400" s="20"/>
      <c r="AB400" s="20"/>
      <c r="AC400" s="20"/>
      <c r="AD400" s="20"/>
    </row>
    <row r="401" spans="1:30" ht="19.5">
      <c r="A401" s="20"/>
      <c r="B401" s="20"/>
      <c r="C401" s="20"/>
      <c r="D401" s="20"/>
      <c r="E401" s="20"/>
      <c r="F401" s="124"/>
      <c r="G401" s="20"/>
      <c r="H401" s="20"/>
      <c r="I401" s="20"/>
      <c r="J401" s="124"/>
      <c r="K401" s="127"/>
      <c r="L401" s="20"/>
      <c r="M401" s="20"/>
      <c r="N401" s="20"/>
      <c r="O401" s="124"/>
      <c r="P401" s="127"/>
      <c r="Q401" s="20"/>
      <c r="R401" s="20"/>
      <c r="S401" s="20"/>
      <c r="T401" s="124"/>
      <c r="U401" s="127"/>
      <c r="V401" s="20"/>
      <c r="W401" s="20"/>
      <c r="X401" s="20"/>
      <c r="Y401" s="20"/>
      <c r="Z401" s="20"/>
      <c r="AA401" s="20"/>
      <c r="AB401" s="20"/>
      <c r="AC401" s="20"/>
      <c r="AD401" s="20"/>
    </row>
    <row r="402" spans="1:30" ht="19.5">
      <c r="A402" s="20"/>
      <c r="B402" s="20"/>
      <c r="C402" s="20"/>
      <c r="D402" s="20"/>
      <c r="E402" s="20"/>
      <c r="F402" s="124"/>
      <c r="G402" s="20"/>
      <c r="H402" s="20"/>
      <c r="I402" s="20"/>
      <c r="J402" s="124"/>
      <c r="K402" s="127"/>
      <c r="L402" s="20"/>
      <c r="M402" s="20"/>
      <c r="N402" s="20"/>
      <c r="O402" s="124"/>
      <c r="P402" s="127"/>
      <c r="Q402" s="20"/>
      <c r="R402" s="20"/>
      <c r="S402" s="20"/>
      <c r="T402" s="124"/>
      <c r="U402" s="127"/>
      <c r="V402" s="20"/>
      <c r="W402" s="20"/>
      <c r="X402" s="20"/>
      <c r="Y402" s="20"/>
      <c r="Z402" s="20"/>
      <c r="AA402" s="20"/>
      <c r="AB402" s="20"/>
      <c r="AC402" s="20"/>
      <c r="AD402" s="20"/>
    </row>
    <row r="403" spans="1:30" ht="19.5">
      <c r="A403" s="20"/>
      <c r="B403" s="20"/>
      <c r="C403" s="20"/>
      <c r="D403" s="20"/>
      <c r="E403" s="20"/>
      <c r="F403" s="124"/>
      <c r="G403" s="20"/>
      <c r="H403" s="20"/>
      <c r="I403" s="20"/>
      <c r="J403" s="124"/>
      <c r="K403" s="127"/>
      <c r="L403" s="20"/>
      <c r="M403" s="20"/>
      <c r="N403" s="20"/>
      <c r="O403" s="124"/>
      <c r="P403" s="127"/>
      <c r="Q403" s="20"/>
      <c r="R403" s="20"/>
      <c r="S403" s="20"/>
      <c r="T403" s="124"/>
      <c r="U403" s="127"/>
      <c r="V403" s="20"/>
      <c r="W403" s="20"/>
      <c r="X403" s="20"/>
      <c r="Y403" s="20"/>
      <c r="Z403" s="20"/>
      <c r="AA403" s="20"/>
      <c r="AB403" s="20"/>
      <c r="AC403" s="20"/>
      <c r="AD403" s="20"/>
    </row>
    <row r="404" spans="1:30" ht="19.5">
      <c r="A404" s="20"/>
      <c r="B404" s="20"/>
      <c r="C404" s="20"/>
      <c r="D404" s="20"/>
      <c r="E404" s="20"/>
      <c r="F404" s="124"/>
      <c r="G404" s="20"/>
      <c r="H404" s="20"/>
      <c r="I404" s="20"/>
      <c r="J404" s="124"/>
      <c r="K404" s="127"/>
      <c r="L404" s="20"/>
      <c r="M404" s="20"/>
      <c r="N404" s="20"/>
      <c r="O404" s="124"/>
      <c r="P404" s="127"/>
      <c r="Q404" s="20"/>
      <c r="R404" s="20"/>
      <c r="S404" s="20"/>
      <c r="T404" s="124"/>
      <c r="U404" s="127"/>
      <c r="V404" s="20"/>
      <c r="W404" s="20"/>
      <c r="X404" s="20"/>
      <c r="Y404" s="20"/>
      <c r="Z404" s="20"/>
      <c r="AA404" s="20"/>
      <c r="AB404" s="20"/>
      <c r="AC404" s="20"/>
      <c r="AD404" s="20"/>
    </row>
    <row r="405" spans="1:30" ht="19.5">
      <c r="A405" s="20"/>
      <c r="B405" s="20"/>
      <c r="C405" s="20"/>
      <c r="D405" s="20"/>
      <c r="E405" s="20"/>
      <c r="F405" s="124"/>
      <c r="G405" s="20"/>
      <c r="H405" s="20"/>
      <c r="I405" s="20"/>
      <c r="J405" s="124"/>
      <c r="K405" s="127"/>
      <c r="L405" s="20"/>
      <c r="M405" s="20"/>
      <c r="N405" s="20"/>
      <c r="O405" s="124"/>
      <c r="P405" s="127"/>
      <c r="Q405" s="20"/>
      <c r="R405" s="20"/>
      <c r="S405" s="20"/>
      <c r="T405" s="124"/>
      <c r="U405" s="127"/>
      <c r="V405" s="20"/>
      <c r="W405" s="20"/>
      <c r="X405" s="20"/>
      <c r="Y405" s="20"/>
      <c r="Z405" s="20"/>
      <c r="AA405" s="20"/>
      <c r="AB405" s="20"/>
      <c r="AC405" s="20"/>
      <c r="AD405" s="20"/>
    </row>
    <row r="406" spans="1:30" ht="19.5">
      <c r="A406" s="20"/>
      <c r="B406" s="20"/>
      <c r="C406" s="20"/>
      <c r="D406" s="20"/>
      <c r="E406" s="20"/>
      <c r="F406" s="124"/>
      <c r="G406" s="20"/>
      <c r="H406" s="20"/>
      <c r="I406" s="20"/>
      <c r="J406" s="124"/>
      <c r="K406" s="127"/>
      <c r="L406" s="20"/>
      <c r="M406" s="20"/>
      <c r="N406" s="20"/>
      <c r="O406" s="124"/>
      <c r="P406" s="127"/>
      <c r="Q406" s="20"/>
      <c r="R406" s="20"/>
      <c r="S406" s="20"/>
      <c r="T406" s="124"/>
      <c r="U406" s="127"/>
      <c r="V406" s="20"/>
      <c r="W406" s="20"/>
      <c r="X406" s="20"/>
      <c r="Y406" s="20"/>
      <c r="Z406" s="20"/>
      <c r="AA406" s="20"/>
      <c r="AB406" s="20"/>
      <c r="AC406" s="20"/>
      <c r="AD406" s="20"/>
    </row>
    <row r="407" spans="1:30" ht="19.5">
      <c r="A407" s="20"/>
      <c r="B407" s="20"/>
      <c r="C407" s="20"/>
      <c r="D407" s="20"/>
      <c r="E407" s="20"/>
      <c r="F407" s="124"/>
      <c r="G407" s="20"/>
      <c r="H407" s="20"/>
      <c r="I407" s="20"/>
      <c r="J407" s="124"/>
      <c r="K407" s="127"/>
      <c r="L407" s="20"/>
      <c r="M407" s="20"/>
      <c r="N407" s="20"/>
      <c r="O407" s="124"/>
      <c r="P407" s="127"/>
      <c r="Q407" s="20"/>
      <c r="R407" s="20"/>
      <c r="S407" s="20"/>
      <c r="T407" s="124"/>
      <c r="U407" s="127"/>
      <c r="V407" s="20"/>
      <c r="W407" s="20"/>
      <c r="X407" s="20"/>
      <c r="Y407" s="20"/>
      <c r="Z407" s="20"/>
      <c r="AA407" s="20"/>
      <c r="AB407" s="20"/>
      <c r="AC407" s="20"/>
      <c r="AD407" s="20"/>
    </row>
    <row r="408" spans="1:30" ht="19.5">
      <c r="A408" s="20"/>
      <c r="B408" s="20"/>
      <c r="C408" s="20"/>
      <c r="D408" s="20"/>
      <c r="E408" s="20"/>
      <c r="F408" s="124"/>
      <c r="G408" s="20"/>
      <c r="H408" s="20"/>
      <c r="I408" s="20"/>
      <c r="J408" s="124"/>
      <c r="K408" s="127"/>
      <c r="L408" s="20"/>
      <c r="M408" s="20"/>
      <c r="N408" s="20"/>
      <c r="O408" s="124"/>
      <c r="P408" s="127"/>
      <c r="Q408" s="20"/>
      <c r="R408" s="20"/>
      <c r="S408" s="20"/>
      <c r="T408" s="124"/>
      <c r="U408" s="127"/>
      <c r="V408" s="20"/>
      <c r="W408" s="20"/>
      <c r="X408" s="20"/>
      <c r="Y408" s="20"/>
      <c r="Z408" s="20"/>
      <c r="AA408" s="20"/>
      <c r="AB408" s="20"/>
      <c r="AC408" s="20"/>
      <c r="AD408" s="20"/>
    </row>
    <row r="409" spans="1:30" ht="19.5">
      <c r="A409" s="20"/>
      <c r="B409" s="20"/>
      <c r="C409" s="20"/>
      <c r="D409" s="20"/>
      <c r="E409" s="20"/>
      <c r="F409" s="124"/>
      <c r="G409" s="20"/>
      <c r="H409" s="20"/>
      <c r="I409" s="20"/>
      <c r="J409" s="124"/>
      <c r="K409" s="127"/>
      <c r="L409" s="20"/>
      <c r="M409" s="20"/>
      <c r="N409" s="20"/>
      <c r="O409" s="124"/>
      <c r="P409" s="127"/>
      <c r="Q409" s="20"/>
      <c r="R409" s="20"/>
      <c r="S409" s="20"/>
      <c r="T409" s="124"/>
      <c r="U409" s="127"/>
      <c r="V409" s="20"/>
      <c r="W409" s="20"/>
      <c r="X409" s="20"/>
      <c r="Y409" s="20"/>
      <c r="Z409" s="20"/>
      <c r="AA409" s="20"/>
      <c r="AB409" s="20"/>
      <c r="AC409" s="20"/>
      <c r="AD409" s="20"/>
    </row>
    <row r="410" spans="1:30" ht="19.5">
      <c r="A410" s="20"/>
      <c r="B410" s="20"/>
      <c r="C410" s="20"/>
      <c r="D410" s="20"/>
      <c r="E410" s="20"/>
      <c r="F410" s="124"/>
      <c r="G410" s="20"/>
      <c r="H410" s="20"/>
      <c r="I410" s="20"/>
      <c r="J410" s="124"/>
      <c r="K410" s="127"/>
      <c r="L410" s="20"/>
      <c r="M410" s="20"/>
      <c r="N410" s="20"/>
      <c r="O410" s="124"/>
      <c r="P410" s="127"/>
      <c r="Q410" s="20"/>
      <c r="R410" s="20"/>
      <c r="S410" s="20"/>
      <c r="T410" s="124"/>
      <c r="U410" s="127"/>
      <c r="V410" s="20"/>
      <c r="W410" s="20"/>
      <c r="X410" s="20"/>
      <c r="Y410" s="20"/>
      <c r="Z410" s="20"/>
      <c r="AA410" s="20"/>
      <c r="AB410" s="20"/>
      <c r="AC410" s="20"/>
      <c r="AD410" s="20"/>
    </row>
    <row r="411" spans="1:30" ht="19.5">
      <c r="A411" s="20"/>
      <c r="B411" s="20"/>
      <c r="C411" s="20"/>
      <c r="D411" s="20"/>
      <c r="E411" s="20"/>
      <c r="F411" s="124"/>
      <c r="G411" s="20"/>
      <c r="H411" s="20"/>
      <c r="I411" s="20"/>
      <c r="J411" s="124"/>
      <c r="K411" s="127"/>
      <c r="L411" s="20"/>
      <c r="M411" s="20"/>
      <c r="N411" s="20"/>
      <c r="O411" s="124"/>
      <c r="P411" s="127"/>
      <c r="Q411" s="20"/>
      <c r="R411" s="20"/>
      <c r="S411" s="20"/>
      <c r="T411" s="124"/>
      <c r="U411" s="127"/>
      <c r="V411" s="20"/>
      <c r="W411" s="20"/>
      <c r="X411" s="20"/>
      <c r="Y411" s="20"/>
      <c r="Z411" s="20"/>
      <c r="AA411" s="20"/>
      <c r="AB411" s="20"/>
      <c r="AC411" s="20"/>
      <c r="AD411" s="20"/>
    </row>
    <row r="412" spans="1:30" ht="19.5">
      <c r="A412" s="20"/>
      <c r="B412" s="20"/>
      <c r="C412" s="20"/>
      <c r="D412" s="20"/>
      <c r="E412" s="20"/>
      <c r="F412" s="124"/>
      <c r="G412" s="20"/>
      <c r="H412" s="20"/>
      <c r="I412" s="20"/>
      <c r="J412" s="124"/>
      <c r="K412" s="127"/>
      <c r="L412" s="20"/>
      <c r="M412" s="20"/>
      <c r="N412" s="20"/>
      <c r="O412" s="124"/>
      <c r="P412" s="127"/>
      <c r="Q412" s="20"/>
      <c r="R412" s="20"/>
      <c r="S412" s="20"/>
      <c r="T412" s="124"/>
      <c r="U412" s="127"/>
      <c r="V412" s="20"/>
      <c r="W412" s="20"/>
      <c r="X412" s="20"/>
      <c r="Y412" s="20"/>
      <c r="Z412" s="20"/>
      <c r="AA412" s="20"/>
      <c r="AB412" s="20"/>
      <c r="AC412" s="20"/>
      <c r="AD412" s="20"/>
    </row>
    <row r="413" spans="1:30" ht="19.5">
      <c r="A413" s="20"/>
      <c r="B413" s="20"/>
      <c r="C413" s="20"/>
      <c r="D413" s="20"/>
      <c r="E413" s="20"/>
      <c r="F413" s="124"/>
      <c r="G413" s="20"/>
      <c r="H413" s="20"/>
      <c r="I413" s="20"/>
      <c r="J413" s="124"/>
      <c r="K413" s="127"/>
      <c r="L413" s="20"/>
      <c r="M413" s="20"/>
      <c r="N413" s="20"/>
      <c r="O413" s="124"/>
      <c r="P413" s="127"/>
      <c r="Q413" s="20"/>
      <c r="R413" s="20"/>
      <c r="S413" s="20"/>
      <c r="T413" s="124"/>
      <c r="U413" s="127"/>
      <c r="V413" s="20"/>
      <c r="W413" s="20"/>
      <c r="X413" s="20"/>
      <c r="Y413" s="20"/>
      <c r="Z413" s="20"/>
      <c r="AA413" s="20"/>
      <c r="AB413" s="20"/>
      <c r="AC413" s="20"/>
      <c r="AD413" s="20"/>
    </row>
    <row r="414" spans="1:30" ht="19.5">
      <c r="A414" s="20"/>
      <c r="B414" s="20"/>
      <c r="C414" s="20"/>
      <c r="D414" s="20"/>
      <c r="E414" s="20"/>
      <c r="F414" s="124"/>
      <c r="G414" s="20"/>
      <c r="H414" s="20"/>
      <c r="I414" s="20"/>
      <c r="J414" s="124"/>
      <c r="K414" s="127"/>
      <c r="L414" s="20"/>
      <c r="M414" s="20"/>
      <c r="N414" s="20"/>
      <c r="O414" s="124"/>
      <c r="P414" s="127"/>
      <c r="Q414" s="20"/>
      <c r="R414" s="20"/>
      <c r="S414" s="20"/>
      <c r="T414" s="124"/>
      <c r="U414" s="127"/>
      <c r="V414" s="20"/>
      <c r="W414" s="20"/>
      <c r="X414" s="20"/>
      <c r="Y414" s="20"/>
      <c r="Z414" s="20"/>
      <c r="AA414" s="20"/>
      <c r="AB414" s="20"/>
      <c r="AC414" s="20"/>
      <c r="AD414" s="20"/>
    </row>
    <row r="415" spans="1:30" ht="19.5">
      <c r="A415" s="20"/>
      <c r="B415" s="20"/>
      <c r="C415" s="20"/>
      <c r="D415" s="20"/>
      <c r="E415" s="20"/>
      <c r="F415" s="124"/>
      <c r="G415" s="20"/>
      <c r="H415" s="20"/>
      <c r="I415" s="20"/>
      <c r="J415" s="124"/>
      <c r="K415" s="127"/>
      <c r="L415" s="20"/>
      <c r="M415" s="20"/>
      <c r="N415" s="20"/>
      <c r="O415" s="124"/>
      <c r="P415" s="127"/>
      <c r="Q415" s="20"/>
      <c r="R415" s="20"/>
      <c r="S415" s="20"/>
      <c r="T415" s="124"/>
      <c r="U415" s="127"/>
      <c r="V415" s="20"/>
      <c r="W415" s="20"/>
      <c r="X415" s="20"/>
      <c r="Y415" s="20"/>
      <c r="Z415" s="20"/>
      <c r="AA415" s="20"/>
      <c r="AB415" s="20"/>
      <c r="AC415" s="20"/>
      <c r="AD415" s="20"/>
    </row>
    <row r="416" spans="1:30" ht="19.5">
      <c r="A416" s="20"/>
      <c r="B416" s="20"/>
      <c r="C416" s="20"/>
      <c r="D416" s="20"/>
      <c r="E416" s="20"/>
      <c r="F416" s="124"/>
      <c r="G416" s="20"/>
      <c r="H416" s="20"/>
      <c r="I416" s="20"/>
      <c r="J416" s="124"/>
      <c r="K416" s="127"/>
      <c r="L416" s="20"/>
      <c r="M416" s="20"/>
      <c r="N416" s="20"/>
      <c r="O416" s="124"/>
      <c r="P416" s="127"/>
      <c r="Q416" s="20"/>
      <c r="R416" s="20"/>
      <c r="S416" s="20"/>
      <c r="T416" s="124"/>
      <c r="U416" s="127"/>
      <c r="V416" s="20"/>
      <c r="W416" s="20"/>
      <c r="X416" s="20"/>
      <c r="Y416" s="20"/>
      <c r="Z416" s="20"/>
      <c r="AA416" s="20"/>
      <c r="AB416" s="20"/>
      <c r="AC416" s="20"/>
      <c r="AD416" s="20"/>
    </row>
    <row r="417" spans="1:30" ht="19.5">
      <c r="A417" s="20"/>
      <c r="B417" s="20"/>
      <c r="C417" s="20"/>
      <c r="D417" s="20"/>
      <c r="E417" s="20"/>
      <c r="F417" s="124"/>
      <c r="G417" s="20"/>
      <c r="H417" s="20"/>
      <c r="I417" s="20"/>
      <c r="J417" s="124"/>
      <c r="K417" s="127"/>
      <c r="L417" s="20"/>
      <c r="M417" s="20"/>
      <c r="N417" s="20"/>
      <c r="O417" s="124"/>
      <c r="P417" s="127"/>
      <c r="Q417" s="20"/>
      <c r="R417" s="20"/>
      <c r="S417" s="20"/>
      <c r="T417" s="124"/>
      <c r="U417" s="127"/>
      <c r="V417" s="20"/>
      <c r="W417" s="20"/>
      <c r="X417" s="20"/>
      <c r="Y417" s="20"/>
      <c r="Z417" s="20"/>
      <c r="AA417" s="20"/>
      <c r="AB417" s="20"/>
      <c r="AC417" s="20"/>
      <c r="AD417" s="20"/>
    </row>
    <row r="418" spans="1:30" ht="19.5">
      <c r="A418" s="20"/>
      <c r="B418" s="20"/>
      <c r="C418" s="20"/>
      <c r="D418" s="20"/>
      <c r="E418" s="20"/>
      <c r="F418" s="124"/>
      <c r="G418" s="20"/>
      <c r="H418" s="20"/>
      <c r="I418" s="20"/>
      <c r="J418" s="124"/>
      <c r="K418" s="127"/>
      <c r="L418" s="20"/>
      <c r="M418" s="20"/>
      <c r="N418" s="20"/>
      <c r="O418" s="124"/>
      <c r="P418" s="127"/>
      <c r="Q418" s="20"/>
      <c r="R418" s="20"/>
      <c r="S418" s="20"/>
      <c r="T418" s="124"/>
      <c r="U418" s="127"/>
      <c r="V418" s="20"/>
      <c r="W418" s="20"/>
      <c r="X418" s="20"/>
      <c r="Y418" s="20"/>
      <c r="Z418" s="20"/>
      <c r="AA418" s="20"/>
      <c r="AB418" s="20"/>
      <c r="AC418" s="20"/>
      <c r="AD418" s="20"/>
    </row>
    <row r="419" spans="1:30" ht="19.5">
      <c r="A419" s="20"/>
      <c r="B419" s="20"/>
      <c r="C419" s="20"/>
      <c r="D419" s="20"/>
      <c r="E419" s="20"/>
      <c r="F419" s="124"/>
      <c r="G419" s="20"/>
      <c r="H419" s="20"/>
      <c r="I419" s="20"/>
      <c r="J419" s="124"/>
      <c r="K419" s="127"/>
      <c r="L419" s="20"/>
      <c r="M419" s="20"/>
      <c r="N419" s="20"/>
      <c r="O419" s="124"/>
      <c r="P419" s="127"/>
      <c r="Q419" s="20"/>
      <c r="R419" s="20"/>
      <c r="S419" s="20"/>
      <c r="T419" s="124"/>
      <c r="U419" s="127"/>
      <c r="V419" s="20"/>
      <c r="W419" s="20"/>
      <c r="X419" s="20"/>
      <c r="Y419" s="20"/>
      <c r="Z419" s="20"/>
      <c r="AA419" s="20"/>
      <c r="AB419" s="20"/>
      <c r="AC419" s="20"/>
      <c r="AD419" s="20"/>
    </row>
    <row r="420" spans="1:30" ht="19.5">
      <c r="A420" s="20"/>
      <c r="B420" s="20"/>
      <c r="C420" s="20"/>
      <c r="D420" s="20"/>
      <c r="E420" s="20"/>
      <c r="F420" s="124"/>
      <c r="G420" s="20"/>
      <c r="H420" s="20"/>
      <c r="I420" s="20"/>
      <c r="J420" s="124"/>
      <c r="K420" s="127"/>
      <c r="L420" s="20"/>
      <c r="M420" s="20"/>
      <c r="N420" s="20"/>
      <c r="O420" s="124"/>
      <c r="P420" s="127"/>
      <c r="Q420" s="20"/>
      <c r="R420" s="20"/>
      <c r="S420" s="20"/>
      <c r="T420" s="124"/>
      <c r="U420" s="127"/>
      <c r="V420" s="20"/>
      <c r="W420" s="20"/>
      <c r="X420" s="20"/>
      <c r="Y420" s="20"/>
      <c r="Z420" s="20"/>
      <c r="AA420" s="20"/>
      <c r="AB420" s="20"/>
      <c r="AC420" s="20"/>
      <c r="AD420" s="20"/>
    </row>
    <row r="421" spans="1:30" ht="19.5">
      <c r="A421" s="20"/>
      <c r="B421" s="20"/>
      <c r="C421" s="20"/>
      <c r="D421" s="20"/>
      <c r="E421" s="20"/>
      <c r="F421" s="124"/>
      <c r="G421" s="20"/>
      <c r="H421" s="20"/>
      <c r="I421" s="20"/>
      <c r="J421" s="124"/>
      <c r="K421" s="127"/>
      <c r="L421" s="20"/>
      <c r="M421" s="20"/>
      <c r="N421" s="20"/>
      <c r="O421" s="124"/>
      <c r="P421" s="127"/>
      <c r="Q421" s="20"/>
      <c r="R421" s="20"/>
      <c r="S421" s="20"/>
      <c r="T421" s="124"/>
      <c r="U421" s="127"/>
      <c r="V421" s="20"/>
      <c r="W421" s="20"/>
      <c r="X421" s="20"/>
      <c r="Y421" s="20"/>
      <c r="Z421" s="20"/>
      <c r="AA421" s="20"/>
      <c r="AB421" s="20"/>
      <c r="AC421" s="20"/>
      <c r="AD421" s="20"/>
    </row>
    <row r="422" spans="1:30" ht="19.5">
      <c r="A422" s="20"/>
      <c r="B422" s="20"/>
      <c r="C422" s="20"/>
      <c r="D422" s="20"/>
      <c r="E422" s="20"/>
      <c r="F422" s="124"/>
      <c r="G422" s="20"/>
      <c r="H422" s="20"/>
      <c r="I422" s="20"/>
      <c r="J422" s="124"/>
      <c r="K422" s="127"/>
      <c r="L422" s="20"/>
      <c r="M422" s="20"/>
      <c r="N422" s="20"/>
      <c r="O422" s="124"/>
      <c r="P422" s="127"/>
      <c r="Q422" s="20"/>
      <c r="R422" s="20"/>
      <c r="S422" s="20"/>
      <c r="T422" s="124"/>
      <c r="U422" s="127"/>
      <c r="V422" s="20"/>
      <c r="W422" s="20"/>
      <c r="X422" s="20"/>
      <c r="Y422" s="20"/>
      <c r="Z422" s="20"/>
      <c r="AA422" s="20"/>
      <c r="AB422" s="20"/>
      <c r="AC422" s="20"/>
      <c r="AD422" s="20"/>
    </row>
    <row r="423" spans="1:30" ht="19.5">
      <c r="A423" s="20"/>
      <c r="B423" s="20"/>
      <c r="C423" s="20"/>
      <c r="D423" s="20"/>
      <c r="E423" s="20"/>
      <c r="F423" s="124"/>
      <c r="G423" s="20"/>
      <c r="H423" s="20"/>
      <c r="I423" s="20"/>
      <c r="J423" s="124"/>
      <c r="K423" s="127"/>
      <c r="L423" s="20"/>
      <c r="M423" s="20"/>
      <c r="N423" s="20"/>
      <c r="O423" s="124"/>
      <c r="P423" s="127"/>
      <c r="Q423" s="20"/>
      <c r="R423" s="20"/>
      <c r="S423" s="20"/>
      <c r="T423" s="124"/>
      <c r="U423" s="127"/>
      <c r="V423" s="20"/>
      <c r="W423" s="20"/>
      <c r="X423" s="20"/>
      <c r="Y423" s="20"/>
      <c r="Z423" s="20"/>
      <c r="AA423" s="20"/>
      <c r="AB423" s="20"/>
      <c r="AC423" s="20"/>
      <c r="AD423" s="20"/>
    </row>
    <row r="424" spans="1:30" ht="19.5">
      <c r="A424" s="20"/>
      <c r="B424" s="20"/>
      <c r="C424" s="20"/>
      <c r="D424" s="20"/>
      <c r="E424" s="20"/>
      <c r="F424" s="124"/>
      <c r="G424" s="20"/>
      <c r="H424" s="20"/>
      <c r="I424" s="20"/>
      <c r="J424" s="124"/>
      <c r="K424" s="127"/>
      <c r="L424" s="20"/>
      <c r="M424" s="20"/>
      <c r="N424" s="20"/>
      <c r="O424" s="124"/>
      <c r="P424" s="127"/>
      <c r="Q424" s="20"/>
      <c r="R424" s="20"/>
      <c r="S424" s="20"/>
      <c r="T424" s="124"/>
      <c r="U424" s="127"/>
      <c r="V424" s="20"/>
      <c r="W424" s="20"/>
      <c r="X424" s="20"/>
      <c r="Y424" s="20"/>
      <c r="Z424" s="20"/>
      <c r="AA424" s="20"/>
      <c r="AB424" s="20"/>
      <c r="AC424" s="20"/>
      <c r="AD424" s="20"/>
    </row>
    <row r="425" spans="1:30" ht="19.5">
      <c r="A425" s="20"/>
      <c r="B425" s="20"/>
      <c r="C425" s="20"/>
      <c r="D425" s="20"/>
      <c r="E425" s="20"/>
      <c r="F425" s="124"/>
      <c r="G425" s="20"/>
      <c r="H425" s="20"/>
      <c r="I425" s="20"/>
      <c r="J425" s="124"/>
      <c r="K425" s="127"/>
      <c r="L425" s="20"/>
      <c r="M425" s="20"/>
      <c r="N425" s="20"/>
      <c r="O425" s="124"/>
      <c r="P425" s="127"/>
      <c r="Q425" s="20"/>
      <c r="R425" s="20"/>
      <c r="S425" s="20"/>
      <c r="T425" s="124"/>
      <c r="U425" s="127"/>
      <c r="V425" s="20"/>
      <c r="W425" s="20"/>
      <c r="X425" s="20"/>
      <c r="Y425" s="20"/>
      <c r="Z425" s="20"/>
      <c r="AA425" s="20"/>
      <c r="AB425" s="20"/>
      <c r="AC425" s="20"/>
      <c r="AD425" s="20"/>
    </row>
    <row r="426" spans="1:30" ht="19.5">
      <c r="A426" s="20"/>
      <c r="B426" s="20"/>
      <c r="C426" s="20"/>
      <c r="D426" s="20"/>
      <c r="E426" s="20"/>
      <c r="F426" s="124"/>
      <c r="G426" s="20"/>
      <c r="H426" s="20"/>
      <c r="I426" s="20"/>
      <c r="J426" s="124"/>
      <c r="K426" s="127"/>
      <c r="L426" s="20"/>
      <c r="M426" s="20"/>
      <c r="N426" s="20"/>
      <c r="O426" s="124"/>
      <c r="P426" s="127"/>
      <c r="Q426" s="20"/>
      <c r="R426" s="20"/>
      <c r="S426" s="20"/>
      <c r="T426" s="124"/>
      <c r="U426" s="127"/>
      <c r="V426" s="20"/>
      <c r="W426" s="20"/>
      <c r="X426" s="20"/>
      <c r="Y426" s="20"/>
      <c r="Z426" s="20"/>
      <c r="AA426" s="20"/>
      <c r="AB426" s="20"/>
      <c r="AC426" s="20"/>
      <c r="AD426" s="20"/>
    </row>
    <row r="427" spans="1:30" ht="19.5">
      <c r="A427" s="20"/>
      <c r="B427" s="20"/>
      <c r="C427" s="20"/>
      <c r="D427" s="20"/>
      <c r="E427" s="20"/>
      <c r="F427" s="124"/>
      <c r="G427" s="20"/>
      <c r="H427" s="20"/>
      <c r="I427" s="20"/>
      <c r="J427" s="124"/>
      <c r="K427" s="127"/>
      <c r="L427" s="20"/>
      <c r="M427" s="20"/>
      <c r="N427" s="20"/>
      <c r="O427" s="124"/>
      <c r="P427" s="127"/>
      <c r="Q427" s="20"/>
      <c r="R427" s="20"/>
      <c r="S427" s="20"/>
      <c r="T427" s="124"/>
      <c r="U427" s="127"/>
      <c r="V427" s="20"/>
      <c r="W427" s="20"/>
      <c r="X427" s="20"/>
      <c r="Y427" s="20"/>
      <c r="Z427" s="20"/>
      <c r="AA427" s="20"/>
      <c r="AB427" s="20"/>
      <c r="AC427" s="20"/>
      <c r="AD427" s="20"/>
    </row>
    <row r="428" spans="1:30" ht="19.5">
      <c r="A428" s="20"/>
      <c r="B428" s="20"/>
      <c r="C428" s="20"/>
      <c r="D428" s="20"/>
      <c r="E428" s="20"/>
      <c r="F428" s="124"/>
      <c r="G428" s="20"/>
      <c r="H428" s="20"/>
      <c r="I428" s="20"/>
      <c r="J428" s="124"/>
      <c r="K428" s="127"/>
      <c r="L428" s="20"/>
      <c r="M428" s="20"/>
      <c r="N428" s="20"/>
      <c r="O428" s="124"/>
      <c r="P428" s="127"/>
      <c r="Q428" s="20"/>
      <c r="R428" s="20"/>
      <c r="S428" s="20"/>
      <c r="T428" s="124"/>
      <c r="U428" s="127"/>
      <c r="V428" s="20"/>
      <c r="W428" s="20"/>
      <c r="X428" s="20"/>
      <c r="Y428" s="20"/>
      <c r="Z428" s="20"/>
      <c r="AA428" s="20"/>
      <c r="AB428" s="20"/>
      <c r="AC428" s="20"/>
      <c r="AD428" s="20"/>
    </row>
    <row r="429" spans="1:30" ht="19.5">
      <c r="A429" s="20"/>
      <c r="B429" s="20"/>
      <c r="C429" s="20"/>
      <c r="D429" s="20"/>
      <c r="E429" s="20"/>
      <c r="F429" s="124"/>
      <c r="G429" s="20"/>
      <c r="H429" s="20"/>
      <c r="I429" s="20"/>
      <c r="J429" s="124"/>
      <c r="K429" s="127"/>
      <c r="L429" s="20"/>
      <c r="M429" s="20"/>
      <c r="N429" s="20"/>
      <c r="O429" s="124"/>
      <c r="P429" s="127"/>
      <c r="Q429" s="20"/>
      <c r="R429" s="20"/>
      <c r="S429" s="20"/>
      <c r="T429" s="124"/>
      <c r="U429" s="127"/>
      <c r="V429" s="20"/>
      <c r="W429" s="20"/>
      <c r="X429" s="20"/>
      <c r="Y429" s="20"/>
      <c r="Z429" s="20"/>
      <c r="AA429" s="20"/>
      <c r="AB429" s="20"/>
      <c r="AC429" s="20"/>
      <c r="AD429" s="20"/>
    </row>
    <row r="430" spans="1:30" ht="19.5">
      <c r="A430" s="20"/>
      <c r="B430" s="20"/>
      <c r="C430" s="20"/>
      <c r="D430" s="20"/>
      <c r="E430" s="20"/>
      <c r="F430" s="124"/>
      <c r="G430" s="20"/>
      <c r="H430" s="20"/>
      <c r="I430" s="20"/>
      <c r="J430" s="124"/>
      <c r="K430" s="127"/>
      <c r="L430" s="20"/>
      <c r="M430" s="20"/>
      <c r="N430" s="20"/>
      <c r="O430" s="124"/>
      <c r="P430" s="127"/>
      <c r="Q430" s="20"/>
      <c r="R430" s="20"/>
      <c r="S430" s="20"/>
      <c r="T430" s="124"/>
      <c r="U430" s="127"/>
      <c r="V430" s="20"/>
      <c r="W430" s="20"/>
      <c r="X430" s="20"/>
      <c r="Y430" s="20"/>
      <c r="Z430" s="20"/>
      <c r="AA430" s="20"/>
      <c r="AB430" s="20"/>
      <c r="AC430" s="20"/>
      <c r="AD430" s="20"/>
    </row>
    <row r="431" spans="1:30" ht="19.5">
      <c r="A431" s="20"/>
      <c r="B431" s="20"/>
      <c r="C431" s="20"/>
      <c r="D431" s="20"/>
      <c r="E431" s="20"/>
      <c r="F431" s="124"/>
      <c r="G431" s="20"/>
      <c r="H431" s="20"/>
      <c r="I431" s="20"/>
      <c r="J431" s="124"/>
      <c r="K431" s="127"/>
      <c r="L431" s="20"/>
      <c r="M431" s="20"/>
      <c r="N431" s="20"/>
      <c r="O431" s="124"/>
      <c r="P431" s="127"/>
      <c r="Q431" s="20"/>
      <c r="R431" s="20"/>
      <c r="S431" s="20"/>
      <c r="T431" s="124"/>
      <c r="U431" s="127"/>
      <c r="V431" s="20"/>
      <c r="W431" s="20"/>
      <c r="X431" s="20"/>
      <c r="Y431" s="20"/>
      <c r="Z431" s="20"/>
      <c r="AA431" s="20"/>
      <c r="AB431" s="20"/>
      <c r="AC431" s="20"/>
      <c r="AD431" s="20"/>
    </row>
    <row r="432" spans="1:30" ht="19.5">
      <c r="A432" s="20"/>
      <c r="B432" s="20"/>
      <c r="C432" s="20"/>
      <c r="D432" s="20"/>
      <c r="E432" s="20"/>
      <c r="F432" s="124"/>
      <c r="G432" s="20"/>
      <c r="H432" s="20"/>
      <c r="I432" s="20"/>
      <c r="J432" s="124"/>
      <c r="K432" s="127"/>
      <c r="L432" s="20"/>
      <c r="M432" s="20"/>
      <c r="N432" s="20"/>
      <c r="O432" s="124"/>
      <c r="P432" s="127"/>
      <c r="Q432" s="20"/>
      <c r="R432" s="20"/>
      <c r="S432" s="20"/>
      <c r="T432" s="124"/>
      <c r="U432" s="127"/>
      <c r="V432" s="20"/>
      <c r="W432" s="20"/>
      <c r="X432" s="20"/>
      <c r="Y432" s="20"/>
      <c r="Z432" s="20"/>
      <c r="AA432" s="20"/>
      <c r="AB432" s="20"/>
      <c r="AC432" s="20"/>
      <c r="AD432" s="20"/>
    </row>
    <row r="433" spans="1:30" ht="19.5">
      <c r="A433" s="20"/>
      <c r="B433" s="20"/>
      <c r="C433" s="20"/>
      <c r="D433" s="20"/>
      <c r="E433" s="20"/>
      <c r="F433" s="124"/>
      <c r="G433" s="20"/>
      <c r="H433" s="20"/>
      <c r="I433" s="20"/>
      <c r="J433" s="124"/>
      <c r="K433" s="127"/>
      <c r="L433" s="20"/>
      <c r="M433" s="20"/>
      <c r="N433" s="20"/>
      <c r="O433" s="124"/>
      <c r="P433" s="127"/>
      <c r="Q433" s="20"/>
      <c r="R433" s="20"/>
      <c r="S433" s="20"/>
      <c r="T433" s="124"/>
      <c r="U433" s="127"/>
      <c r="V433" s="20"/>
      <c r="W433" s="20"/>
      <c r="X433" s="20"/>
      <c r="Y433" s="20"/>
      <c r="Z433" s="20"/>
      <c r="AA433" s="20"/>
      <c r="AB433" s="20"/>
      <c r="AC433" s="20"/>
      <c r="AD433" s="20"/>
    </row>
    <row r="434" spans="1:30" ht="19.5">
      <c r="A434" s="20"/>
      <c r="B434" s="20"/>
      <c r="C434" s="20"/>
      <c r="D434" s="20"/>
      <c r="E434" s="20"/>
      <c r="F434" s="124"/>
      <c r="G434" s="20"/>
      <c r="H434" s="20"/>
      <c r="I434" s="20"/>
      <c r="J434" s="124"/>
      <c r="K434" s="127"/>
      <c r="L434" s="20"/>
      <c r="M434" s="20"/>
      <c r="N434" s="20"/>
      <c r="O434" s="124"/>
      <c r="P434" s="127"/>
      <c r="Q434" s="20"/>
      <c r="R434" s="20"/>
      <c r="S434" s="20"/>
      <c r="T434" s="124"/>
      <c r="U434" s="127"/>
      <c r="V434" s="20"/>
      <c r="W434" s="20"/>
      <c r="X434" s="20"/>
      <c r="Y434" s="20"/>
      <c r="Z434" s="20"/>
      <c r="AA434" s="20"/>
      <c r="AB434" s="20"/>
      <c r="AC434" s="20"/>
      <c r="AD434" s="20"/>
    </row>
    <row r="435" spans="1:30" ht="19.5">
      <c r="A435" s="20"/>
      <c r="B435" s="20"/>
      <c r="C435" s="20"/>
      <c r="D435" s="20"/>
      <c r="E435" s="20"/>
      <c r="F435" s="124"/>
      <c r="G435" s="20"/>
      <c r="H435" s="20"/>
      <c r="I435" s="20"/>
      <c r="J435" s="124"/>
      <c r="K435" s="127"/>
      <c r="L435" s="20"/>
      <c r="M435" s="20"/>
      <c r="N435" s="20"/>
      <c r="O435" s="124"/>
      <c r="P435" s="127"/>
      <c r="Q435" s="20"/>
      <c r="R435" s="20"/>
      <c r="S435" s="20"/>
      <c r="T435" s="124"/>
      <c r="U435" s="127"/>
      <c r="V435" s="20"/>
      <c r="W435" s="20"/>
      <c r="X435" s="20"/>
      <c r="Y435" s="20"/>
      <c r="Z435" s="20"/>
      <c r="AA435" s="20"/>
      <c r="AB435" s="20"/>
      <c r="AC435" s="20"/>
      <c r="AD435" s="20"/>
    </row>
    <row r="436" spans="1:30" ht="19.5">
      <c r="A436" s="20"/>
      <c r="B436" s="20"/>
      <c r="C436" s="20"/>
      <c r="D436" s="20"/>
      <c r="E436" s="20"/>
      <c r="F436" s="124"/>
      <c r="G436" s="20"/>
      <c r="H436" s="20"/>
      <c r="I436" s="20"/>
      <c r="J436" s="124"/>
      <c r="K436" s="127"/>
      <c r="L436" s="20"/>
      <c r="M436" s="20"/>
      <c r="N436" s="20"/>
      <c r="O436" s="124"/>
      <c r="P436" s="127"/>
      <c r="Q436" s="20"/>
      <c r="R436" s="20"/>
      <c r="S436" s="20"/>
      <c r="T436" s="124"/>
      <c r="U436" s="127"/>
      <c r="V436" s="20"/>
      <c r="W436" s="20"/>
      <c r="X436" s="20"/>
      <c r="Y436" s="20"/>
      <c r="Z436" s="20"/>
      <c r="AA436" s="20"/>
      <c r="AB436" s="20"/>
      <c r="AC436" s="20"/>
      <c r="AD436" s="20"/>
    </row>
    <row r="437" spans="1:30" ht="19.5">
      <c r="A437" s="20"/>
      <c r="B437" s="20"/>
      <c r="C437" s="20"/>
      <c r="D437" s="20"/>
      <c r="E437" s="20"/>
      <c r="F437" s="124"/>
      <c r="G437" s="20"/>
      <c r="H437" s="20"/>
      <c r="I437" s="20"/>
      <c r="J437" s="124"/>
      <c r="K437" s="127"/>
      <c r="L437" s="20"/>
      <c r="M437" s="20"/>
      <c r="N437" s="20"/>
      <c r="O437" s="124"/>
      <c r="P437" s="127"/>
      <c r="Q437" s="20"/>
      <c r="R437" s="20"/>
      <c r="S437" s="20"/>
      <c r="T437" s="124"/>
      <c r="U437" s="127"/>
      <c r="V437" s="20"/>
      <c r="W437" s="20"/>
      <c r="X437" s="20"/>
      <c r="Y437" s="20"/>
      <c r="Z437" s="20"/>
      <c r="AA437" s="20"/>
      <c r="AB437" s="20"/>
      <c r="AC437" s="20"/>
      <c r="AD437" s="20"/>
    </row>
    <row r="438" spans="1:30" ht="19.5">
      <c r="A438" s="20"/>
      <c r="B438" s="20"/>
      <c r="C438" s="20"/>
      <c r="D438" s="20"/>
      <c r="E438" s="20"/>
      <c r="F438" s="124"/>
      <c r="G438" s="20"/>
      <c r="H438" s="20"/>
      <c r="I438" s="20"/>
      <c r="J438" s="124"/>
      <c r="K438" s="127"/>
      <c r="L438" s="20"/>
      <c r="M438" s="20"/>
      <c r="N438" s="20"/>
      <c r="O438" s="124"/>
      <c r="P438" s="127"/>
      <c r="Q438" s="20"/>
      <c r="R438" s="20"/>
      <c r="S438" s="20"/>
      <c r="T438" s="124"/>
      <c r="U438" s="127"/>
      <c r="V438" s="20"/>
      <c r="W438" s="20"/>
      <c r="X438" s="20"/>
      <c r="Y438" s="20"/>
      <c r="Z438" s="20"/>
      <c r="AA438" s="20"/>
      <c r="AB438" s="20"/>
      <c r="AC438" s="20"/>
      <c r="AD438" s="20"/>
    </row>
    <row r="439" spans="1:30" ht="19.5">
      <c r="A439" s="20"/>
      <c r="B439" s="20"/>
      <c r="C439" s="20"/>
      <c r="D439" s="20"/>
      <c r="E439" s="20"/>
      <c r="F439" s="124"/>
      <c r="G439" s="20"/>
      <c r="H439" s="20"/>
      <c r="I439" s="20"/>
      <c r="J439" s="124"/>
      <c r="K439" s="127"/>
      <c r="L439" s="20"/>
      <c r="M439" s="20"/>
      <c r="N439" s="20"/>
      <c r="O439" s="124"/>
      <c r="P439" s="127"/>
      <c r="Q439" s="20"/>
      <c r="R439" s="20"/>
      <c r="S439" s="20"/>
      <c r="T439" s="124"/>
      <c r="U439" s="127"/>
      <c r="V439" s="20"/>
      <c r="W439" s="20"/>
      <c r="X439" s="20"/>
      <c r="Y439" s="20"/>
      <c r="Z439" s="20"/>
      <c r="AA439" s="20"/>
      <c r="AB439" s="20"/>
      <c r="AC439" s="20"/>
      <c r="AD439" s="20"/>
    </row>
    <row r="440" spans="1:30" ht="19.5">
      <c r="A440" s="20"/>
      <c r="B440" s="20"/>
      <c r="C440" s="20"/>
      <c r="D440" s="20"/>
      <c r="E440" s="20"/>
      <c r="F440" s="124"/>
      <c r="G440" s="20"/>
      <c r="H440" s="20"/>
      <c r="I440" s="20"/>
      <c r="J440" s="124"/>
      <c r="K440" s="127"/>
      <c r="L440" s="20"/>
      <c r="M440" s="20"/>
      <c r="N440" s="20"/>
      <c r="O440" s="124"/>
      <c r="P440" s="127"/>
      <c r="Q440" s="20"/>
      <c r="R440" s="20"/>
      <c r="S440" s="20"/>
      <c r="T440" s="124"/>
      <c r="U440" s="127"/>
      <c r="V440" s="20"/>
      <c r="W440" s="20"/>
      <c r="X440" s="20"/>
      <c r="Y440" s="20"/>
      <c r="Z440" s="20"/>
      <c r="AA440" s="20"/>
      <c r="AB440" s="20"/>
      <c r="AC440" s="20"/>
      <c r="AD440" s="20"/>
    </row>
    <row r="441" spans="1:30" ht="19.5">
      <c r="A441" s="20"/>
      <c r="B441" s="20"/>
      <c r="C441" s="20"/>
      <c r="D441" s="20"/>
      <c r="E441" s="20"/>
      <c r="F441" s="124"/>
      <c r="G441" s="20"/>
      <c r="H441" s="20"/>
      <c r="I441" s="20"/>
      <c r="J441" s="124"/>
      <c r="K441" s="127"/>
      <c r="L441" s="20"/>
      <c r="M441" s="20"/>
      <c r="N441" s="20"/>
      <c r="O441" s="124"/>
      <c r="P441" s="127"/>
      <c r="Q441" s="20"/>
      <c r="R441" s="20"/>
      <c r="S441" s="20"/>
      <c r="T441" s="124"/>
      <c r="U441" s="127"/>
      <c r="V441" s="20"/>
      <c r="W441" s="20"/>
      <c r="X441" s="20"/>
      <c r="Y441" s="20"/>
      <c r="Z441" s="20"/>
      <c r="AA441" s="20"/>
      <c r="AB441" s="20"/>
      <c r="AC441" s="20"/>
      <c r="AD441" s="20"/>
    </row>
    <row r="442" spans="1:30" ht="19.5">
      <c r="A442" s="20"/>
      <c r="B442" s="20"/>
      <c r="C442" s="20"/>
      <c r="D442" s="20"/>
      <c r="E442" s="20"/>
      <c r="F442" s="124"/>
      <c r="G442" s="20"/>
      <c r="H442" s="20"/>
      <c r="I442" s="20"/>
      <c r="J442" s="124"/>
      <c r="K442" s="127"/>
      <c r="L442" s="20"/>
      <c r="M442" s="20"/>
      <c r="N442" s="20"/>
      <c r="O442" s="124"/>
      <c r="P442" s="127"/>
      <c r="Q442" s="20"/>
      <c r="R442" s="20"/>
      <c r="S442" s="20"/>
      <c r="T442" s="124"/>
      <c r="U442" s="127"/>
      <c r="V442" s="20"/>
      <c r="W442" s="20"/>
      <c r="X442" s="20"/>
      <c r="Y442" s="20"/>
      <c r="Z442" s="20"/>
      <c r="AA442" s="20"/>
      <c r="AB442" s="20"/>
      <c r="AC442" s="20"/>
      <c r="AD442" s="20"/>
    </row>
    <row r="443" spans="1:30" ht="19.5">
      <c r="A443" s="20"/>
      <c r="B443" s="20"/>
      <c r="C443" s="20"/>
      <c r="D443" s="20"/>
      <c r="E443" s="20"/>
      <c r="F443" s="124"/>
      <c r="G443" s="20"/>
      <c r="H443" s="20"/>
      <c r="I443" s="20"/>
      <c r="J443" s="124"/>
      <c r="K443" s="127"/>
      <c r="L443" s="20"/>
      <c r="M443" s="20"/>
      <c r="N443" s="20"/>
      <c r="O443" s="124"/>
      <c r="P443" s="127"/>
      <c r="Q443" s="20"/>
      <c r="R443" s="20"/>
      <c r="S443" s="20"/>
      <c r="T443" s="124"/>
      <c r="U443" s="127"/>
      <c r="V443" s="20"/>
      <c r="W443" s="20"/>
      <c r="X443" s="20"/>
      <c r="Y443" s="20"/>
      <c r="Z443" s="20"/>
      <c r="AA443" s="20"/>
      <c r="AB443" s="20"/>
      <c r="AC443" s="20"/>
      <c r="AD443" s="20"/>
    </row>
    <row r="444" spans="1:30" ht="19.5">
      <c r="A444" s="20"/>
      <c r="B444" s="20"/>
      <c r="C444" s="20"/>
      <c r="D444" s="20"/>
      <c r="E444" s="20"/>
      <c r="F444" s="124"/>
      <c r="G444" s="20"/>
      <c r="H444" s="20"/>
      <c r="I444" s="20"/>
      <c r="J444" s="124"/>
      <c r="K444" s="127"/>
      <c r="L444" s="20"/>
      <c r="M444" s="20"/>
      <c r="N444" s="20"/>
      <c r="O444" s="124"/>
      <c r="P444" s="127"/>
      <c r="Q444" s="20"/>
      <c r="R444" s="20"/>
      <c r="S444" s="20"/>
      <c r="T444" s="124"/>
      <c r="U444" s="127"/>
      <c r="V444" s="20"/>
      <c r="W444" s="20"/>
      <c r="X444" s="20"/>
      <c r="Y444" s="20"/>
      <c r="Z444" s="20"/>
      <c r="AA444" s="20"/>
      <c r="AB444" s="20"/>
      <c r="AC444" s="20"/>
      <c r="AD444" s="20"/>
    </row>
    <row r="445" spans="1:30" ht="19.5">
      <c r="A445" s="20"/>
      <c r="B445" s="20"/>
      <c r="C445" s="20"/>
      <c r="D445" s="20"/>
      <c r="E445" s="20"/>
      <c r="F445" s="124"/>
      <c r="G445" s="20"/>
      <c r="H445" s="20"/>
      <c r="I445" s="20"/>
      <c r="J445" s="124"/>
      <c r="K445" s="127"/>
      <c r="L445" s="20"/>
      <c r="M445" s="20"/>
      <c r="N445" s="20"/>
      <c r="O445" s="124"/>
      <c r="P445" s="127"/>
      <c r="Q445" s="20"/>
      <c r="R445" s="20"/>
      <c r="S445" s="20"/>
      <c r="T445" s="124"/>
      <c r="U445" s="127"/>
      <c r="V445" s="20"/>
      <c r="W445" s="20"/>
      <c r="X445" s="20"/>
      <c r="Y445" s="20"/>
      <c r="Z445" s="20"/>
      <c r="AA445" s="20"/>
      <c r="AB445" s="20"/>
      <c r="AC445" s="20"/>
      <c r="AD445" s="20"/>
    </row>
    <row r="446" spans="1:30" ht="19.5">
      <c r="A446" s="20"/>
      <c r="B446" s="20"/>
      <c r="C446" s="20"/>
      <c r="D446" s="20"/>
      <c r="E446" s="20"/>
      <c r="F446" s="124"/>
      <c r="G446" s="20"/>
      <c r="H446" s="20"/>
      <c r="I446" s="20"/>
      <c r="J446" s="124"/>
      <c r="K446" s="127"/>
      <c r="L446" s="20"/>
      <c r="M446" s="20"/>
      <c r="N446" s="20"/>
      <c r="O446" s="124"/>
      <c r="P446" s="127"/>
      <c r="Q446" s="20"/>
      <c r="R446" s="20"/>
      <c r="S446" s="20"/>
      <c r="T446" s="124"/>
      <c r="U446" s="127"/>
      <c r="V446" s="20"/>
      <c r="W446" s="20"/>
      <c r="X446" s="20"/>
      <c r="Y446" s="20"/>
      <c r="Z446" s="20"/>
      <c r="AA446" s="20"/>
      <c r="AB446" s="20"/>
      <c r="AC446" s="20"/>
      <c r="AD446" s="20"/>
    </row>
    <row r="447" spans="1:30" ht="19.5">
      <c r="A447" s="20"/>
      <c r="B447" s="20"/>
      <c r="C447" s="20"/>
      <c r="D447" s="20"/>
      <c r="E447" s="20"/>
      <c r="F447" s="124"/>
      <c r="G447" s="20"/>
      <c r="H447" s="20"/>
      <c r="I447" s="20"/>
      <c r="J447" s="124"/>
      <c r="K447" s="127"/>
      <c r="L447" s="20"/>
      <c r="M447" s="20"/>
      <c r="N447" s="20"/>
      <c r="O447" s="124"/>
      <c r="P447" s="127"/>
      <c r="Q447" s="20"/>
      <c r="R447" s="20"/>
      <c r="S447" s="20"/>
      <c r="T447" s="124"/>
      <c r="U447" s="127"/>
      <c r="V447" s="20"/>
      <c r="W447" s="20"/>
      <c r="X447" s="20"/>
      <c r="Y447" s="20"/>
      <c r="Z447" s="20"/>
      <c r="AA447" s="20"/>
      <c r="AB447" s="20"/>
      <c r="AC447" s="20"/>
      <c r="AD447" s="20"/>
    </row>
    <row r="448" spans="1:30" ht="19.5">
      <c r="A448" s="20"/>
      <c r="B448" s="20"/>
      <c r="C448" s="20"/>
      <c r="D448" s="20"/>
      <c r="E448" s="20"/>
      <c r="F448" s="124"/>
      <c r="G448" s="20"/>
      <c r="H448" s="20"/>
      <c r="I448" s="20"/>
      <c r="J448" s="124"/>
      <c r="K448" s="127"/>
      <c r="L448" s="20"/>
      <c r="M448" s="20"/>
      <c r="N448" s="20"/>
      <c r="O448" s="124"/>
      <c r="P448" s="127"/>
      <c r="Q448" s="20"/>
      <c r="R448" s="20"/>
      <c r="S448" s="20"/>
      <c r="T448" s="124"/>
      <c r="U448" s="127"/>
      <c r="V448" s="20"/>
      <c r="W448" s="20"/>
      <c r="X448" s="20"/>
      <c r="Y448" s="20"/>
      <c r="Z448" s="20"/>
      <c r="AA448" s="20"/>
      <c r="AB448" s="20"/>
      <c r="AC448" s="20"/>
      <c r="AD448" s="20"/>
    </row>
    <row r="449" spans="1:30" ht="19.5">
      <c r="A449" s="20"/>
      <c r="B449" s="20"/>
      <c r="C449" s="20"/>
      <c r="D449" s="20"/>
      <c r="E449" s="20"/>
      <c r="F449" s="124"/>
      <c r="G449" s="20"/>
      <c r="H449" s="20"/>
      <c r="I449" s="20"/>
      <c r="J449" s="124"/>
      <c r="K449" s="127"/>
      <c r="L449" s="20"/>
      <c r="M449" s="20"/>
      <c r="N449" s="20"/>
      <c r="O449" s="124"/>
      <c r="P449" s="127"/>
      <c r="Q449" s="20"/>
      <c r="R449" s="20"/>
      <c r="S449" s="20"/>
      <c r="T449" s="124"/>
      <c r="U449" s="127"/>
      <c r="V449" s="20"/>
      <c r="W449" s="20"/>
      <c r="X449" s="20"/>
      <c r="Y449" s="20"/>
      <c r="Z449" s="20"/>
      <c r="AA449" s="20"/>
      <c r="AB449" s="20"/>
      <c r="AC449" s="20"/>
      <c r="AD449" s="20"/>
    </row>
    <row r="450" spans="1:30" ht="19.5">
      <c r="A450" s="20"/>
      <c r="B450" s="20"/>
      <c r="C450" s="20"/>
      <c r="D450" s="20"/>
      <c r="E450" s="20"/>
      <c r="F450" s="124"/>
      <c r="G450" s="20"/>
      <c r="H450" s="20"/>
      <c r="I450" s="20"/>
      <c r="J450" s="124"/>
      <c r="K450" s="127"/>
      <c r="L450" s="20"/>
      <c r="M450" s="20"/>
      <c r="N450" s="20"/>
      <c r="O450" s="124"/>
      <c r="P450" s="127"/>
      <c r="Q450" s="20"/>
      <c r="R450" s="20"/>
      <c r="S450" s="20"/>
      <c r="T450" s="124"/>
      <c r="U450" s="127"/>
      <c r="V450" s="20"/>
      <c r="W450" s="20"/>
      <c r="X450" s="20"/>
      <c r="Y450" s="20"/>
      <c r="Z450" s="20"/>
      <c r="AA450" s="20"/>
      <c r="AB450" s="20"/>
      <c r="AC450" s="20"/>
      <c r="AD450" s="20"/>
    </row>
    <row r="451" spans="1:30" ht="19.5">
      <c r="A451" s="20"/>
      <c r="B451" s="20"/>
      <c r="C451" s="20"/>
      <c r="D451" s="20"/>
      <c r="E451" s="20"/>
      <c r="F451" s="124"/>
      <c r="G451" s="20"/>
      <c r="H451" s="20"/>
      <c r="I451" s="20"/>
      <c r="J451" s="124"/>
      <c r="K451" s="127"/>
      <c r="L451" s="20"/>
      <c r="M451" s="20"/>
      <c r="N451" s="20"/>
      <c r="O451" s="124"/>
      <c r="P451" s="127"/>
      <c r="Q451" s="20"/>
      <c r="R451" s="20"/>
      <c r="S451" s="20"/>
      <c r="T451" s="124"/>
      <c r="U451" s="127"/>
      <c r="V451" s="20"/>
      <c r="W451" s="20"/>
      <c r="X451" s="20"/>
      <c r="Y451" s="20"/>
      <c r="Z451" s="20"/>
      <c r="AA451" s="20"/>
      <c r="AB451" s="20"/>
      <c r="AC451" s="20"/>
      <c r="AD451" s="20"/>
    </row>
    <row r="452" spans="1:30" ht="19.5">
      <c r="A452" s="20"/>
      <c r="B452" s="20"/>
      <c r="C452" s="20"/>
      <c r="D452" s="20"/>
      <c r="E452" s="20"/>
      <c r="F452" s="124"/>
      <c r="G452" s="20"/>
      <c r="H452" s="20"/>
      <c r="I452" s="20"/>
      <c r="J452" s="124"/>
      <c r="K452" s="127"/>
      <c r="L452" s="20"/>
      <c r="M452" s="20"/>
      <c r="N452" s="20"/>
      <c r="O452" s="124"/>
      <c r="P452" s="127"/>
      <c r="Q452" s="20"/>
      <c r="R452" s="20"/>
      <c r="S452" s="20"/>
      <c r="T452" s="124"/>
      <c r="U452" s="127"/>
      <c r="V452" s="20"/>
      <c r="W452" s="20"/>
      <c r="X452" s="20"/>
      <c r="Y452" s="20"/>
      <c r="Z452" s="20"/>
      <c r="AA452" s="20"/>
      <c r="AB452" s="20"/>
      <c r="AC452" s="20"/>
      <c r="AD452" s="20"/>
    </row>
    <row r="453" spans="1:30" ht="19.5">
      <c r="A453" s="20"/>
      <c r="B453" s="20"/>
      <c r="C453" s="20"/>
      <c r="D453" s="20"/>
      <c r="E453" s="20"/>
      <c r="F453" s="124"/>
      <c r="G453" s="20"/>
      <c r="H453" s="20"/>
      <c r="I453" s="20"/>
      <c r="J453" s="124"/>
      <c r="K453" s="127"/>
      <c r="L453" s="20"/>
      <c r="M453" s="20"/>
      <c r="N453" s="20"/>
      <c r="O453" s="124"/>
      <c r="P453" s="127"/>
      <c r="Q453" s="20"/>
      <c r="R453" s="20"/>
      <c r="S453" s="20"/>
      <c r="T453" s="124"/>
      <c r="U453" s="127"/>
      <c r="V453" s="20"/>
      <c r="W453" s="20"/>
      <c r="X453" s="20"/>
      <c r="Y453" s="20"/>
      <c r="Z453" s="20"/>
      <c r="AA453" s="20"/>
      <c r="AB453" s="20"/>
      <c r="AC453" s="20"/>
      <c r="AD453" s="20"/>
    </row>
    <row r="454" spans="1:30" ht="19.5">
      <c r="A454" s="20"/>
      <c r="B454" s="20"/>
      <c r="C454" s="20"/>
      <c r="D454" s="20"/>
      <c r="E454" s="20"/>
      <c r="F454" s="124"/>
      <c r="G454" s="20"/>
      <c r="H454" s="20"/>
      <c r="I454" s="20"/>
      <c r="J454" s="124"/>
      <c r="K454" s="127"/>
      <c r="L454" s="20"/>
      <c r="M454" s="20"/>
      <c r="N454" s="20"/>
      <c r="O454" s="124"/>
      <c r="P454" s="127"/>
      <c r="Q454" s="20"/>
      <c r="R454" s="20"/>
      <c r="S454" s="20"/>
      <c r="T454" s="124"/>
      <c r="U454" s="127"/>
      <c r="V454" s="20"/>
      <c r="W454" s="20"/>
      <c r="X454" s="20"/>
      <c r="Y454" s="20"/>
      <c r="Z454" s="20"/>
      <c r="AA454" s="20"/>
      <c r="AB454" s="20"/>
      <c r="AC454" s="20"/>
      <c r="AD454" s="20"/>
    </row>
    <row r="455" spans="1:30" ht="19.5">
      <c r="A455" s="20"/>
      <c r="B455" s="20"/>
      <c r="C455" s="20"/>
      <c r="D455" s="20"/>
      <c r="E455" s="20"/>
      <c r="F455" s="124"/>
      <c r="G455" s="20"/>
      <c r="H455" s="20"/>
      <c r="I455" s="20"/>
      <c r="J455" s="124"/>
      <c r="K455" s="127"/>
      <c r="L455" s="20"/>
      <c r="M455" s="20"/>
      <c r="N455" s="20"/>
      <c r="O455" s="124"/>
      <c r="P455" s="127"/>
      <c r="Q455" s="20"/>
      <c r="R455" s="20"/>
      <c r="S455" s="20"/>
      <c r="T455" s="124"/>
      <c r="U455" s="127"/>
      <c r="V455" s="20"/>
      <c r="W455" s="20"/>
      <c r="X455" s="20"/>
      <c r="Y455" s="20"/>
      <c r="Z455" s="20"/>
      <c r="AA455" s="20"/>
      <c r="AB455" s="20"/>
      <c r="AC455" s="20"/>
      <c r="AD455" s="20"/>
    </row>
    <row r="456" spans="1:30" ht="19.5">
      <c r="A456" s="20"/>
      <c r="B456" s="20"/>
      <c r="C456" s="20"/>
      <c r="D456" s="20"/>
      <c r="E456" s="20"/>
      <c r="F456" s="124"/>
      <c r="G456" s="20"/>
      <c r="H456" s="20"/>
      <c r="I456" s="20"/>
      <c r="J456" s="124"/>
      <c r="K456" s="127"/>
      <c r="L456" s="20"/>
      <c r="M456" s="20"/>
      <c r="N456" s="20"/>
      <c r="O456" s="124"/>
      <c r="P456" s="127"/>
      <c r="Q456" s="20"/>
      <c r="R456" s="20"/>
      <c r="S456" s="20"/>
      <c r="T456" s="124"/>
      <c r="U456" s="127"/>
      <c r="V456" s="20"/>
      <c r="W456" s="20"/>
      <c r="X456" s="20"/>
      <c r="Y456" s="20"/>
      <c r="Z456" s="20"/>
      <c r="AA456" s="20"/>
      <c r="AB456" s="20"/>
      <c r="AC456" s="20"/>
      <c r="AD456" s="20"/>
    </row>
    <row r="457" spans="1:30" ht="19.5">
      <c r="A457" s="20"/>
      <c r="B457" s="20"/>
      <c r="C457" s="20"/>
      <c r="D457" s="20"/>
      <c r="E457" s="20"/>
      <c r="F457" s="124"/>
      <c r="G457" s="20"/>
      <c r="H457" s="20"/>
      <c r="I457" s="20"/>
      <c r="J457" s="124"/>
      <c r="K457" s="127"/>
      <c r="L457" s="20"/>
      <c r="M457" s="20"/>
      <c r="N457" s="20"/>
      <c r="O457" s="124"/>
      <c r="P457" s="127"/>
      <c r="Q457" s="20"/>
      <c r="R457" s="20"/>
      <c r="S457" s="20"/>
      <c r="T457" s="124"/>
      <c r="U457" s="127"/>
      <c r="V457" s="20"/>
      <c r="W457" s="20"/>
      <c r="X457" s="20"/>
      <c r="Y457" s="20"/>
      <c r="Z457" s="20"/>
      <c r="AA457" s="20"/>
      <c r="AB457" s="20"/>
      <c r="AC457" s="20"/>
      <c r="AD457" s="20"/>
    </row>
    <row r="458" spans="1:30" ht="19.5">
      <c r="A458" s="20"/>
      <c r="B458" s="20"/>
      <c r="C458" s="20"/>
      <c r="D458" s="20"/>
      <c r="E458" s="20"/>
      <c r="F458" s="124"/>
      <c r="G458" s="20"/>
      <c r="H458" s="20"/>
      <c r="I458" s="20"/>
      <c r="J458" s="124"/>
      <c r="K458" s="127"/>
      <c r="L458" s="20"/>
      <c r="M458" s="20"/>
      <c r="N458" s="20"/>
      <c r="O458" s="124"/>
      <c r="P458" s="127"/>
      <c r="Q458" s="20"/>
      <c r="R458" s="20"/>
      <c r="S458" s="20"/>
      <c r="T458" s="124"/>
      <c r="U458" s="127"/>
      <c r="V458" s="20"/>
      <c r="W458" s="20"/>
      <c r="X458" s="20"/>
      <c r="Y458" s="20"/>
      <c r="Z458" s="20"/>
      <c r="AA458" s="20"/>
      <c r="AB458" s="20"/>
      <c r="AC458" s="20"/>
      <c r="AD458" s="20"/>
    </row>
    <row r="459" spans="1:30" ht="19.5">
      <c r="A459" s="20"/>
      <c r="B459" s="20"/>
      <c r="C459" s="20"/>
      <c r="D459" s="20"/>
      <c r="E459" s="20"/>
      <c r="F459" s="124"/>
      <c r="G459" s="20"/>
      <c r="H459" s="20"/>
      <c r="I459" s="20"/>
      <c r="J459" s="124"/>
      <c r="K459" s="127"/>
      <c r="L459" s="20"/>
      <c r="M459" s="20"/>
      <c r="N459" s="20"/>
      <c r="O459" s="124"/>
      <c r="P459" s="127"/>
      <c r="Q459" s="20"/>
      <c r="R459" s="20"/>
      <c r="S459" s="20"/>
      <c r="T459" s="124"/>
      <c r="U459" s="127"/>
      <c r="V459" s="20"/>
      <c r="W459" s="20"/>
      <c r="X459" s="20"/>
      <c r="Y459" s="20"/>
      <c r="Z459" s="20"/>
      <c r="AA459" s="20"/>
      <c r="AB459" s="20"/>
      <c r="AC459" s="20"/>
      <c r="AD459" s="20"/>
    </row>
    <row r="460" spans="1:30" ht="19.5">
      <c r="A460" s="20"/>
      <c r="B460" s="20"/>
      <c r="C460" s="20"/>
      <c r="D460" s="20"/>
      <c r="E460" s="20"/>
      <c r="F460" s="124"/>
      <c r="G460" s="20"/>
      <c r="H460" s="20"/>
      <c r="I460" s="20"/>
      <c r="J460" s="124"/>
      <c r="K460" s="127"/>
      <c r="L460" s="20"/>
      <c r="M460" s="20"/>
      <c r="N460" s="20"/>
      <c r="O460" s="124"/>
      <c r="P460" s="127"/>
      <c r="Q460" s="20"/>
      <c r="R460" s="20"/>
      <c r="S460" s="20"/>
      <c r="T460" s="124"/>
      <c r="U460" s="127"/>
      <c r="V460" s="20"/>
      <c r="W460" s="20"/>
      <c r="X460" s="20"/>
      <c r="Y460" s="20"/>
      <c r="Z460" s="20"/>
      <c r="AA460" s="20"/>
      <c r="AB460" s="20"/>
      <c r="AC460" s="20"/>
      <c r="AD460" s="20"/>
    </row>
    <row r="461" spans="1:30" ht="19.5">
      <c r="A461" s="20"/>
      <c r="B461" s="20"/>
      <c r="C461" s="20"/>
      <c r="D461" s="20"/>
      <c r="E461" s="20"/>
      <c r="F461" s="124"/>
      <c r="G461" s="20"/>
      <c r="H461" s="20"/>
      <c r="I461" s="20"/>
      <c r="J461" s="124"/>
      <c r="K461" s="127"/>
      <c r="L461" s="20"/>
      <c r="M461" s="20"/>
      <c r="N461" s="20"/>
      <c r="O461" s="124"/>
      <c r="P461" s="127"/>
      <c r="Q461" s="20"/>
      <c r="R461" s="20"/>
      <c r="S461" s="20"/>
      <c r="T461" s="124"/>
      <c r="U461" s="127"/>
      <c r="V461" s="20"/>
      <c r="W461" s="20"/>
      <c r="X461" s="20"/>
      <c r="Y461" s="20"/>
      <c r="Z461" s="20"/>
      <c r="AA461" s="20"/>
      <c r="AB461" s="20"/>
      <c r="AC461" s="20"/>
      <c r="AD461" s="20"/>
    </row>
    <row r="462" spans="1:30" ht="19.5">
      <c r="A462" s="20"/>
      <c r="B462" s="20"/>
      <c r="C462" s="20"/>
      <c r="D462" s="20"/>
      <c r="E462" s="20"/>
      <c r="F462" s="124"/>
      <c r="G462" s="20"/>
      <c r="H462" s="20"/>
      <c r="I462" s="20"/>
      <c r="J462" s="124"/>
      <c r="K462" s="127"/>
      <c r="L462" s="20"/>
      <c r="M462" s="20"/>
      <c r="N462" s="20"/>
      <c r="O462" s="124"/>
      <c r="P462" s="127"/>
      <c r="Q462" s="20"/>
      <c r="R462" s="20"/>
      <c r="S462" s="20"/>
      <c r="T462" s="124"/>
      <c r="U462" s="127"/>
      <c r="V462" s="20"/>
      <c r="W462" s="20"/>
      <c r="X462" s="20"/>
      <c r="Y462" s="20"/>
      <c r="Z462" s="20"/>
      <c r="AA462" s="20"/>
      <c r="AB462" s="20"/>
      <c r="AC462" s="20"/>
      <c r="AD462" s="20"/>
    </row>
    <row r="463" spans="1:30" ht="19.5">
      <c r="A463" s="20"/>
      <c r="B463" s="20"/>
      <c r="C463" s="20"/>
      <c r="D463" s="20"/>
      <c r="E463" s="20"/>
      <c r="F463" s="124"/>
      <c r="G463" s="20"/>
      <c r="H463" s="20"/>
      <c r="I463" s="20"/>
      <c r="J463" s="124"/>
      <c r="K463" s="127"/>
      <c r="L463" s="20"/>
      <c r="M463" s="20"/>
      <c r="N463" s="20"/>
      <c r="O463" s="124"/>
      <c r="P463" s="127"/>
      <c r="Q463" s="20"/>
      <c r="R463" s="20"/>
      <c r="S463" s="20"/>
      <c r="T463" s="124"/>
      <c r="U463" s="127"/>
      <c r="V463" s="20"/>
      <c r="W463" s="20"/>
      <c r="X463" s="20"/>
      <c r="Y463" s="20"/>
      <c r="Z463" s="20"/>
      <c r="AA463" s="20"/>
      <c r="AB463" s="20"/>
      <c r="AC463" s="20"/>
      <c r="AD463" s="20"/>
    </row>
    <row r="464" spans="1:30" ht="19.5">
      <c r="A464" s="20"/>
      <c r="B464" s="20"/>
      <c r="C464" s="20"/>
      <c r="D464" s="20"/>
      <c r="E464" s="20"/>
      <c r="F464" s="124"/>
      <c r="G464" s="20"/>
      <c r="H464" s="20"/>
      <c r="I464" s="20"/>
      <c r="J464" s="124"/>
      <c r="K464" s="127"/>
      <c r="L464" s="20"/>
      <c r="M464" s="20"/>
      <c r="N464" s="20"/>
      <c r="O464" s="124"/>
      <c r="P464" s="127"/>
      <c r="Q464" s="20"/>
      <c r="R464" s="20"/>
      <c r="S464" s="20"/>
      <c r="T464" s="124"/>
      <c r="U464" s="127"/>
      <c r="V464" s="20"/>
      <c r="W464" s="20"/>
      <c r="X464" s="20"/>
      <c r="Y464" s="20"/>
      <c r="Z464" s="20"/>
      <c r="AA464" s="20"/>
      <c r="AB464" s="20"/>
      <c r="AC464" s="20"/>
      <c r="AD464" s="20"/>
    </row>
    <row r="465" spans="1:30" ht="19.5">
      <c r="A465" s="20"/>
      <c r="B465" s="20"/>
      <c r="C465" s="20"/>
      <c r="D465" s="20"/>
      <c r="E465" s="20"/>
      <c r="F465" s="124"/>
      <c r="G465" s="20"/>
      <c r="H465" s="20"/>
      <c r="I465" s="20"/>
      <c r="J465" s="124"/>
      <c r="K465" s="127"/>
      <c r="L465" s="20"/>
      <c r="M465" s="20"/>
      <c r="N465" s="20"/>
      <c r="O465" s="124"/>
      <c r="P465" s="127"/>
      <c r="Q465" s="20"/>
      <c r="R465" s="20"/>
      <c r="S465" s="20"/>
      <c r="T465" s="124"/>
      <c r="U465" s="127"/>
      <c r="V465" s="20"/>
      <c r="W465" s="20"/>
      <c r="X465" s="20"/>
      <c r="Y465" s="20"/>
      <c r="Z465" s="20"/>
      <c r="AA465" s="20"/>
      <c r="AB465" s="20"/>
      <c r="AC465" s="20"/>
      <c r="AD465" s="20"/>
    </row>
    <row r="466" spans="1:30" ht="19.5">
      <c r="A466" s="20"/>
      <c r="B466" s="20"/>
      <c r="C466" s="20"/>
      <c r="D466" s="20"/>
      <c r="E466" s="20"/>
      <c r="F466" s="124"/>
      <c r="G466" s="20"/>
      <c r="H466" s="20"/>
      <c r="I466" s="20"/>
      <c r="J466" s="124"/>
      <c r="K466" s="127"/>
      <c r="L466" s="20"/>
      <c r="M466" s="20"/>
      <c r="N466" s="20"/>
      <c r="O466" s="124"/>
      <c r="P466" s="127"/>
      <c r="Q466" s="20"/>
      <c r="R466" s="20"/>
      <c r="S466" s="20"/>
      <c r="T466" s="124"/>
      <c r="U466" s="127"/>
      <c r="V466" s="20"/>
      <c r="W466" s="20"/>
      <c r="X466" s="20"/>
      <c r="Y466" s="20"/>
      <c r="Z466" s="20"/>
      <c r="AA466" s="20"/>
      <c r="AB466" s="20"/>
      <c r="AC466" s="20"/>
      <c r="AD466" s="20"/>
    </row>
    <row r="467" spans="1:30" ht="19.5">
      <c r="A467" s="20"/>
      <c r="B467" s="20"/>
      <c r="C467" s="20"/>
      <c r="D467" s="20"/>
      <c r="E467" s="20"/>
      <c r="F467" s="124"/>
      <c r="G467" s="20"/>
      <c r="H467" s="20"/>
      <c r="I467" s="20"/>
      <c r="J467" s="124"/>
      <c r="K467" s="127"/>
      <c r="L467" s="20"/>
      <c r="M467" s="20"/>
      <c r="N467" s="20"/>
      <c r="O467" s="124"/>
      <c r="P467" s="127"/>
      <c r="Q467" s="20"/>
      <c r="R467" s="20"/>
      <c r="S467" s="20"/>
      <c r="T467" s="124"/>
      <c r="U467" s="127"/>
      <c r="V467" s="20"/>
      <c r="W467" s="20"/>
      <c r="X467" s="20"/>
      <c r="Y467" s="20"/>
      <c r="Z467" s="20"/>
      <c r="AA467" s="20"/>
      <c r="AB467" s="20"/>
      <c r="AC467" s="20"/>
      <c r="AD467" s="20"/>
    </row>
    <row r="468" spans="1:30" ht="19.5">
      <c r="A468" s="20"/>
      <c r="B468" s="20"/>
      <c r="C468" s="20"/>
      <c r="D468" s="20"/>
      <c r="E468" s="20"/>
      <c r="F468" s="124"/>
      <c r="G468" s="20"/>
      <c r="H468" s="20"/>
      <c r="I468" s="20"/>
      <c r="J468" s="124"/>
      <c r="K468" s="127"/>
      <c r="L468" s="20"/>
      <c r="M468" s="20"/>
      <c r="N468" s="20"/>
      <c r="O468" s="124"/>
      <c r="P468" s="127"/>
      <c r="Q468" s="20"/>
      <c r="R468" s="20"/>
      <c r="S468" s="20"/>
      <c r="T468" s="124"/>
      <c r="U468" s="127"/>
      <c r="V468" s="20"/>
      <c r="W468" s="20"/>
      <c r="X468" s="20"/>
      <c r="Y468" s="20"/>
      <c r="Z468" s="20"/>
      <c r="AA468" s="20"/>
      <c r="AB468" s="20"/>
      <c r="AC468" s="20"/>
      <c r="AD468" s="20"/>
    </row>
    <row r="469" spans="1:30" ht="19.5">
      <c r="A469" s="20"/>
      <c r="B469" s="20"/>
      <c r="C469" s="20"/>
      <c r="D469" s="20"/>
      <c r="E469" s="20"/>
      <c r="F469" s="124"/>
      <c r="G469" s="20"/>
      <c r="H469" s="20"/>
      <c r="I469" s="20"/>
      <c r="J469" s="124"/>
      <c r="K469" s="127"/>
      <c r="L469" s="20"/>
      <c r="M469" s="20"/>
      <c r="N469" s="20"/>
      <c r="O469" s="124"/>
      <c r="P469" s="127"/>
      <c r="Q469" s="20"/>
      <c r="R469" s="20"/>
      <c r="S469" s="20"/>
      <c r="T469" s="124"/>
      <c r="U469" s="127"/>
      <c r="V469" s="20"/>
      <c r="W469" s="20"/>
      <c r="X469" s="20"/>
      <c r="Y469" s="20"/>
      <c r="Z469" s="20"/>
      <c r="AA469" s="20"/>
      <c r="AB469" s="20"/>
      <c r="AC469" s="20"/>
      <c r="AD469" s="20"/>
    </row>
    <row r="470" spans="1:30" ht="19.5">
      <c r="A470" s="20"/>
      <c r="B470" s="20"/>
      <c r="C470" s="20"/>
      <c r="D470" s="20"/>
      <c r="E470" s="20"/>
      <c r="F470" s="124"/>
      <c r="G470" s="20"/>
      <c r="H470" s="20"/>
      <c r="I470" s="20"/>
      <c r="J470" s="124"/>
      <c r="K470" s="127"/>
      <c r="L470" s="20"/>
      <c r="M470" s="20"/>
      <c r="N470" s="20"/>
      <c r="O470" s="124"/>
      <c r="P470" s="127"/>
      <c r="Q470" s="20"/>
      <c r="R470" s="20"/>
      <c r="S470" s="20"/>
      <c r="T470" s="124"/>
      <c r="U470" s="127"/>
      <c r="V470" s="20"/>
      <c r="W470" s="20"/>
      <c r="X470" s="20"/>
      <c r="Y470" s="20"/>
      <c r="Z470" s="20"/>
      <c r="AA470" s="20"/>
      <c r="AB470" s="20"/>
      <c r="AC470" s="20"/>
      <c r="AD470" s="20"/>
    </row>
    <row r="471" spans="1:30" ht="19.5">
      <c r="A471" s="20"/>
      <c r="B471" s="20"/>
      <c r="C471" s="20"/>
      <c r="D471" s="20"/>
      <c r="E471" s="20"/>
      <c r="F471" s="124"/>
      <c r="G471" s="20"/>
      <c r="H471" s="20"/>
      <c r="I471" s="20"/>
      <c r="J471" s="124"/>
      <c r="K471" s="127"/>
      <c r="L471" s="20"/>
      <c r="M471" s="20"/>
      <c r="N471" s="20"/>
      <c r="O471" s="124"/>
      <c r="P471" s="127"/>
      <c r="Q471" s="20"/>
      <c r="R471" s="20"/>
      <c r="S471" s="20"/>
      <c r="T471" s="124"/>
      <c r="U471" s="127"/>
      <c r="V471" s="20"/>
      <c r="W471" s="20"/>
      <c r="X471" s="20"/>
      <c r="Y471" s="20"/>
      <c r="Z471" s="20"/>
      <c r="AA471" s="20"/>
      <c r="AB471" s="20"/>
      <c r="AC471" s="20"/>
      <c r="AD471" s="20"/>
    </row>
    <row r="472" spans="1:30" ht="19.5">
      <c r="A472" s="20"/>
      <c r="B472" s="20"/>
      <c r="C472" s="20"/>
      <c r="D472" s="20"/>
      <c r="E472" s="20"/>
      <c r="F472" s="124"/>
      <c r="G472" s="20"/>
      <c r="H472" s="20"/>
      <c r="I472" s="20"/>
      <c r="J472" s="124"/>
      <c r="K472" s="127"/>
      <c r="L472" s="20"/>
      <c r="M472" s="20"/>
      <c r="N472" s="20"/>
      <c r="O472" s="124"/>
      <c r="P472" s="127"/>
      <c r="Q472" s="20"/>
      <c r="R472" s="20"/>
      <c r="S472" s="20"/>
      <c r="T472" s="124"/>
      <c r="U472" s="127"/>
      <c r="V472" s="20"/>
      <c r="W472" s="20"/>
      <c r="X472" s="20"/>
      <c r="Y472" s="20"/>
      <c r="Z472" s="20"/>
      <c r="AA472" s="20"/>
      <c r="AB472" s="20"/>
      <c r="AC472" s="20"/>
      <c r="AD472" s="20"/>
    </row>
    <row r="473" spans="1:30" ht="19.5">
      <c r="A473" s="20"/>
      <c r="B473" s="20"/>
      <c r="C473" s="20"/>
      <c r="D473" s="20"/>
      <c r="E473" s="20"/>
      <c r="F473" s="124"/>
      <c r="G473" s="20"/>
      <c r="H473" s="20"/>
      <c r="I473" s="20"/>
      <c r="J473" s="124"/>
      <c r="K473" s="127"/>
      <c r="L473" s="20"/>
      <c r="M473" s="20"/>
      <c r="N473" s="20"/>
      <c r="O473" s="124"/>
      <c r="P473" s="127"/>
      <c r="Q473" s="20"/>
      <c r="R473" s="20"/>
      <c r="S473" s="20"/>
      <c r="T473" s="124"/>
      <c r="U473" s="127"/>
      <c r="V473" s="20"/>
      <c r="W473" s="20"/>
      <c r="X473" s="20"/>
      <c r="Y473" s="20"/>
      <c r="Z473" s="20"/>
      <c r="AA473" s="20"/>
      <c r="AB473" s="20"/>
      <c r="AC473" s="20"/>
      <c r="AD473" s="20"/>
    </row>
    <row r="474" spans="1:30" ht="19.5">
      <c r="A474" s="20"/>
      <c r="B474" s="20"/>
      <c r="C474" s="20"/>
      <c r="D474" s="20"/>
      <c r="E474" s="20"/>
      <c r="F474" s="124"/>
      <c r="G474" s="20"/>
      <c r="H474" s="20"/>
      <c r="I474" s="20"/>
      <c r="J474" s="124"/>
      <c r="K474" s="127"/>
      <c r="L474" s="20"/>
      <c r="M474" s="20"/>
      <c r="N474" s="20"/>
      <c r="O474" s="124"/>
      <c r="P474" s="127"/>
      <c r="Q474" s="20"/>
      <c r="R474" s="20"/>
      <c r="S474" s="20"/>
      <c r="T474" s="124"/>
      <c r="U474" s="127"/>
      <c r="V474" s="20"/>
      <c r="W474" s="20"/>
      <c r="X474" s="20"/>
      <c r="Y474" s="20"/>
      <c r="Z474" s="20"/>
      <c r="AA474" s="20"/>
      <c r="AB474" s="20"/>
      <c r="AC474" s="20"/>
      <c r="AD474" s="20"/>
    </row>
    <row r="475" spans="1:30" ht="19.5">
      <c r="A475" s="20"/>
      <c r="B475" s="20"/>
      <c r="C475" s="20"/>
      <c r="D475" s="20"/>
      <c r="E475" s="20"/>
      <c r="F475" s="124"/>
      <c r="G475" s="20"/>
      <c r="H475" s="20"/>
      <c r="I475" s="20"/>
      <c r="J475" s="124"/>
      <c r="K475" s="127"/>
      <c r="L475" s="20"/>
      <c r="M475" s="20"/>
      <c r="N475" s="20"/>
      <c r="O475" s="124"/>
      <c r="P475" s="127"/>
      <c r="Q475" s="20"/>
      <c r="R475" s="20"/>
      <c r="S475" s="20"/>
      <c r="T475" s="124"/>
      <c r="U475" s="127"/>
      <c r="V475" s="20"/>
      <c r="W475" s="20"/>
      <c r="X475" s="20"/>
      <c r="Y475" s="20"/>
      <c r="Z475" s="20"/>
      <c r="AA475" s="20"/>
      <c r="AB475" s="20"/>
      <c r="AC475" s="20"/>
      <c r="AD475" s="20"/>
    </row>
    <row r="476" spans="1:30" ht="19.5">
      <c r="A476" s="20"/>
      <c r="B476" s="20"/>
      <c r="C476" s="20"/>
      <c r="D476" s="20"/>
      <c r="E476" s="20"/>
      <c r="F476" s="124"/>
      <c r="G476" s="20"/>
      <c r="H476" s="20"/>
      <c r="I476" s="20"/>
      <c r="J476" s="124"/>
      <c r="K476" s="127"/>
      <c r="L476" s="20"/>
      <c r="M476" s="20"/>
      <c r="N476" s="20"/>
      <c r="O476" s="124"/>
      <c r="P476" s="127"/>
      <c r="Q476" s="20"/>
      <c r="R476" s="20"/>
      <c r="S476" s="20"/>
      <c r="T476" s="124"/>
      <c r="U476" s="127"/>
      <c r="V476" s="20"/>
      <c r="W476" s="20"/>
      <c r="X476" s="20"/>
      <c r="Y476" s="20"/>
      <c r="Z476" s="20"/>
      <c r="AA476" s="20"/>
      <c r="AB476" s="20"/>
      <c r="AC476" s="20"/>
      <c r="AD476" s="20"/>
    </row>
    <row r="477" spans="1:30" ht="19.5">
      <c r="A477" s="20"/>
      <c r="B477" s="20"/>
      <c r="C477" s="20"/>
      <c r="D477" s="20"/>
      <c r="E477" s="20"/>
      <c r="F477" s="124"/>
      <c r="G477" s="20"/>
      <c r="H477" s="20"/>
      <c r="I477" s="20"/>
      <c r="J477" s="124"/>
      <c r="K477" s="127"/>
      <c r="L477" s="20"/>
      <c r="M477" s="20"/>
      <c r="N477" s="20"/>
      <c r="O477" s="124"/>
      <c r="P477" s="127"/>
      <c r="Q477" s="20"/>
      <c r="R477" s="20"/>
      <c r="S477" s="20"/>
      <c r="T477" s="124"/>
      <c r="U477" s="127"/>
      <c r="V477" s="20"/>
      <c r="W477" s="20"/>
      <c r="X477" s="20"/>
      <c r="Y477" s="20"/>
      <c r="Z477" s="20"/>
      <c r="AA477" s="20"/>
      <c r="AB477" s="20"/>
      <c r="AC477" s="20"/>
      <c r="AD477" s="20"/>
    </row>
    <row r="478" spans="1:30" ht="19.5">
      <c r="A478" s="20"/>
      <c r="B478" s="20"/>
      <c r="C478" s="20"/>
      <c r="D478" s="20"/>
      <c r="E478" s="20"/>
      <c r="F478" s="124"/>
      <c r="G478" s="20"/>
      <c r="H478" s="20"/>
      <c r="I478" s="20"/>
      <c r="J478" s="124"/>
      <c r="K478" s="127"/>
      <c r="L478" s="20"/>
      <c r="M478" s="20"/>
      <c r="N478" s="20"/>
      <c r="O478" s="124"/>
      <c r="P478" s="127"/>
      <c r="Q478" s="20"/>
      <c r="R478" s="20"/>
      <c r="S478" s="20"/>
      <c r="T478" s="124"/>
      <c r="U478" s="127"/>
      <c r="V478" s="20"/>
      <c r="W478" s="20"/>
      <c r="X478" s="20"/>
      <c r="Y478" s="20"/>
      <c r="Z478" s="20"/>
      <c r="AA478" s="20"/>
      <c r="AB478" s="20"/>
      <c r="AC478" s="20"/>
      <c r="AD478" s="20"/>
    </row>
    <row r="479" spans="1:30" ht="19.5">
      <c r="A479" s="20"/>
      <c r="B479" s="20"/>
      <c r="C479" s="20"/>
      <c r="D479" s="20"/>
      <c r="E479" s="20"/>
      <c r="F479" s="124"/>
      <c r="G479" s="20"/>
      <c r="H479" s="20"/>
      <c r="I479" s="20"/>
      <c r="J479" s="124"/>
      <c r="K479" s="127"/>
      <c r="L479" s="20"/>
      <c r="M479" s="20"/>
      <c r="N479" s="20"/>
      <c r="O479" s="124"/>
      <c r="P479" s="127"/>
      <c r="Q479" s="20"/>
      <c r="R479" s="20"/>
      <c r="S479" s="20"/>
      <c r="T479" s="124"/>
      <c r="U479" s="127"/>
      <c r="V479" s="20"/>
      <c r="W479" s="20"/>
      <c r="X479" s="20"/>
      <c r="Y479" s="20"/>
      <c r="Z479" s="20"/>
      <c r="AA479" s="20"/>
      <c r="AB479" s="20"/>
      <c r="AC479" s="20"/>
      <c r="AD479" s="20"/>
    </row>
    <row r="480" spans="1:30" ht="19.5">
      <c r="A480" s="20"/>
      <c r="B480" s="20"/>
      <c r="C480" s="20"/>
      <c r="D480" s="20"/>
      <c r="E480" s="20"/>
      <c r="F480" s="124"/>
      <c r="G480" s="20"/>
      <c r="H480" s="20"/>
      <c r="I480" s="20"/>
      <c r="J480" s="124"/>
      <c r="K480" s="127"/>
      <c r="L480" s="20"/>
      <c r="M480" s="20"/>
      <c r="N480" s="20"/>
      <c r="O480" s="124"/>
      <c r="P480" s="127"/>
      <c r="Q480" s="20"/>
      <c r="R480" s="20"/>
      <c r="S480" s="20"/>
      <c r="T480" s="124"/>
      <c r="U480" s="127"/>
      <c r="V480" s="20"/>
      <c r="W480" s="20"/>
      <c r="X480" s="20"/>
      <c r="Y480" s="20"/>
      <c r="Z480" s="20"/>
      <c r="AA480" s="20"/>
      <c r="AB480" s="20"/>
      <c r="AC480" s="20"/>
      <c r="AD480" s="20"/>
    </row>
    <row r="481" spans="1:30" ht="19.5">
      <c r="A481" s="20"/>
      <c r="B481" s="20"/>
      <c r="C481" s="20"/>
      <c r="D481" s="20"/>
      <c r="E481" s="20"/>
      <c r="F481" s="124"/>
      <c r="G481" s="20"/>
      <c r="H481" s="20"/>
      <c r="I481" s="20"/>
      <c r="J481" s="124"/>
      <c r="K481" s="127"/>
      <c r="L481" s="20"/>
      <c r="M481" s="20"/>
      <c r="N481" s="20"/>
      <c r="O481" s="124"/>
      <c r="P481" s="127"/>
      <c r="Q481" s="20"/>
      <c r="R481" s="20"/>
      <c r="S481" s="20"/>
      <c r="T481" s="124"/>
      <c r="U481" s="127"/>
      <c r="V481" s="20"/>
      <c r="W481" s="20"/>
      <c r="X481" s="20"/>
      <c r="Y481" s="20"/>
      <c r="Z481" s="20"/>
      <c r="AA481" s="20"/>
      <c r="AB481" s="20"/>
      <c r="AC481" s="20"/>
      <c r="AD481" s="20"/>
    </row>
    <row r="482" spans="1:30" ht="19.5">
      <c r="A482" s="20"/>
      <c r="B482" s="20"/>
      <c r="C482" s="20"/>
      <c r="D482" s="20"/>
      <c r="E482" s="20"/>
      <c r="F482" s="124"/>
      <c r="G482" s="20"/>
      <c r="H482" s="20"/>
      <c r="I482" s="20"/>
      <c r="J482" s="124"/>
      <c r="K482" s="127"/>
      <c r="L482" s="20"/>
      <c r="M482" s="20"/>
      <c r="N482" s="20"/>
      <c r="O482" s="124"/>
      <c r="P482" s="127"/>
      <c r="Q482" s="20"/>
      <c r="R482" s="20"/>
      <c r="S482" s="20"/>
      <c r="T482" s="124"/>
      <c r="U482" s="127"/>
      <c r="V482" s="20"/>
      <c r="W482" s="20"/>
      <c r="X482" s="20"/>
      <c r="Y482" s="20"/>
      <c r="Z482" s="20"/>
      <c r="AA482" s="20"/>
      <c r="AB482" s="20"/>
      <c r="AC482" s="20"/>
      <c r="AD482" s="20"/>
    </row>
    <row r="483" spans="1:30" ht="19.5">
      <c r="A483" s="20"/>
      <c r="B483" s="20"/>
      <c r="C483" s="20"/>
      <c r="D483" s="20"/>
      <c r="E483" s="20"/>
      <c r="F483" s="124"/>
      <c r="G483" s="20"/>
      <c r="H483" s="20"/>
      <c r="I483" s="20"/>
      <c r="J483" s="124"/>
      <c r="K483" s="127"/>
      <c r="L483" s="20"/>
      <c r="M483" s="20"/>
      <c r="N483" s="20"/>
      <c r="O483" s="124"/>
      <c r="P483" s="127"/>
      <c r="Q483" s="20"/>
      <c r="R483" s="20"/>
      <c r="S483" s="20"/>
      <c r="T483" s="124"/>
      <c r="U483" s="127"/>
      <c r="V483" s="20"/>
      <c r="W483" s="20"/>
      <c r="X483" s="20"/>
      <c r="Y483" s="20"/>
      <c r="Z483" s="20"/>
      <c r="AA483" s="20"/>
      <c r="AB483" s="20"/>
      <c r="AC483" s="20"/>
      <c r="AD483" s="20"/>
    </row>
    <row r="484" spans="1:30" ht="19.5">
      <c r="A484" s="20"/>
      <c r="B484" s="20"/>
      <c r="C484" s="20"/>
      <c r="D484" s="20"/>
      <c r="E484" s="20"/>
      <c r="F484" s="124"/>
      <c r="G484" s="20"/>
      <c r="H484" s="20"/>
      <c r="I484" s="20"/>
      <c r="J484" s="124"/>
      <c r="K484" s="127"/>
      <c r="L484" s="20"/>
      <c r="M484" s="20"/>
      <c r="N484" s="20"/>
      <c r="O484" s="124"/>
      <c r="P484" s="127"/>
      <c r="Q484" s="20"/>
      <c r="R484" s="20"/>
      <c r="S484" s="20"/>
      <c r="T484" s="124"/>
      <c r="U484" s="127"/>
      <c r="V484" s="20"/>
      <c r="W484" s="20"/>
      <c r="X484" s="20"/>
      <c r="Y484" s="20"/>
      <c r="Z484" s="20"/>
      <c r="AA484" s="20"/>
      <c r="AB484" s="20"/>
      <c r="AC484" s="20"/>
      <c r="AD484" s="20"/>
    </row>
    <row r="485" spans="1:30" ht="19.5">
      <c r="A485" s="20"/>
      <c r="B485" s="20"/>
      <c r="C485" s="20"/>
      <c r="D485" s="20"/>
      <c r="E485" s="20"/>
      <c r="F485" s="124"/>
      <c r="G485" s="20"/>
      <c r="H485" s="20"/>
      <c r="I485" s="20"/>
      <c r="J485" s="124"/>
      <c r="K485" s="127"/>
      <c r="L485" s="20"/>
      <c r="M485" s="20"/>
      <c r="N485" s="20"/>
      <c r="O485" s="124"/>
      <c r="P485" s="127"/>
      <c r="Q485" s="20"/>
      <c r="R485" s="20"/>
      <c r="S485" s="20"/>
      <c r="T485" s="124"/>
      <c r="U485" s="127"/>
      <c r="V485" s="20"/>
      <c r="W485" s="20"/>
      <c r="X485" s="20"/>
      <c r="Y485" s="20"/>
      <c r="Z485" s="20"/>
      <c r="AA485" s="20"/>
      <c r="AB485" s="20"/>
      <c r="AC485" s="20"/>
      <c r="AD485" s="20"/>
    </row>
    <row r="486" spans="1:30" ht="19.5">
      <c r="A486" s="20"/>
      <c r="B486" s="20"/>
      <c r="C486" s="20"/>
      <c r="D486" s="20"/>
      <c r="E486" s="20"/>
      <c r="F486" s="124"/>
      <c r="G486" s="20"/>
      <c r="H486" s="20"/>
      <c r="I486" s="20"/>
      <c r="J486" s="124"/>
      <c r="K486" s="127"/>
      <c r="L486" s="20"/>
      <c r="M486" s="20"/>
      <c r="N486" s="20"/>
      <c r="O486" s="124"/>
      <c r="P486" s="127"/>
      <c r="Q486" s="20"/>
      <c r="R486" s="20"/>
      <c r="S486" s="20"/>
      <c r="T486" s="124"/>
      <c r="U486" s="127"/>
      <c r="V486" s="20"/>
      <c r="W486" s="20"/>
      <c r="X486" s="20"/>
      <c r="Y486" s="20"/>
      <c r="Z486" s="20"/>
      <c r="AA486" s="20"/>
      <c r="AB486" s="20"/>
      <c r="AC486" s="20"/>
      <c r="AD486" s="20"/>
    </row>
    <row r="487" spans="1:30" ht="19.5">
      <c r="A487" s="20"/>
      <c r="B487" s="20"/>
      <c r="C487" s="20"/>
      <c r="D487" s="20"/>
      <c r="E487" s="20"/>
      <c r="F487" s="124"/>
      <c r="G487" s="20"/>
      <c r="H487" s="20"/>
      <c r="I487" s="20"/>
      <c r="J487" s="124"/>
      <c r="K487" s="127"/>
      <c r="L487" s="20"/>
      <c r="M487" s="20"/>
      <c r="N487" s="20"/>
      <c r="O487" s="124"/>
      <c r="P487" s="127"/>
      <c r="Q487" s="20"/>
      <c r="R487" s="20"/>
      <c r="S487" s="20"/>
      <c r="T487" s="124"/>
      <c r="U487" s="127"/>
      <c r="V487" s="20"/>
      <c r="W487" s="20"/>
      <c r="X487" s="20"/>
      <c r="Y487" s="20"/>
      <c r="Z487" s="20"/>
      <c r="AA487" s="20"/>
      <c r="AB487" s="20"/>
      <c r="AC487" s="20"/>
      <c r="AD487" s="20"/>
    </row>
    <row r="488" spans="1:30" ht="19.5">
      <c r="A488" s="20"/>
      <c r="B488" s="20"/>
      <c r="C488" s="20"/>
      <c r="D488" s="20"/>
      <c r="E488" s="20"/>
      <c r="F488" s="124"/>
      <c r="G488" s="20"/>
      <c r="H488" s="20"/>
      <c r="I488" s="20"/>
      <c r="J488" s="124"/>
      <c r="K488" s="127"/>
      <c r="L488" s="20"/>
      <c r="M488" s="20"/>
      <c r="N488" s="20"/>
      <c r="O488" s="124"/>
      <c r="P488" s="127"/>
      <c r="Q488" s="20"/>
      <c r="R488" s="20"/>
      <c r="S488" s="20"/>
      <c r="T488" s="124"/>
      <c r="U488" s="127"/>
      <c r="V488" s="20"/>
      <c r="W488" s="20"/>
      <c r="X488" s="20"/>
      <c r="Y488" s="20"/>
      <c r="Z488" s="20"/>
      <c r="AA488" s="20"/>
      <c r="AB488" s="20"/>
      <c r="AC488" s="20"/>
      <c r="AD488" s="20"/>
    </row>
    <row r="489" spans="1:30" ht="19.5">
      <c r="A489" s="20"/>
      <c r="B489" s="20"/>
      <c r="C489" s="20"/>
      <c r="D489" s="20"/>
      <c r="E489" s="20"/>
      <c r="F489" s="124"/>
      <c r="G489" s="20"/>
      <c r="H489" s="20"/>
      <c r="I489" s="20"/>
      <c r="J489" s="124"/>
      <c r="K489" s="127"/>
      <c r="L489" s="20"/>
      <c r="M489" s="20"/>
      <c r="N489" s="20"/>
      <c r="O489" s="124"/>
      <c r="P489" s="127"/>
      <c r="Q489" s="20"/>
      <c r="R489" s="20"/>
      <c r="S489" s="20"/>
      <c r="T489" s="124"/>
      <c r="U489" s="127"/>
      <c r="V489" s="20"/>
      <c r="W489" s="20"/>
      <c r="X489" s="20"/>
      <c r="Y489" s="20"/>
      <c r="Z489" s="20"/>
      <c r="AA489" s="20"/>
      <c r="AB489" s="20"/>
      <c r="AC489" s="20"/>
      <c r="AD489" s="20"/>
    </row>
    <row r="490" spans="1:30" ht="19.5">
      <c r="A490" s="20"/>
      <c r="B490" s="20"/>
      <c r="C490" s="20"/>
      <c r="D490" s="20"/>
      <c r="E490" s="20"/>
      <c r="F490" s="124"/>
      <c r="G490" s="20"/>
      <c r="H490" s="20"/>
      <c r="I490" s="20"/>
      <c r="J490" s="124"/>
      <c r="K490" s="127"/>
      <c r="L490" s="20"/>
      <c r="M490" s="20"/>
      <c r="N490" s="20"/>
      <c r="O490" s="124"/>
      <c r="P490" s="127"/>
      <c r="Q490" s="20"/>
      <c r="R490" s="20"/>
      <c r="S490" s="20"/>
      <c r="T490" s="124"/>
      <c r="U490" s="127"/>
      <c r="V490" s="20"/>
      <c r="W490" s="20"/>
      <c r="X490" s="20"/>
      <c r="Y490" s="20"/>
      <c r="Z490" s="20"/>
      <c r="AA490" s="20"/>
      <c r="AB490" s="20"/>
      <c r="AC490" s="20"/>
      <c r="AD490" s="20"/>
    </row>
    <row r="491" spans="1:30" ht="19.5">
      <c r="A491" s="20"/>
      <c r="B491" s="20"/>
      <c r="C491" s="20"/>
      <c r="D491" s="20"/>
      <c r="E491" s="20"/>
      <c r="F491" s="124"/>
      <c r="G491" s="20"/>
      <c r="H491" s="20"/>
      <c r="I491" s="20"/>
      <c r="J491" s="124"/>
      <c r="K491" s="127"/>
      <c r="L491" s="20"/>
      <c r="M491" s="20"/>
      <c r="N491" s="20"/>
      <c r="O491" s="124"/>
      <c r="P491" s="127"/>
      <c r="Q491" s="20"/>
      <c r="R491" s="20"/>
      <c r="S491" s="20"/>
      <c r="T491" s="124"/>
      <c r="U491" s="127"/>
      <c r="V491" s="20"/>
      <c r="W491" s="20"/>
      <c r="X491" s="20"/>
      <c r="Y491" s="20"/>
      <c r="Z491" s="20"/>
      <c r="AA491" s="20"/>
      <c r="AB491" s="20"/>
      <c r="AC491" s="20"/>
      <c r="AD491" s="20"/>
    </row>
    <row r="492" spans="1:30" ht="19.5">
      <c r="A492" s="20"/>
      <c r="B492" s="20"/>
      <c r="C492" s="20"/>
      <c r="D492" s="20"/>
      <c r="E492" s="20"/>
      <c r="F492" s="124"/>
      <c r="G492" s="20"/>
      <c r="H492" s="20"/>
      <c r="I492" s="20"/>
      <c r="J492" s="124"/>
      <c r="K492" s="127"/>
      <c r="L492" s="20"/>
      <c r="M492" s="20"/>
      <c r="N492" s="20"/>
      <c r="O492" s="124"/>
      <c r="P492" s="127"/>
      <c r="Q492" s="20"/>
      <c r="R492" s="20"/>
      <c r="S492" s="20"/>
      <c r="T492" s="124"/>
      <c r="U492" s="127"/>
      <c r="V492" s="20"/>
      <c r="W492" s="20"/>
      <c r="X492" s="20"/>
      <c r="Y492" s="20"/>
      <c r="Z492" s="20"/>
      <c r="AA492" s="20"/>
      <c r="AB492" s="20"/>
      <c r="AC492" s="20"/>
      <c r="AD492" s="20"/>
    </row>
    <row r="493" spans="1:30" ht="19.5">
      <c r="A493" s="20"/>
      <c r="B493" s="20"/>
      <c r="C493" s="20"/>
      <c r="D493" s="20"/>
      <c r="E493" s="20"/>
      <c r="F493" s="124"/>
      <c r="G493" s="20"/>
      <c r="H493" s="20"/>
      <c r="I493" s="20"/>
      <c r="J493" s="124"/>
      <c r="K493" s="127"/>
      <c r="L493" s="20"/>
      <c r="M493" s="20"/>
      <c r="N493" s="20"/>
      <c r="O493" s="124"/>
      <c r="P493" s="127"/>
      <c r="Q493" s="20"/>
      <c r="R493" s="20"/>
      <c r="S493" s="20"/>
      <c r="T493" s="124"/>
      <c r="U493" s="127"/>
      <c r="V493" s="20"/>
      <c r="W493" s="20"/>
      <c r="X493" s="20"/>
      <c r="Y493" s="20"/>
      <c r="Z493" s="20"/>
      <c r="AA493" s="20"/>
      <c r="AB493" s="20"/>
      <c r="AC493" s="20"/>
      <c r="AD493" s="20"/>
    </row>
    <row r="494" spans="1:30" ht="19.5">
      <c r="A494" s="20"/>
      <c r="B494" s="20"/>
      <c r="C494" s="20"/>
      <c r="D494" s="20"/>
      <c r="E494" s="20"/>
      <c r="F494" s="124"/>
      <c r="G494" s="20"/>
      <c r="H494" s="20"/>
      <c r="I494" s="20"/>
      <c r="J494" s="124"/>
      <c r="K494" s="127"/>
      <c r="L494" s="20"/>
      <c r="M494" s="20"/>
      <c r="N494" s="20"/>
      <c r="O494" s="124"/>
      <c r="P494" s="127"/>
      <c r="Q494" s="20"/>
      <c r="R494" s="20"/>
      <c r="S494" s="20"/>
      <c r="T494" s="124"/>
      <c r="U494" s="127"/>
      <c r="V494" s="20"/>
      <c r="W494" s="20"/>
      <c r="X494" s="20"/>
      <c r="Y494" s="20"/>
      <c r="Z494" s="20"/>
      <c r="AA494" s="20"/>
      <c r="AB494" s="20"/>
      <c r="AC494" s="20"/>
      <c r="AD494" s="20"/>
    </row>
    <row r="495" spans="1:30" ht="19.5">
      <c r="A495" s="20"/>
      <c r="B495" s="20"/>
      <c r="C495" s="20"/>
      <c r="D495" s="20"/>
      <c r="E495" s="20"/>
      <c r="F495" s="124"/>
      <c r="G495" s="20"/>
      <c r="H495" s="20"/>
      <c r="I495" s="20"/>
      <c r="J495" s="124"/>
      <c r="K495" s="127"/>
      <c r="L495" s="20"/>
      <c r="M495" s="20"/>
      <c r="N495" s="20"/>
      <c r="O495" s="124"/>
      <c r="P495" s="127"/>
      <c r="Q495" s="20"/>
      <c r="R495" s="20"/>
      <c r="S495" s="20"/>
      <c r="T495" s="124"/>
      <c r="U495" s="127"/>
      <c r="V495" s="20"/>
      <c r="W495" s="20"/>
      <c r="X495" s="20"/>
      <c r="Y495" s="20"/>
      <c r="Z495" s="20"/>
      <c r="AA495" s="20"/>
      <c r="AB495" s="20"/>
      <c r="AC495" s="20"/>
      <c r="AD495" s="20"/>
    </row>
    <row r="496" spans="1:30" ht="19.5">
      <c r="A496" s="20"/>
      <c r="B496" s="20"/>
      <c r="C496" s="20"/>
      <c r="D496" s="20"/>
      <c r="E496" s="20"/>
      <c r="F496" s="124"/>
      <c r="G496" s="20"/>
      <c r="H496" s="20"/>
      <c r="I496" s="20"/>
      <c r="J496" s="124"/>
      <c r="K496" s="127"/>
      <c r="L496" s="20"/>
      <c r="M496" s="20"/>
      <c r="N496" s="20"/>
      <c r="O496" s="124"/>
      <c r="P496" s="127"/>
      <c r="Q496" s="20"/>
      <c r="R496" s="20"/>
      <c r="S496" s="20"/>
      <c r="T496" s="124"/>
      <c r="U496" s="127"/>
      <c r="V496" s="20"/>
      <c r="W496" s="20"/>
      <c r="X496" s="20"/>
      <c r="Y496" s="20"/>
      <c r="Z496" s="20"/>
      <c r="AA496" s="20"/>
      <c r="AB496" s="20"/>
      <c r="AC496" s="20"/>
      <c r="AD496" s="20"/>
    </row>
    <row r="497" spans="1:30" ht="19.5">
      <c r="A497" s="20"/>
      <c r="B497" s="20"/>
      <c r="C497" s="20"/>
      <c r="D497" s="20"/>
      <c r="E497" s="20"/>
      <c r="F497" s="124"/>
      <c r="G497" s="20"/>
      <c r="H497" s="20"/>
      <c r="I497" s="20"/>
      <c r="J497" s="124"/>
      <c r="K497" s="127"/>
      <c r="L497" s="20"/>
      <c r="M497" s="20"/>
      <c r="N497" s="20"/>
      <c r="O497" s="124"/>
      <c r="P497" s="127"/>
      <c r="Q497" s="20"/>
      <c r="R497" s="20"/>
      <c r="S497" s="20"/>
      <c r="T497" s="124"/>
      <c r="U497" s="127"/>
      <c r="V497" s="20"/>
      <c r="W497" s="20"/>
      <c r="X497" s="20"/>
      <c r="Y497" s="20"/>
      <c r="Z497" s="20"/>
      <c r="AA497" s="20"/>
      <c r="AB497" s="20"/>
      <c r="AC497" s="20"/>
      <c r="AD497" s="20"/>
    </row>
    <row r="498" spans="1:30" ht="19.5">
      <c r="A498" s="20"/>
      <c r="B498" s="20"/>
      <c r="C498" s="20"/>
      <c r="D498" s="20"/>
      <c r="E498" s="20"/>
      <c r="F498" s="124"/>
      <c r="G498" s="20"/>
      <c r="H498" s="20"/>
      <c r="I498" s="20"/>
      <c r="J498" s="124"/>
      <c r="K498" s="127"/>
      <c r="L498" s="20"/>
      <c r="M498" s="20"/>
      <c r="N498" s="20"/>
      <c r="O498" s="124"/>
      <c r="P498" s="127"/>
      <c r="Q498" s="20"/>
      <c r="R498" s="20"/>
      <c r="S498" s="20"/>
      <c r="T498" s="124"/>
      <c r="U498" s="127"/>
      <c r="V498" s="20"/>
      <c r="W498" s="20"/>
      <c r="X498" s="20"/>
      <c r="Y498" s="20"/>
      <c r="Z498" s="20"/>
      <c r="AA498" s="20"/>
      <c r="AB498" s="20"/>
      <c r="AC498" s="20"/>
      <c r="AD498" s="20"/>
    </row>
    <row r="499" spans="1:30" ht="19.5">
      <c r="A499" s="20"/>
      <c r="B499" s="20"/>
      <c r="C499" s="20"/>
      <c r="D499" s="20"/>
      <c r="E499" s="20"/>
      <c r="F499" s="124"/>
      <c r="G499" s="20"/>
      <c r="H499" s="20"/>
      <c r="I499" s="20"/>
      <c r="J499" s="124"/>
      <c r="K499" s="127"/>
      <c r="L499" s="20"/>
      <c r="M499" s="20"/>
      <c r="N499" s="20"/>
      <c r="O499" s="124"/>
      <c r="P499" s="127"/>
      <c r="Q499" s="20"/>
      <c r="R499" s="20"/>
      <c r="S499" s="20"/>
      <c r="T499" s="124"/>
      <c r="U499" s="127"/>
      <c r="V499" s="20"/>
      <c r="W499" s="20"/>
      <c r="X499" s="20"/>
      <c r="Y499" s="20"/>
      <c r="Z499" s="20"/>
      <c r="AA499" s="20"/>
      <c r="AB499" s="20"/>
      <c r="AC499" s="20"/>
      <c r="AD499" s="20"/>
    </row>
    <row r="500" spans="1:30" ht="19.5">
      <c r="A500" s="20"/>
      <c r="B500" s="20"/>
      <c r="C500" s="20"/>
      <c r="D500" s="20"/>
      <c r="E500" s="20"/>
      <c r="F500" s="124"/>
      <c r="G500" s="20"/>
      <c r="H500" s="20"/>
      <c r="I500" s="20"/>
      <c r="J500" s="124"/>
      <c r="K500" s="127"/>
      <c r="L500" s="20"/>
      <c r="M500" s="20"/>
      <c r="N500" s="20"/>
      <c r="O500" s="124"/>
      <c r="P500" s="127"/>
      <c r="Q500" s="20"/>
      <c r="R500" s="20"/>
      <c r="S500" s="20"/>
      <c r="T500" s="124"/>
      <c r="U500" s="127"/>
      <c r="V500" s="20"/>
      <c r="W500" s="20"/>
      <c r="X500" s="20"/>
      <c r="Y500" s="20"/>
      <c r="Z500" s="20"/>
      <c r="AA500" s="20"/>
      <c r="AB500" s="20"/>
      <c r="AC500" s="20"/>
      <c r="AD500" s="20"/>
    </row>
    <row r="501" spans="1:30" ht="19.5">
      <c r="A501" s="20"/>
      <c r="B501" s="20"/>
      <c r="C501" s="20"/>
      <c r="D501" s="20"/>
      <c r="E501" s="20"/>
      <c r="F501" s="124"/>
      <c r="G501" s="20"/>
      <c r="H501" s="20"/>
      <c r="I501" s="20"/>
      <c r="J501" s="124"/>
      <c r="K501" s="127"/>
      <c r="L501" s="20"/>
      <c r="M501" s="20"/>
      <c r="N501" s="20"/>
      <c r="O501" s="124"/>
      <c r="P501" s="127"/>
      <c r="Q501" s="20"/>
      <c r="R501" s="20"/>
      <c r="S501" s="20"/>
      <c r="T501" s="124"/>
      <c r="U501" s="127"/>
      <c r="V501" s="20"/>
      <c r="W501" s="20"/>
      <c r="X501" s="20"/>
      <c r="Y501" s="20"/>
      <c r="Z501" s="20"/>
      <c r="AA501" s="20"/>
      <c r="AB501" s="20"/>
      <c r="AC501" s="20"/>
      <c r="AD501" s="20"/>
    </row>
    <row r="502" spans="1:30" ht="19.5">
      <c r="A502" s="20"/>
      <c r="B502" s="20"/>
      <c r="C502" s="20"/>
      <c r="D502" s="20"/>
      <c r="E502" s="20"/>
      <c r="F502" s="124"/>
      <c r="G502" s="20"/>
      <c r="H502" s="20"/>
      <c r="I502" s="20"/>
      <c r="J502" s="124"/>
      <c r="K502" s="127"/>
      <c r="L502" s="20"/>
      <c r="M502" s="20"/>
      <c r="N502" s="20"/>
      <c r="O502" s="124"/>
      <c r="P502" s="127"/>
      <c r="Q502" s="20"/>
      <c r="R502" s="20"/>
      <c r="S502" s="20"/>
      <c r="T502" s="124"/>
      <c r="U502" s="127"/>
      <c r="V502" s="20"/>
      <c r="W502" s="20"/>
      <c r="X502" s="20"/>
      <c r="Y502" s="20"/>
      <c r="Z502" s="20"/>
      <c r="AA502" s="20"/>
      <c r="AB502" s="20"/>
      <c r="AC502" s="20"/>
      <c r="AD502" s="20"/>
    </row>
    <row r="503" spans="1:30" ht="19.5">
      <c r="A503" s="20"/>
      <c r="B503" s="20"/>
      <c r="C503" s="20"/>
      <c r="D503" s="20"/>
      <c r="E503" s="20"/>
      <c r="F503" s="124"/>
      <c r="G503" s="20"/>
      <c r="H503" s="20"/>
      <c r="I503" s="20"/>
      <c r="J503" s="124"/>
      <c r="K503" s="127"/>
      <c r="L503" s="20"/>
      <c r="M503" s="20"/>
      <c r="N503" s="20"/>
      <c r="O503" s="124"/>
      <c r="P503" s="127"/>
      <c r="Q503" s="20"/>
      <c r="R503" s="20"/>
      <c r="S503" s="20"/>
      <c r="T503" s="124"/>
      <c r="U503" s="127"/>
      <c r="V503" s="20"/>
      <c r="W503" s="20"/>
      <c r="X503" s="20"/>
      <c r="Y503" s="20"/>
      <c r="Z503" s="20"/>
      <c r="AA503" s="20"/>
      <c r="AB503" s="20"/>
      <c r="AC503" s="20"/>
      <c r="AD503" s="20"/>
    </row>
    <row r="504" spans="1:30" ht="19.5">
      <c r="A504" s="20"/>
      <c r="B504" s="20"/>
      <c r="C504" s="20"/>
      <c r="D504" s="20"/>
      <c r="E504" s="20"/>
      <c r="F504" s="124"/>
      <c r="G504" s="20"/>
      <c r="H504" s="20"/>
      <c r="I504" s="20"/>
      <c r="J504" s="124"/>
      <c r="K504" s="127"/>
      <c r="L504" s="20"/>
      <c r="M504" s="20"/>
      <c r="N504" s="20"/>
      <c r="O504" s="124"/>
      <c r="P504" s="127"/>
      <c r="Q504" s="20"/>
      <c r="R504" s="20"/>
      <c r="S504" s="20"/>
      <c r="T504" s="124"/>
      <c r="U504" s="127"/>
      <c r="V504" s="20"/>
      <c r="W504" s="20"/>
      <c r="X504" s="20"/>
      <c r="Y504" s="20"/>
      <c r="Z504" s="20"/>
      <c r="AA504" s="20"/>
      <c r="AB504" s="20"/>
      <c r="AC504" s="20"/>
      <c r="AD504" s="20"/>
    </row>
    <row r="505" spans="1:30" ht="19.5">
      <c r="A505" s="20"/>
      <c r="B505" s="20"/>
      <c r="C505" s="20"/>
      <c r="D505" s="20"/>
      <c r="E505" s="20"/>
      <c r="F505" s="124"/>
      <c r="G505" s="20"/>
      <c r="H505" s="20"/>
      <c r="I505" s="20"/>
      <c r="J505" s="124"/>
      <c r="K505" s="127"/>
      <c r="L505" s="20"/>
      <c r="M505" s="20"/>
      <c r="N505" s="20"/>
      <c r="O505" s="124"/>
      <c r="P505" s="127"/>
      <c r="Q505" s="20"/>
      <c r="R505" s="20"/>
      <c r="S505" s="20"/>
      <c r="T505" s="124"/>
      <c r="U505" s="127"/>
      <c r="V505" s="20"/>
      <c r="W505" s="20"/>
      <c r="X505" s="20"/>
      <c r="Y505" s="20"/>
      <c r="Z505" s="20"/>
      <c r="AA505" s="20"/>
      <c r="AB505" s="20"/>
      <c r="AC505" s="20"/>
      <c r="AD505" s="20"/>
    </row>
    <row r="506" spans="1:30" ht="19.5">
      <c r="A506" s="20"/>
      <c r="B506" s="20"/>
      <c r="C506" s="20"/>
      <c r="D506" s="20"/>
      <c r="E506" s="20"/>
      <c r="F506" s="124"/>
      <c r="G506" s="20"/>
      <c r="H506" s="20"/>
      <c r="I506" s="20"/>
      <c r="J506" s="124"/>
      <c r="K506" s="127"/>
      <c r="L506" s="20"/>
      <c r="M506" s="20"/>
      <c r="N506" s="20"/>
      <c r="O506" s="124"/>
      <c r="P506" s="127"/>
      <c r="Q506" s="20"/>
      <c r="R506" s="20"/>
      <c r="S506" s="20"/>
      <c r="T506" s="124"/>
      <c r="U506" s="127"/>
      <c r="V506" s="20"/>
      <c r="W506" s="20"/>
      <c r="X506" s="20"/>
      <c r="Y506" s="20"/>
      <c r="Z506" s="20"/>
      <c r="AA506" s="20"/>
      <c r="AB506" s="20"/>
      <c r="AC506" s="20"/>
      <c r="AD506" s="20"/>
    </row>
    <row r="507" spans="1:30" ht="19.5">
      <c r="A507" s="20"/>
      <c r="B507" s="20"/>
      <c r="C507" s="20"/>
      <c r="D507" s="20"/>
      <c r="E507" s="20"/>
      <c r="F507" s="124"/>
      <c r="G507" s="20"/>
      <c r="H507" s="20"/>
      <c r="I507" s="20"/>
      <c r="J507" s="124"/>
      <c r="K507" s="127"/>
      <c r="L507" s="20"/>
      <c r="M507" s="20"/>
      <c r="N507" s="20"/>
      <c r="O507" s="124"/>
      <c r="P507" s="127"/>
      <c r="Q507" s="20"/>
      <c r="R507" s="20"/>
      <c r="S507" s="20"/>
      <c r="T507" s="124"/>
      <c r="U507" s="127"/>
      <c r="V507" s="20"/>
      <c r="W507" s="20"/>
      <c r="X507" s="20"/>
      <c r="Y507" s="20"/>
      <c r="Z507" s="20"/>
      <c r="AA507" s="20"/>
      <c r="AB507" s="20"/>
      <c r="AC507" s="20"/>
      <c r="AD507" s="20"/>
    </row>
    <row r="508" spans="1:30" ht="19.5">
      <c r="A508" s="20"/>
      <c r="B508" s="20"/>
      <c r="C508" s="20"/>
      <c r="D508" s="20"/>
      <c r="E508" s="20"/>
      <c r="F508" s="124"/>
      <c r="G508" s="20"/>
      <c r="H508" s="20"/>
      <c r="I508" s="20"/>
      <c r="J508" s="124"/>
      <c r="K508" s="127"/>
      <c r="L508" s="20"/>
      <c r="M508" s="20"/>
      <c r="N508" s="20"/>
      <c r="O508" s="124"/>
      <c r="P508" s="127"/>
      <c r="Q508" s="20"/>
      <c r="R508" s="20"/>
      <c r="S508" s="20"/>
      <c r="T508" s="124"/>
      <c r="U508" s="127"/>
      <c r="V508" s="20"/>
      <c r="W508" s="20"/>
      <c r="X508" s="20"/>
      <c r="Y508" s="20"/>
      <c r="Z508" s="20"/>
      <c r="AA508" s="20"/>
      <c r="AB508" s="20"/>
      <c r="AC508" s="20"/>
      <c r="AD508" s="20"/>
    </row>
    <row r="509" spans="1:30" ht="19.5">
      <c r="A509" s="20"/>
      <c r="B509" s="20"/>
      <c r="C509" s="20"/>
      <c r="D509" s="20"/>
      <c r="E509" s="20"/>
      <c r="F509" s="124"/>
      <c r="G509" s="20"/>
      <c r="H509" s="20"/>
      <c r="I509" s="20"/>
      <c r="J509" s="124"/>
      <c r="K509" s="127"/>
      <c r="L509" s="20"/>
      <c r="M509" s="20"/>
      <c r="N509" s="20"/>
      <c r="O509" s="124"/>
      <c r="P509" s="127"/>
      <c r="Q509" s="20"/>
      <c r="R509" s="20"/>
      <c r="S509" s="20"/>
      <c r="T509" s="124"/>
      <c r="U509" s="127"/>
      <c r="V509" s="20"/>
      <c r="W509" s="20"/>
      <c r="X509" s="20"/>
      <c r="Y509" s="20"/>
      <c r="Z509" s="20"/>
      <c r="AA509" s="20"/>
      <c r="AB509" s="20"/>
      <c r="AC509" s="20"/>
      <c r="AD509" s="20"/>
    </row>
    <row r="510" spans="1:30" ht="19.5">
      <c r="A510" s="20"/>
      <c r="B510" s="20"/>
      <c r="C510" s="20"/>
      <c r="D510" s="20"/>
      <c r="E510" s="20"/>
      <c r="F510" s="124"/>
      <c r="G510" s="20"/>
      <c r="H510" s="20"/>
      <c r="I510" s="20"/>
      <c r="J510" s="124"/>
      <c r="K510" s="127"/>
      <c r="L510" s="20"/>
      <c r="M510" s="20"/>
      <c r="N510" s="20"/>
      <c r="O510" s="124"/>
      <c r="P510" s="127"/>
      <c r="Q510" s="20"/>
      <c r="R510" s="20"/>
      <c r="S510" s="20"/>
      <c r="T510" s="124"/>
      <c r="U510" s="127"/>
      <c r="V510" s="20"/>
      <c r="W510" s="20"/>
      <c r="X510" s="20"/>
      <c r="Y510" s="20"/>
      <c r="Z510" s="20"/>
      <c r="AA510" s="20"/>
      <c r="AB510" s="20"/>
      <c r="AC510" s="20"/>
      <c r="AD510" s="20"/>
    </row>
    <row r="511" spans="1:30" ht="19.5">
      <c r="A511" s="20"/>
      <c r="B511" s="20"/>
      <c r="C511" s="20"/>
      <c r="D511" s="20"/>
      <c r="E511" s="20"/>
      <c r="F511" s="124"/>
      <c r="G511" s="20"/>
      <c r="H511" s="20"/>
      <c r="I511" s="20"/>
      <c r="J511" s="124"/>
      <c r="K511" s="127"/>
      <c r="L511" s="20"/>
      <c r="M511" s="20"/>
      <c r="N511" s="20"/>
      <c r="O511" s="124"/>
      <c r="P511" s="127"/>
      <c r="Q511" s="20"/>
      <c r="R511" s="20"/>
      <c r="S511" s="20"/>
      <c r="T511" s="124"/>
      <c r="U511" s="127"/>
      <c r="V511" s="20"/>
      <c r="W511" s="20"/>
      <c r="X511" s="20"/>
      <c r="Y511" s="20"/>
      <c r="Z511" s="20"/>
      <c r="AA511" s="20"/>
      <c r="AB511" s="20"/>
      <c r="AC511" s="20"/>
      <c r="AD511" s="20"/>
    </row>
    <row r="512" spans="1:30" ht="19.5">
      <c r="A512" s="20"/>
      <c r="B512" s="20"/>
      <c r="C512" s="20"/>
      <c r="D512" s="20"/>
      <c r="E512" s="20"/>
      <c r="F512" s="124"/>
      <c r="G512" s="20"/>
      <c r="H512" s="20"/>
      <c r="I512" s="20"/>
      <c r="J512" s="124"/>
      <c r="K512" s="127"/>
      <c r="L512" s="20"/>
      <c r="M512" s="20"/>
      <c r="N512" s="20"/>
      <c r="O512" s="124"/>
      <c r="P512" s="127"/>
      <c r="Q512" s="20"/>
      <c r="R512" s="20"/>
      <c r="S512" s="20"/>
      <c r="T512" s="124"/>
      <c r="U512" s="127"/>
      <c r="V512" s="20"/>
      <c r="W512" s="20"/>
      <c r="X512" s="20"/>
      <c r="Y512" s="20"/>
      <c r="Z512" s="20"/>
      <c r="AA512" s="20"/>
      <c r="AB512" s="20"/>
      <c r="AC512" s="20"/>
      <c r="AD512" s="20"/>
    </row>
    <row r="513" spans="1:30" ht="19.5">
      <c r="A513" s="20"/>
      <c r="B513" s="20"/>
      <c r="C513" s="20"/>
      <c r="D513" s="20"/>
      <c r="E513" s="20"/>
      <c r="F513" s="124"/>
      <c r="G513" s="20"/>
      <c r="H513" s="20"/>
      <c r="I513" s="20"/>
      <c r="J513" s="124"/>
      <c r="K513" s="127"/>
      <c r="L513" s="20"/>
      <c r="M513" s="20"/>
      <c r="N513" s="20"/>
      <c r="O513" s="124"/>
      <c r="P513" s="127"/>
      <c r="Q513" s="20"/>
      <c r="R513" s="20"/>
      <c r="S513" s="20"/>
      <c r="T513" s="124"/>
      <c r="U513" s="127"/>
      <c r="V513" s="20"/>
      <c r="W513" s="20"/>
      <c r="X513" s="20"/>
      <c r="Y513" s="20"/>
      <c r="Z513" s="20"/>
      <c r="AA513" s="20"/>
      <c r="AB513" s="20"/>
      <c r="AC513" s="20"/>
      <c r="AD513" s="20"/>
    </row>
    <row r="514" spans="1:30" ht="19.5">
      <c r="A514" s="20"/>
      <c r="B514" s="20"/>
      <c r="C514" s="20"/>
      <c r="D514" s="20"/>
      <c r="E514" s="20"/>
      <c r="F514" s="124"/>
      <c r="G514" s="20"/>
      <c r="H514" s="20"/>
      <c r="I514" s="20"/>
      <c r="J514" s="124"/>
      <c r="K514" s="127"/>
      <c r="L514" s="20"/>
      <c r="M514" s="20"/>
      <c r="N514" s="20"/>
      <c r="O514" s="124"/>
      <c r="P514" s="127"/>
      <c r="Q514" s="20"/>
      <c r="R514" s="20"/>
      <c r="S514" s="20"/>
      <c r="T514" s="124"/>
      <c r="U514" s="127"/>
      <c r="V514" s="20"/>
      <c r="W514" s="20"/>
      <c r="X514" s="20"/>
      <c r="Y514" s="20"/>
      <c r="Z514" s="20"/>
      <c r="AA514" s="20"/>
      <c r="AB514" s="20"/>
      <c r="AC514" s="20"/>
      <c r="AD514" s="20"/>
    </row>
    <row r="515" spans="1:30" ht="19.5">
      <c r="A515" s="20"/>
      <c r="B515" s="20"/>
      <c r="C515" s="20"/>
      <c r="D515" s="20"/>
      <c r="E515" s="20"/>
      <c r="F515" s="124"/>
      <c r="G515" s="20"/>
      <c r="H515" s="20"/>
      <c r="I515" s="20"/>
      <c r="J515" s="124"/>
      <c r="K515" s="127"/>
      <c r="L515" s="20"/>
      <c r="M515" s="20"/>
      <c r="N515" s="20"/>
      <c r="O515" s="124"/>
      <c r="P515" s="127"/>
      <c r="Q515" s="20"/>
      <c r="R515" s="20"/>
      <c r="S515" s="20"/>
      <c r="T515" s="124"/>
      <c r="U515" s="127"/>
      <c r="V515" s="20"/>
      <c r="W515" s="20"/>
      <c r="X515" s="20"/>
      <c r="Y515" s="20"/>
      <c r="Z515" s="20"/>
      <c r="AA515" s="20"/>
      <c r="AB515" s="20"/>
      <c r="AC515" s="20"/>
      <c r="AD515" s="20"/>
    </row>
    <row r="516" spans="1:30" ht="19.5">
      <c r="A516" s="20"/>
      <c r="B516" s="20"/>
      <c r="C516" s="20"/>
      <c r="D516" s="20"/>
      <c r="E516" s="20"/>
      <c r="F516" s="124"/>
      <c r="G516" s="20"/>
      <c r="H516" s="20"/>
      <c r="I516" s="20"/>
      <c r="J516" s="124"/>
      <c r="K516" s="127"/>
      <c r="L516" s="20"/>
      <c r="M516" s="20"/>
      <c r="N516" s="20"/>
      <c r="O516" s="124"/>
      <c r="P516" s="127"/>
      <c r="Q516" s="20"/>
      <c r="R516" s="20"/>
      <c r="S516" s="20"/>
      <c r="T516" s="124"/>
      <c r="U516" s="127"/>
      <c r="V516" s="20"/>
      <c r="W516" s="20"/>
      <c r="X516" s="20"/>
      <c r="Y516" s="20"/>
      <c r="Z516" s="20"/>
      <c r="AA516" s="20"/>
      <c r="AB516" s="20"/>
      <c r="AC516" s="20"/>
      <c r="AD516" s="20"/>
    </row>
    <row r="517" spans="1:30" ht="19.5">
      <c r="A517" s="20"/>
      <c r="B517" s="20"/>
      <c r="C517" s="20"/>
      <c r="D517" s="20"/>
      <c r="E517" s="20"/>
      <c r="F517" s="124"/>
      <c r="G517" s="20"/>
      <c r="H517" s="20"/>
      <c r="I517" s="20"/>
      <c r="J517" s="124"/>
      <c r="K517" s="127"/>
      <c r="L517" s="20"/>
      <c r="M517" s="20"/>
      <c r="N517" s="20"/>
      <c r="O517" s="124"/>
      <c r="P517" s="127"/>
      <c r="Q517" s="20"/>
      <c r="R517" s="20"/>
      <c r="S517" s="20"/>
      <c r="T517" s="124"/>
      <c r="U517" s="127"/>
      <c r="V517" s="20"/>
      <c r="W517" s="20"/>
      <c r="X517" s="20"/>
      <c r="Y517" s="20"/>
      <c r="Z517" s="20"/>
      <c r="AA517" s="20"/>
      <c r="AB517" s="20"/>
      <c r="AC517" s="20"/>
      <c r="AD517" s="20"/>
    </row>
    <row r="518" spans="1:30" ht="19.5">
      <c r="A518" s="20"/>
      <c r="B518" s="20"/>
      <c r="C518" s="20"/>
      <c r="D518" s="20"/>
      <c r="E518" s="20"/>
      <c r="F518" s="124"/>
      <c r="G518" s="20"/>
      <c r="H518" s="20"/>
      <c r="I518" s="20"/>
      <c r="J518" s="124"/>
      <c r="K518" s="127"/>
      <c r="L518" s="20"/>
      <c r="M518" s="20"/>
      <c r="N518" s="20"/>
      <c r="O518" s="124"/>
      <c r="P518" s="127"/>
      <c r="Q518" s="20"/>
      <c r="R518" s="20"/>
      <c r="S518" s="20"/>
      <c r="T518" s="124"/>
      <c r="U518" s="127"/>
      <c r="V518" s="20"/>
      <c r="W518" s="20"/>
      <c r="X518" s="20"/>
      <c r="Y518" s="20"/>
      <c r="Z518" s="20"/>
      <c r="AA518" s="20"/>
      <c r="AB518" s="20"/>
      <c r="AC518" s="20"/>
      <c r="AD518" s="20"/>
    </row>
    <row r="519" spans="1:30" ht="19.5">
      <c r="A519" s="20"/>
      <c r="B519" s="20"/>
      <c r="C519" s="20"/>
      <c r="D519" s="20"/>
      <c r="E519" s="20"/>
      <c r="F519" s="124"/>
      <c r="G519" s="20"/>
      <c r="H519" s="20"/>
      <c r="I519" s="20"/>
      <c r="J519" s="124"/>
      <c r="K519" s="127"/>
      <c r="L519" s="20"/>
      <c r="M519" s="20"/>
      <c r="N519" s="20"/>
      <c r="O519" s="124"/>
      <c r="P519" s="127"/>
      <c r="Q519" s="20"/>
      <c r="R519" s="20"/>
      <c r="S519" s="20"/>
      <c r="T519" s="124"/>
      <c r="U519" s="127"/>
      <c r="V519" s="20"/>
      <c r="W519" s="20"/>
      <c r="X519" s="20"/>
      <c r="Y519" s="20"/>
      <c r="Z519" s="20"/>
      <c r="AA519" s="20"/>
      <c r="AB519" s="20"/>
      <c r="AC519" s="20"/>
      <c r="AD519" s="20"/>
    </row>
    <row r="520" spans="1:30" ht="19.5">
      <c r="A520" s="20"/>
      <c r="B520" s="20"/>
      <c r="C520" s="20"/>
      <c r="D520" s="20"/>
      <c r="E520" s="20"/>
      <c r="F520" s="124"/>
      <c r="G520" s="20"/>
      <c r="H520" s="20"/>
      <c r="I520" s="20"/>
      <c r="J520" s="124"/>
      <c r="K520" s="127"/>
      <c r="L520" s="20"/>
      <c r="M520" s="20"/>
      <c r="N520" s="20"/>
      <c r="O520" s="124"/>
      <c r="P520" s="127"/>
      <c r="Q520" s="20"/>
      <c r="R520" s="20"/>
      <c r="S520" s="20"/>
      <c r="T520" s="124"/>
      <c r="U520" s="127"/>
      <c r="V520" s="20"/>
      <c r="W520" s="20"/>
      <c r="X520" s="20"/>
      <c r="Y520" s="20"/>
      <c r="Z520" s="20"/>
      <c r="AA520" s="20"/>
      <c r="AB520" s="20"/>
      <c r="AC520" s="20"/>
      <c r="AD520" s="20"/>
    </row>
    <row r="521" spans="1:30" ht="19.5">
      <c r="A521" s="20"/>
      <c r="B521" s="20"/>
      <c r="C521" s="20"/>
      <c r="D521" s="20"/>
      <c r="E521" s="20"/>
      <c r="F521" s="124"/>
      <c r="G521" s="20"/>
      <c r="H521" s="20"/>
      <c r="I521" s="20"/>
      <c r="J521" s="124"/>
      <c r="K521" s="127"/>
      <c r="L521" s="20"/>
      <c r="M521" s="20"/>
      <c r="N521" s="20"/>
      <c r="O521" s="124"/>
      <c r="P521" s="127"/>
      <c r="Q521" s="20"/>
      <c r="R521" s="20"/>
      <c r="S521" s="20"/>
      <c r="T521" s="124"/>
      <c r="U521" s="127"/>
      <c r="V521" s="20"/>
      <c r="W521" s="20"/>
      <c r="X521" s="20"/>
      <c r="Y521" s="20"/>
      <c r="Z521" s="20"/>
      <c r="AA521" s="20"/>
      <c r="AB521" s="20"/>
      <c r="AC521" s="20"/>
      <c r="AD521" s="20"/>
    </row>
    <row r="522" spans="1:30" ht="19.5">
      <c r="A522" s="20"/>
      <c r="B522" s="20"/>
      <c r="C522" s="20"/>
      <c r="D522" s="20"/>
      <c r="E522" s="20"/>
      <c r="F522" s="124"/>
      <c r="G522" s="20"/>
      <c r="H522" s="20"/>
      <c r="I522" s="20"/>
      <c r="J522" s="124"/>
      <c r="K522" s="127"/>
      <c r="L522" s="20"/>
      <c r="M522" s="20"/>
      <c r="N522" s="20"/>
      <c r="O522" s="124"/>
      <c r="P522" s="127"/>
      <c r="Q522" s="20"/>
      <c r="R522" s="20"/>
      <c r="S522" s="20"/>
      <c r="T522" s="124"/>
      <c r="U522" s="127"/>
      <c r="V522" s="20"/>
      <c r="W522" s="20"/>
      <c r="X522" s="20"/>
      <c r="Y522" s="20"/>
      <c r="Z522" s="20"/>
      <c r="AA522" s="20"/>
      <c r="AB522" s="20"/>
      <c r="AC522" s="20"/>
      <c r="AD522" s="20"/>
    </row>
    <row r="523" spans="1:30" ht="19.5">
      <c r="A523" s="20"/>
      <c r="B523" s="20"/>
      <c r="C523" s="20"/>
      <c r="D523" s="20"/>
      <c r="E523" s="20"/>
      <c r="F523" s="124"/>
      <c r="G523" s="20"/>
      <c r="H523" s="20"/>
      <c r="I523" s="20"/>
      <c r="J523" s="124"/>
      <c r="K523" s="127"/>
      <c r="L523" s="20"/>
      <c r="M523" s="20"/>
      <c r="N523" s="20"/>
      <c r="O523" s="124"/>
      <c r="P523" s="127"/>
      <c r="Q523" s="20"/>
      <c r="R523" s="20"/>
      <c r="S523" s="20"/>
      <c r="T523" s="124"/>
      <c r="U523" s="127"/>
      <c r="V523" s="20"/>
      <c r="W523" s="20"/>
      <c r="X523" s="20"/>
      <c r="Y523" s="20"/>
      <c r="Z523" s="20"/>
      <c r="AA523" s="20"/>
      <c r="AB523" s="20"/>
      <c r="AC523" s="20"/>
      <c r="AD523" s="20"/>
    </row>
    <row r="524" spans="1:30" ht="19.5">
      <c r="A524" s="20"/>
      <c r="B524" s="20"/>
      <c r="C524" s="20"/>
      <c r="D524" s="20"/>
      <c r="E524" s="20"/>
      <c r="F524" s="124"/>
      <c r="G524" s="20"/>
      <c r="H524" s="20"/>
      <c r="I524" s="20"/>
      <c r="J524" s="124"/>
      <c r="K524" s="127"/>
      <c r="L524" s="20"/>
      <c r="M524" s="20"/>
      <c r="N524" s="20"/>
      <c r="O524" s="124"/>
      <c r="P524" s="127"/>
      <c r="Q524" s="20"/>
      <c r="R524" s="20"/>
      <c r="S524" s="20"/>
      <c r="T524" s="124"/>
      <c r="U524" s="127"/>
      <c r="V524" s="20"/>
      <c r="W524" s="20"/>
      <c r="X524" s="20"/>
      <c r="Y524" s="20"/>
      <c r="Z524" s="20"/>
      <c r="AA524" s="20"/>
      <c r="AB524" s="20"/>
      <c r="AC524" s="20"/>
      <c r="AD524" s="20"/>
    </row>
    <row r="525" spans="1:30" ht="19.5">
      <c r="A525" s="20"/>
      <c r="B525" s="20"/>
      <c r="C525" s="20"/>
      <c r="D525" s="20"/>
      <c r="E525" s="20"/>
      <c r="F525" s="124"/>
      <c r="G525" s="20"/>
      <c r="H525" s="20"/>
      <c r="I525" s="20"/>
      <c r="J525" s="124"/>
      <c r="K525" s="127"/>
      <c r="L525" s="20"/>
      <c r="M525" s="20"/>
      <c r="N525" s="20"/>
      <c r="O525" s="124"/>
      <c r="P525" s="127"/>
      <c r="Q525" s="20"/>
      <c r="R525" s="20"/>
      <c r="S525" s="20"/>
      <c r="T525" s="124"/>
      <c r="U525" s="127"/>
      <c r="V525" s="20"/>
      <c r="W525" s="20"/>
      <c r="X525" s="20"/>
      <c r="Y525" s="20"/>
      <c r="Z525" s="20"/>
      <c r="AA525" s="20"/>
      <c r="AB525" s="20"/>
      <c r="AC525" s="20"/>
      <c r="AD525" s="20"/>
    </row>
    <row r="526" spans="1:30" ht="19.5">
      <c r="A526" s="20"/>
      <c r="B526" s="20"/>
      <c r="C526" s="20"/>
      <c r="D526" s="20"/>
      <c r="E526" s="20"/>
      <c r="F526" s="124"/>
      <c r="G526" s="20"/>
      <c r="H526" s="20"/>
      <c r="I526" s="20"/>
      <c r="J526" s="124"/>
      <c r="K526" s="127"/>
      <c r="L526" s="20"/>
      <c r="M526" s="20"/>
      <c r="N526" s="20"/>
      <c r="O526" s="124"/>
      <c r="P526" s="127"/>
      <c r="Q526" s="20"/>
      <c r="R526" s="20"/>
      <c r="S526" s="20"/>
      <c r="T526" s="124"/>
      <c r="U526" s="127"/>
      <c r="V526" s="20"/>
      <c r="W526" s="20"/>
      <c r="X526" s="20"/>
      <c r="Y526" s="20"/>
      <c r="Z526" s="20"/>
      <c r="AA526" s="20"/>
      <c r="AB526" s="20"/>
      <c r="AC526" s="20"/>
      <c r="AD526" s="20"/>
    </row>
    <row r="527" spans="1:30" ht="19.5">
      <c r="A527" s="20"/>
      <c r="B527" s="20"/>
      <c r="C527" s="20"/>
      <c r="D527" s="20"/>
      <c r="E527" s="20"/>
      <c r="F527" s="124"/>
      <c r="G527" s="20"/>
      <c r="H527" s="20"/>
      <c r="I527" s="20"/>
      <c r="J527" s="124"/>
      <c r="K527" s="127"/>
      <c r="L527" s="20"/>
      <c r="M527" s="20"/>
      <c r="N527" s="20"/>
      <c r="O527" s="124"/>
      <c r="P527" s="127"/>
      <c r="Q527" s="20"/>
      <c r="R527" s="20"/>
      <c r="S527" s="20"/>
      <c r="T527" s="124"/>
      <c r="U527" s="127"/>
      <c r="V527" s="20"/>
      <c r="W527" s="20"/>
      <c r="X527" s="20"/>
      <c r="Y527" s="20"/>
      <c r="Z527" s="20"/>
      <c r="AA527" s="20"/>
      <c r="AB527" s="20"/>
      <c r="AC527" s="20"/>
      <c r="AD527" s="20"/>
    </row>
    <row r="528" spans="1:30" ht="19.5">
      <c r="A528" s="20"/>
      <c r="B528" s="20"/>
      <c r="C528" s="20"/>
      <c r="D528" s="20"/>
      <c r="E528" s="20"/>
      <c r="F528" s="124"/>
      <c r="G528" s="20"/>
      <c r="H528" s="20"/>
      <c r="I528" s="20"/>
      <c r="J528" s="124"/>
      <c r="K528" s="127"/>
      <c r="L528" s="20"/>
      <c r="M528" s="20"/>
      <c r="N528" s="20"/>
      <c r="O528" s="124"/>
      <c r="P528" s="127"/>
      <c r="Q528" s="20"/>
      <c r="R528" s="20"/>
      <c r="S528" s="20"/>
      <c r="T528" s="124"/>
      <c r="U528" s="127"/>
      <c r="V528" s="20"/>
      <c r="W528" s="20"/>
      <c r="X528" s="20"/>
      <c r="Y528" s="20"/>
      <c r="Z528" s="20"/>
      <c r="AA528" s="20"/>
      <c r="AB528" s="20"/>
      <c r="AC528" s="20"/>
      <c r="AD528" s="20"/>
    </row>
    <row r="529" spans="1:30" ht="19.5">
      <c r="A529" s="20"/>
      <c r="B529" s="20"/>
      <c r="C529" s="20"/>
      <c r="D529" s="20"/>
      <c r="E529" s="20"/>
      <c r="F529" s="124"/>
      <c r="G529" s="20"/>
      <c r="H529" s="20"/>
      <c r="I529" s="20"/>
      <c r="J529" s="124"/>
      <c r="K529" s="127"/>
      <c r="L529" s="20"/>
      <c r="M529" s="20"/>
      <c r="N529" s="20"/>
      <c r="O529" s="124"/>
      <c r="P529" s="127"/>
      <c r="Q529" s="20"/>
      <c r="R529" s="20"/>
      <c r="S529" s="20"/>
      <c r="T529" s="124"/>
      <c r="U529" s="127"/>
      <c r="V529" s="20"/>
      <c r="W529" s="20"/>
      <c r="X529" s="20"/>
      <c r="Y529" s="20"/>
      <c r="Z529" s="20"/>
      <c r="AA529" s="20"/>
      <c r="AB529" s="20"/>
      <c r="AC529" s="20"/>
      <c r="AD529" s="20"/>
    </row>
    <row r="530" spans="1:30" ht="19.5">
      <c r="A530" s="20"/>
      <c r="B530" s="20"/>
      <c r="C530" s="20"/>
      <c r="D530" s="20"/>
      <c r="E530" s="20"/>
      <c r="F530" s="124"/>
      <c r="G530" s="20"/>
      <c r="H530" s="20"/>
      <c r="I530" s="20"/>
      <c r="J530" s="124"/>
      <c r="K530" s="127"/>
      <c r="L530" s="20"/>
      <c r="M530" s="20"/>
      <c r="N530" s="20"/>
      <c r="O530" s="124"/>
      <c r="P530" s="127"/>
      <c r="Q530" s="20"/>
      <c r="R530" s="20"/>
      <c r="S530" s="20"/>
      <c r="T530" s="124"/>
      <c r="U530" s="127"/>
      <c r="V530" s="20"/>
      <c r="W530" s="20"/>
      <c r="X530" s="20"/>
      <c r="Y530" s="20"/>
      <c r="Z530" s="20"/>
      <c r="AA530" s="20"/>
      <c r="AB530" s="20"/>
      <c r="AC530" s="20"/>
      <c r="AD530" s="20"/>
    </row>
    <row r="531" spans="1:30" ht="19.5">
      <c r="A531" s="20"/>
      <c r="B531" s="20"/>
      <c r="C531" s="20"/>
      <c r="D531" s="20"/>
      <c r="E531" s="20"/>
      <c r="F531" s="124"/>
      <c r="G531" s="20"/>
      <c r="H531" s="20"/>
      <c r="I531" s="20"/>
      <c r="J531" s="124"/>
      <c r="K531" s="127"/>
      <c r="L531" s="20"/>
      <c r="M531" s="20"/>
      <c r="N531" s="20"/>
      <c r="O531" s="124"/>
      <c r="P531" s="127"/>
      <c r="Q531" s="20"/>
      <c r="R531" s="20"/>
      <c r="S531" s="20"/>
      <c r="T531" s="124"/>
      <c r="U531" s="127"/>
      <c r="V531" s="20"/>
      <c r="W531" s="20"/>
      <c r="X531" s="20"/>
      <c r="Y531" s="20"/>
      <c r="Z531" s="20"/>
      <c r="AA531" s="20"/>
      <c r="AB531" s="20"/>
      <c r="AC531" s="20"/>
      <c r="AD531" s="20"/>
    </row>
    <row r="532" spans="1:30" ht="19.5">
      <c r="A532" s="20"/>
      <c r="B532" s="20"/>
      <c r="C532" s="20"/>
      <c r="D532" s="20"/>
      <c r="E532" s="20"/>
      <c r="F532" s="124"/>
      <c r="G532" s="20"/>
      <c r="H532" s="20"/>
      <c r="I532" s="20"/>
      <c r="J532" s="124"/>
      <c r="K532" s="127"/>
      <c r="L532" s="20"/>
      <c r="M532" s="20"/>
      <c r="N532" s="20"/>
      <c r="O532" s="124"/>
      <c r="P532" s="127"/>
      <c r="Q532" s="20"/>
      <c r="R532" s="20"/>
      <c r="S532" s="20"/>
      <c r="T532" s="124"/>
      <c r="U532" s="127"/>
      <c r="V532" s="20"/>
      <c r="W532" s="20"/>
      <c r="X532" s="20"/>
      <c r="Y532" s="20"/>
      <c r="Z532" s="20"/>
      <c r="AA532" s="20"/>
      <c r="AB532" s="20"/>
      <c r="AC532" s="20"/>
      <c r="AD532" s="20"/>
    </row>
    <row r="533" spans="1:30" ht="19.5">
      <c r="A533" s="20"/>
      <c r="B533" s="20"/>
      <c r="C533" s="20"/>
      <c r="D533" s="20"/>
      <c r="E533" s="20"/>
      <c r="F533" s="124"/>
      <c r="G533" s="20"/>
      <c r="H533" s="20"/>
      <c r="I533" s="20"/>
      <c r="J533" s="124"/>
      <c r="K533" s="127"/>
      <c r="L533" s="20"/>
      <c r="M533" s="20"/>
      <c r="N533" s="20"/>
      <c r="O533" s="124"/>
      <c r="P533" s="127"/>
      <c r="Q533" s="20"/>
      <c r="R533" s="20"/>
      <c r="S533" s="20"/>
      <c r="T533" s="124"/>
      <c r="U533" s="127"/>
      <c r="V533" s="20"/>
      <c r="W533" s="20"/>
      <c r="X533" s="20"/>
      <c r="Y533" s="20"/>
      <c r="Z533" s="20"/>
      <c r="AA533" s="20"/>
      <c r="AB533" s="20"/>
      <c r="AC533" s="20"/>
      <c r="AD533" s="20"/>
    </row>
    <row r="534" spans="1:30" ht="19.5">
      <c r="A534" s="20"/>
      <c r="B534" s="20"/>
      <c r="C534" s="20"/>
      <c r="D534" s="20"/>
      <c r="E534" s="20"/>
      <c r="F534" s="124"/>
      <c r="G534" s="20"/>
      <c r="H534" s="20"/>
      <c r="I534" s="20"/>
      <c r="J534" s="124"/>
      <c r="K534" s="127"/>
      <c r="L534" s="20"/>
      <c r="M534" s="20"/>
      <c r="N534" s="20"/>
      <c r="O534" s="124"/>
      <c r="P534" s="127"/>
      <c r="Q534" s="20"/>
      <c r="R534" s="20"/>
      <c r="S534" s="20"/>
      <c r="T534" s="124"/>
      <c r="U534" s="127"/>
      <c r="V534" s="20"/>
      <c r="W534" s="20"/>
      <c r="X534" s="20"/>
      <c r="Y534" s="20"/>
      <c r="Z534" s="20"/>
      <c r="AA534" s="20"/>
      <c r="AB534" s="20"/>
      <c r="AC534" s="20"/>
      <c r="AD534" s="20"/>
    </row>
    <row r="535" spans="1:30" ht="19.5">
      <c r="A535" s="20"/>
      <c r="B535" s="20"/>
      <c r="C535" s="20"/>
      <c r="D535" s="20"/>
      <c r="E535" s="20"/>
      <c r="F535" s="124"/>
      <c r="G535" s="20"/>
      <c r="H535" s="20"/>
      <c r="I535" s="20"/>
      <c r="J535" s="124"/>
      <c r="K535" s="127"/>
      <c r="L535" s="20"/>
      <c r="M535" s="20"/>
      <c r="N535" s="20"/>
      <c r="O535" s="124"/>
      <c r="P535" s="127"/>
      <c r="Q535" s="20"/>
      <c r="R535" s="20"/>
      <c r="S535" s="20"/>
      <c r="T535" s="124"/>
      <c r="U535" s="127"/>
      <c r="V535" s="20"/>
      <c r="W535" s="20"/>
      <c r="X535" s="20"/>
      <c r="Y535" s="20"/>
      <c r="Z535" s="20"/>
      <c r="AA535" s="20"/>
      <c r="AB535" s="20"/>
      <c r="AC535" s="20"/>
      <c r="AD535" s="20"/>
    </row>
    <row r="536" spans="1:30" ht="19.5">
      <c r="A536" s="20"/>
      <c r="B536" s="20"/>
      <c r="C536" s="20"/>
      <c r="D536" s="20"/>
      <c r="E536" s="20"/>
      <c r="F536" s="124"/>
      <c r="G536" s="20"/>
      <c r="H536" s="20"/>
      <c r="I536" s="20"/>
      <c r="J536" s="124"/>
      <c r="K536" s="127"/>
      <c r="L536" s="20"/>
      <c r="M536" s="20"/>
      <c r="N536" s="20"/>
      <c r="O536" s="124"/>
      <c r="P536" s="127"/>
      <c r="Q536" s="20"/>
      <c r="R536" s="20"/>
      <c r="S536" s="20"/>
      <c r="T536" s="124"/>
      <c r="U536" s="127"/>
      <c r="V536" s="20"/>
      <c r="W536" s="20"/>
      <c r="X536" s="20"/>
      <c r="Y536" s="20"/>
      <c r="Z536" s="20"/>
      <c r="AA536" s="20"/>
      <c r="AB536" s="20"/>
      <c r="AC536" s="20"/>
      <c r="AD536" s="20"/>
    </row>
    <row r="537" spans="1:30" ht="19.5">
      <c r="A537" s="20"/>
      <c r="B537" s="20"/>
      <c r="C537" s="20"/>
      <c r="D537" s="20"/>
      <c r="E537" s="20"/>
      <c r="F537" s="124"/>
      <c r="G537" s="20"/>
      <c r="H537" s="20"/>
      <c r="I537" s="20"/>
      <c r="J537" s="124"/>
      <c r="K537" s="127"/>
      <c r="L537" s="20"/>
      <c r="M537" s="20"/>
      <c r="N537" s="20"/>
      <c r="O537" s="124"/>
      <c r="P537" s="127"/>
      <c r="Q537" s="20"/>
      <c r="R537" s="20"/>
      <c r="S537" s="20"/>
      <c r="T537" s="124"/>
      <c r="U537" s="127"/>
      <c r="V537" s="20"/>
      <c r="W537" s="20"/>
      <c r="X537" s="20"/>
      <c r="Y537" s="20"/>
      <c r="Z537" s="20"/>
      <c r="AA537" s="20"/>
      <c r="AB537" s="20"/>
      <c r="AC537" s="20"/>
      <c r="AD537" s="20"/>
    </row>
    <row r="538" spans="1:30" ht="19.5">
      <c r="A538" s="20"/>
      <c r="B538" s="20"/>
      <c r="C538" s="20"/>
      <c r="D538" s="20"/>
      <c r="E538" s="20"/>
      <c r="F538" s="124"/>
      <c r="G538" s="20"/>
      <c r="H538" s="20"/>
      <c r="I538" s="20"/>
      <c r="J538" s="124"/>
      <c r="K538" s="127"/>
      <c r="L538" s="20"/>
      <c r="M538" s="20"/>
      <c r="N538" s="20"/>
      <c r="O538" s="124"/>
      <c r="P538" s="127"/>
      <c r="Q538" s="20"/>
      <c r="R538" s="20"/>
      <c r="S538" s="20"/>
      <c r="T538" s="124"/>
      <c r="U538" s="127"/>
      <c r="V538" s="20"/>
      <c r="W538" s="20"/>
      <c r="X538" s="20"/>
      <c r="Y538" s="20"/>
      <c r="Z538" s="20"/>
      <c r="AA538" s="20"/>
      <c r="AB538" s="20"/>
      <c r="AC538" s="20"/>
      <c r="AD538" s="20"/>
    </row>
    <row r="539" spans="1:30" ht="19.5">
      <c r="A539" s="20"/>
      <c r="B539" s="20"/>
      <c r="C539" s="20"/>
      <c r="D539" s="20"/>
      <c r="E539" s="20"/>
      <c r="F539" s="124"/>
      <c r="G539" s="20"/>
      <c r="H539" s="20"/>
      <c r="I539" s="20"/>
      <c r="J539" s="124"/>
      <c r="K539" s="127"/>
      <c r="L539" s="20"/>
      <c r="M539" s="20"/>
      <c r="N539" s="20"/>
      <c r="O539" s="124"/>
      <c r="P539" s="127"/>
      <c r="Q539" s="20"/>
      <c r="R539" s="20"/>
      <c r="S539" s="20"/>
      <c r="T539" s="124"/>
      <c r="U539" s="127"/>
      <c r="V539" s="20"/>
      <c r="W539" s="20"/>
      <c r="X539" s="20"/>
      <c r="Y539" s="20"/>
      <c r="Z539" s="20"/>
      <c r="AA539" s="20"/>
      <c r="AB539" s="20"/>
      <c r="AC539" s="20"/>
      <c r="AD539" s="20"/>
    </row>
    <row r="540" spans="1:30" ht="19.5">
      <c r="A540" s="20"/>
      <c r="B540" s="20"/>
      <c r="C540" s="20"/>
      <c r="D540" s="20"/>
      <c r="E540" s="20"/>
      <c r="F540" s="124"/>
      <c r="G540" s="20"/>
      <c r="H540" s="20"/>
      <c r="I540" s="20"/>
      <c r="J540" s="124"/>
      <c r="K540" s="127"/>
      <c r="L540" s="20"/>
      <c r="M540" s="20"/>
      <c r="N540" s="20"/>
      <c r="O540" s="124"/>
      <c r="P540" s="127"/>
      <c r="Q540" s="20"/>
      <c r="R540" s="20"/>
      <c r="S540" s="20"/>
      <c r="T540" s="124"/>
      <c r="U540" s="127"/>
      <c r="V540" s="20"/>
      <c r="W540" s="20"/>
      <c r="X540" s="20"/>
      <c r="Y540" s="20"/>
      <c r="Z540" s="20"/>
      <c r="AA540" s="20"/>
      <c r="AB540" s="20"/>
      <c r="AC540" s="20"/>
      <c r="AD540" s="20"/>
    </row>
    <row r="541" spans="1:30" ht="19.5">
      <c r="A541" s="20"/>
      <c r="B541" s="20"/>
      <c r="C541" s="20"/>
      <c r="D541" s="20"/>
      <c r="E541" s="20"/>
      <c r="F541" s="124"/>
      <c r="G541" s="20"/>
      <c r="H541" s="20"/>
      <c r="I541" s="20"/>
      <c r="J541" s="124"/>
      <c r="K541" s="127"/>
      <c r="L541" s="20"/>
      <c r="M541" s="20"/>
      <c r="N541" s="20"/>
      <c r="O541" s="124"/>
      <c r="P541" s="127"/>
      <c r="Q541" s="20"/>
      <c r="R541" s="20"/>
      <c r="S541" s="20"/>
      <c r="T541" s="124"/>
      <c r="U541" s="127"/>
      <c r="V541" s="20"/>
      <c r="W541" s="20"/>
      <c r="X541" s="20"/>
      <c r="Y541" s="20"/>
      <c r="Z541" s="20"/>
      <c r="AA541" s="20"/>
      <c r="AB541" s="20"/>
      <c r="AC541" s="20"/>
      <c r="AD541" s="20"/>
    </row>
    <row r="542" spans="1:30" ht="19.5">
      <c r="A542" s="20"/>
      <c r="B542" s="20"/>
      <c r="C542" s="20"/>
      <c r="D542" s="20"/>
      <c r="E542" s="20"/>
      <c r="F542" s="124"/>
      <c r="G542" s="20"/>
      <c r="H542" s="20"/>
      <c r="I542" s="20"/>
      <c r="J542" s="124"/>
      <c r="K542" s="127"/>
      <c r="L542" s="20"/>
      <c r="M542" s="20"/>
      <c r="N542" s="20"/>
      <c r="O542" s="124"/>
      <c r="P542" s="127"/>
      <c r="Q542" s="20"/>
      <c r="R542" s="20"/>
      <c r="S542" s="20"/>
      <c r="T542" s="124"/>
      <c r="U542" s="127"/>
      <c r="V542" s="20"/>
      <c r="W542" s="20"/>
      <c r="X542" s="20"/>
      <c r="Y542" s="20"/>
      <c r="Z542" s="20"/>
      <c r="AA542" s="20"/>
      <c r="AB542" s="20"/>
      <c r="AC542" s="20"/>
      <c r="AD542" s="20"/>
    </row>
    <row r="543" spans="1:30" ht="19.5">
      <c r="A543" s="20"/>
      <c r="B543" s="20"/>
      <c r="C543" s="20"/>
      <c r="D543" s="20"/>
      <c r="E543" s="20"/>
      <c r="F543" s="124"/>
      <c r="G543" s="20"/>
      <c r="H543" s="20"/>
      <c r="I543" s="20"/>
      <c r="J543" s="124"/>
      <c r="K543" s="127"/>
      <c r="L543" s="20"/>
      <c r="M543" s="20"/>
      <c r="N543" s="20"/>
      <c r="O543" s="124"/>
      <c r="P543" s="127"/>
      <c r="Q543" s="20"/>
      <c r="R543" s="20"/>
      <c r="S543" s="20"/>
      <c r="T543" s="124"/>
      <c r="U543" s="127"/>
      <c r="V543" s="20"/>
      <c r="W543" s="20"/>
      <c r="X543" s="20"/>
      <c r="Y543" s="20"/>
      <c r="Z543" s="20"/>
      <c r="AA543" s="20"/>
      <c r="AB543" s="20"/>
      <c r="AC543" s="20"/>
      <c r="AD543" s="20"/>
    </row>
    <row r="544" spans="1:30" ht="19.5">
      <c r="A544" s="20"/>
      <c r="B544" s="20"/>
      <c r="C544" s="20"/>
      <c r="D544" s="20"/>
      <c r="E544" s="20"/>
      <c r="F544" s="124"/>
      <c r="G544" s="20"/>
      <c r="H544" s="20"/>
      <c r="I544" s="20"/>
      <c r="J544" s="124"/>
      <c r="K544" s="127"/>
      <c r="L544" s="20"/>
      <c r="M544" s="20"/>
      <c r="N544" s="20"/>
      <c r="O544" s="124"/>
      <c r="P544" s="127"/>
      <c r="Q544" s="20"/>
      <c r="R544" s="20"/>
      <c r="S544" s="20"/>
      <c r="T544" s="124"/>
      <c r="U544" s="127"/>
      <c r="V544" s="20"/>
      <c r="W544" s="20"/>
      <c r="X544" s="20"/>
      <c r="Y544" s="20"/>
      <c r="Z544" s="20"/>
      <c r="AA544" s="20"/>
      <c r="AB544" s="20"/>
      <c r="AC544" s="20"/>
      <c r="AD544" s="20"/>
    </row>
    <row r="545" spans="1:30" ht="19.5">
      <c r="A545" s="20"/>
      <c r="B545" s="20"/>
      <c r="C545" s="20"/>
      <c r="D545" s="20"/>
      <c r="E545" s="20"/>
      <c r="F545" s="124"/>
      <c r="G545" s="20"/>
      <c r="H545" s="20"/>
      <c r="I545" s="20"/>
      <c r="J545" s="124"/>
      <c r="K545" s="127"/>
      <c r="L545" s="20"/>
      <c r="M545" s="20"/>
      <c r="N545" s="20"/>
      <c r="O545" s="124"/>
      <c r="P545" s="127"/>
      <c r="Q545" s="20"/>
      <c r="R545" s="20"/>
      <c r="S545" s="20"/>
      <c r="T545" s="124"/>
      <c r="U545" s="127"/>
      <c r="V545" s="20"/>
      <c r="W545" s="20"/>
      <c r="X545" s="20"/>
      <c r="Y545" s="20"/>
      <c r="Z545" s="20"/>
      <c r="AA545" s="20"/>
      <c r="AB545" s="20"/>
      <c r="AC545" s="20"/>
      <c r="AD545" s="20"/>
    </row>
    <row r="546" spans="1:30" ht="19.5">
      <c r="A546" s="20"/>
      <c r="B546" s="20"/>
      <c r="C546" s="20"/>
      <c r="D546" s="20"/>
      <c r="E546" s="20"/>
      <c r="F546" s="124"/>
      <c r="G546" s="20"/>
      <c r="H546" s="20"/>
      <c r="I546" s="20"/>
      <c r="J546" s="124"/>
      <c r="K546" s="127"/>
      <c r="L546" s="20"/>
      <c r="M546" s="20"/>
      <c r="N546" s="20"/>
      <c r="O546" s="124"/>
      <c r="P546" s="127"/>
      <c r="Q546" s="20"/>
      <c r="R546" s="20"/>
      <c r="S546" s="20"/>
      <c r="T546" s="124"/>
      <c r="U546" s="127"/>
      <c r="V546" s="20"/>
      <c r="W546" s="20"/>
      <c r="X546" s="20"/>
      <c r="Y546" s="20"/>
      <c r="Z546" s="20"/>
      <c r="AA546" s="20"/>
      <c r="AB546" s="20"/>
      <c r="AC546" s="20"/>
      <c r="AD546" s="20"/>
    </row>
    <row r="547" spans="1:30" ht="19.5">
      <c r="A547" s="20"/>
      <c r="B547" s="20"/>
      <c r="C547" s="20"/>
      <c r="D547" s="20"/>
      <c r="E547" s="20"/>
      <c r="F547" s="124"/>
      <c r="G547" s="20"/>
      <c r="H547" s="20"/>
      <c r="I547" s="20"/>
      <c r="J547" s="124"/>
      <c r="K547" s="127"/>
      <c r="L547" s="20"/>
      <c r="M547" s="20"/>
      <c r="N547" s="20"/>
      <c r="O547" s="124"/>
      <c r="P547" s="127"/>
      <c r="Q547" s="20"/>
      <c r="R547" s="20"/>
      <c r="S547" s="20"/>
      <c r="T547" s="124"/>
      <c r="U547" s="127"/>
      <c r="V547" s="20"/>
      <c r="W547" s="20"/>
      <c r="X547" s="20"/>
      <c r="Y547" s="20"/>
      <c r="Z547" s="20"/>
      <c r="AA547" s="20"/>
      <c r="AB547" s="20"/>
      <c r="AC547" s="20"/>
      <c r="AD547" s="20"/>
    </row>
    <row r="548" spans="1:30" ht="19.5">
      <c r="A548" s="20"/>
      <c r="B548" s="20"/>
      <c r="C548" s="20"/>
      <c r="D548" s="20"/>
      <c r="E548" s="20"/>
      <c r="F548" s="124"/>
      <c r="G548" s="20"/>
      <c r="H548" s="20"/>
      <c r="I548" s="20"/>
      <c r="J548" s="124"/>
      <c r="K548" s="127"/>
      <c r="L548" s="20"/>
      <c r="M548" s="20"/>
      <c r="N548" s="20"/>
      <c r="O548" s="124"/>
      <c r="P548" s="127"/>
      <c r="Q548" s="20"/>
      <c r="R548" s="20"/>
      <c r="S548" s="20"/>
      <c r="T548" s="124"/>
      <c r="U548" s="127"/>
      <c r="V548" s="20"/>
      <c r="W548" s="20"/>
      <c r="X548" s="20"/>
      <c r="Y548" s="20"/>
      <c r="Z548" s="20"/>
      <c r="AA548" s="20"/>
      <c r="AB548" s="20"/>
      <c r="AC548" s="20"/>
      <c r="AD548" s="20"/>
    </row>
    <row r="549" spans="1:30" ht="19.5">
      <c r="A549" s="20"/>
      <c r="B549" s="20"/>
      <c r="C549" s="20"/>
      <c r="D549" s="20"/>
      <c r="E549" s="20"/>
      <c r="F549" s="124"/>
      <c r="G549" s="20"/>
      <c r="H549" s="20"/>
      <c r="I549" s="20"/>
      <c r="J549" s="124"/>
      <c r="K549" s="127"/>
      <c r="L549" s="20"/>
      <c r="M549" s="20"/>
      <c r="N549" s="20"/>
      <c r="O549" s="124"/>
      <c r="P549" s="127"/>
      <c r="Q549" s="20"/>
      <c r="R549" s="20"/>
      <c r="S549" s="20"/>
      <c r="T549" s="124"/>
      <c r="U549" s="127"/>
      <c r="V549" s="20"/>
      <c r="W549" s="20"/>
      <c r="X549" s="20"/>
      <c r="Y549" s="20"/>
      <c r="Z549" s="20"/>
      <c r="AA549" s="20"/>
      <c r="AB549" s="20"/>
      <c r="AC549" s="20"/>
      <c r="AD549" s="20"/>
    </row>
    <row r="550" spans="1:30" ht="19.5">
      <c r="A550" s="20"/>
      <c r="B550" s="20"/>
      <c r="C550" s="20"/>
      <c r="D550" s="20"/>
      <c r="E550" s="20"/>
      <c r="F550" s="124"/>
      <c r="G550" s="20"/>
      <c r="H550" s="20"/>
      <c r="I550" s="20"/>
      <c r="J550" s="124"/>
      <c r="K550" s="127"/>
      <c r="L550" s="20"/>
      <c r="M550" s="20"/>
      <c r="N550" s="20"/>
      <c r="O550" s="124"/>
      <c r="P550" s="127"/>
      <c r="Q550" s="20"/>
      <c r="R550" s="20"/>
      <c r="S550" s="20"/>
      <c r="T550" s="124"/>
      <c r="U550" s="127"/>
      <c r="V550" s="20"/>
      <c r="W550" s="20"/>
      <c r="X550" s="20"/>
      <c r="Y550" s="20"/>
      <c r="Z550" s="20"/>
      <c r="AA550" s="20"/>
      <c r="AB550" s="20"/>
      <c r="AC550" s="20"/>
      <c r="AD550" s="20"/>
    </row>
    <row r="551" spans="1:30" ht="19.5">
      <c r="A551" s="20"/>
      <c r="B551" s="20"/>
      <c r="C551" s="20"/>
      <c r="D551" s="20"/>
      <c r="E551" s="20"/>
      <c r="F551" s="124"/>
      <c r="G551" s="20"/>
      <c r="H551" s="20"/>
      <c r="I551" s="20"/>
      <c r="J551" s="124"/>
      <c r="K551" s="127"/>
      <c r="L551" s="20"/>
      <c r="M551" s="20"/>
      <c r="N551" s="20"/>
      <c r="O551" s="124"/>
      <c r="P551" s="127"/>
      <c r="Q551" s="20"/>
      <c r="R551" s="20"/>
      <c r="S551" s="20"/>
      <c r="T551" s="124"/>
      <c r="U551" s="127"/>
      <c r="V551" s="20"/>
      <c r="W551" s="20"/>
      <c r="X551" s="20"/>
      <c r="Y551" s="20"/>
      <c r="Z551" s="20"/>
      <c r="AA551" s="20"/>
      <c r="AB551" s="20"/>
      <c r="AC551" s="20"/>
      <c r="AD551" s="20"/>
    </row>
    <row r="552" spans="1:30" ht="19.5">
      <c r="A552" s="20"/>
      <c r="B552" s="20"/>
      <c r="C552" s="20"/>
      <c r="D552" s="20"/>
      <c r="E552" s="20"/>
      <c r="F552" s="124"/>
      <c r="G552" s="20"/>
      <c r="H552" s="20"/>
      <c r="I552" s="20"/>
      <c r="J552" s="124"/>
      <c r="K552" s="127"/>
      <c r="L552" s="20"/>
      <c r="M552" s="20"/>
      <c r="N552" s="20"/>
      <c r="O552" s="124"/>
      <c r="P552" s="127"/>
      <c r="Q552" s="20"/>
      <c r="R552" s="20"/>
      <c r="S552" s="20"/>
      <c r="T552" s="124"/>
      <c r="U552" s="127"/>
      <c r="V552" s="20"/>
      <c r="W552" s="20"/>
      <c r="X552" s="20"/>
      <c r="Y552" s="20"/>
      <c r="Z552" s="20"/>
      <c r="AA552" s="20"/>
      <c r="AB552" s="20"/>
      <c r="AC552" s="20"/>
      <c r="AD552" s="20"/>
    </row>
    <row r="553" spans="1:30" ht="19.5">
      <c r="A553" s="20"/>
      <c r="B553" s="20"/>
      <c r="C553" s="20"/>
      <c r="D553" s="20"/>
      <c r="E553" s="20"/>
      <c r="F553" s="124"/>
      <c r="G553" s="20"/>
      <c r="H553" s="20"/>
      <c r="I553" s="20"/>
      <c r="J553" s="124"/>
      <c r="K553" s="127"/>
      <c r="L553" s="20"/>
      <c r="M553" s="20"/>
      <c r="N553" s="20"/>
      <c r="O553" s="124"/>
      <c r="P553" s="127"/>
      <c r="Q553" s="20"/>
      <c r="R553" s="20"/>
      <c r="S553" s="20"/>
      <c r="T553" s="124"/>
      <c r="U553" s="127"/>
      <c r="V553" s="20"/>
      <c r="W553" s="20"/>
      <c r="X553" s="20"/>
      <c r="Y553" s="20"/>
      <c r="Z553" s="20"/>
      <c r="AA553" s="20"/>
      <c r="AB553" s="20"/>
      <c r="AC553" s="20"/>
      <c r="AD553" s="20"/>
    </row>
    <row r="554" spans="1:30" ht="19.5">
      <c r="A554" s="20"/>
      <c r="B554" s="20"/>
      <c r="C554" s="20"/>
      <c r="D554" s="20"/>
      <c r="E554" s="20"/>
      <c r="F554" s="124"/>
      <c r="G554" s="20"/>
      <c r="H554" s="20"/>
      <c r="I554" s="20"/>
      <c r="J554" s="124"/>
      <c r="K554" s="127"/>
      <c r="L554" s="20"/>
      <c r="M554" s="20"/>
      <c r="N554" s="20"/>
      <c r="O554" s="124"/>
      <c r="P554" s="127"/>
      <c r="Q554" s="20"/>
      <c r="R554" s="20"/>
      <c r="S554" s="20"/>
      <c r="T554" s="124"/>
      <c r="U554" s="127"/>
      <c r="V554" s="20"/>
      <c r="W554" s="20"/>
      <c r="X554" s="20"/>
      <c r="Y554" s="20"/>
      <c r="Z554" s="20"/>
      <c r="AA554" s="20"/>
      <c r="AB554" s="20"/>
      <c r="AC554" s="20"/>
      <c r="AD554" s="20"/>
    </row>
    <row r="555" spans="1:30" ht="19.5">
      <c r="A555" s="20"/>
      <c r="B555" s="20"/>
      <c r="C555" s="20"/>
      <c r="D555" s="20"/>
      <c r="E555" s="20"/>
      <c r="F555" s="124"/>
      <c r="G555" s="20"/>
      <c r="H555" s="20"/>
      <c r="I555" s="20"/>
      <c r="J555" s="124"/>
      <c r="K555" s="127"/>
      <c r="L555" s="20"/>
      <c r="M555" s="20"/>
      <c r="N555" s="20"/>
      <c r="O555" s="124"/>
      <c r="P555" s="127"/>
      <c r="Q555" s="20"/>
      <c r="R555" s="20"/>
      <c r="S555" s="20"/>
      <c r="T555" s="124"/>
      <c r="U555" s="127"/>
      <c r="V555" s="20"/>
      <c r="W555" s="20"/>
      <c r="X555" s="20"/>
      <c r="Y555" s="20"/>
      <c r="Z555" s="20"/>
      <c r="AA555" s="20"/>
      <c r="AB555" s="20"/>
      <c r="AC555" s="20"/>
      <c r="AD555" s="20"/>
    </row>
    <row r="556" spans="1:30" ht="19.5">
      <c r="A556" s="20"/>
      <c r="B556" s="20"/>
      <c r="C556" s="20"/>
      <c r="D556" s="20"/>
      <c r="E556" s="20"/>
      <c r="F556" s="124"/>
      <c r="G556" s="20"/>
      <c r="H556" s="20"/>
      <c r="I556" s="20"/>
      <c r="J556" s="124"/>
      <c r="K556" s="127"/>
      <c r="L556" s="20"/>
      <c r="M556" s="20"/>
      <c r="N556" s="20"/>
      <c r="O556" s="124"/>
      <c r="P556" s="127"/>
      <c r="Q556" s="20"/>
      <c r="R556" s="20"/>
      <c r="S556" s="20"/>
      <c r="T556" s="124"/>
      <c r="U556" s="127"/>
      <c r="V556" s="20"/>
      <c r="W556" s="20"/>
      <c r="X556" s="20"/>
      <c r="Y556" s="20"/>
      <c r="Z556" s="20"/>
      <c r="AA556" s="20"/>
      <c r="AB556" s="20"/>
      <c r="AC556" s="20"/>
      <c r="AD556" s="20"/>
    </row>
    <row r="557" spans="1:30" ht="19.5">
      <c r="A557" s="20"/>
      <c r="B557" s="20"/>
      <c r="C557" s="20"/>
      <c r="D557" s="20"/>
      <c r="E557" s="20"/>
      <c r="F557" s="124"/>
      <c r="G557" s="20"/>
      <c r="H557" s="20"/>
      <c r="I557" s="20"/>
      <c r="J557" s="124"/>
      <c r="K557" s="127"/>
      <c r="L557" s="20"/>
      <c r="M557" s="20"/>
      <c r="N557" s="20"/>
      <c r="O557" s="124"/>
      <c r="P557" s="127"/>
      <c r="Q557" s="20"/>
      <c r="R557" s="20"/>
      <c r="S557" s="20"/>
      <c r="T557" s="124"/>
      <c r="U557" s="127"/>
      <c r="V557" s="20"/>
      <c r="W557" s="20"/>
      <c r="X557" s="20"/>
      <c r="Y557" s="20"/>
      <c r="Z557" s="20"/>
      <c r="AA557" s="20"/>
      <c r="AB557" s="20"/>
      <c r="AC557" s="20"/>
      <c r="AD557" s="20"/>
    </row>
    <row r="558" spans="1:30" ht="19.5">
      <c r="A558" s="20"/>
      <c r="B558" s="20"/>
      <c r="C558" s="20"/>
      <c r="D558" s="20"/>
      <c r="E558" s="20"/>
      <c r="F558" s="124"/>
      <c r="G558" s="20"/>
      <c r="H558" s="20"/>
      <c r="I558" s="20"/>
      <c r="J558" s="124"/>
      <c r="K558" s="127"/>
      <c r="L558" s="20"/>
      <c r="M558" s="20"/>
      <c r="N558" s="20"/>
      <c r="O558" s="124"/>
      <c r="P558" s="127"/>
      <c r="Q558" s="20"/>
      <c r="R558" s="20"/>
      <c r="S558" s="20"/>
      <c r="T558" s="124"/>
      <c r="U558" s="127"/>
      <c r="V558" s="20"/>
      <c r="W558" s="20"/>
      <c r="X558" s="20"/>
      <c r="Y558" s="20"/>
      <c r="Z558" s="20"/>
      <c r="AA558" s="20"/>
      <c r="AB558" s="20"/>
      <c r="AC558" s="20"/>
      <c r="AD558" s="20"/>
    </row>
    <row r="559" spans="1:30" ht="19.5">
      <c r="A559" s="20"/>
      <c r="B559" s="20"/>
      <c r="C559" s="20"/>
      <c r="D559" s="20"/>
      <c r="E559" s="20"/>
      <c r="F559" s="124"/>
      <c r="G559" s="20"/>
      <c r="H559" s="20"/>
      <c r="I559" s="20"/>
      <c r="J559" s="124"/>
      <c r="K559" s="127"/>
      <c r="L559" s="20"/>
      <c r="M559" s="20"/>
      <c r="N559" s="20"/>
      <c r="O559" s="124"/>
      <c r="P559" s="127"/>
      <c r="Q559" s="20"/>
      <c r="R559" s="20"/>
      <c r="S559" s="20"/>
      <c r="T559" s="124"/>
      <c r="U559" s="127"/>
      <c r="V559" s="20"/>
      <c r="W559" s="20"/>
      <c r="X559" s="20"/>
      <c r="Y559" s="20"/>
      <c r="Z559" s="20"/>
      <c r="AA559" s="20"/>
      <c r="AB559" s="20"/>
      <c r="AC559" s="20"/>
      <c r="AD559" s="20"/>
    </row>
    <row r="560" spans="1:30" ht="19.5">
      <c r="A560" s="20"/>
      <c r="B560" s="20"/>
      <c r="C560" s="20"/>
      <c r="D560" s="20"/>
      <c r="E560" s="20"/>
      <c r="F560" s="124"/>
      <c r="G560" s="20"/>
      <c r="H560" s="20"/>
      <c r="I560" s="20"/>
      <c r="J560" s="124"/>
      <c r="K560" s="127"/>
      <c r="L560" s="20"/>
      <c r="M560" s="20"/>
      <c r="N560" s="20"/>
      <c r="O560" s="124"/>
      <c r="P560" s="127"/>
      <c r="Q560" s="20"/>
      <c r="R560" s="20"/>
      <c r="S560" s="20"/>
      <c r="T560" s="124"/>
      <c r="U560" s="127"/>
      <c r="V560" s="20"/>
      <c r="W560" s="20"/>
      <c r="X560" s="20"/>
      <c r="Y560" s="20"/>
      <c r="Z560" s="20"/>
      <c r="AA560" s="20"/>
      <c r="AB560" s="20"/>
      <c r="AC560" s="20"/>
      <c r="AD560" s="20"/>
    </row>
    <row r="561" spans="1:30" ht="19.5">
      <c r="A561" s="20"/>
      <c r="B561" s="20"/>
      <c r="C561" s="20"/>
      <c r="D561" s="20"/>
      <c r="E561" s="20"/>
      <c r="F561" s="124"/>
      <c r="G561" s="20"/>
      <c r="H561" s="20"/>
      <c r="I561" s="20"/>
      <c r="J561" s="124"/>
      <c r="K561" s="127"/>
      <c r="L561" s="20"/>
      <c r="M561" s="20"/>
      <c r="N561" s="20"/>
      <c r="O561" s="124"/>
      <c r="P561" s="127"/>
      <c r="Q561" s="20"/>
      <c r="R561" s="20"/>
      <c r="S561" s="20"/>
      <c r="T561" s="124"/>
      <c r="U561" s="127"/>
      <c r="V561" s="20"/>
      <c r="W561" s="20"/>
      <c r="X561" s="20"/>
      <c r="Y561" s="20"/>
      <c r="Z561" s="20"/>
      <c r="AA561" s="20"/>
      <c r="AB561" s="20"/>
      <c r="AC561" s="20"/>
      <c r="AD561" s="20"/>
    </row>
    <row r="562" spans="1:30" ht="19.5">
      <c r="A562" s="20"/>
      <c r="B562" s="20"/>
      <c r="C562" s="20"/>
      <c r="D562" s="20"/>
      <c r="E562" s="20"/>
      <c r="F562" s="124"/>
      <c r="G562" s="20"/>
      <c r="H562" s="20"/>
      <c r="I562" s="20"/>
      <c r="J562" s="124"/>
      <c r="K562" s="127"/>
      <c r="L562" s="20"/>
      <c r="M562" s="20"/>
      <c r="N562" s="20"/>
      <c r="O562" s="124"/>
      <c r="P562" s="127"/>
      <c r="Q562" s="20"/>
      <c r="R562" s="20"/>
      <c r="S562" s="20"/>
      <c r="T562" s="124"/>
      <c r="U562" s="127"/>
      <c r="V562" s="20"/>
      <c r="W562" s="20"/>
      <c r="X562" s="20"/>
      <c r="Y562" s="20"/>
      <c r="Z562" s="20"/>
      <c r="AA562" s="20"/>
      <c r="AB562" s="20"/>
      <c r="AC562" s="20"/>
      <c r="AD562" s="20"/>
    </row>
    <row r="563" spans="1:30" ht="19.5">
      <c r="A563" s="20"/>
      <c r="B563" s="20"/>
      <c r="C563" s="20"/>
      <c r="D563" s="20"/>
      <c r="E563" s="20"/>
      <c r="F563" s="124"/>
      <c r="G563" s="20"/>
      <c r="H563" s="20"/>
      <c r="I563" s="20"/>
      <c r="J563" s="124"/>
      <c r="K563" s="127"/>
      <c r="L563" s="20"/>
      <c r="M563" s="20"/>
      <c r="N563" s="20"/>
      <c r="O563" s="124"/>
      <c r="P563" s="127"/>
      <c r="Q563" s="20"/>
      <c r="R563" s="20"/>
      <c r="S563" s="20"/>
      <c r="T563" s="124"/>
      <c r="U563" s="127"/>
      <c r="V563" s="20"/>
      <c r="W563" s="20"/>
      <c r="X563" s="20"/>
      <c r="Y563" s="20"/>
      <c r="Z563" s="20"/>
      <c r="AA563" s="20"/>
      <c r="AB563" s="20"/>
      <c r="AC563" s="20"/>
      <c r="AD563" s="20"/>
    </row>
    <row r="564" spans="1:30" ht="19.5">
      <c r="A564" s="20"/>
      <c r="B564" s="20"/>
      <c r="C564" s="20"/>
      <c r="D564" s="20"/>
      <c r="E564" s="20"/>
      <c r="F564" s="124"/>
      <c r="G564" s="20"/>
      <c r="H564" s="20"/>
      <c r="I564" s="20"/>
      <c r="J564" s="124"/>
      <c r="K564" s="127"/>
      <c r="L564" s="20"/>
      <c r="M564" s="20"/>
      <c r="N564" s="20"/>
      <c r="O564" s="124"/>
      <c r="P564" s="127"/>
      <c r="Q564" s="20"/>
      <c r="R564" s="20"/>
      <c r="S564" s="20"/>
      <c r="T564" s="124"/>
      <c r="U564" s="127"/>
      <c r="V564" s="20"/>
      <c r="W564" s="20"/>
      <c r="X564" s="20"/>
      <c r="Y564" s="20"/>
      <c r="Z564" s="20"/>
      <c r="AA564" s="20"/>
      <c r="AB564" s="20"/>
      <c r="AC564" s="20"/>
      <c r="AD564" s="20"/>
    </row>
    <row r="565" spans="1:30" ht="19.5">
      <c r="A565" s="20"/>
      <c r="B565" s="20"/>
      <c r="C565" s="20"/>
      <c r="D565" s="20"/>
      <c r="E565" s="20"/>
      <c r="F565" s="124"/>
      <c r="G565" s="20"/>
      <c r="H565" s="20"/>
      <c r="I565" s="20"/>
      <c r="J565" s="124"/>
      <c r="K565" s="127"/>
      <c r="L565" s="20"/>
      <c r="M565" s="20"/>
      <c r="N565" s="20"/>
      <c r="O565" s="124"/>
      <c r="P565" s="127"/>
      <c r="Q565" s="20"/>
      <c r="R565" s="20"/>
      <c r="S565" s="20"/>
      <c r="T565" s="124"/>
      <c r="U565" s="127"/>
      <c r="V565" s="20"/>
      <c r="W565" s="20"/>
      <c r="X565" s="20"/>
      <c r="Y565" s="20"/>
      <c r="Z565" s="20"/>
      <c r="AA565" s="20"/>
      <c r="AB565" s="20"/>
      <c r="AC565" s="20"/>
      <c r="AD565" s="20"/>
    </row>
    <row r="566" spans="1:30" ht="19.5">
      <c r="A566" s="20"/>
      <c r="B566" s="20"/>
      <c r="C566" s="20"/>
      <c r="D566" s="20"/>
      <c r="E566" s="20"/>
      <c r="F566" s="124"/>
      <c r="G566" s="20"/>
      <c r="H566" s="20"/>
      <c r="I566" s="20"/>
      <c r="J566" s="124"/>
      <c r="K566" s="127"/>
      <c r="L566" s="20"/>
      <c r="M566" s="20"/>
      <c r="N566" s="20"/>
      <c r="O566" s="124"/>
      <c r="P566" s="127"/>
      <c r="Q566" s="20"/>
      <c r="R566" s="20"/>
      <c r="S566" s="20"/>
      <c r="T566" s="124"/>
      <c r="U566" s="127"/>
      <c r="V566" s="20"/>
      <c r="W566" s="20"/>
      <c r="X566" s="20"/>
      <c r="Y566" s="20"/>
      <c r="Z566" s="20"/>
      <c r="AA566" s="20"/>
      <c r="AB566" s="20"/>
      <c r="AC566" s="20"/>
      <c r="AD566" s="20"/>
    </row>
    <row r="567" spans="1:30" ht="19.5">
      <c r="A567" s="20"/>
      <c r="B567" s="20"/>
      <c r="C567" s="20"/>
      <c r="D567" s="20"/>
      <c r="E567" s="20"/>
      <c r="F567" s="124"/>
      <c r="G567" s="20"/>
      <c r="H567" s="20"/>
      <c r="I567" s="20"/>
      <c r="J567" s="124"/>
      <c r="K567" s="127"/>
      <c r="L567" s="20"/>
      <c r="M567" s="20"/>
      <c r="N567" s="20"/>
      <c r="O567" s="124"/>
      <c r="P567" s="127"/>
      <c r="Q567" s="20"/>
      <c r="R567" s="20"/>
      <c r="S567" s="20"/>
      <c r="T567" s="124"/>
      <c r="U567" s="127"/>
      <c r="V567" s="20"/>
      <c r="W567" s="20"/>
      <c r="X567" s="20"/>
      <c r="Y567" s="20"/>
      <c r="Z567" s="20"/>
      <c r="AA567" s="20"/>
      <c r="AB567" s="20"/>
      <c r="AC567" s="20"/>
      <c r="AD567" s="20"/>
    </row>
    <row r="568" spans="1:30" ht="19.5">
      <c r="A568" s="20"/>
      <c r="B568" s="20"/>
      <c r="C568" s="20"/>
      <c r="D568" s="20"/>
      <c r="E568" s="20"/>
      <c r="F568" s="124"/>
      <c r="G568" s="20"/>
      <c r="H568" s="20"/>
      <c r="I568" s="20"/>
      <c r="J568" s="124"/>
      <c r="K568" s="127"/>
      <c r="L568" s="20"/>
      <c r="M568" s="20"/>
      <c r="N568" s="20"/>
      <c r="O568" s="124"/>
      <c r="P568" s="127"/>
      <c r="Q568" s="20"/>
      <c r="R568" s="20"/>
      <c r="S568" s="20"/>
      <c r="T568" s="124"/>
      <c r="U568" s="127"/>
      <c r="V568" s="20"/>
      <c r="W568" s="20"/>
      <c r="X568" s="20"/>
      <c r="Y568" s="20"/>
      <c r="Z568" s="20"/>
      <c r="AA568" s="20"/>
      <c r="AB568" s="20"/>
      <c r="AC568" s="20"/>
      <c r="AD568" s="20"/>
    </row>
    <row r="569" spans="1:30" ht="19.5">
      <c r="A569" s="20"/>
      <c r="B569" s="20"/>
      <c r="C569" s="20"/>
      <c r="D569" s="20"/>
      <c r="E569" s="20"/>
      <c r="F569" s="124"/>
      <c r="G569" s="20"/>
      <c r="H569" s="20"/>
      <c r="I569" s="20"/>
      <c r="J569" s="124"/>
      <c r="K569" s="127"/>
      <c r="L569" s="20"/>
      <c r="M569" s="20"/>
      <c r="N569" s="20"/>
      <c r="O569" s="124"/>
      <c r="P569" s="127"/>
      <c r="Q569" s="20"/>
      <c r="R569" s="20"/>
      <c r="S569" s="20"/>
      <c r="T569" s="124"/>
      <c r="U569" s="127"/>
      <c r="V569" s="20"/>
      <c r="W569" s="20"/>
      <c r="X569" s="20"/>
      <c r="Y569" s="20"/>
      <c r="Z569" s="20"/>
      <c r="AA569" s="20"/>
      <c r="AB569" s="20"/>
      <c r="AC569" s="20"/>
      <c r="AD569" s="20"/>
    </row>
    <row r="570" spans="1:30" ht="19.5">
      <c r="A570" s="20"/>
      <c r="B570" s="20"/>
      <c r="C570" s="20"/>
      <c r="D570" s="20"/>
      <c r="E570" s="20"/>
      <c r="F570" s="124"/>
      <c r="G570" s="20"/>
      <c r="H570" s="20"/>
      <c r="I570" s="20"/>
      <c r="J570" s="124"/>
      <c r="K570" s="127"/>
      <c r="L570" s="20"/>
      <c r="M570" s="20"/>
      <c r="N570" s="20"/>
      <c r="O570" s="124"/>
      <c r="P570" s="127"/>
      <c r="Q570" s="20"/>
      <c r="R570" s="20"/>
      <c r="S570" s="20"/>
      <c r="T570" s="124"/>
      <c r="U570" s="127"/>
      <c r="V570" s="20"/>
      <c r="W570" s="20"/>
      <c r="X570" s="20"/>
      <c r="Y570" s="20"/>
      <c r="Z570" s="20"/>
      <c r="AA570" s="20"/>
      <c r="AB570" s="20"/>
      <c r="AC570" s="20"/>
      <c r="AD570" s="20"/>
    </row>
    <row r="571" spans="1:30" ht="19.5">
      <c r="A571" s="20"/>
      <c r="B571" s="20"/>
      <c r="C571" s="20"/>
      <c r="D571" s="20"/>
      <c r="E571" s="20"/>
      <c r="F571" s="124"/>
      <c r="G571" s="20"/>
      <c r="H571" s="20"/>
      <c r="I571" s="20"/>
      <c r="J571" s="124"/>
      <c r="K571" s="127"/>
      <c r="L571" s="20"/>
      <c r="M571" s="20"/>
      <c r="N571" s="20"/>
      <c r="O571" s="124"/>
      <c r="P571" s="127"/>
      <c r="Q571" s="20"/>
      <c r="R571" s="20"/>
      <c r="S571" s="20"/>
      <c r="T571" s="124"/>
      <c r="U571" s="127"/>
      <c r="V571" s="20"/>
      <c r="W571" s="20"/>
      <c r="X571" s="20"/>
      <c r="Y571" s="20"/>
      <c r="Z571" s="20"/>
      <c r="AA571" s="20"/>
      <c r="AB571" s="20"/>
      <c r="AC571" s="20"/>
      <c r="AD571" s="20"/>
    </row>
    <row r="572" spans="1:30" ht="19.5">
      <c r="A572" s="20"/>
      <c r="B572" s="20"/>
      <c r="C572" s="20"/>
      <c r="D572" s="20"/>
      <c r="E572" s="20"/>
      <c r="F572" s="124"/>
      <c r="G572" s="20"/>
      <c r="H572" s="20"/>
      <c r="I572" s="20"/>
      <c r="J572" s="124"/>
      <c r="K572" s="127"/>
      <c r="L572" s="20"/>
      <c r="M572" s="20"/>
      <c r="N572" s="20"/>
      <c r="O572" s="124"/>
      <c r="P572" s="127"/>
      <c r="Q572" s="20"/>
      <c r="R572" s="20"/>
      <c r="S572" s="20"/>
      <c r="T572" s="124"/>
      <c r="U572" s="127"/>
      <c r="V572" s="20"/>
      <c r="W572" s="20"/>
      <c r="X572" s="20"/>
      <c r="Y572" s="20"/>
      <c r="Z572" s="20"/>
      <c r="AA572" s="20"/>
      <c r="AB572" s="20"/>
      <c r="AC572" s="20"/>
      <c r="AD572" s="20"/>
    </row>
    <row r="573" spans="1:30" ht="19.5">
      <c r="A573" s="20"/>
      <c r="B573" s="20"/>
      <c r="C573" s="20"/>
      <c r="D573" s="20"/>
      <c r="E573" s="20"/>
      <c r="F573" s="124"/>
      <c r="G573" s="20"/>
      <c r="H573" s="20"/>
      <c r="I573" s="20"/>
      <c r="J573" s="124"/>
      <c r="K573" s="127"/>
      <c r="L573" s="20"/>
      <c r="M573" s="20"/>
      <c r="N573" s="20"/>
      <c r="O573" s="124"/>
      <c r="P573" s="127"/>
      <c r="Q573" s="20"/>
      <c r="R573" s="20"/>
      <c r="S573" s="20"/>
      <c r="T573" s="124"/>
      <c r="U573" s="127"/>
      <c r="V573" s="20"/>
      <c r="W573" s="20"/>
      <c r="X573" s="20"/>
      <c r="Y573" s="20"/>
      <c r="Z573" s="20"/>
      <c r="AA573" s="20"/>
      <c r="AB573" s="20"/>
      <c r="AC573" s="20"/>
      <c r="AD573" s="20"/>
    </row>
    <row r="574" spans="1:30" ht="19.5">
      <c r="A574" s="20"/>
      <c r="B574" s="20"/>
      <c r="C574" s="20"/>
      <c r="D574" s="20"/>
      <c r="E574" s="20"/>
      <c r="F574" s="124"/>
      <c r="G574" s="20"/>
      <c r="H574" s="20"/>
      <c r="I574" s="20"/>
      <c r="J574" s="124"/>
      <c r="K574" s="127"/>
      <c r="L574" s="20"/>
      <c r="M574" s="20"/>
      <c r="N574" s="20"/>
      <c r="O574" s="124"/>
      <c r="P574" s="127"/>
      <c r="Q574" s="20"/>
      <c r="R574" s="20"/>
      <c r="S574" s="20"/>
      <c r="T574" s="124"/>
      <c r="U574" s="127"/>
      <c r="V574" s="20"/>
      <c r="W574" s="20"/>
      <c r="X574" s="20"/>
      <c r="Y574" s="20"/>
      <c r="Z574" s="20"/>
      <c r="AA574" s="20"/>
      <c r="AB574" s="20"/>
      <c r="AC574" s="20"/>
      <c r="AD574" s="20"/>
    </row>
    <row r="575" spans="1:30" ht="19.5">
      <c r="A575" s="20"/>
      <c r="B575" s="20"/>
      <c r="C575" s="20"/>
      <c r="D575" s="20"/>
      <c r="E575" s="20"/>
      <c r="F575" s="124"/>
      <c r="G575" s="20"/>
      <c r="H575" s="20"/>
      <c r="I575" s="20"/>
      <c r="J575" s="124"/>
      <c r="K575" s="127"/>
      <c r="L575" s="20"/>
      <c r="M575" s="20"/>
      <c r="N575" s="20"/>
      <c r="O575" s="124"/>
      <c r="P575" s="127"/>
      <c r="Q575" s="20"/>
      <c r="R575" s="20"/>
      <c r="S575" s="20"/>
      <c r="T575" s="124"/>
      <c r="U575" s="127"/>
      <c r="V575" s="20"/>
      <c r="W575" s="20"/>
      <c r="X575" s="20"/>
      <c r="Y575" s="20"/>
      <c r="Z575" s="20"/>
      <c r="AA575" s="20"/>
      <c r="AB575" s="20"/>
      <c r="AC575" s="20"/>
      <c r="AD575" s="20"/>
    </row>
    <row r="576" spans="1:30" ht="19.5">
      <c r="A576" s="20"/>
      <c r="B576" s="20"/>
      <c r="C576" s="20"/>
      <c r="D576" s="20"/>
      <c r="E576" s="20"/>
      <c r="F576" s="124"/>
      <c r="G576" s="20"/>
      <c r="H576" s="20"/>
      <c r="I576" s="20"/>
      <c r="J576" s="124"/>
      <c r="K576" s="127"/>
      <c r="L576" s="20"/>
      <c r="M576" s="20"/>
      <c r="N576" s="20"/>
      <c r="O576" s="124"/>
      <c r="P576" s="127"/>
      <c r="Q576" s="20"/>
      <c r="R576" s="20"/>
      <c r="S576" s="20"/>
      <c r="T576" s="124"/>
      <c r="U576" s="127"/>
      <c r="V576" s="20"/>
      <c r="W576" s="20"/>
      <c r="X576" s="20"/>
      <c r="Y576" s="20"/>
      <c r="Z576" s="20"/>
      <c r="AA576" s="20"/>
      <c r="AB576" s="20"/>
      <c r="AC576" s="20"/>
      <c r="AD576" s="20"/>
    </row>
    <row r="577" spans="1:30" ht="19.5">
      <c r="A577" s="20"/>
      <c r="B577" s="20"/>
      <c r="C577" s="20"/>
      <c r="D577" s="20"/>
      <c r="E577" s="20"/>
      <c r="F577" s="124"/>
      <c r="G577" s="20"/>
      <c r="H577" s="20"/>
      <c r="I577" s="20"/>
      <c r="J577" s="124"/>
      <c r="K577" s="127"/>
      <c r="L577" s="20"/>
      <c r="M577" s="20"/>
      <c r="N577" s="20"/>
      <c r="O577" s="124"/>
      <c r="P577" s="127"/>
      <c r="Q577" s="20"/>
      <c r="R577" s="20"/>
      <c r="S577" s="20"/>
      <c r="T577" s="124"/>
      <c r="U577" s="127"/>
      <c r="V577" s="20"/>
      <c r="W577" s="20"/>
      <c r="X577" s="20"/>
      <c r="Y577" s="20"/>
      <c r="Z577" s="20"/>
      <c r="AA577" s="20"/>
      <c r="AB577" s="20"/>
      <c r="AC577" s="20"/>
      <c r="AD577" s="20"/>
    </row>
    <row r="578" spans="1:30" ht="19.5">
      <c r="A578" s="20"/>
      <c r="B578" s="20"/>
      <c r="C578" s="20"/>
      <c r="D578" s="20"/>
      <c r="E578" s="20"/>
      <c r="F578" s="124"/>
      <c r="G578" s="20"/>
      <c r="H578" s="20"/>
      <c r="I578" s="20"/>
      <c r="J578" s="124"/>
      <c r="K578" s="127"/>
      <c r="L578" s="20"/>
      <c r="M578" s="20"/>
      <c r="N578" s="20"/>
      <c r="O578" s="124"/>
      <c r="P578" s="127"/>
      <c r="Q578" s="20"/>
      <c r="R578" s="20"/>
      <c r="S578" s="20"/>
      <c r="T578" s="124"/>
      <c r="U578" s="127"/>
      <c r="V578" s="20"/>
      <c r="W578" s="20"/>
      <c r="X578" s="20"/>
      <c r="Y578" s="20"/>
      <c r="Z578" s="20"/>
      <c r="AA578" s="20"/>
      <c r="AB578" s="20"/>
      <c r="AC578" s="20"/>
      <c r="AD578" s="20"/>
    </row>
    <row r="579" spans="1:30" ht="19.5">
      <c r="A579" s="20"/>
      <c r="B579" s="20"/>
      <c r="C579" s="20"/>
      <c r="D579" s="20"/>
      <c r="E579" s="20"/>
      <c r="F579" s="124"/>
      <c r="G579" s="20"/>
      <c r="H579" s="20"/>
      <c r="I579" s="20"/>
      <c r="J579" s="124"/>
      <c r="K579" s="127"/>
      <c r="L579" s="20"/>
      <c r="M579" s="20"/>
      <c r="N579" s="20"/>
      <c r="O579" s="124"/>
      <c r="P579" s="127"/>
      <c r="Q579" s="20"/>
      <c r="R579" s="20"/>
      <c r="S579" s="20"/>
      <c r="T579" s="124"/>
      <c r="U579" s="127"/>
      <c r="V579" s="20"/>
      <c r="W579" s="20"/>
      <c r="X579" s="20"/>
      <c r="Y579" s="20"/>
      <c r="Z579" s="20"/>
      <c r="AA579" s="20"/>
      <c r="AB579" s="20"/>
      <c r="AC579" s="20"/>
      <c r="AD579" s="20"/>
    </row>
    <row r="580" spans="1:30" ht="19.5">
      <c r="A580" s="20"/>
      <c r="B580" s="20"/>
      <c r="C580" s="20"/>
      <c r="D580" s="20"/>
      <c r="E580" s="20"/>
      <c r="F580" s="124"/>
      <c r="G580" s="20"/>
      <c r="H580" s="20"/>
      <c r="I580" s="20"/>
      <c r="J580" s="124"/>
      <c r="K580" s="127"/>
      <c r="L580" s="20"/>
      <c r="M580" s="20"/>
      <c r="N580" s="20"/>
      <c r="O580" s="124"/>
      <c r="P580" s="127"/>
      <c r="Q580" s="20"/>
      <c r="R580" s="20"/>
      <c r="S580" s="20"/>
      <c r="T580" s="124"/>
      <c r="U580" s="127"/>
      <c r="V580" s="20"/>
      <c r="W580" s="20"/>
      <c r="X580" s="20"/>
      <c r="Y580" s="20"/>
      <c r="Z580" s="20"/>
      <c r="AA580" s="20"/>
      <c r="AB580" s="20"/>
      <c r="AC580" s="20"/>
      <c r="AD580" s="20"/>
    </row>
    <row r="581" spans="1:30" ht="19.5">
      <c r="A581" s="20"/>
      <c r="B581" s="20"/>
      <c r="C581" s="20"/>
      <c r="D581" s="20"/>
      <c r="E581" s="20"/>
      <c r="F581" s="124"/>
      <c r="G581" s="20"/>
      <c r="H581" s="20"/>
      <c r="I581" s="20"/>
      <c r="J581" s="124"/>
      <c r="K581" s="127"/>
      <c r="L581" s="20"/>
      <c r="M581" s="20"/>
      <c r="N581" s="20"/>
      <c r="O581" s="124"/>
      <c r="P581" s="127"/>
      <c r="Q581" s="20"/>
      <c r="R581" s="20"/>
      <c r="S581" s="20"/>
      <c r="T581" s="124"/>
      <c r="U581" s="127"/>
      <c r="V581" s="20"/>
      <c r="W581" s="20"/>
      <c r="X581" s="20"/>
      <c r="Y581" s="20"/>
      <c r="Z581" s="20"/>
      <c r="AA581" s="20"/>
      <c r="AB581" s="20"/>
      <c r="AC581" s="20"/>
      <c r="AD581" s="20"/>
    </row>
    <row r="582" spans="1:30" ht="19.5">
      <c r="A582" s="20"/>
      <c r="B582" s="20"/>
      <c r="C582" s="20"/>
      <c r="D582" s="20"/>
      <c r="E582" s="20"/>
      <c r="F582" s="124"/>
      <c r="G582" s="20"/>
      <c r="H582" s="20"/>
      <c r="I582" s="20"/>
      <c r="J582" s="124"/>
      <c r="K582" s="127"/>
      <c r="L582" s="20"/>
      <c r="M582" s="20"/>
      <c r="N582" s="20"/>
      <c r="O582" s="124"/>
      <c r="P582" s="127"/>
      <c r="Q582" s="20"/>
      <c r="R582" s="20"/>
      <c r="S582" s="20"/>
      <c r="T582" s="124"/>
      <c r="U582" s="127"/>
      <c r="V582" s="20"/>
      <c r="W582" s="20"/>
      <c r="X582" s="20"/>
      <c r="Y582" s="20"/>
      <c r="Z582" s="20"/>
      <c r="AA582" s="20"/>
      <c r="AB582" s="20"/>
      <c r="AC582" s="20"/>
      <c r="AD582" s="20"/>
    </row>
    <row r="583" spans="1:30" ht="19.5">
      <c r="A583" s="20"/>
      <c r="B583" s="20"/>
      <c r="C583" s="20"/>
      <c r="D583" s="20"/>
      <c r="E583" s="20"/>
      <c r="F583" s="124"/>
      <c r="G583" s="20"/>
      <c r="H583" s="20"/>
      <c r="I583" s="20"/>
      <c r="J583" s="124"/>
      <c r="K583" s="127"/>
      <c r="L583" s="20"/>
      <c r="M583" s="20"/>
      <c r="N583" s="20"/>
      <c r="O583" s="124"/>
      <c r="P583" s="127"/>
      <c r="Q583" s="20"/>
      <c r="R583" s="20"/>
      <c r="S583" s="20"/>
      <c r="T583" s="124"/>
      <c r="U583" s="127"/>
      <c r="V583" s="20"/>
      <c r="W583" s="20"/>
      <c r="X583" s="20"/>
      <c r="Y583" s="20"/>
      <c r="Z583" s="20"/>
      <c r="AA583" s="20"/>
      <c r="AB583" s="20"/>
      <c r="AC583" s="20"/>
      <c r="AD583" s="20"/>
    </row>
    <row r="584" spans="1:30" ht="19.5">
      <c r="A584" s="20"/>
      <c r="B584" s="20"/>
      <c r="C584" s="20"/>
      <c r="D584" s="20"/>
      <c r="E584" s="20"/>
      <c r="F584" s="124"/>
      <c r="G584" s="20"/>
      <c r="H584" s="20"/>
      <c r="I584" s="20"/>
      <c r="J584" s="124"/>
      <c r="K584" s="127"/>
      <c r="L584" s="20"/>
      <c r="M584" s="20"/>
      <c r="N584" s="20"/>
      <c r="O584" s="124"/>
      <c r="P584" s="127"/>
      <c r="Q584" s="20"/>
      <c r="R584" s="20"/>
      <c r="S584" s="20"/>
      <c r="T584" s="124"/>
      <c r="U584" s="127"/>
      <c r="V584" s="20"/>
      <c r="W584" s="20"/>
      <c r="X584" s="20"/>
      <c r="Y584" s="20"/>
      <c r="Z584" s="20"/>
      <c r="AA584" s="20"/>
      <c r="AB584" s="20"/>
      <c r="AC584" s="20"/>
      <c r="AD584" s="20"/>
    </row>
    <row r="585" spans="1:30" ht="19.5">
      <c r="A585" s="20"/>
      <c r="B585" s="20"/>
      <c r="C585" s="20"/>
      <c r="D585" s="20"/>
      <c r="E585" s="20"/>
      <c r="F585" s="124"/>
      <c r="G585" s="20"/>
      <c r="H585" s="20"/>
      <c r="I585" s="20"/>
      <c r="J585" s="124"/>
      <c r="K585" s="127"/>
      <c r="L585" s="20"/>
      <c r="M585" s="20"/>
      <c r="N585" s="20"/>
      <c r="O585" s="124"/>
      <c r="P585" s="127"/>
      <c r="Q585" s="20"/>
      <c r="R585" s="20"/>
      <c r="S585" s="20"/>
      <c r="T585" s="124"/>
      <c r="U585" s="127"/>
      <c r="V585" s="20"/>
      <c r="W585" s="20"/>
      <c r="X585" s="20"/>
      <c r="Y585" s="20"/>
      <c r="Z585" s="20"/>
      <c r="AA585" s="20"/>
      <c r="AB585" s="20"/>
      <c r="AC585" s="20"/>
      <c r="AD585" s="20"/>
    </row>
    <row r="586" spans="1:30" ht="19.5">
      <c r="A586" s="20"/>
      <c r="B586" s="20"/>
      <c r="C586" s="20"/>
      <c r="D586" s="20"/>
      <c r="E586" s="20"/>
      <c r="F586" s="124"/>
      <c r="G586" s="20"/>
      <c r="H586" s="20"/>
      <c r="I586" s="20"/>
      <c r="J586" s="124"/>
      <c r="K586" s="127"/>
      <c r="L586" s="20"/>
      <c r="M586" s="20"/>
      <c r="N586" s="20"/>
      <c r="O586" s="124"/>
      <c r="P586" s="127"/>
      <c r="Q586" s="20"/>
      <c r="R586" s="20"/>
      <c r="S586" s="20"/>
      <c r="T586" s="124"/>
      <c r="U586" s="127"/>
      <c r="V586" s="20"/>
      <c r="W586" s="20"/>
      <c r="X586" s="20"/>
      <c r="Y586" s="20"/>
      <c r="Z586" s="20"/>
      <c r="AA586" s="20"/>
      <c r="AB586" s="20"/>
      <c r="AC586" s="20"/>
      <c r="AD586" s="20"/>
    </row>
    <row r="587" spans="1:30" ht="19.5">
      <c r="A587" s="20"/>
      <c r="B587" s="20"/>
      <c r="C587" s="20"/>
      <c r="D587" s="20"/>
      <c r="E587" s="20"/>
      <c r="F587" s="124"/>
      <c r="G587" s="20"/>
      <c r="H587" s="20"/>
      <c r="I587" s="20"/>
      <c r="J587" s="124"/>
      <c r="K587" s="127"/>
      <c r="L587" s="20"/>
      <c r="M587" s="20"/>
      <c r="N587" s="20"/>
      <c r="O587" s="124"/>
      <c r="P587" s="127"/>
      <c r="Q587" s="20"/>
      <c r="R587" s="20"/>
      <c r="S587" s="20"/>
      <c r="T587" s="124"/>
      <c r="U587" s="127"/>
      <c r="V587" s="20"/>
      <c r="W587" s="20"/>
      <c r="X587" s="20"/>
      <c r="Y587" s="20"/>
      <c r="Z587" s="20"/>
      <c r="AA587" s="20"/>
      <c r="AB587" s="20"/>
      <c r="AC587" s="20"/>
      <c r="AD587" s="20"/>
    </row>
    <row r="588" spans="1:30" ht="19.5">
      <c r="A588" s="20"/>
      <c r="B588" s="20"/>
      <c r="C588" s="20"/>
      <c r="D588" s="20"/>
      <c r="E588" s="20"/>
      <c r="F588" s="124"/>
      <c r="G588" s="20"/>
      <c r="H588" s="20"/>
      <c r="I588" s="20"/>
      <c r="J588" s="124"/>
      <c r="K588" s="127"/>
      <c r="L588" s="20"/>
      <c r="M588" s="20"/>
      <c r="N588" s="20"/>
      <c r="O588" s="124"/>
      <c r="P588" s="127"/>
      <c r="Q588" s="20"/>
      <c r="R588" s="20"/>
      <c r="S588" s="20"/>
      <c r="T588" s="124"/>
      <c r="U588" s="127"/>
      <c r="V588" s="20"/>
      <c r="W588" s="20"/>
      <c r="X588" s="20"/>
      <c r="Y588" s="20"/>
      <c r="Z588" s="20"/>
      <c r="AA588" s="20"/>
      <c r="AB588" s="20"/>
      <c r="AC588" s="20"/>
      <c r="AD588" s="20"/>
    </row>
    <row r="589" spans="1:30" ht="19.5">
      <c r="A589" s="20"/>
      <c r="B589" s="20"/>
      <c r="C589" s="20"/>
      <c r="D589" s="20"/>
      <c r="E589" s="20"/>
      <c r="F589" s="124"/>
      <c r="G589" s="20"/>
      <c r="H589" s="20"/>
      <c r="I589" s="20"/>
      <c r="J589" s="124"/>
      <c r="K589" s="127"/>
      <c r="L589" s="20"/>
      <c r="M589" s="20"/>
      <c r="N589" s="20"/>
      <c r="O589" s="124"/>
      <c r="P589" s="127"/>
      <c r="Q589" s="20"/>
      <c r="R589" s="20"/>
      <c r="S589" s="20"/>
      <c r="T589" s="124"/>
      <c r="U589" s="127"/>
      <c r="V589" s="20"/>
      <c r="W589" s="20"/>
      <c r="X589" s="20"/>
      <c r="Y589" s="20"/>
      <c r="Z589" s="20"/>
      <c r="AA589" s="20"/>
      <c r="AB589" s="20"/>
      <c r="AC589" s="20"/>
      <c r="AD589" s="20"/>
    </row>
    <row r="590" spans="1:30" ht="19.5">
      <c r="A590" s="20"/>
      <c r="B590" s="20"/>
      <c r="C590" s="20"/>
      <c r="D590" s="20"/>
      <c r="E590" s="20"/>
      <c r="F590" s="124"/>
      <c r="G590" s="20"/>
      <c r="H590" s="20"/>
      <c r="I590" s="20"/>
      <c r="J590" s="124"/>
      <c r="K590" s="127"/>
      <c r="L590" s="20"/>
      <c r="M590" s="20"/>
      <c r="N590" s="20"/>
      <c r="O590" s="124"/>
      <c r="P590" s="127"/>
      <c r="Q590" s="20"/>
      <c r="R590" s="20"/>
      <c r="S590" s="20"/>
      <c r="T590" s="124"/>
      <c r="U590" s="127"/>
      <c r="V590" s="20"/>
      <c r="W590" s="20"/>
      <c r="X590" s="20"/>
      <c r="Y590" s="20"/>
      <c r="Z590" s="20"/>
      <c r="AA590" s="20"/>
      <c r="AB590" s="20"/>
      <c r="AC590" s="20"/>
      <c r="AD590" s="20"/>
    </row>
    <row r="591" spans="1:30" ht="19.5">
      <c r="A591" s="20"/>
      <c r="B591" s="20"/>
      <c r="C591" s="20"/>
      <c r="D591" s="20"/>
      <c r="E591" s="20"/>
      <c r="F591" s="124"/>
      <c r="G591" s="20"/>
      <c r="H591" s="20"/>
      <c r="I591" s="20"/>
      <c r="J591" s="124"/>
      <c r="K591" s="127"/>
      <c r="L591" s="20"/>
      <c r="M591" s="20"/>
      <c r="N591" s="20"/>
      <c r="O591" s="124"/>
      <c r="P591" s="127"/>
      <c r="Q591" s="20"/>
      <c r="R591" s="20"/>
      <c r="S591" s="20"/>
      <c r="T591" s="124"/>
      <c r="U591" s="127"/>
      <c r="V591" s="20"/>
      <c r="W591" s="20"/>
      <c r="X591" s="20"/>
      <c r="Y591" s="20"/>
      <c r="Z591" s="20"/>
      <c r="AA591" s="20"/>
      <c r="AB591" s="20"/>
      <c r="AC591" s="20"/>
      <c r="AD591" s="20"/>
    </row>
    <row r="592" spans="1:30" ht="19.5">
      <c r="A592" s="20"/>
      <c r="B592" s="20"/>
      <c r="C592" s="20"/>
      <c r="D592" s="20"/>
      <c r="E592" s="20"/>
      <c r="F592" s="124"/>
      <c r="G592" s="20"/>
      <c r="H592" s="20"/>
      <c r="I592" s="20"/>
      <c r="J592" s="124"/>
      <c r="K592" s="127"/>
      <c r="L592" s="20"/>
      <c r="M592" s="20"/>
      <c r="N592" s="20"/>
      <c r="O592" s="124"/>
      <c r="P592" s="127"/>
      <c r="Q592" s="20"/>
      <c r="R592" s="20"/>
      <c r="S592" s="20"/>
      <c r="T592" s="124"/>
      <c r="U592" s="127"/>
      <c r="V592" s="20"/>
      <c r="W592" s="20"/>
      <c r="X592" s="20"/>
      <c r="Y592" s="20"/>
      <c r="Z592" s="20"/>
      <c r="AA592" s="20"/>
      <c r="AB592" s="20"/>
      <c r="AC592" s="20"/>
      <c r="AD592" s="20"/>
    </row>
    <row r="593" spans="1:30" ht="19.5">
      <c r="A593" s="20"/>
      <c r="B593" s="20"/>
      <c r="C593" s="20"/>
      <c r="D593" s="20"/>
      <c r="E593" s="20"/>
      <c r="F593" s="124"/>
      <c r="G593" s="20"/>
      <c r="H593" s="20"/>
      <c r="I593" s="20"/>
      <c r="J593" s="124"/>
      <c r="K593" s="127"/>
      <c r="L593" s="20"/>
      <c r="M593" s="20"/>
      <c r="N593" s="20"/>
      <c r="O593" s="124"/>
      <c r="P593" s="127"/>
      <c r="Q593" s="20"/>
      <c r="R593" s="20"/>
      <c r="S593" s="20"/>
      <c r="T593" s="124"/>
      <c r="U593" s="127"/>
      <c r="V593" s="20"/>
      <c r="W593" s="20"/>
      <c r="X593" s="20"/>
      <c r="Y593" s="20"/>
      <c r="Z593" s="20"/>
      <c r="AA593" s="20"/>
      <c r="AB593" s="20"/>
      <c r="AC593" s="20"/>
      <c r="AD593" s="20"/>
    </row>
    <row r="594" spans="1:30" ht="19.5">
      <c r="A594" s="20"/>
      <c r="B594" s="20"/>
      <c r="C594" s="20"/>
      <c r="D594" s="20"/>
      <c r="E594" s="20"/>
      <c r="F594" s="124"/>
      <c r="G594" s="20"/>
      <c r="H594" s="20"/>
      <c r="I594" s="20"/>
      <c r="J594" s="124"/>
      <c r="K594" s="127"/>
      <c r="L594" s="20"/>
      <c r="M594" s="20"/>
      <c r="N594" s="20"/>
      <c r="O594" s="124"/>
      <c r="P594" s="127"/>
      <c r="Q594" s="20"/>
      <c r="R594" s="20"/>
      <c r="S594" s="20"/>
      <c r="T594" s="124"/>
      <c r="U594" s="127"/>
      <c r="V594" s="20"/>
      <c r="W594" s="20"/>
      <c r="X594" s="20"/>
      <c r="Y594" s="20"/>
      <c r="Z594" s="20"/>
      <c r="AA594" s="20"/>
      <c r="AB594" s="20"/>
      <c r="AC594" s="20"/>
      <c r="AD594" s="20"/>
    </row>
    <row r="595" spans="1:30" ht="19.5">
      <c r="A595" s="20"/>
      <c r="B595" s="20"/>
      <c r="C595" s="20"/>
      <c r="D595" s="20"/>
      <c r="E595" s="20"/>
      <c r="F595" s="124"/>
      <c r="G595" s="20"/>
      <c r="H595" s="20"/>
      <c r="I595" s="20"/>
      <c r="J595" s="124"/>
      <c r="K595" s="127"/>
      <c r="L595" s="20"/>
      <c r="M595" s="20"/>
      <c r="N595" s="20"/>
      <c r="O595" s="124"/>
      <c r="P595" s="127"/>
      <c r="Q595" s="20"/>
      <c r="R595" s="20"/>
      <c r="S595" s="20"/>
      <c r="T595" s="124"/>
      <c r="U595" s="127"/>
      <c r="V595" s="20"/>
      <c r="W595" s="20"/>
      <c r="X595" s="20"/>
      <c r="Y595" s="20"/>
      <c r="Z595" s="20"/>
      <c r="AA595" s="20"/>
      <c r="AB595" s="20"/>
      <c r="AC595" s="20"/>
      <c r="AD595" s="20"/>
    </row>
    <row r="596" spans="1:30" ht="19.5">
      <c r="A596" s="20"/>
      <c r="B596" s="20"/>
      <c r="C596" s="20"/>
      <c r="D596" s="20"/>
      <c r="E596" s="20"/>
      <c r="F596" s="124"/>
      <c r="G596" s="20"/>
      <c r="H596" s="20"/>
      <c r="I596" s="20"/>
      <c r="J596" s="124"/>
      <c r="K596" s="127"/>
      <c r="L596" s="20"/>
      <c r="M596" s="20"/>
      <c r="N596" s="20"/>
      <c r="O596" s="124"/>
      <c r="P596" s="127"/>
      <c r="Q596" s="20"/>
      <c r="R596" s="20"/>
      <c r="S596" s="20"/>
      <c r="T596" s="124"/>
      <c r="U596" s="127"/>
      <c r="V596" s="20"/>
      <c r="W596" s="20"/>
      <c r="X596" s="20"/>
      <c r="Y596" s="20"/>
      <c r="Z596" s="20"/>
      <c r="AA596" s="20"/>
      <c r="AB596" s="20"/>
      <c r="AC596" s="20"/>
      <c r="AD596" s="20"/>
    </row>
    <row r="597" spans="1:30" ht="19.5">
      <c r="A597" s="20"/>
      <c r="B597" s="20"/>
      <c r="C597" s="20"/>
      <c r="D597" s="20"/>
      <c r="E597" s="20"/>
      <c r="F597" s="124"/>
      <c r="G597" s="20"/>
      <c r="H597" s="20"/>
      <c r="I597" s="20"/>
      <c r="J597" s="124"/>
      <c r="K597" s="127"/>
      <c r="L597" s="20"/>
      <c r="M597" s="20"/>
      <c r="N597" s="20"/>
      <c r="O597" s="124"/>
      <c r="P597" s="127"/>
      <c r="Q597" s="20"/>
      <c r="R597" s="20"/>
      <c r="S597" s="20"/>
      <c r="T597" s="124"/>
      <c r="U597" s="127"/>
      <c r="V597" s="20"/>
      <c r="W597" s="20"/>
      <c r="X597" s="20"/>
      <c r="Y597" s="20"/>
      <c r="Z597" s="20"/>
      <c r="AA597" s="20"/>
      <c r="AB597" s="20"/>
      <c r="AC597" s="20"/>
      <c r="AD597" s="20"/>
    </row>
    <row r="598" spans="1:30" ht="19.5">
      <c r="A598" s="20"/>
      <c r="B598" s="20"/>
      <c r="C598" s="20"/>
      <c r="D598" s="20"/>
      <c r="E598" s="20"/>
      <c r="F598" s="124"/>
      <c r="G598" s="20"/>
      <c r="H598" s="20"/>
      <c r="I598" s="20"/>
      <c r="J598" s="124"/>
      <c r="K598" s="127"/>
      <c r="L598" s="20"/>
      <c r="M598" s="20"/>
      <c r="N598" s="20"/>
      <c r="O598" s="124"/>
      <c r="P598" s="127"/>
      <c r="Q598" s="20"/>
      <c r="R598" s="20"/>
      <c r="S598" s="20"/>
      <c r="T598" s="124"/>
      <c r="U598" s="127"/>
      <c r="V598" s="20"/>
      <c r="W598" s="20"/>
      <c r="X598" s="20"/>
      <c r="Y598" s="20"/>
      <c r="Z598" s="20"/>
      <c r="AA598" s="20"/>
      <c r="AB598" s="20"/>
      <c r="AC598" s="20"/>
      <c r="AD598" s="20"/>
    </row>
    <row r="599" spans="1:30" ht="19.5">
      <c r="A599" s="20"/>
      <c r="B599" s="20"/>
      <c r="C599" s="20"/>
      <c r="D599" s="20"/>
      <c r="E599" s="20"/>
      <c r="F599" s="124"/>
      <c r="G599" s="20"/>
      <c r="H599" s="20"/>
      <c r="I599" s="20"/>
      <c r="J599" s="124"/>
      <c r="K599" s="127"/>
      <c r="L599" s="20"/>
      <c r="M599" s="20"/>
      <c r="N599" s="20"/>
      <c r="O599" s="124"/>
      <c r="P599" s="127"/>
      <c r="Q599" s="20"/>
      <c r="R599" s="20"/>
      <c r="S599" s="20"/>
      <c r="T599" s="124"/>
      <c r="U599" s="127"/>
      <c r="V599" s="20"/>
      <c r="W599" s="20"/>
      <c r="X599" s="20"/>
      <c r="Y599" s="20"/>
      <c r="Z599" s="20"/>
      <c r="AA599" s="20"/>
      <c r="AB599" s="20"/>
      <c r="AC599" s="20"/>
      <c r="AD599" s="20"/>
    </row>
    <row r="600" spans="1:30" ht="19.5">
      <c r="A600" s="20"/>
      <c r="B600" s="20"/>
      <c r="C600" s="20"/>
      <c r="D600" s="20"/>
      <c r="E600" s="20"/>
      <c r="F600" s="124"/>
      <c r="G600" s="20"/>
      <c r="H600" s="20"/>
      <c r="I600" s="20"/>
      <c r="J600" s="124"/>
      <c r="K600" s="127"/>
      <c r="L600" s="20"/>
      <c r="M600" s="20"/>
      <c r="N600" s="20"/>
      <c r="O600" s="124"/>
      <c r="P600" s="127"/>
      <c r="Q600" s="20"/>
      <c r="R600" s="20"/>
      <c r="S600" s="20"/>
      <c r="T600" s="124"/>
      <c r="U600" s="127"/>
      <c r="V600" s="20"/>
      <c r="W600" s="20"/>
      <c r="X600" s="20"/>
      <c r="Y600" s="20"/>
      <c r="Z600" s="20"/>
      <c r="AA600" s="20"/>
      <c r="AB600" s="20"/>
      <c r="AC600" s="20"/>
      <c r="AD600" s="20"/>
    </row>
    <row r="601" spans="1:30" ht="19.5">
      <c r="A601" s="20"/>
      <c r="B601" s="20"/>
      <c r="C601" s="20"/>
      <c r="D601" s="20"/>
      <c r="E601" s="20"/>
      <c r="F601" s="124"/>
      <c r="G601" s="20"/>
      <c r="H601" s="20"/>
      <c r="I601" s="20"/>
      <c r="J601" s="124"/>
      <c r="K601" s="127"/>
      <c r="L601" s="20"/>
      <c r="M601" s="20"/>
      <c r="N601" s="20"/>
      <c r="O601" s="124"/>
      <c r="P601" s="127"/>
      <c r="Q601" s="20"/>
      <c r="R601" s="20"/>
      <c r="S601" s="20"/>
      <c r="T601" s="124"/>
      <c r="U601" s="127"/>
      <c r="V601" s="20"/>
      <c r="W601" s="20"/>
      <c r="X601" s="20"/>
      <c r="Y601" s="20"/>
      <c r="Z601" s="20"/>
      <c r="AA601" s="20"/>
      <c r="AB601" s="20"/>
      <c r="AC601" s="20"/>
      <c r="AD601" s="20"/>
    </row>
    <row r="602" spans="1:30" ht="19.5">
      <c r="A602" s="20"/>
      <c r="B602" s="20"/>
      <c r="C602" s="20"/>
      <c r="D602" s="20"/>
      <c r="E602" s="20"/>
      <c r="F602" s="124"/>
      <c r="G602" s="20"/>
      <c r="H602" s="20"/>
      <c r="I602" s="20"/>
      <c r="J602" s="124"/>
      <c r="K602" s="127"/>
      <c r="L602" s="20"/>
      <c r="M602" s="20"/>
      <c r="N602" s="20"/>
      <c r="O602" s="124"/>
      <c r="P602" s="127"/>
      <c r="Q602" s="20"/>
      <c r="R602" s="20"/>
      <c r="S602" s="20"/>
      <c r="T602" s="124"/>
      <c r="U602" s="127"/>
      <c r="V602" s="20"/>
      <c r="W602" s="20"/>
      <c r="X602" s="20"/>
      <c r="Y602" s="20"/>
      <c r="Z602" s="20"/>
      <c r="AA602" s="20"/>
      <c r="AB602" s="20"/>
      <c r="AC602" s="20"/>
      <c r="AD602" s="20"/>
    </row>
    <row r="603" spans="1:30" ht="19.5">
      <c r="A603" s="20"/>
      <c r="B603" s="20"/>
      <c r="C603" s="20"/>
      <c r="D603" s="20"/>
      <c r="E603" s="20"/>
      <c r="F603" s="124"/>
      <c r="G603" s="20"/>
      <c r="H603" s="20"/>
      <c r="I603" s="20"/>
      <c r="J603" s="124"/>
      <c r="K603" s="127"/>
      <c r="L603" s="20"/>
      <c r="M603" s="20"/>
      <c r="N603" s="20"/>
      <c r="O603" s="124"/>
      <c r="P603" s="127"/>
      <c r="Q603" s="20"/>
      <c r="R603" s="20"/>
      <c r="S603" s="20"/>
      <c r="T603" s="124"/>
      <c r="U603" s="127"/>
      <c r="V603" s="20"/>
      <c r="W603" s="20"/>
      <c r="X603" s="20"/>
      <c r="Y603" s="20"/>
      <c r="Z603" s="20"/>
      <c r="AA603" s="20"/>
      <c r="AB603" s="20"/>
      <c r="AC603" s="20"/>
      <c r="AD603" s="20"/>
    </row>
    <row r="604" spans="1:30" ht="19.5">
      <c r="A604" s="20"/>
      <c r="B604" s="20"/>
      <c r="C604" s="20"/>
      <c r="D604" s="20"/>
      <c r="E604" s="20"/>
      <c r="F604" s="124"/>
      <c r="G604" s="20"/>
      <c r="H604" s="20"/>
      <c r="I604" s="20"/>
      <c r="J604" s="124"/>
      <c r="K604" s="127"/>
      <c r="L604" s="20"/>
      <c r="M604" s="20"/>
      <c r="N604" s="20"/>
      <c r="O604" s="124"/>
      <c r="P604" s="127"/>
      <c r="Q604" s="20"/>
      <c r="R604" s="20"/>
      <c r="S604" s="20"/>
      <c r="T604" s="124"/>
      <c r="U604" s="127"/>
      <c r="V604" s="20"/>
      <c r="W604" s="20"/>
      <c r="X604" s="20"/>
      <c r="Y604" s="20"/>
      <c r="Z604" s="20"/>
      <c r="AA604" s="20"/>
      <c r="AB604" s="20"/>
      <c r="AC604" s="20"/>
      <c r="AD604" s="20"/>
    </row>
    <row r="605" spans="1:30" ht="19.5">
      <c r="A605" s="20"/>
      <c r="B605" s="20"/>
      <c r="C605" s="20"/>
      <c r="D605" s="20"/>
      <c r="E605" s="20"/>
      <c r="F605" s="124"/>
      <c r="G605" s="20"/>
      <c r="H605" s="20"/>
      <c r="I605" s="20"/>
      <c r="J605" s="124"/>
      <c r="K605" s="127"/>
      <c r="L605" s="20"/>
      <c r="M605" s="20"/>
      <c r="N605" s="20"/>
      <c r="O605" s="124"/>
      <c r="P605" s="127"/>
      <c r="Q605" s="20"/>
      <c r="R605" s="20"/>
      <c r="S605" s="20"/>
      <c r="T605" s="124"/>
      <c r="U605" s="127"/>
      <c r="V605" s="20"/>
      <c r="W605" s="20"/>
      <c r="X605" s="20"/>
      <c r="Y605" s="20"/>
      <c r="Z605" s="20"/>
      <c r="AA605" s="20"/>
      <c r="AB605" s="20"/>
      <c r="AC605" s="20"/>
      <c r="AD605" s="20"/>
    </row>
    <row r="606" spans="1:30" ht="19.5">
      <c r="A606" s="20"/>
      <c r="B606" s="20"/>
      <c r="C606" s="20"/>
      <c r="D606" s="20"/>
      <c r="E606" s="20"/>
      <c r="F606" s="124"/>
      <c r="G606" s="20"/>
      <c r="H606" s="20"/>
      <c r="I606" s="20"/>
      <c r="J606" s="124"/>
      <c r="K606" s="127"/>
      <c r="L606" s="20"/>
      <c r="M606" s="20"/>
      <c r="N606" s="20"/>
      <c r="O606" s="124"/>
      <c r="P606" s="127"/>
      <c r="Q606" s="20"/>
      <c r="R606" s="20"/>
      <c r="S606" s="20"/>
      <c r="T606" s="124"/>
      <c r="U606" s="127"/>
      <c r="V606" s="20"/>
      <c r="W606" s="20"/>
      <c r="X606" s="20"/>
      <c r="Y606" s="20"/>
      <c r="Z606" s="20"/>
      <c r="AA606" s="20"/>
      <c r="AB606" s="20"/>
      <c r="AC606" s="20"/>
      <c r="AD606" s="20"/>
    </row>
    <row r="607" spans="1:30" ht="19.5">
      <c r="A607" s="20"/>
      <c r="B607" s="20"/>
      <c r="C607" s="20"/>
      <c r="D607" s="20"/>
      <c r="E607" s="20"/>
      <c r="F607" s="124"/>
      <c r="G607" s="20"/>
      <c r="H607" s="20"/>
      <c r="I607" s="20"/>
      <c r="J607" s="124"/>
      <c r="K607" s="127"/>
      <c r="L607" s="20"/>
      <c r="M607" s="20"/>
      <c r="N607" s="20"/>
      <c r="O607" s="124"/>
      <c r="P607" s="127"/>
      <c r="Q607" s="20"/>
      <c r="R607" s="20"/>
      <c r="S607" s="20"/>
      <c r="T607" s="124"/>
      <c r="U607" s="127"/>
      <c r="V607" s="20"/>
      <c r="W607" s="20"/>
      <c r="X607" s="20"/>
      <c r="Y607" s="20"/>
      <c r="Z607" s="20"/>
      <c r="AA607" s="20"/>
      <c r="AB607" s="20"/>
      <c r="AC607" s="20"/>
      <c r="AD607" s="20"/>
    </row>
    <row r="608" spans="1:30" ht="19.5">
      <c r="A608" s="20"/>
      <c r="B608" s="20"/>
      <c r="C608" s="20"/>
      <c r="D608" s="20"/>
      <c r="E608" s="20"/>
      <c r="F608" s="124"/>
      <c r="G608" s="20"/>
      <c r="H608" s="20"/>
      <c r="I608" s="20"/>
      <c r="J608" s="124"/>
      <c r="K608" s="127"/>
      <c r="L608" s="20"/>
      <c r="M608" s="20"/>
      <c r="N608" s="20"/>
      <c r="O608" s="124"/>
      <c r="P608" s="127"/>
      <c r="Q608" s="20"/>
      <c r="R608" s="20"/>
      <c r="S608" s="20"/>
      <c r="T608" s="124"/>
      <c r="U608" s="127"/>
      <c r="V608" s="20"/>
      <c r="W608" s="20"/>
      <c r="X608" s="20"/>
      <c r="Y608" s="20"/>
      <c r="Z608" s="20"/>
      <c r="AA608" s="20"/>
      <c r="AB608" s="20"/>
      <c r="AC608" s="20"/>
      <c r="AD608" s="20"/>
    </row>
    <row r="609" spans="1:30" ht="19.5">
      <c r="A609" s="20"/>
      <c r="B609" s="20"/>
      <c r="C609" s="20"/>
      <c r="D609" s="20"/>
      <c r="E609" s="20"/>
      <c r="F609" s="124"/>
      <c r="G609" s="20"/>
      <c r="H609" s="20"/>
      <c r="I609" s="20"/>
      <c r="J609" s="124"/>
      <c r="K609" s="127"/>
      <c r="L609" s="20"/>
      <c r="M609" s="20"/>
      <c r="N609" s="20"/>
      <c r="O609" s="124"/>
      <c r="P609" s="127"/>
      <c r="Q609" s="20"/>
      <c r="R609" s="20"/>
      <c r="S609" s="20"/>
      <c r="T609" s="124"/>
      <c r="U609" s="127"/>
      <c r="V609" s="20"/>
      <c r="W609" s="20"/>
      <c r="X609" s="20"/>
      <c r="Y609" s="20"/>
      <c r="Z609" s="20"/>
      <c r="AA609" s="20"/>
      <c r="AB609" s="20"/>
      <c r="AC609" s="20"/>
      <c r="AD609" s="20"/>
    </row>
    <row r="610" spans="1:30" ht="19.5">
      <c r="A610" s="20"/>
      <c r="B610" s="20"/>
      <c r="C610" s="20"/>
      <c r="D610" s="20"/>
      <c r="E610" s="20"/>
      <c r="F610" s="124"/>
      <c r="G610" s="20"/>
      <c r="H610" s="20"/>
      <c r="I610" s="20"/>
      <c r="J610" s="124"/>
      <c r="K610" s="127"/>
      <c r="L610" s="20"/>
      <c r="M610" s="20"/>
      <c r="N610" s="20"/>
      <c r="O610" s="124"/>
      <c r="P610" s="127"/>
      <c r="Q610" s="20"/>
      <c r="R610" s="20"/>
      <c r="S610" s="20"/>
      <c r="T610" s="124"/>
      <c r="U610" s="127"/>
      <c r="V610" s="20"/>
      <c r="W610" s="20"/>
      <c r="X610" s="20"/>
      <c r="Y610" s="20"/>
      <c r="Z610" s="20"/>
      <c r="AA610" s="20"/>
      <c r="AB610" s="20"/>
      <c r="AC610" s="20"/>
      <c r="AD610" s="20"/>
    </row>
    <row r="611" spans="1:30" ht="19.5">
      <c r="A611" s="20"/>
      <c r="B611" s="20"/>
      <c r="C611" s="20"/>
      <c r="D611" s="20"/>
      <c r="E611" s="20"/>
      <c r="F611" s="124"/>
      <c r="G611" s="20"/>
      <c r="H611" s="20"/>
      <c r="I611" s="20"/>
      <c r="J611" s="124"/>
      <c r="K611" s="127"/>
      <c r="L611" s="20"/>
      <c r="M611" s="20"/>
      <c r="N611" s="20"/>
      <c r="O611" s="124"/>
      <c r="P611" s="127"/>
      <c r="Q611" s="20"/>
      <c r="R611" s="20"/>
      <c r="S611" s="20"/>
      <c r="T611" s="124"/>
      <c r="U611" s="127"/>
      <c r="V611" s="20"/>
      <c r="W611" s="20"/>
      <c r="X611" s="20"/>
      <c r="Y611" s="20"/>
      <c r="Z611" s="20"/>
      <c r="AA611" s="20"/>
      <c r="AB611" s="20"/>
      <c r="AC611" s="20"/>
      <c r="AD611" s="20"/>
    </row>
    <row r="612" spans="1:30" ht="19.5">
      <c r="A612" s="20"/>
      <c r="B612" s="20"/>
      <c r="C612" s="20"/>
      <c r="D612" s="20"/>
      <c r="E612" s="20"/>
      <c r="F612" s="124"/>
      <c r="G612" s="20"/>
      <c r="H612" s="20"/>
      <c r="I612" s="20"/>
      <c r="J612" s="124"/>
      <c r="K612" s="127"/>
      <c r="L612" s="20"/>
      <c r="M612" s="20"/>
      <c r="N612" s="20"/>
      <c r="O612" s="124"/>
      <c r="P612" s="127"/>
      <c r="Q612" s="20"/>
      <c r="R612" s="20"/>
      <c r="S612" s="20"/>
      <c r="T612" s="124"/>
      <c r="U612" s="127"/>
      <c r="V612" s="20"/>
      <c r="W612" s="20"/>
      <c r="X612" s="20"/>
      <c r="Y612" s="20"/>
      <c r="Z612" s="20"/>
      <c r="AA612" s="20"/>
      <c r="AB612" s="20"/>
      <c r="AC612" s="20"/>
      <c r="AD612" s="20"/>
    </row>
    <row r="613" spans="1:30" ht="19.5">
      <c r="A613" s="20"/>
      <c r="B613" s="20"/>
      <c r="C613" s="20"/>
      <c r="D613" s="20"/>
      <c r="E613" s="20"/>
      <c r="F613" s="124"/>
      <c r="G613" s="20"/>
      <c r="H613" s="20"/>
      <c r="I613" s="20"/>
      <c r="J613" s="124"/>
      <c r="K613" s="127"/>
      <c r="L613" s="20"/>
      <c r="M613" s="20"/>
      <c r="N613" s="20"/>
      <c r="O613" s="124"/>
      <c r="P613" s="127"/>
      <c r="Q613" s="20"/>
      <c r="R613" s="20"/>
      <c r="S613" s="20"/>
      <c r="T613" s="124"/>
      <c r="U613" s="127"/>
      <c r="V613" s="20"/>
      <c r="W613" s="20"/>
      <c r="X613" s="20"/>
      <c r="Y613" s="20"/>
      <c r="Z613" s="20"/>
      <c r="AA613" s="20"/>
      <c r="AB613" s="20"/>
      <c r="AC613" s="20"/>
      <c r="AD613" s="20"/>
    </row>
    <row r="614" spans="1:30" ht="19.5">
      <c r="A614" s="20"/>
      <c r="B614" s="20"/>
      <c r="C614" s="20"/>
      <c r="D614" s="20"/>
      <c r="E614" s="20"/>
      <c r="F614" s="124"/>
      <c r="G614" s="20"/>
      <c r="H614" s="20"/>
      <c r="I614" s="20"/>
      <c r="J614" s="124"/>
      <c r="K614" s="127"/>
      <c r="L614" s="20"/>
      <c r="M614" s="20"/>
      <c r="N614" s="20"/>
      <c r="O614" s="124"/>
      <c r="P614" s="127"/>
      <c r="Q614" s="20"/>
      <c r="R614" s="20"/>
      <c r="S614" s="20"/>
      <c r="T614" s="124"/>
      <c r="U614" s="127"/>
      <c r="V614" s="20"/>
      <c r="W614" s="20"/>
      <c r="X614" s="20"/>
      <c r="Y614" s="20"/>
      <c r="Z614" s="20"/>
      <c r="AA614" s="20"/>
      <c r="AB614" s="20"/>
      <c r="AC614" s="20"/>
      <c r="AD614" s="20"/>
    </row>
    <row r="615" spans="1:30" ht="19.5">
      <c r="A615" s="20"/>
      <c r="B615" s="20"/>
      <c r="C615" s="20"/>
      <c r="D615" s="20"/>
      <c r="E615" s="20"/>
      <c r="F615" s="124"/>
      <c r="G615" s="20"/>
      <c r="H615" s="20"/>
      <c r="I615" s="20"/>
      <c r="J615" s="124"/>
      <c r="K615" s="127"/>
      <c r="L615" s="20"/>
      <c r="M615" s="20"/>
      <c r="N615" s="20"/>
      <c r="O615" s="124"/>
      <c r="P615" s="127"/>
      <c r="Q615" s="20"/>
      <c r="R615" s="20"/>
      <c r="S615" s="20"/>
      <c r="T615" s="124"/>
      <c r="U615" s="127"/>
      <c r="V615" s="20"/>
      <c r="W615" s="20"/>
      <c r="X615" s="20"/>
      <c r="Y615" s="20"/>
      <c r="Z615" s="20"/>
      <c r="AA615" s="20"/>
      <c r="AB615" s="20"/>
      <c r="AC615" s="20"/>
      <c r="AD615" s="20"/>
    </row>
    <row r="616" spans="1:30" ht="19.5">
      <c r="A616" s="20"/>
      <c r="B616" s="20"/>
      <c r="C616" s="20"/>
      <c r="D616" s="20"/>
      <c r="E616" s="20"/>
      <c r="F616" s="124"/>
      <c r="G616" s="20"/>
      <c r="H616" s="20"/>
      <c r="I616" s="20"/>
      <c r="J616" s="124"/>
      <c r="K616" s="127"/>
      <c r="L616" s="20"/>
      <c r="M616" s="20"/>
      <c r="N616" s="20"/>
      <c r="O616" s="124"/>
      <c r="P616" s="127"/>
      <c r="Q616" s="20"/>
      <c r="R616" s="20"/>
      <c r="S616" s="20"/>
      <c r="T616" s="124"/>
      <c r="U616" s="127"/>
      <c r="V616" s="20"/>
      <c r="W616" s="20"/>
      <c r="X616" s="20"/>
      <c r="Y616" s="20"/>
      <c r="Z616" s="20"/>
      <c r="AA616" s="20"/>
      <c r="AB616" s="20"/>
      <c r="AC616" s="20"/>
      <c r="AD616" s="20"/>
    </row>
    <row r="617" spans="1:30" ht="19.5">
      <c r="A617" s="20"/>
      <c r="B617" s="20"/>
      <c r="C617" s="20"/>
      <c r="D617" s="20"/>
      <c r="E617" s="20"/>
      <c r="F617" s="124"/>
      <c r="G617" s="20"/>
      <c r="H617" s="20"/>
      <c r="I617" s="20"/>
      <c r="J617" s="124"/>
      <c r="K617" s="127"/>
      <c r="L617" s="20"/>
      <c r="M617" s="20"/>
      <c r="N617" s="20"/>
      <c r="O617" s="124"/>
      <c r="P617" s="127"/>
      <c r="Q617" s="20"/>
      <c r="R617" s="20"/>
      <c r="S617" s="20"/>
      <c r="T617" s="124"/>
      <c r="U617" s="127"/>
      <c r="V617" s="20"/>
      <c r="W617" s="20"/>
      <c r="X617" s="20"/>
      <c r="Y617" s="20"/>
      <c r="Z617" s="20"/>
      <c r="AA617" s="20"/>
      <c r="AB617" s="20"/>
      <c r="AC617" s="20"/>
      <c r="AD617" s="20"/>
    </row>
    <row r="618" spans="1:30" ht="19.5">
      <c r="A618" s="20"/>
      <c r="B618" s="20"/>
      <c r="C618" s="20"/>
      <c r="D618" s="20"/>
      <c r="E618" s="20"/>
      <c r="F618" s="124"/>
      <c r="G618" s="20"/>
      <c r="H618" s="20"/>
      <c r="I618" s="20"/>
      <c r="J618" s="124"/>
      <c r="K618" s="127"/>
      <c r="L618" s="20"/>
      <c r="M618" s="20"/>
      <c r="N618" s="20"/>
      <c r="O618" s="124"/>
      <c r="P618" s="127"/>
      <c r="Q618" s="20"/>
      <c r="R618" s="20"/>
      <c r="S618" s="20"/>
      <c r="T618" s="124"/>
      <c r="U618" s="127"/>
      <c r="V618" s="20"/>
      <c r="W618" s="20"/>
      <c r="X618" s="20"/>
      <c r="Y618" s="20"/>
      <c r="Z618" s="20"/>
      <c r="AA618" s="20"/>
      <c r="AB618" s="20"/>
      <c r="AC618" s="20"/>
      <c r="AD618" s="20"/>
    </row>
    <row r="619" spans="1:30" ht="19.5">
      <c r="A619" s="20"/>
      <c r="B619" s="20"/>
      <c r="C619" s="20"/>
      <c r="D619" s="20"/>
      <c r="E619" s="20"/>
      <c r="F619" s="124"/>
      <c r="G619" s="20"/>
      <c r="H619" s="20"/>
      <c r="I619" s="20"/>
      <c r="J619" s="124"/>
      <c r="K619" s="127"/>
      <c r="L619" s="20"/>
      <c r="M619" s="20"/>
      <c r="N619" s="20"/>
      <c r="O619" s="124"/>
      <c r="P619" s="127"/>
      <c r="Q619" s="20"/>
      <c r="R619" s="20"/>
      <c r="S619" s="20"/>
      <c r="T619" s="124"/>
      <c r="U619" s="127"/>
      <c r="V619" s="20"/>
      <c r="W619" s="20"/>
      <c r="X619" s="20"/>
      <c r="Y619" s="20"/>
      <c r="Z619" s="20"/>
      <c r="AA619" s="20"/>
      <c r="AB619" s="20"/>
      <c r="AC619" s="20"/>
      <c r="AD619" s="20"/>
    </row>
    <row r="620" spans="1:30" ht="19.5">
      <c r="A620" s="20"/>
      <c r="B620" s="20"/>
      <c r="C620" s="20"/>
      <c r="D620" s="20"/>
      <c r="E620" s="20"/>
      <c r="F620" s="124"/>
      <c r="G620" s="20"/>
      <c r="H620" s="20"/>
      <c r="I620" s="20"/>
      <c r="J620" s="124"/>
      <c r="K620" s="127"/>
      <c r="L620" s="20"/>
      <c r="M620" s="20"/>
      <c r="N620" s="20"/>
      <c r="O620" s="124"/>
      <c r="P620" s="127"/>
      <c r="Q620" s="20"/>
      <c r="R620" s="20"/>
      <c r="S620" s="20"/>
      <c r="T620" s="124"/>
      <c r="U620" s="127"/>
      <c r="V620" s="20"/>
      <c r="W620" s="20"/>
      <c r="X620" s="20"/>
      <c r="Y620" s="20"/>
      <c r="Z620" s="20"/>
      <c r="AA620" s="20"/>
      <c r="AB620" s="20"/>
      <c r="AC620" s="20"/>
      <c r="AD620" s="20"/>
    </row>
    <row r="621" spans="1:30" ht="19.5">
      <c r="A621" s="20"/>
      <c r="B621" s="20"/>
      <c r="C621" s="20"/>
      <c r="D621" s="20"/>
      <c r="E621" s="20"/>
      <c r="F621" s="124"/>
      <c r="G621" s="20"/>
      <c r="H621" s="20"/>
      <c r="I621" s="20"/>
      <c r="J621" s="124"/>
      <c r="K621" s="127"/>
      <c r="L621" s="20"/>
      <c r="M621" s="20"/>
      <c r="N621" s="20"/>
      <c r="O621" s="124"/>
      <c r="P621" s="127"/>
      <c r="Q621" s="20"/>
      <c r="R621" s="20"/>
      <c r="S621" s="20"/>
      <c r="T621" s="124"/>
      <c r="U621" s="127"/>
      <c r="V621" s="20"/>
      <c r="W621" s="20"/>
      <c r="X621" s="20"/>
      <c r="Y621" s="20"/>
      <c r="Z621" s="20"/>
      <c r="AA621" s="20"/>
      <c r="AB621" s="20"/>
      <c r="AC621" s="20"/>
      <c r="AD621" s="20"/>
    </row>
    <row r="622" spans="1:30" ht="19.5">
      <c r="A622" s="20"/>
      <c r="B622" s="20"/>
      <c r="C622" s="20"/>
      <c r="D622" s="20"/>
      <c r="E622" s="20"/>
      <c r="F622" s="124"/>
      <c r="G622" s="20"/>
      <c r="H622" s="20"/>
      <c r="I622" s="20"/>
      <c r="J622" s="124"/>
      <c r="K622" s="127"/>
      <c r="L622" s="20"/>
      <c r="M622" s="20"/>
      <c r="N622" s="20"/>
      <c r="O622" s="124"/>
      <c r="P622" s="127"/>
      <c r="Q622" s="20"/>
      <c r="R622" s="20"/>
      <c r="S622" s="20"/>
      <c r="T622" s="124"/>
      <c r="U622" s="127"/>
      <c r="V622" s="20"/>
      <c r="W622" s="20"/>
      <c r="X622" s="20"/>
      <c r="Y622" s="20"/>
      <c r="Z622" s="20"/>
      <c r="AA622" s="20"/>
      <c r="AB622" s="20"/>
      <c r="AC622" s="20"/>
      <c r="AD622" s="20"/>
    </row>
    <row r="623" spans="1:30" ht="19.5">
      <c r="A623" s="20"/>
      <c r="B623" s="20"/>
      <c r="C623" s="20"/>
      <c r="D623" s="20"/>
      <c r="E623" s="20"/>
      <c r="F623" s="124"/>
      <c r="G623" s="20"/>
      <c r="H623" s="20"/>
      <c r="I623" s="20"/>
      <c r="J623" s="124"/>
      <c r="K623" s="127"/>
      <c r="L623" s="20"/>
      <c r="M623" s="20"/>
      <c r="N623" s="20"/>
      <c r="O623" s="124"/>
      <c r="P623" s="127"/>
      <c r="Q623" s="20"/>
      <c r="R623" s="20"/>
      <c r="S623" s="20"/>
      <c r="T623" s="124"/>
      <c r="U623" s="127"/>
      <c r="V623" s="20"/>
      <c r="W623" s="20"/>
      <c r="X623" s="20"/>
      <c r="Y623" s="20"/>
      <c r="Z623" s="20"/>
      <c r="AA623" s="20"/>
      <c r="AB623" s="20"/>
      <c r="AC623" s="20"/>
      <c r="AD623" s="20"/>
    </row>
    <row r="624" spans="1:30" ht="19.5">
      <c r="A624" s="20"/>
      <c r="B624" s="20"/>
      <c r="C624" s="20"/>
      <c r="D624" s="20"/>
      <c r="E624" s="20"/>
      <c r="F624" s="124"/>
      <c r="G624" s="20"/>
      <c r="H624" s="20"/>
      <c r="I624" s="20"/>
      <c r="J624" s="124"/>
      <c r="K624" s="127"/>
      <c r="L624" s="20"/>
      <c r="M624" s="20"/>
      <c r="N624" s="20"/>
      <c r="O624" s="124"/>
      <c r="P624" s="127"/>
      <c r="Q624" s="20"/>
      <c r="R624" s="20"/>
      <c r="S624" s="20"/>
      <c r="T624" s="124"/>
      <c r="U624" s="127"/>
      <c r="V624" s="20"/>
      <c r="W624" s="20"/>
      <c r="X624" s="20"/>
      <c r="Y624" s="20"/>
      <c r="Z624" s="20"/>
      <c r="AA624" s="20"/>
      <c r="AB624" s="20"/>
      <c r="AC624" s="20"/>
      <c r="AD624" s="20"/>
    </row>
    <row r="625" spans="1:30" ht="19.5">
      <c r="A625" s="20"/>
      <c r="B625" s="20"/>
      <c r="C625" s="20"/>
      <c r="D625" s="20"/>
      <c r="E625" s="20"/>
      <c r="F625" s="124"/>
      <c r="G625" s="20"/>
      <c r="H625" s="20"/>
      <c r="I625" s="20"/>
      <c r="J625" s="124"/>
      <c r="K625" s="127"/>
      <c r="L625" s="20"/>
      <c r="M625" s="20"/>
      <c r="N625" s="20"/>
      <c r="O625" s="124"/>
      <c r="P625" s="127"/>
      <c r="Q625" s="20"/>
      <c r="R625" s="20"/>
      <c r="S625" s="20"/>
      <c r="T625" s="124"/>
      <c r="U625" s="127"/>
      <c r="V625" s="20"/>
      <c r="W625" s="20"/>
      <c r="X625" s="20"/>
      <c r="Y625" s="20"/>
      <c r="Z625" s="20"/>
      <c r="AA625" s="20"/>
      <c r="AB625" s="20"/>
      <c r="AC625" s="20"/>
      <c r="AD625" s="20"/>
    </row>
    <row r="626" spans="1:30" ht="19.5">
      <c r="A626" s="20"/>
      <c r="B626" s="20"/>
      <c r="C626" s="20"/>
      <c r="D626" s="20"/>
      <c r="E626" s="20"/>
      <c r="F626" s="124"/>
      <c r="G626" s="20"/>
      <c r="H626" s="20"/>
      <c r="I626" s="20"/>
      <c r="J626" s="124"/>
      <c r="K626" s="127"/>
      <c r="L626" s="20"/>
      <c r="M626" s="20"/>
      <c r="N626" s="20"/>
      <c r="O626" s="124"/>
      <c r="P626" s="127"/>
      <c r="Q626" s="20"/>
      <c r="R626" s="20"/>
      <c r="S626" s="20"/>
      <c r="T626" s="124"/>
      <c r="U626" s="127"/>
      <c r="V626" s="20"/>
      <c r="W626" s="20"/>
      <c r="X626" s="20"/>
      <c r="Y626" s="20"/>
      <c r="Z626" s="20"/>
      <c r="AA626" s="20"/>
      <c r="AB626" s="20"/>
      <c r="AC626" s="20"/>
      <c r="AD626" s="20"/>
    </row>
    <row r="627" spans="1:30" ht="19.5">
      <c r="A627" s="20"/>
      <c r="B627" s="20"/>
      <c r="C627" s="20"/>
      <c r="D627" s="20"/>
      <c r="E627" s="20"/>
      <c r="F627" s="124"/>
      <c r="G627" s="20"/>
      <c r="H627" s="20"/>
      <c r="I627" s="20"/>
      <c r="J627" s="124"/>
      <c r="K627" s="127"/>
      <c r="L627" s="20"/>
      <c r="M627" s="20"/>
      <c r="N627" s="20"/>
      <c r="O627" s="124"/>
      <c r="P627" s="127"/>
      <c r="Q627" s="20"/>
      <c r="R627" s="20"/>
      <c r="S627" s="20"/>
      <c r="T627" s="124"/>
      <c r="U627" s="127"/>
      <c r="V627" s="20"/>
      <c r="W627" s="20"/>
      <c r="X627" s="20"/>
      <c r="Y627" s="20"/>
      <c r="Z627" s="20"/>
      <c r="AA627" s="20"/>
      <c r="AB627" s="20"/>
      <c r="AC627" s="20"/>
      <c r="AD627" s="20"/>
    </row>
    <row r="628" spans="1:30" ht="19.5">
      <c r="A628" s="20"/>
      <c r="B628" s="20"/>
      <c r="C628" s="20"/>
      <c r="D628" s="20"/>
      <c r="E628" s="20"/>
      <c r="F628" s="124"/>
      <c r="G628" s="20"/>
      <c r="H628" s="20"/>
      <c r="I628" s="20"/>
      <c r="J628" s="124"/>
      <c r="K628" s="127"/>
      <c r="L628" s="20"/>
      <c r="M628" s="20"/>
      <c r="N628" s="20"/>
      <c r="O628" s="124"/>
      <c r="P628" s="127"/>
      <c r="Q628" s="20"/>
      <c r="R628" s="20"/>
      <c r="S628" s="20"/>
      <c r="T628" s="124"/>
      <c r="U628" s="127"/>
      <c r="V628" s="20"/>
      <c r="W628" s="20"/>
      <c r="X628" s="20"/>
      <c r="Y628" s="20"/>
      <c r="Z628" s="20"/>
      <c r="AA628" s="20"/>
      <c r="AB628" s="20"/>
      <c r="AC628" s="20"/>
      <c r="AD628" s="20"/>
    </row>
    <row r="629" spans="1:30" ht="19.5">
      <c r="A629" s="20"/>
      <c r="B629" s="20"/>
      <c r="C629" s="20"/>
      <c r="D629" s="20"/>
      <c r="E629" s="20"/>
      <c r="F629" s="124"/>
      <c r="G629" s="20"/>
      <c r="H629" s="20"/>
      <c r="I629" s="20"/>
      <c r="J629" s="124"/>
      <c r="K629" s="127"/>
      <c r="L629" s="20"/>
      <c r="M629" s="20"/>
      <c r="N629" s="20"/>
      <c r="O629" s="124"/>
      <c r="P629" s="127"/>
      <c r="Q629" s="20"/>
      <c r="R629" s="20"/>
      <c r="S629" s="20"/>
      <c r="T629" s="124"/>
      <c r="U629" s="127"/>
      <c r="V629" s="20"/>
      <c r="W629" s="20"/>
      <c r="X629" s="20"/>
      <c r="Y629" s="20"/>
      <c r="Z629" s="20"/>
      <c r="AA629" s="20"/>
      <c r="AB629" s="20"/>
      <c r="AC629" s="20"/>
      <c r="AD629" s="20"/>
    </row>
    <row r="630" spans="1:30" ht="19.5">
      <c r="A630" s="20"/>
      <c r="B630" s="20"/>
      <c r="C630" s="20"/>
      <c r="D630" s="20"/>
      <c r="E630" s="20"/>
      <c r="F630" s="124"/>
      <c r="G630" s="20"/>
      <c r="H630" s="20"/>
      <c r="I630" s="20"/>
      <c r="J630" s="124"/>
      <c r="K630" s="127"/>
      <c r="L630" s="20"/>
      <c r="M630" s="20"/>
      <c r="N630" s="20"/>
      <c r="O630" s="124"/>
      <c r="P630" s="127"/>
      <c r="Q630" s="20"/>
      <c r="R630" s="20"/>
      <c r="S630" s="20"/>
      <c r="T630" s="124"/>
      <c r="U630" s="127"/>
      <c r="V630" s="20"/>
      <c r="W630" s="20"/>
      <c r="X630" s="20"/>
      <c r="Y630" s="20"/>
      <c r="Z630" s="20"/>
      <c r="AA630" s="20"/>
      <c r="AB630" s="20"/>
      <c r="AC630" s="20"/>
      <c r="AD630" s="20"/>
    </row>
    <row r="631" spans="1:30" ht="19.5">
      <c r="A631" s="20"/>
      <c r="B631" s="20"/>
      <c r="C631" s="20"/>
      <c r="D631" s="20"/>
      <c r="E631" s="20"/>
      <c r="F631" s="124"/>
      <c r="G631" s="20"/>
      <c r="H631" s="20"/>
      <c r="I631" s="20"/>
      <c r="J631" s="124"/>
      <c r="K631" s="127"/>
      <c r="L631" s="20"/>
      <c r="M631" s="20"/>
      <c r="N631" s="20"/>
      <c r="O631" s="124"/>
      <c r="P631" s="127"/>
      <c r="Q631" s="20"/>
      <c r="R631" s="20"/>
      <c r="S631" s="20"/>
      <c r="T631" s="124"/>
      <c r="U631" s="127"/>
      <c r="V631" s="20"/>
      <c r="W631" s="20"/>
      <c r="X631" s="20"/>
      <c r="Y631" s="20"/>
      <c r="Z631" s="20"/>
      <c r="AA631" s="20"/>
      <c r="AB631" s="20"/>
      <c r="AC631" s="20"/>
      <c r="AD631" s="20"/>
    </row>
    <row r="632" spans="1:30" ht="19.5">
      <c r="A632" s="20"/>
      <c r="B632" s="20"/>
      <c r="C632" s="20"/>
      <c r="D632" s="20"/>
      <c r="E632" s="20"/>
      <c r="F632" s="124"/>
      <c r="G632" s="20"/>
      <c r="H632" s="20"/>
      <c r="I632" s="20"/>
      <c r="J632" s="124"/>
      <c r="K632" s="127"/>
      <c r="L632" s="20"/>
      <c r="M632" s="20"/>
      <c r="N632" s="20"/>
      <c r="O632" s="124"/>
      <c r="P632" s="127"/>
      <c r="Q632" s="20"/>
      <c r="R632" s="20"/>
      <c r="S632" s="20"/>
      <c r="T632" s="124"/>
      <c r="U632" s="127"/>
      <c r="V632" s="20"/>
      <c r="W632" s="20"/>
      <c r="X632" s="20"/>
      <c r="Y632" s="20"/>
      <c r="Z632" s="20"/>
      <c r="AA632" s="20"/>
      <c r="AB632" s="20"/>
      <c r="AC632" s="20"/>
      <c r="AD632" s="20"/>
    </row>
    <row r="633" spans="1:30" ht="19.5">
      <c r="A633" s="20"/>
      <c r="B633" s="20"/>
      <c r="C633" s="20"/>
      <c r="D633" s="20"/>
      <c r="E633" s="20"/>
      <c r="F633" s="124"/>
      <c r="G633" s="20"/>
      <c r="H633" s="20"/>
      <c r="I633" s="20"/>
      <c r="J633" s="124"/>
      <c r="K633" s="127"/>
      <c r="L633" s="20"/>
      <c r="M633" s="20"/>
      <c r="N633" s="20"/>
      <c r="O633" s="124"/>
      <c r="P633" s="127"/>
      <c r="Q633" s="20"/>
      <c r="R633" s="20"/>
      <c r="S633" s="20"/>
      <c r="T633" s="124"/>
      <c r="U633" s="127"/>
      <c r="V633" s="20"/>
      <c r="W633" s="20"/>
      <c r="X633" s="20"/>
      <c r="Y633" s="20"/>
      <c r="Z633" s="20"/>
      <c r="AA633" s="20"/>
      <c r="AB633" s="20"/>
      <c r="AC633" s="20"/>
      <c r="AD633" s="20"/>
    </row>
    <row r="634" spans="1:30" ht="19.5">
      <c r="A634" s="20"/>
      <c r="B634" s="20"/>
      <c r="C634" s="20"/>
      <c r="D634" s="20"/>
      <c r="E634" s="20"/>
      <c r="F634" s="124"/>
      <c r="G634" s="20"/>
      <c r="H634" s="20"/>
      <c r="I634" s="20"/>
      <c r="J634" s="124"/>
      <c r="K634" s="127"/>
      <c r="L634" s="20"/>
      <c r="M634" s="20"/>
      <c r="N634" s="20"/>
      <c r="O634" s="124"/>
      <c r="P634" s="127"/>
      <c r="Q634" s="20"/>
      <c r="R634" s="20"/>
      <c r="S634" s="20"/>
      <c r="T634" s="124"/>
      <c r="U634" s="127"/>
      <c r="V634" s="20"/>
      <c r="W634" s="20"/>
      <c r="X634" s="20"/>
      <c r="Y634" s="20"/>
      <c r="Z634" s="20"/>
      <c r="AA634" s="20"/>
      <c r="AB634" s="20"/>
      <c r="AC634" s="20"/>
      <c r="AD634" s="20"/>
    </row>
    <row r="635" spans="1:30" ht="19.5">
      <c r="A635" s="20"/>
      <c r="B635" s="20"/>
      <c r="C635" s="20"/>
      <c r="D635" s="20"/>
      <c r="E635" s="20"/>
      <c r="F635" s="124"/>
      <c r="G635" s="20"/>
      <c r="H635" s="20"/>
      <c r="I635" s="20"/>
      <c r="J635" s="124"/>
      <c r="K635" s="127"/>
      <c r="L635" s="20"/>
      <c r="M635" s="20"/>
      <c r="N635" s="20"/>
      <c r="O635" s="124"/>
      <c r="P635" s="127"/>
      <c r="Q635" s="20"/>
      <c r="R635" s="20"/>
      <c r="S635" s="20"/>
      <c r="T635" s="124"/>
      <c r="U635" s="127"/>
      <c r="V635" s="20"/>
      <c r="W635" s="20"/>
      <c r="X635" s="20"/>
      <c r="Y635" s="20"/>
      <c r="Z635" s="20"/>
      <c r="AA635" s="20"/>
      <c r="AB635" s="20"/>
      <c r="AC635" s="20"/>
      <c r="AD635" s="20"/>
    </row>
    <row r="636" spans="1:30" ht="19.5">
      <c r="A636" s="20"/>
      <c r="B636" s="20"/>
      <c r="C636" s="20"/>
      <c r="D636" s="20"/>
      <c r="E636" s="20"/>
      <c r="F636" s="124"/>
      <c r="G636" s="20"/>
      <c r="H636" s="20"/>
      <c r="I636" s="20"/>
      <c r="J636" s="124"/>
      <c r="K636" s="127"/>
      <c r="L636" s="20"/>
      <c r="M636" s="20"/>
      <c r="N636" s="20"/>
      <c r="O636" s="124"/>
      <c r="P636" s="127"/>
      <c r="Q636" s="20"/>
      <c r="R636" s="20"/>
      <c r="S636" s="20"/>
      <c r="T636" s="124"/>
      <c r="U636" s="127"/>
      <c r="V636" s="20"/>
      <c r="W636" s="20"/>
      <c r="X636" s="20"/>
      <c r="Y636" s="20"/>
      <c r="Z636" s="20"/>
      <c r="AA636" s="20"/>
      <c r="AB636" s="20"/>
      <c r="AC636" s="20"/>
      <c r="AD636" s="20"/>
    </row>
    <row r="637" spans="1:30" ht="19.5">
      <c r="A637" s="20"/>
      <c r="B637" s="20"/>
      <c r="C637" s="20"/>
      <c r="D637" s="20"/>
      <c r="E637" s="20"/>
      <c r="F637" s="124"/>
      <c r="G637" s="20"/>
      <c r="H637" s="20"/>
      <c r="I637" s="20"/>
      <c r="J637" s="124"/>
      <c r="K637" s="127"/>
      <c r="L637" s="20"/>
      <c r="M637" s="20"/>
      <c r="N637" s="20"/>
      <c r="O637" s="124"/>
      <c r="P637" s="127"/>
      <c r="Q637" s="20"/>
      <c r="R637" s="20"/>
      <c r="S637" s="20"/>
      <c r="T637" s="124"/>
      <c r="U637" s="127"/>
      <c r="V637" s="20"/>
      <c r="W637" s="20"/>
      <c r="X637" s="20"/>
      <c r="Y637" s="20"/>
      <c r="Z637" s="20"/>
      <c r="AA637" s="20"/>
      <c r="AB637" s="20"/>
      <c r="AC637" s="20"/>
      <c r="AD637" s="20"/>
    </row>
    <row r="638" spans="1:30" ht="19.5">
      <c r="A638" s="20"/>
      <c r="B638" s="20"/>
      <c r="C638" s="20"/>
      <c r="D638" s="20"/>
      <c r="E638" s="20"/>
      <c r="F638" s="124"/>
      <c r="G638" s="20"/>
      <c r="H638" s="20"/>
      <c r="I638" s="20"/>
      <c r="J638" s="124"/>
      <c r="K638" s="127"/>
      <c r="L638" s="20"/>
      <c r="M638" s="20"/>
      <c r="N638" s="20"/>
      <c r="O638" s="124"/>
      <c r="P638" s="127"/>
      <c r="Q638" s="20"/>
      <c r="R638" s="20"/>
      <c r="S638" s="20"/>
      <c r="T638" s="124"/>
      <c r="U638" s="127"/>
      <c r="V638" s="20"/>
      <c r="W638" s="20"/>
      <c r="X638" s="20"/>
      <c r="Y638" s="20"/>
      <c r="Z638" s="20"/>
      <c r="AA638" s="20"/>
      <c r="AB638" s="20"/>
      <c r="AC638" s="20"/>
      <c r="AD638" s="20"/>
    </row>
    <row r="639" spans="1:30" ht="19.5">
      <c r="A639" s="20"/>
      <c r="B639" s="20"/>
      <c r="C639" s="20"/>
      <c r="D639" s="20"/>
      <c r="E639" s="20"/>
      <c r="F639" s="124"/>
      <c r="G639" s="20"/>
      <c r="H639" s="20"/>
      <c r="I639" s="20"/>
      <c r="J639" s="124"/>
      <c r="K639" s="127"/>
      <c r="L639" s="20"/>
      <c r="M639" s="20"/>
      <c r="N639" s="20"/>
      <c r="O639" s="124"/>
      <c r="P639" s="127"/>
      <c r="Q639" s="20"/>
      <c r="R639" s="20"/>
      <c r="S639" s="20"/>
      <c r="T639" s="124"/>
      <c r="U639" s="127"/>
      <c r="V639" s="20"/>
      <c r="W639" s="20"/>
      <c r="X639" s="20"/>
      <c r="Y639" s="20"/>
      <c r="Z639" s="20"/>
      <c r="AA639" s="20"/>
      <c r="AB639" s="20"/>
      <c r="AC639" s="20"/>
      <c r="AD639" s="20"/>
    </row>
    <row r="640" spans="1:30" ht="19.5">
      <c r="A640" s="20"/>
      <c r="B640" s="20"/>
      <c r="C640" s="20"/>
      <c r="D640" s="20"/>
      <c r="E640" s="20"/>
      <c r="F640" s="124"/>
      <c r="G640" s="20"/>
      <c r="H640" s="20"/>
      <c r="I640" s="20"/>
      <c r="J640" s="124"/>
      <c r="K640" s="127"/>
      <c r="L640" s="20"/>
      <c r="M640" s="20"/>
      <c r="N640" s="20"/>
      <c r="O640" s="124"/>
      <c r="P640" s="127"/>
      <c r="Q640" s="20"/>
      <c r="R640" s="20"/>
      <c r="S640" s="20"/>
      <c r="T640" s="124"/>
      <c r="U640" s="127"/>
      <c r="V640" s="20"/>
      <c r="W640" s="20"/>
      <c r="X640" s="20"/>
      <c r="Y640" s="20"/>
      <c r="Z640" s="20"/>
      <c r="AA640" s="20"/>
      <c r="AB640" s="20"/>
      <c r="AC640" s="20"/>
      <c r="AD640" s="20"/>
    </row>
    <row r="641" spans="1:30" ht="19.5">
      <c r="A641" s="20"/>
      <c r="B641" s="20"/>
      <c r="C641" s="20"/>
      <c r="D641" s="20"/>
      <c r="E641" s="20"/>
      <c r="F641" s="124"/>
      <c r="G641" s="20"/>
      <c r="H641" s="20"/>
      <c r="I641" s="20"/>
      <c r="J641" s="124"/>
      <c r="K641" s="127"/>
      <c r="L641" s="20"/>
      <c r="M641" s="20"/>
      <c r="N641" s="20"/>
      <c r="O641" s="124"/>
      <c r="P641" s="127"/>
      <c r="Q641" s="20"/>
      <c r="R641" s="20"/>
      <c r="S641" s="20"/>
      <c r="T641" s="124"/>
      <c r="U641" s="127"/>
      <c r="V641" s="20"/>
      <c r="W641" s="20"/>
      <c r="X641" s="20"/>
      <c r="Y641" s="20"/>
      <c r="Z641" s="20"/>
      <c r="AA641" s="20"/>
      <c r="AB641" s="20"/>
      <c r="AC641" s="20"/>
      <c r="AD641" s="20"/>
    </row>
    <row r="642" spans="1:30" ht="19.5">
      <c r="A642" s="20"/>
      <c r="B642" s="20"/>
      <c r="C642" s="20"/>
      <c r="D642" s="20"/>
      <c r="E642" s="20"/>
      <c r="F642" s="124"/>
      <c r="G642" s="20"/>
      <c r="H642" s="20"/>
      <c r="I642" s="20"/>
      <c r="J642" s="124"/>
      <c r="K642" s="127"/>
      <c r="L642" s="20"/>
      <c r="M642" s="20"/>
      <c r="N642" s="20"/>
      <c r="O642" s="124"/>
      <c r="P642" s="127"/>
      <c r="Q642" s="20"/>
      <c r="R642" s="20"/>
      <c r="S642" s="20"/>
      <c r="T642" s="124"/>
      <c r="U642" s="127"/>
      <c r="V642" s="20"/>
      <c r="W642" s="20"/>
      <c r="X642" s="20"/>
      <c r="Y642" s="20"/>
      <c r="Z642" s="20"/>
      <c r="AA642" s="20"/>
      <c r="AB642" s="20"/>
      <c r="AC642" s="20"/>
      <c r="AD642" s="20"/>
    </row>
    <row r="643" spans="1:30" ht="19.5">
      <c r="A643" s="20"/>
      <c r="B643" s="20"/>
      <c r="C643" s="20"/>
      <c r="D643" s="20"/>
      <c r="E643" s="20"/>
      <c r="F643" s="124"/>
      <c r="G643" s="20"/>
      <c r="H643" s="20"/>
      <c r="I643" s="20"/>
      <c r="J643" s="124"/>
      <c r="K643" s="127"/>
      <c r="L643" s="20"/>
      <c r="M643" s="20"/>
      <c r="N643" s="20"/>
      <c r="O643" s="124"/>
      <c r="P643" s="127"/>
      <c r="Q643" s="20"/>
      <c r="R643" s="20"/>
      <c r="S643" s="20"/>
      <c r="T643" s="124"/>
      <c r="U643" s="127"/>
      <c r="V643" s="20"/>
      <c r="W643" s="20"/>
      <c r="X643" s="20"/>
      <c r="Y643" s="20"/>
      <c r="Z643" s="20"/>
      <c r="AA643" s="20"/>
      <c r="AB643" s="20"/>
      <c r="AC643" s="20"/>
      <c r="AD643" s="20"/>
    </row>
    <row r="644" spans="1:30" ht="19.5">
      <c r="A644" s="20"/>
      <c r="B644" s="20"/>
      <c r="C644" s="20"/>
      <c r="D644" s="20"/>
      <c r="E644" s="20"/>
      <c r="F644" s="124"/>
      <c r="G644" s="20"/>
      <c r="H644" s="20"/>
      <c r="I644" s="20"/>
      <c r="J644" s="124"/>
      <c r="K644" s="127"/>
      <c r="L644" s="20"/>
      <c r="M644" s="20"/>
      <c r="N644" s="20"/>
      <c r="O644" s="124"/>
      <c r="P644" s="127"/>
      <c r="Q644" s="20"/>
      <c r="R644" s="20"/>
      <c r="S644" s="20"/>
      <c r="T644" s="124"/>
      <c r="U644" s="127"/>
      <c r="V644" s="20"/>
      <c r="W644" s="20"/>
      <c r="X644" s="20"/>
      <c r="Y644" s="20"/>
      <c r="Z644" s="20"/>
      <c r="AA644" s="20"/>
      <c r="AB644" s="20"/>
      <c r="AC644" s="20"/>
      <c r="AD644" s="20"/>
    </row>
    <row r="645" spans="1:30" ht="19.5">
      <c r="A645" s="20"/>
      <c r="B645" s="20"/>
      <c r="C645" s="20"/>
      <c r="D645" s="20"/>
      <c r="E645" s="20"/>
      <c r="F645" s="124"/>
      <c r="G645" s="20"/>
      <c r="H645" s="20"/>
      <c r="I645" s="20"/>
      <c r="J645" s="124"/>
      <c r="K645" s="127"/>
      <c r="L645" s="20"/>
      <c r="M645" s="20"/>
      <c r="N645" s="20"/>
      <c r="O645" s="124"/>
      <c r="P645" s="127"/>
      <c r="Q645" s="20"/>
      <c r="R645" s="20"/>
      <c r="S645" s="20"/>
      <c r="T645" s="124"/>
      <c r="U645" s="127"/>
      <c r="V645" s="20"/>
      <c r="W645" s="20"/>
      <c r="X645" s="20"/>
      <c r="Y645" s="20"/>
      <c r="Z645" s="20"/>
      <c r="AA645" s="20"/>
      <c r="AB645" s="20"/>
      <c r="AC645" s="20"/>
      <c r="AD645" s="20"/>
    </row>
    <row r="646" spans="1:30" ht="19.5">
      <c r="A646" s="20"/>
      <c r="B646" s="20"/>
      <c r="C646" s="20"/>
      <c r="D646" s="20"/>
      <c r="E646" s="20"/>
      <c r="F646" s="124"/>
      <c r="G646" s="20"/>
      <c r="H646" s="20"/>
      <c r="I646" s="20"/>
      <c r="J646" s="124"/>
      <c r="K646" s="127"/>
      <c r="L646" s="20"/>
      <c r="M646" s="20"/>
      <c r="N646" s="20"/>
      <c r="O646" s="124"/>
      <c r="P646" s="127"/>
      <c r="Q646" s="20"/>
      <c r="R646" s="20"/>
      <c r="S646" s="20"/>
      <c r="T646" s="124"/>
      <c r="U646" s="127"/>
      <c r="V646" s="20"/>
      <c r="W646" s="20"/>
      <c r="X646" s="20"/>
      <c r="Y646" s="20"/>
      <c r="Z646" s="20"/>
      <c r="AA646" s="20"/>
      <c r="AB646" s="20"/>
      <c r="AC646" s="20"/>
      <c r="AD646" s="20"/>
    </row>
    <row r="647" spans="1:30" ht="19.5">
      <c r="A647" s="20"/>
      <c r="B647" s="20"/>
      <c r="C647" s="20"/>
      <c r="D647" s="20"/>
      <c r="E647" s="20"/>
      <c r="F647" s="124"/>
      <c r="G647" s="20"/>
      <c r="H647" s="20"/>
      <c r="I647" s="20"/>
      <c r="J647" s="124"/>
      <c r="K647" s="127"/>
      <c r="L647" s="20"/>
      <c r="M647" s="20"/>
      <c r="N647" s="20"/>
      <c r="O647" s="124"/>
      <c r="P647" s="127"/>
      <c r="Q647" s="20"/>
      <c r="R647" s="20"/>
      <c r="S647" s="20"/>
      <c r="T647" s="124"/>
      <c r="U647" s="127"/>
      <c r="V647" s="20"/>
      <c r="W647" s="20"/>
      <c r="X647" s="20"/>
      <c r="Y647" s="20"/>
      <c r="Z647" s="20"/>
      <c r="AA647" s="20"/>
      <c r="AB647" s="20"/>
      <c r="AC647" s="20"/>
      <c r="AD647" s="20"/>
    </row>
    <row r="648" spans="1:30" ht="19.5">
      <c r="A648" s="20"/>
      <c r="B648" s="20"/>
      <c r="C648" s="20"/>
      <c r="D648" s="20"/>
      <c r="E648" s="20"/>
      <c r="F648" s="124"/>
      <c r="G648" s="20"/>
      <c r="H648" s="20"/>
      <c r="I648" s="20"/>
      <c r="J648" s="124"/>
      <c r="K648" s="127"/>
      <c r="L648" s="20"/>
      <c r="M648" s="20"/>
      <c r="N648" s="20"/>
      <c r="O648" s="124"/>
      <c r="P648" s="127"/>
      <c r="Q648" s="20"/>
      <c r="R648" s="20"/>
      <c r="S648" s="20"/>
      <c r="T648" s="124"/>
      <c r="U648" s="127"/>
      <c r="V648" s="20"/>
      <c r="W648" s="20"/>
      <c r="X648" s="20"/>
      <c r="Y648" s="20"/>
      <c r="Z648" s="20"/>
      <c r="AA648" s="20"/>
      <c r="AB648" s="20"/>
      <c r="AC648" s="20"/>
      <c r="AD648" s="20"/>
    </row>
    <row r="649" spans="1:30" ht="19.5">
      <c r="A649" s="20"/>
      <c r="B649" s="20"/>
      <c r="C649" s="20"/>
      <c r="D649" s="20"/>
      <c r="E649" s="20"/>
      <c r="F649" s="124"/>
      <c r="G649" s="20"/>
      <c r="H649" s="20"/>
      <c r="I649" s="20"/>
      <c r="J649" s="124"/>
      <c r="K649" s="127"/>
      <c r="L649" s="20"/>
      <c r="M649" s="20"/>
      <c r="N649" s="20"/>
      <c r="O649" s="124"/>
      <c r="P649" s="127"/>
      <c r="Q649" s="20"/>
      <c r="R649" s="20"/>
      <c r="S649" s="20"/>
      <c r="T649" s="124"/>
      <c r="U649" s="127"/>
      <c r="V649" s="20"/>
      <c r="W649" s="20"/>
      <c r="X649" s="20"/>
      <c r="Y649" s="20"/>
      <c r="Z649" s="20"/>
      <c r="AA649" s="20"/>
      <c r="AB649" s="20"/>
      <c r="AC649" s="20"/>
      <c r="AD649" s="20"/>
    </row>
    <row r="650" spans="1:30" ht="19.5">
      <c r="A650" s="20"/>
      <c r="B650" s="20"/>
      <c r="C650" s="20"/>
      <c r="D650" s="20"/>
      <c r="E650" s="20"/>
      <c r="F650" s="124"/>
      <c r="G650" s="20"/>
      <c r="H650" s="20"/>
      <c r="I650" s="20"/>
      <c r="J650" s="124"/>
      <c r="K650" s="127"/>
      <c r="L650" s="20"/>
      <c r="M650" s="20"/>
      <c r="N650" s="20"/>
      <c r="O650" s="124"/>
      <c r="P650" s="127"/>
      <c r="Q650" s="20"/>
      <c r="R650" s="20"/>
      <c r="S650" s="20"/>
      <c r="T650" s="124"/>
      <c r="U650" s="127"/>
      <c r="V650" s="20"/>
      <c r="W650" s="20"/>
      <c r="X650" s="20"/>
      <c r="Y650" s="20"/>
      <c r="Z650" s="20"/>
      <c r="AA650" s="20"/>
      <c r="AB650" s="20"/>
      <c r="AC650" s="20"/>
      <c r="AD650" s="20"/>
    </row>
    <row r="651" spans="1:30" ht="19.5">
      <c r="A651" s="20"/>
      <c r="B651" s="20"/>
      <c r="C651" s="20"/>
      <c r="D651" s="20"/>
      <c r="E651" s="20"/>
      <c r="F651" s="124"/>
      <c r="G651" s="20"/>
      <c r="H651" s="20"/>
      <c r="I651" s="20"/>
      <c r="J651" s="124"/>
      <c r="K651" s="127"/>
      <c r="L651" s="20"/>
      <c r="M651" s="20"/>
      <c r="N651" s="20"/>
      <c r="O651" s="124"/>
      <c r="P651" s="127"/>
      <c r="Q651" s="20"/>
      <c r="R651" s="20"/>
      <c r="S651" s="20"/>
      <c r="T651" s="124"/>
      <c r="U651" s="127"/>
      <c r="V651" s="20"/>
      <c r="W651" s="20"/>
      <c r="X651" s="20"/>
      <c r="Y651" s="20"/>
      <c r="Z651" s="20"/>
      <c r="AA651" s="20"/>
      <c r="AB651" s="20"/>
      <c r="AC651" s="20"/>
      <c r="AD651" s="20"/>
    </row>
    <row r="652" spans="1:30" ht="19.5">
      <c r="A652" s="20"/>
      <c r="B652" s="20"/>
      <c r="C652" s="20"/>
      <c r="D652" s="20"/>
      <c r="E652" s="20"/>
      <c r="F652" s="124"/>
      <c r="G652" s="20"/>
      <c r="H652" s="20"/>
      <c r="I652" s="20"/>
      <c r="J652" s="124"/>
      <c r="K652" s="127"/>
      <c r="L652" s="20"/>
      <c r="M652" s="20"/>
      <c r="N652" s="20"/>
      <c r="O652" s="124"/>
      <c r="P652" s="127"/>
      <c r="Q652" s="20"/>
      <c r="R652" s="20"/>
      <c r="S652" s="20"/>
      <c r="T652" s="124"/>
      <c r="U652" s="127"/>
      <c r="V652" s="20"/>
      <c r="W652" s="20"/>
      <c r="X652" s="20"/>
      <c r="Y652" s="20"/>
      <c r="Z652" s="20"/>
      <c r="AA652" s="20"/>
      <c r="AB652" s="20"/>
      <c r="AC652" s="20"/>
      <c r="AD652" s="20"/>
    </row>
    <row r="653" spans="1:30" ht="19.5">
      <c r="A653" s="20"/>
      <c r="B653" s="20"/>
      <c r="C653" s="20"/>
      <c r="D653" s="20"/>
      <c r="E653" s="20"/>
      <c r="F653" s="124"/>
      <c r="G653" s="20"/>
      <c r="H653" s="20"/>
      <c r="I653" s="20"/>
      <c r="J653" s="124"/>
      <c r="K653" s="127"/>
      <c r="L653" s="20"/>
      <c r="M653" s="20"/>
      <c r="N653" s="20"/>
      <c r="O653" s="124"/>
      <c r="P653" s="127"/>
      <c r="Q653" s="20"/>
      <c r="R653" s="20"/>
      <c r="S653" s="20"/>
      <c r="T653" s="124"/>
      <c r="U653" s="127"/>
      <c r="V653" s="20"/>
      <c r="W653" s="20"/>
      <c r="X653" s="20"/>
      <c r="Y653" s="20"/>
      <c r="Z653" s="20"/>
      <c r="AA653" s="20"/>
      <c r="AB653" s="20"/>
      <c r="AC653" s="20"/>
      <c r="AD653" s="20"/>
    </row>
    <row r="654" spans="1:30" ht="19.5">
      <c r="A654" s="20"/>
      <c r="B654" s="20"/>
      <c r="C654" s="20"/>
      <c r="D654" s="20"/>
      <c r="E654" s="20"/>
      <c r="F654" s="124"/>
      <c r="G654" s="20"/>
      <c r="H654" s="20"/>
      <c r="I654" s="20"/>
      <c r="J654" s="124"/>
      <c r="K654" s="127"/>
      <c r="L654" s="20"/>
      <c r="M654" s="20"/>
      <c r="N654" s="20"/>
      <c r="O654" s="124"/>
      <c r="P654" s="127"/>
      <c r="Q654" s="20"/>
      <c r="R654" s="20"/>
      <c r="S654" s="20"/>
      <c r="T654" s="124"/>
      <c r="U654" s="127"/>
      <c r="V654" s="20"/>
      <c r="W654" s="20"/>
      <c r="X654" s="20"/>
      <c r="Y654" s="20"/>
      <c r="Z654" s="20"/>
      <c r="AA654" s="20"/>
      <c r="AB654" s="20"/>
      <c r="AC654" s="20"/>
      <c r="AD654" s="20"/>
    </row>
    <row r="655" spans="1:30" ht="19.5">
      <c r="A655" s="20"/>
      <c r="B655" s="20"/>
      <c r="C655" s="20"/>
      <c r="D655" s="20"/>
      <c r="E655" s="20"/>
      <c r="F655" s="124"/>
      <c r="G655" s="20"/>
      <c r="H655" s="20"/>
      <c r="I655" s="20"/>
      <c r="J655" s="124"/>
      <c r="K655" s="127"/>
      <c r="L655" s="20"/>
      <c r="M655" s="20"/>
      <c r="N655" s="20"/>
      <c r="O655" s="124"/>
      <c r="P655" s="127"/>
      <c r="Q655" s="20"/>
      <c r="R655" s="20"/>
      <c r="S655" s="20"/>
      <c r="T655" s="124"/>
      <c r="U655" s="127"/>
      <c r="V655" s="20"/>
      <c r="W655" s="20"/>
      <c r="X655" s="20"/>
      <c r="Y655" s="20"/>
      <c r="Z655" s="20"/>
      <c r="AA655" s="20"/>
      <c r="AB655" s="20"/>
      <c r="AC655" s="20"/>
      <c r="AD655" s="20"/>
    </row>
    <row r="656" spans="1:30" ht="19.5">
      <c r="A656" s="20"/>
      <c r="B656" s="20"/>
      <c r="C656" s="20"/>
      <c r="D656" s="20"/>
      <c r="E656" s="20"/>
      <c r="F656" s="124"/>
      <c r="G656" s="20"/>
      <c r="H656" s="20"/>
      <c r="I656" s="20"/>
      <c r="J656" s="124"/>
      <c r="K656" s="127"/>
      <c r="L656" s="20"/>
      <c r="M656" s="20"/>
      <c r="N656" s="20"/>
      <c r="O656" s="124"/>
      <c r="P656" s="127"/>
      <c r="Q656" s="20"/>
      <c r="R656" s="20"/>
      <c r="S656" s="20"/>
      <c r="T656" s="124"/>
      <c r="U656" s="127"/>
      <c r="V656" s="20"/>
      <c r="W656" s="20"/>
      <c r="X656" s="20"/>
      <c r="Y656" s="20"/>
      <c r="Z656" s="20"/>
      <c r="AA656" s="20"/>
      <c r="AB656" s="20"/>
      <c r="AC656" s="20"/>
      <c r="AD656" s="20"/>
    </row>
    <row r="657" spans="1:30" ht="19.5">
      <c r="A657" s="20"/>
      <c r="B657" s="20"/>
      <c r="C657" s="20"/>
      <c r="D657" s="20"/>
      <c r="E657" s="20"/>
      <c r="F657" s="124"/>
      <c r="G657" s="20"/>
      <c r="H657" s="20"/>
      <c r="I657" s="20"/>
      <c r="J657" s="124"/>
      <c r="K657" s="127"/>
      <c r="L657" s="20"/>
      <c r="M657" s="20"/>
      <c r="N657" s="20"/>
      <c r="O657" s="124"/>
      <c r="P657" s="127"/>
      <c r="Q657" s="20"/>
      <c r="R657" s="20"/>
      <c r="S657" s="20"/>
      <c r="T657" s="124"/>
      <c r="U657" s="127"/>
      <c r="V657" s="20"/>
      <c r="W657" s="20"/>
      <c r="X657" s="20"/>
      <c r="Y657" s="20"/>
      <c r="Z657" s="20"/>
      <c r="AA657" s="20"/>
      <c r="AB657" s="20"/>
      <c r="AC657" s="20"/>
      <c r="AD657" s="20"/>
    </row>
    <row r="658" spans="1:30" ht="19.5">
      <c r="A658" s="20"/>
      <c r="B658" s="20"/>
      <c r="C658" s="20"/>
      <c r="D658" s="20"/>
      <c r="E658" s="20"/>
      <c r="F658" s="124"/>
      <c r="G658" s="20"/>
      <c r="H658" s="20"/>
      <c r="I658" s="20"/>
      <c r="J658" s="124"/>
      <c r="K658" s="127"/>
      <c r="L658" s="20"/>
      <c r="M658" s="20"/>
      <c r="N658" s="20"/>
      <c r="O658" s="124"/>
      <c r="P658" s="127"/>
      <c r="Q658" s="20"/>
      <c r="R658" s="20"/>
      <c r="S658" s="20"/>
      <c r="T658" s="124"/>
      <c r="U658" s="127"/>
      <c r="V658" s="20"/>
      <c r="W658" s="20"/>
      <c r="X658" s="20"/>
      <c r="Y658" s="20"/>
      <c r="Z658" s="20"/>
      <c r="AA658" s="20"/>
      <c r="AB658" s="20"/>
      <c r="AC658" s="20"/>
      <c r="AD658" s="20"/>
    </row>
    <row r="659" spans="1:30" ht="19.5">
      <c r="A659" s="20"/>
      <c r="B659" s="20"/>
      <c r="C659" s="20"/>
      <c r="D659" s="20"/>
      <c r="E659" s="20"/>
      <c r="F659" s="124"/>
      <c r="G659" s="20"/>
      <c r="H659" s="20"/>
      <c r="I659" s="20"/>
      <c r="J659" s="124"/>
      <c r="K659" s="127"/>
      <c r="L659" s="20"/>
      <c r="M659" s="20"/>
      <c r="N659" s="20"/>
      <c r="O659" s="124"/>
      <c r="P659" s="127"/>
      <c r="Q659" s="20"/>
      <c r="R659" s="20"/>
      <c r="S659" s="20"/>
      <c r="T659" s="124"/>
      <c r="U659" s="127"/>
      <c r="V659" s="20"/>
      <c r="W659" s="20"/>
      <c r="X659" s="20"/>
      <c r="Y659" s="20"/>
      <c r="Z659" s="20"/>
      <c r="AA659" s="20"/>
      <c r="AB659" s="20"/>
      <c r="AC659" s="20"/>
      <c r="AD659" s="20"/>
    </row>
    <row r="660" spans="1:30" ht="19.5">
      <c r="A660" s="20"/>
      <c r="B660" s="20"/>
      <c r="C660" s="20"/>
      <c r="D660" s="20"/>
      <c r="E660" s="20"/>
      <c r="F660" s="124"/>
      <c r="G660" s="20"/>
      <c r="H660" s="20"/>
      <c r="I660" s="20"/>
      <c r="J660" s="124"/>
      <c r="K660" s="127"/>
      <c r="L660" s="20"/>
      <c r="M660" s="20"/>
      <c r="N660" s="20"/>
      <c r="O660" s="124"/>
      <c r="P660" s="127"/>
      <c r="Q660" s="20"/>
      <c r="R660" s="20"/>
      <c r="S660" s="20"/>
      <c r="T660" s="124"/>
      <c r="U660" s="127"/>
      <c r="V660" s="20"/>
      <c r="W660" s="20"/>
      <c r="X660" s="20"/>
      <c r="Y660" s="20"/>
      <c r="Z660" s="20"/>
      <c r="AA660" s="20"/>
      <c r="AB660" s="20"/>
      <c r="AC660" s="20"/>
      <c r="AD660" s="20"/>
    </row>
    <row r="661" spans="1:30" ht="19.5">
      <c r="A661" s="20"/>
      <c r="B661" s="20"/>
      <c r="C661" s="20"/>
      <c r="D661" s="20"/>
      <c r="E661" s="20"/>
      <c r="F661" s="124"/>
      <c r="G661" s="20"/>
      <c r="H661" s="20"/>
      <c r="I661" s="20"/>
      <c r="J661" s="124"/>
      <c r="K661" s="127"/>
      <c r="L661" s="20"/>
      <c r="M661" s="20"/>
      <c r="N661" s="20"/>
      <c r="O661" s="124"/>
      <c r="P661" s="127"/>
      <c r="Q661" s="20"/>
      <c r="R661" s="20"/>
      <c r="S661" s="20"/>
      <c r="T661" s="124"/>
      <c r="U661" s="127"/>
      <c r="V661" s="20"/>
      <c r="W661" s="20"/>
      <c r="X661" s="20"/>
      <c r="Y661" s="20"/>
      <c r="Z661" s="20"/>
      <c r="AA661" s="20"/>
      <c r="AB661" s="20"/>
      <c r="AC661" s="20"/>
      <c r="AD661" s="20"/>
    </row>
    <row r="662" spans="1:30" ht="19.5">
      <c r="A662" s="20"/>
      <c r="B662" s="20"/>
      <c r="C662" s="20"/>
      <c r="D662" s="20"/>
      <c r="E662" s="20"/>
      <c r="F662" s="124"/>
      <c r="G662" s="20"/>
      <c r="H662" s="20"/>
      <c r="I662" s="20"/>
      <c r="J662" s="124"/>
      <c r="K662" s="127"/>
      <c r="L662" s="20"/>
      <c r="M662" s="20"/>
      <c r="N662" s="20"/>
      <c r="O662" s="124"/>
      <c r="P662" s="127"/>
      <c r="Q662" s="20"/>
      <c r="R662" s="20"/>
      <c r="S662" s="20"/>
      <c r="T662" s="124"/>
      <c r="U662" s="127"/>
      <c r="V662" s="20"/>
      <c r="W662" s="20"/>
      <c r="X662" s="20"/>
      <c r="Y662" s="20"/>
      <c r="Z662" s="20"/>
      <c r="AA662" s="20"/>
      <c r="AB662" s="20"/>
      <c r="AC662" s="20"/>
      <c r="AD662" s="20"/>
    </row>
    <row r="663" spans="1:30" ht="19.5">
      <c r="A663" s="20"/>
      <c r="B663" s="20"/>
      <c r="C663" s="20"/>
      <c r="D663" s="20"/>
      <c r="E663" s="20"/>
      <c r="F663" s="124"/>
      <c r="G663" s="20"/>
      <c r="H663" s="20"/>
      <c r="I663" s="20"/>
      <c r="J663" s="124"/>
      <c r="K663" s="127"/>
      <c r="L663" s="20"/>
      <c r="M663" s="20"/>
      <c r="N663" s="20"/>
      <c r="O663" s="124"/>
      <c r="P663" s="127"/>
      <c r="Q663" s="20"/>
      <c r="R663" s="20"/>
      <c r="S663" s="20"/>
      <c r="T663" s="124"/>
      <c r="U663" s="127"/>
      <c r="V663" s="20"/>
      <c r="W663" s="20"/>
      <c r="X663" s="20"/>
      <c r="Y663" s="20"/>
      <c r="Z663" s="20"/>
      <c r="AA663" s="20"/>
      <c r="AB663" s="20"/>
      <c r="AC663" s="20"/>
      <c r="AD663" s="20"/>
    </row>
    <row r="664" spans="1:30" ht="19.5">
      <c r="A664" s="20"/>
      <c r="B664" s="20"/>
      <c r="C664" s="20"/>
      <c r="D664" s="20"/>
      <c r="E664" s="20"/>
      <c r="F664" s="124"/>
      <c r="G664" s="20"/>
      <c r="H664" s="20"/>
      <c r="I664" s="20"/>
      <c r="J664" s="124"/>
      <c r="K664" s="127"/>
      <c r="L664" s="20"/>
      <c r="M664" s="20"/>
      <c r="N664" s="20"/>
      <c r="O664" s="124"/>
      <c r="P664" s="127"/>
      <c r="Q664" s="20"/>
      <c r="R664" s="20"/>
      <c r="S664" s="20"/>
      <c r="T664" s="124"/>
      <c r="U664" s="127"/>
      <c r="V664" s="20"/>
      <c r="W664" s="20"/>
      <c r="X664" s="20"/>
      <c r="Y664" s="20"/>
      <c r="Z664" s="20"/>
      <c r="AA664" s="20"/>
      <c r="AB664" s="20"/>
      <c r="AC664" s="20"/>
      <c r="AD664" s="20"/>
    </row>
    <row r="665" spans="1:30" ht="19.5">
      <c r="A665" s="20"/>
      <c r="B665" s="20"/>
      <c r="C665" s="20"/>
      <c r="D665" s="20"/>
      <c r="E665" s="20"/>
      <c r="F665" s="124"/>
      <c r="G665" s="20"/>
      <c r="H665" s="20"/>
      <c r="I665" s="20"/>
      <c r="J665" s="124"/>
      <c r="K665" s="127"/>
      <c r="L665" s="20"/>
      <c r="M665" s="20"/>
      <c r="N665" s="20"/>
      <c r="O665" s="124"/>
      <c r="P665" s="127"/>
      <c r="Q665" s="20"/>
      <c r="R665" s="20"/>
      <c r="S665" s="20"/>
      <c r="T665" s="124"/>
      <c r="U665" s="127"/>
      <c r="V665" s="20"/>
      <c r="W665" s="20"/>
      <c r="X665" s="20"/>
      <c r="Y665" s="20"/>
      <c r="Z665" s="20"/>
      <c r="AA665" s="20"/>
      <c r="AB665" s="20"/>
      <c r="AC665" s="20"/>
      <c r="AD665" s="20"/>
    </row>
    <row r="666" spans="1:30" ht="19.5">
      <c r="A666" s="20"/>
      <c r="B666" s="20"/>
      <c r="C666" s="20"/>
      <c r="D666" s="20"/>
      <c r="E666" s="20"/>
      <c r="F666" s="124"/>
      <c r="G666" s="20"/>
      <c r="H666" s="20"/>
      <c r="I666" s="20"/>
      <c r="J666" s="124"/>
      <c r="K666" s="127"/>
      <c r="L666" s="20"/>
      <c r="M666" s="20"/>
      <c r="N666" s="20"/>
      <c r="O666" s="124"/>
      <c r="P666" s="127"/>
      <c r="Q666" s="20"/>
      <c r="R666" s="20"/>
      <c r="S666" s="20"/>
      <c r="T666" s="124"/>
      <c r="U666" s="127"/>
      <c r="V666" s="20"/>
      <c r="W666" s="20"/>
      <c r="X666" s="20"/>
      <c r="Y666" s="20"/>
      <c r="Z666" s="20"/>
      <c r="AA666" s="20"/>
      <c r="AB666" s="20"/>
      <c r="AC666" s="20"/>
      <c r="AD666" s="20"/>
    </row>
    <row r="667" spans="1:30" ht="19.5">
      <c r="A667" s="20"/>
      <c r="B667" s="20"/>
      <c r="C667" s="20"/>
      <c r="D667" s="20"/>
      <c r="E667" s="20"/>
      <c r="F667" s="124"/>
      <c r="G667" s="20"/>
      <c r="H667" s="20"/>
      <c r="I667" s="20"/>
      <c r="J667" s="124"/>
      <c r="K667" s="127"/>
      <c r="L667" s="20"/>
      <c r="M667" s="20"/>
      <c r="N667" s="20"/>
      <c r="O667" s="124"/>
      <c r="P667" s="127"/>
      <c r="Q667" s="20"/>
      <c r="R667" s="20"/>
      <c r="S667" s="20"/>
      <c r="T667" s="124"/>
      <c r="U667" s="127"/>
      <c r="V667" s="20"/>
      <c r="W667" s="20"/>
      <c r="X667" s="20"/>
      <c r="Y667" s="20"/>
      <c r="Z667" s="20"/>
      <c r="AA667" s="20"/>
      <c r="AB667" s="20"/>
      <c r="AC667" s="20"/>
      <c r="AD667" s="20"/>
    </row>
    <row r="668" spans="1:30" ht="19.5">
      <c r="A668" s="20"/>
      <c r="B668" s="20"/>
      <c r="C668" s="20"/>
      <c r="D668" s="20"/>
      <c r="E668" s="20"/>
      <c r="F668" s="124"/>
      <c r="G668" s="20"/>
      <c r="H668" s="20"/>
      <c r="I668" s="20"/>
      <c r="J668" s="124"/>
      <c r="K668" s="127"/>
      <c r="L668" s="20"/>
      <c r="M668" s="20"/>
      <c r="N668" s="20"/>
      <c r="O668" s="124"/>
      <c r="P668" s="127"/>
      <c r="Q668" s="20"/>
      <c r="R668" s="20"/>
      <c r="S668" s="20"/>
      <c r="T668" s="124"/>
      <c r="U668" s="127"/>
      <c r="V668" s="20"/>
      <c r="W668" s="20"/>
      <c r="X668" s="20"/>
      <c r="Y668" s="20"/>
      <c r="Z668" s="20"/>
      <c r="AA668" s="20"/>
      <c r="AB668" s="20"/>
      <c r="AC668" s="20"/>
      <c r="AD668" s="20"/>
    </row>
    <row r="669" spans="1:30" ht="19.5">
      <c r="A669" s="20"/>
      <c r="B669" s="20"/>
      <c r="C669" s="20"/>
      <c r="D669" s="20"/>
      <c r="E669" s="20"/>
      <c r="F669" s="124"/>
      <c r="G669" s="20"/>
      <c r="H669" s="20"/>
      <c r="I669" s="20"/>
      <c r="J669" s="124"/>
      <c r="K669" s="127"/>
      <c r="L669" s="20"/>
      <c r="M669" s="20"/>
      <c r="N669" s="20"/>
      <c r="O669" s="124"/>
      <c r="P669" s="127"/>
      <c r="Q669" s="20"/>
      <c r="R669" s="20"/>
      <c r="S669" s="20"/>
      <c r="T669" s="124"/>
      <c r="U669" s="127"/>
      <c r="V669" s="20"/>
      <c r="W669" s="20"/>
      <c r="X669" s="20"/>
      <c r="Y669" s="20"/>
      <c r="Z669" s="20"/>
      <c r="AA669" s="20"/>
      <c r="AB669" s="20"/>
      <c r="AC669" s="20"/>
      <c r="AD669" s="20"/>
    </row>
    <row r="670" spans="1:30" ht="19.5">
      <c r="A670" s="20"/>
      <c r="B670" s="20"/>
      <c r="C670" s="20"/>
      <c r="D670" s="20"/>
      <c r="E670" s="20"/>
      <c r="F670" s="124"/>
      <c r="G670" s="20"/>
      <c r="H670" s="20"/>
      <c r="I670" s="20"/>
      <c r="J670" s="124"/>
      <c r="K670" s="127"/>
      <c r="L670" s="20"/>
      <c r="M670" s="20"/>
      <c r="N670" s="20"/>
      <c r="O670" s="124"/>
      <c r="P670" s="127"/>
      <c r="Q670" s="20"/>
      <c r="R670" s="20"/>
      <c r="S670" s="20"/>
      <c r="T670" s="124"/>
      <c r="U670" s="127"/>
      <c r="V670" s="20"/>
      <c r="W670" s="20"/>
      <c r="X670" s="20"/>
      <c r="Y670" s="20"/>
      <c r="Z670" s="20"/>
      <c r="AA670" s="20"/>
      <c r="AB670" s="20"/>
      <c r="AC670" s="20"/>
      <c r="AD670" s="20"/>
    </row>
    <row r="671" spans="1:30" ht="19.5">
      <c r="A671" s="20"/>
      <c r="B671" s="20"/>
      <c r="C671" s="20"/>
      <c r="D671" s="20"/>
      <c r="E671" s="20"/>
      <c r="F671" s="124"/>
      <c r="G671" s="20"/>
      <c r="H671" s="20"/>
      <c r="I671" s="20"/>
      <c r="J671" s="124"/>
      <c r="K671" s="127"/>
      <c r="L671" s="20"/>
      <c r="M671" s="20"/>
      <c r="N671" s="20"/>
      <c r="O671" s="124"/>
      <c r="P671" s="127"/>
      <c r="Q671" s="20"/>
      <c r="R671" s="20"/>
      <c r="S671" s="20"/>
      <c r="T671" s="124"/>
      <c r="U671" s="127"/>
      <c r="V671" s="20"/>
      <c r="W671" s="20"/>
      <c r="X671" s="20"/>
      <c r="Y671" s="20"/>
      <c r="Z671" s="20"/>
      <c r="AA671" s="20"/>
      <c r="AB671" s="20"/>
      <c r="AC671" s="20"/>
      <c r="AD671" s="20"/>
    </row>
    <row r="672" spans="1:30" ht="19.5">
      <c r="A672" s="20"/>
      <c r="B672" s="20"/>
      <c r="C672" s="20"/>
      <c r="D672" s="20"/>
      <c r="E672" s="20"/>
      <c r="F672" s="124"/>
      <c r="G672" s="20"/>
      <c r="H672" s="20"/>
      <c r="I672" s="20"/>
      <c r="J672" s="124"/>
      <c r="K672" s="127"/>
      <c r="L672" s="20"/>
      <c r="M672" s="20"/>
      <c r="N672" s="20"/>
      <c r="O672" s="124"/>
      <c r="P672" s="127"/>
      <c r="Q672" s="20"/>
      <c r="R672" s="20"/>
      <c r="S672" s="20"/>
      <c r="T672" s="124"/>
      <c r="U672" s="127"/>
      <c r="V672" s="20"/>
      <c r="W672" s="20"/>
      <c r="X672" s="20"/>
      <c r="Y672" s="20"/>
      <c r="Z672" s="20"/>
      <c r="AA672" s="20"/>
      <c r="AB672" s="20"/>
      <c r="AC672" s="20"/>
      <c r="AD672" s="20"/>
    </row>
    <row r="673" spans="1:30" ht="19.5">
      <c r="A673" s="20"/>
      <c r="B673" s="20"/>
      <c r="C673" s="20"/>
      <c r="D673" s="20"/>
      <c r="E673" s="20"/>
      <c r="F673" s="124"/>
      <c r="G673" s="20"/>
      <c r="H673" s="20"/>
      <c r="I673" s="20"/>
      <c r="J673" s="124"/>
      <c r="K673" s="127"/>
      <c r="L673" s="20"/>
      <c r="M673" s="20"/>
      <c r="N673" s="20"/>
      <c r="O673" s="124"/>
      <c r="P673" s="127"/>
      <c r="Q673" s="20"/>
      <c r="R673" s="20"/>
      <c r="S673" s="20"/>
      <c r="T673" s="124"/>
      <c r="U673" s="127"/>
      <c r="V673" s="20"/>
      <c r="W673" s="20"/>
      <c r="X673" s="20"/>
      <c r="Y673" s="20"/>
      <c r="Z673" s="20"/>
      <c r="AA673" s="20"/>
      <c r="AB673" s="20"/>
      <c r="AC673" s="20"/>
      <c r="AD673" s="20"/>
    </row>
    <row r="674" spans="1:30" ht="19.5">
      <c r="A674" s="20"/>
      <c r="B674" s="20"/>
      <c r="C674" s="20"/>
      <c r="D674" s="20"/>
      <c r="E674" s="20"/>
      <c r="F674" s="124"/>
      <c r="G674" s="20"/>
      <c r="H674" s="20"/>
      <c r="I674" s="20"/>
      <c r="J674" s="124"/>
      <c r="K674" s="127"/>
      <c r="L674" s="20"/>
      <c r="M674" s="20"/>
      <c r="N674" s="20"/>
      <c r="O674" s="124"/>
      <c r="P674" s="127"/>
      <c r="Q674" s="20"/>
      <c r="R674" s="20"/>
      <c r="S674" s="20"/>
      <c r="T674" s="124"/>
      <c r="U674" s="127"/>
      <c r="V674" s="20"/>
      <c r="W674" s="20"/>
      <c r="X674" s="20"/>
      <c r="Y674" s="20"/>
      <c r="Z674" s="20"/>
      <c r="AA674" s="20"/>
      <c r="AB674" s="20"/>
      <c r="AC674" s="20"/>
      <c r="AD674" s="20"/>
    </row>
    <row r="675" spans="1:30" ht="19.5">
      <c r="A675" s="20"/>
      <c r="B675" s="20"/>
      <c r="C675" s="20"/>
      <c r="D675" s="20"/>
      <c r="E675" s="20"/>
      <c r="F675" s="124"/>
      <c r="G675" s="20"/>
      <c r="H675" s="20"/>
      <c r="I675" s="20"/>
      <c r="J675" s="124"/>
      <c r="K675" s="127"/>
      <c r="L675" s="20"/>
      <c r="M675" s="20"/>
      <c r="N675" s="20"/>
      <c r="O675" s="124"/>
      <c r="P675" s="127"/>
      <c r="Q675" s="20"/>
      <c r="R675" s="20"/>
      <c r="S675" s="20"/>
      <c r="T675" s="124"/>
      <c r="U675" s="127"/>
      <c r="V675" s="20"/>
      <c r="W675" s="20"/>
      <c r="X675" s="20"/>
      <c r="Y675" s="20"/>
      <c r="Z675" s="20"/>
      <c r="AA675" s="20"/>
      <c r="AB675" s="20"/>
      <c r="AC675" s="20"/>
      <c r="AD675" s="20"/>
    </row>
    <row r="676" spans="1:30" ht="19.5">
      <c r="A676" s="20"/>
      <c r="B676" s="20"/>
      <c r="C676" s="20"/>
      <c r="D676" s="20"/>
      <c r="E676" s="20"/>
      <c r="F676" s="124"/>
      <c r="G676" s="20"/>
      <c r="H676" s="20"/>
      <c r="I676" s="20"/>
      <c r="J676" s="124"/>
      <c r="K676" s="127"/>
      <c r="L676" s="20"/>
      <c r="M676" s="20"/>
      <c r="N676" s="20"/>
      <c r="O676" s="124"/>
      <c r="P676" s="127"/>
      <c r="Q676" s="20"/>
      <c r="R676" s="20"/>
      <c r="S676" s="20"/>
      <c r="T676" s="124"/>
      <c r="U676" s="127"/>
      <c r="V676" s="20"/>
      <c r="W676" s="20"/>
      <c r="X676" s="20"/>
      <c r="Y676" s="20"/>
      <c r="Z676" s="20"/>
      <c r="AA676" s="20"/>
      <c r="AB676" s="20"/>
      <c r="AC676" s="20"/>
      <c r="AD676" s="20"/>
    </row>
    <row r="677" spans="1:30" ht="19.5">
      <c r="A677" s="20"/>
      <c r="B677" s="20"/>
      <c r="C677" s="20"/>
      <c r="D677" s="20"/>
      <c r="E677" s="20"/>
      <c r="F677" s="124"/>
      <c r="G677" s="20"/>
      <c r="H677" s="20"/>
      <c r="I677" s="20"/>
      <c r="J677" s="124"/>
      <c r="K677" s="127"/>
      <c r="L677" s="20"/>
      <c r="M677" s="20"/>
      <c r="N677" s="20"/>
      <c r="O677" s="124"/>
      <c r="P677" s="127"/>
      <c r="Q677" s="20"/>
      <c r="R677" s="20"/>
      <c r="S677" s="20"/>
      <c r="T677" s="124"/>
      <c r="U677" s="127"/>
      <c r="V677" s="20"/>
      <c r="W677" s="20"/>
      <c r="X677" s="20"/>
      <c r="Y677" s="20"/>
      <c r="Z677" s="20"/>
      <c r="AA677" s="20"/>
      <c r="AB677" s="20"/>
      <c r="AC677" s="20"/>
      <c r="AD677" s="20"/>
    </row>
    <row r="678" spans="1:30" ht="19.5">
      <c r="A678" s="20"/>
      <c r="B678" s="20"/>
      <c r="C678" s="20"/>
      <c r="D678" s="20"/>
      <c r="E678" s="20"/>
      <c r="F678" s="124"/>
      <c r="G678" s="20"/>
      <c r="H678" s="20"/>
      <c r="I678" s="20"/>
      <c r="J678" s="124"/>
      <c r="K678" s="127"/>
      <c r="L678" s="20"/>
      <c r="M678" s="20"/>
      <c r="N678" s="20"/>
      <c r="O678" s="124"/>
      <c r="P678" s="127"/>
      <c r="Q678" s="20"/>
      <c r="R678" s="20"/>
      <c r="S678" s="20"/>
      <c r="T678" s="124"/>
      <c r="U678" s="127"/>
      <c r="V678" s="20"/>
      <c r="W678" s="20"/>
      <c r="X678" s="20"/>
      <c r="Y678" s="20"/>
      <c r="Z678" s="20"/>
      <c r="AA678" s="20"/>
      <c r="AB678" s="20"/>
      <c r="AC678" s="20"/>
      <c r="AD678" s="20"/>
    </row>
    <row r="679" spans="1:30" ht="19.5">
      <c r="A679" s="20"/>
      <c r="B679" s="20"/>
      <c r="C679" s="20"/>
      <c r="D679" s="20"/>
      <c r="E679" s="20"/>
      <c r="F679" s="124"/>
      <c r="G679" s="20"/>
      <c r="H679" s="20"/>
      <c r="I679" s="20"/>
      <c r="J679" s="124"/>
      <c r="K679" s="127"/>
      <c r="L679" s="20"/>
      <c r="M679" s="20"/>
      <c r="N679" s="20"/>
      <c r="O679" s="124"/>
      <c r="P679" s="127"/>
      <c r="Q679" s="20"/>
      <c r="R679" s="20"/>
      <c r="S679" s="20"/>
      <c r="T679" s="124"/>
      <c r="U679" s="127"/>
      <c r="V679" s="20"/>
      <c r="W679" s="20"/>
      <c r="X679" s="20"/>
      <c r="Y679" s="20"/>
      <c r="Z679" s="20"/>
      <c r="AA679" s="20"/>
      <c r="AB679" s="20"/>
      <c r="AC679" s="20"/>
      <c r="AD679" s="20"/>
    </row>
    <row r="680" spans="1:30" ht="19.5">
      <c r="A680" s="20"/>
      <c r="B680" s="20"/>
      <c r="C680" s="20"/>
      <c r="D680" s="20"/>
      <c r="E680" s="20"/>
      <c r="F680" s="124"/>
      <c r="G680" s="20"/>
      <c r="H680" s="20"/>
      <c r="I680" s="20"/>
      <c r="J680" s="124"/>
      <c r="K680" s="127"/>
      <c r="L680" s="20"/>
      <c r="M680" s="20"/>
      <c r="N680" s="20"/>
      <c r="O680" s="124"/>
      <c r="P680" s="127"/>
      <c r="Q680" s="20"/>
      <c r="R680" s="20"/>
      <c r="S680" s="20"/>
      <c r="T680" s="124"/>
      <c r="U680" s="127"/>
      <c r="V680" s="20"/>
      <c r="W680" s="20"/>
      <c r="X680" s="20"/>
      <c r="Y680" s="20"/>
      <c r="Z680" s="20"/>
      <c r="AA680" s="20"/>
      <c r="AB680" s="20"/>
      <c r="AC680" s="20"/>
      <c r="AD680" s="20"/>
    </row>
    <row r="681" spans="1:30" ht="19.5">
      <c r="A681" s="20"/>
      <c r="B681" s="20"/>
      <c r="C681" s="20"/>
      <c r="D681" s="20"/>
      <c r="E681" s="20"/>
      <c r="F681" s="124"/>
      <c r="G681" s="20"/>
      <c r="H681" s="20"/>
      <c r="I681" s="20"/>
      <c r="J681" s="124"/>
      <c r="K681" s="127"/>
      <c r="L681" s="20"/>
      <c r="M681" s="20"/>
      <c r="N681" s="20"/>
      <c r="O681" s="124"/>
      <c r="P681" s="127"/>
      <c r="Q681" s="20"/>
      <c r="R681" s="20"/>
      <c r="S681" s="20"/>
      <c r="T681" s="124"/>
      <c r="U681" s="127"/>
      <c r="V681" s="20"/>
      <c r="W681" s="20"/>
      <c r="X681" s="20"/>
      <c r="Y681" s="20"/>
      <c r="Z681" s="20"/>
      <c r="AA681" s="20"/>
      <c r="AB681" s="20"/>
      <c r="AC681" s="20"/>
      <c r="AD681" s="20"/>
    </row>
    <row r="682" spans="1:30" ht="19.5">
      <c r="A682" s="20"/>
      <c r="B682" s="20"/>
      <c r="C682" s="20"/>
      <c r="D682" s="20"/>
      <c r="E682" s="20"/>
      <c r="F682" s="124"/>
      <c r="G682" s="20"/>
      <c r="H682" s="20"/>
      <c r="I682" s="20"/>
      <c r="J682" s="124"/>
      <c r="K682" s="127"/>
      <c r="L682" s="20"/>
      <c r="M682" s="20"/>
      <c r="N682" s="20"/>
      <c r="O682" s="124"/>
      <c r="P682" s="127"/>
      <c r="Q682" s="20"/>
      <c r="R682" s="20"/>
      <c r="S682" s="20"/>
      <c r="T682" s="124"/>
      <c r="U682" s="127"/>
      <c r="V682" s="20"/>
      <c r="W682" s="20"/>
      <c r="X682" s="20"/>
      <c r="Y682" s="20"/>
      <c r="Z682" s="20"/>
      <c r="AA682" s="20"/>
      <c r="AB682" s="20"/>
      <c r="AC682" s="20"/>
      <c r="AD682" s="20"/>
    </row>
    <row r="683" spans="1:30" ht="19.5">
      <c r="A683" s="20"/>
      <c r="B683" s="20"/>
      <c r="C683" s="20"/>
      <c r="D683" s="20"/>
      <c r="E683" s="20"/>
      <c r="F683" s="124"/>
      <c r="G683" s="20"/>
      <c r="H683" s="20"/>
      <c r="I683" s="20"/>
      <c r="J683" s="124"/>
      <c r="K683" s="127"/>
      <c r="L683" s="20"/>
      <c r="M683" s="20"/>
      <c r="N683" s="20"/>
      <c r="O683" s="124"/>
      <c r="P683" s="127"/>
      <c r="Q683" s="20"/>
      <c r="R683" s="20"/>
      <c r="S683" s="20"/>
      <c r="T683" s="124"/>
      <c r="U683" s="127"/>
      <c r="V683" s="20"/>
      <c r="W683" s="20"/>
      <c r="X683" s="20"/>
      <c r="Y683" s="20"/>
      <c r="Z683" s="20"/>
      <c r="AA683" s="20"/>
      <c r="AB683" s="20"/>
      <c r="AC683" s="20"/>
      <c r="AD683" s="20"/>
    </row>
    <row r="684" spans="1:30" ht="19.5">
      <c r="A684" s="20"/>
      <c r="B684" s="20"/>
      <c r="C684" s="20"/>
      <c r="D684" s="20"/>
      <c r="E684" s="20"/>
      <c r="F684" s="124"/>
      <c r="G684" s="20"/>
      <c r="H684" s="20"/>
      <c r="I684" s="20"/>
      <c r="J684" s="124"/>
      <c r="K684" s="127"/>
      <c r="L684" s="20"/>
      <c r="M684" s="20"/>
      <c r="N684" s="20"/>
      <c r="O684" s="124"/>
      <c r="P684" s="127"/>
      <c r="Q684" s="20"/>
      <c r="R684" s="20"/>
      <c r="S684" s="20"/>
      <c r="T684" s="124"/>
      <c r="U684" s="127"/>
      <c r="V684" s="20"/>
      <c r="W684" s="20"/>
      <c r="X684" s="20"/>
      <c r="Y684" s="20"/>
      <c r="Z684" s="20"/>
      <c r="AA684" s="20"/>
      <c r="AB684" s="20"/>
      <c r="AC684" s="20"/>
      <c r="AD684" s="20"/>
    </row>
    <row r="685" spans="1:30" ht="19.5">
      <c r="A685" s="20"/>
      <c r="B685" s="20"/>
      <c r="C685" s="20"/>
      <c r="D685" s="20"/>
      <c r="E685" s="20"/>
      <c r="F685" s="124"/>
      <c r="G685" s="20"/>
      <c r="H685" s="20"/>
      <c r="I685" s="20"/>
      <c r="J685" s="124"/>
      <c r="K685" s="127"/>
      <c r="L685" s="20"/>
      <c r="M685" s="20"/>
      <c r="N685" s="20"/>
      <c r="O685" s="124"/>
      <c r="P685" s="127"/>
      <c r="Q685" s="20"/>
      <c r="R685" s="20"/>
      <c r="S685" s="20"/>
      <c r="T685" s="124"/>
      <c r="U685" s="127"/>
      <c r="V685" s="20"/>
      <c r="W685" s="20"/>
      <c r="X685" s="20"/>
      <c r="Y685" s="20"/>
      <c r="Z685" s="20"/>
      <c r="AA685" s="20"/>
      <c r="AB685" s="20"/>
      <c r="AC685" s="20"/>
      <c r="AD685" s="20"/>
    </row>
    <row r="686" spans="1:30" ht="19.5">
      <c r="A686" s="20"/>
      <c r="B686" s="20"/>
      <c r="C686" s="20"/>
      <c r="D686" s="20"/>
      <c r="E686" s="20"/>
      <c r="F686" s="124"/>
      <c r="G686" s="20"/>
      <c r="H686" s="20"/>
      <c r="I686" s="20"/>
      <c r="J686" s="124"/>
      <c r="K686" s="127"/>
      <c r="L686" s="20"/>
      <c r="M686" s="20"/>
      <c r="N686" s="20"/>
      <c r="O686" s="124"/>
      <c r="P686" s="127"/>
      <c r="Q686" s="20"/>
      <c r="R686" s="20"/>
      <c r="S686" s="20"/>
      <c r="T686" s="124"/>
      <c r="U686" s="127"/>
      <c r="V686" s="20"/>
      <c r="W686" s="20"/>
      <c r="X686" s="20"/>
      <c r="Y686" s="20"/>
      <c r="Z686" s="20"/>
      <c r="AA686" s="20"/>
      <c r="AB686" s="20"/>
      <c r="AC686" s="20"/>
      <c r="AD686" s="20"/>
    </row>
    <row r="687" spans="1:30" ht="19.5">
      <c r="A687" s="20"/>
      <c r="B687" s="20"/>
      <c r="C687" s="20"/>
      <c r="D687" s="20"/>
      <c r="E687" s="20"/>
      <c r="F687" s="124"/>
      <c r="G687" s="20"/>
      <c r="H687" s="20"/>
      <c r="I687" s="20"/>
      <c r="J687" s="124"/>
      <c r="K687" s="127"/>
      <c r="L687" s="20"/>
      <c r="M687" s="20"/>
      <c r="N687" s="20"/>
      <c r="O687" s="124"/>
      <c r="P687" s="127"/>
      <c r="Q687" s="20"/>
      <c r="R687" s="20"/>
      <c r="S687" s="20"/>
      <c r="T687" s="124"/>
      <c r="U687" s="127"/>
      <c r="V687" s="20"/>
      <c r="W687" s="20"/>
      <c r="X687" s="20"/>
      <c r="Y687" s="20"/>
      <c r="Z687" s="20"/>
      <c r="AA687" s="20"/>
      <c r="AB687" s="20"/>
      <c r="AC687" s="20"/>
      <c r="AD687" s="20"/>
    </row>
    <row r="688" spans="1:30" ht="19.5">
      <c r="A688" s="20"/>
      <c r="B688" s="20"/>
      <c r="C688" s="20"/>
      <c r="D688" s="20"/>
      <c r="E688" s="20"/>
      <c r="F688" s="124"/>
      <c r="G688" s="20"/>
      <c r="H688" s="20"/>
      <c r="I688" s="20"/>
      <c r="J688" s="124"/>
      <c r="K688" s="127"/>
      <c r="L688" s="20"/>
      <c r="M688" s="20"/>
      <c r="N688" s="20"/>
      <c r="O688" s="124"/>
      <c r="P688" s="127"/>
      <c r="Q688" s="20"/>
      <c r="R688" s="20"/>
      <c r="S688" s="20"/>
      <c r="T688" s="124"/>
      <c r="U688" s="127"/>
      <c r="V688" s="20"/>
      <c r="W688" s="20"/>
      <c r="X688" s="20"/>
      <c r="Y688" s="20"/>
      <c r="Z688" s="20"/>
      <c r="AA688" s="20"/>
      <c r="AB688" s="20"/>
      <c r="AC688" s="20"/>
      <c r="AD688" s="20"/>
    </row>
    <row r="689" spans="1:30" ht="19.5">
      <c r="A689" s="20"/>
      <c r="B689" s="20"/>
      <c r="C689" s="20"/>
      <c r="D689" s="20"/>
      <c r="E689" s="20"/>
      <c r="F689" s="124"/>
      <c r="G689" s="20"/>
      <c r="H689" s="20"/>
      <c r="I689" s="20"/>
      <c r="J689" s="124"/>
      <c r="K689" s="127"/>
      <c r="L689" s="20"/>
      <c r="M689" s="20"/>
      <c r="N689" s="20"/>
      <c r="O689" s="124"/>
      <c r="P689" s="127"/>
      <c r="Q689" s="20"/>
      <c r="R689" s="20"/>
      <c r="S689" s="20"/>
      <c r="T689" s="124"/>
      <c r="U689" s="127"/>
      <c r="V689" s="20"/>
      <c r="W689" s="20"/>
      <c r="X689" s="20"/>
      <c r="Y689" s="20"/>
      <c r="Z689" s="20"/>
      <c r="AA689" s="20"/>
      <c r="AB689" s="20"/>
      <c r="AC689" s="20"/>
      <c r="AD689" s="20"/>
    </row>
    <row r="690" spans="1:30" ht="19.5">
      <c r="A690" s="20"/>
      <c r="B690" s="20"/>
      <c r="C690" s="20"/>
      <c r="D690" s="20"/>
      <c r="E690" s="20"/>
      <c r="F690" s="124"/>
      <c r="G690" s="20"/>
      <c r="H690" s="20"/>
      <c r="I690" s="20"/>
      <c r="J690" s="124"/>
      <c r="K690" s="127"/>
      <c r="L690" s="20"/>
      <c r="M690" s="20"/>
      <c r="N690" s="20"/>
      <c r="O690" s="124"/>
      <c r="P690" s="127"/>
      <c r="Q690" s="20"/>
      <c r="R690" s="20"/>
      <c r="S690" s="20"/>
      <c r="T690" s="124"/>
      <c r="U690" s="127"/>
      <c r="V690" s="20"/>
      <c r="W690" s="20"/>
      <c r="X690" s="20"/>
      <c r="Y690" s="20"/>
      <c r="Z690" s="20"/>
      <c r="AA690" s="20"/>
      <c r="AB690" s="20"/>
      <c r="AC690" s="20"/>
      <c r="AD690" s="20"/>
    </row>
    <row r="691" spans="1:30" ht="19.5">
      <c r="A691" s="20"/>
      <c r="B691" s="20"/>
      <c r="C691" s="20"/>
      <c r="D691" s="20"/>
      <c r="E691" s="20"/>
      <c r="F691" s="124"/>
      <c r="G691" s="20"/>
      <c r="H691" s="20"/>
      <c r="I691" s="20"/>
      <c r="J691" s="124"/>
      <c r="K691" s="127"/>
      <c r="L691" s="20"/>
      <c r="M691" s="20"/>
      <c r="N691" s="20"/>
      <c r="O691" s="124"/>
      <c r="P691" s="127"/>
      <c r="Q691" s="20"/>
      <c r="R691" s="20"/>
      <c r="S691" s="20"/>
      <c r="T691" s="124"/>
      <c r="U691" s="127"/>
      <c r="V691" s="20"/>
      <c r="W691" s="20"/>
      <c r="X691" s="20"/>
      <c r="Y691" s="20"/>
      <c r="Z691" s="20"/>
      <c r="AA691" s="20"/>
      <c r="AB691" s="20"/>
      <c r="AC691" s="20"/>
      <c r="AD691" s="20"/>
    </row>
    <row r="692" spans="1:30" ht="19.5">
      <c r="A692" s="20"/>
      <c r="B692" s="20"/>
      <c r="C692" s="20"/>
      <c r="D692" s="20"/>
      <c r="E692" s="20"/>
      <c r="F692" s="124"/>
      <c r="G692" s="20"/>
      <c r="H692" s="20"/>
      <c r="I692" s="20"/>
      <c r="J692" s="124"/>
      <c r="K692" s="127"/>
      <c r="L692" s="20"/>
      <c r="M692" s="20"/>
      <c r="N692" s="20"/>
      <c r="O692" s="124"/>
      <c r="P692" s="127"/>
      <c r="Q692" s="20"/>
      <c r="R692" s="20"/>
      <c r="S692" s="20"/>
      <c r="T692" s="124"/>
      <c r="U692" s="127"/>
      <c r="V692" s="20"/>
      <c r="W692" s="20"/>
      <c r="X692" s="20"/>
      <c r="Y692" s="20"/>
      <c r="Z692" s="20"/>
      <c r="AA692" s="20"/>
      <c r="AB692" s="20"/>
      <c r="AC692" s="20"/>
      <c r="AD692" s="20"/>
    </row>
    <row r="693" spans="1:30" ht="19.5">
      <c r="A693" s="20"/>
      <c r="B693" s="20"/>
      <c r="C693" s="20"/>
      <c r="D693" s="20"/>
      <c r="E693" s="20"/>
      <c r="F693" s="124"/>
      <c r="G693" s="20"/>
      <c r="H693" s="20"/>
      <c r="I693" s="20"/>
      <c r="J693" s="124"/>
      <c r="K693" s="127"/>
      <c r="L693" s="20"/>
      <c r="M693" s="20"/>
      <c r="N693" s="20"/>
      <c r="O693" s="124"/>
      <c r="P693" s="127"/>
      <c r="Q693" s="20"/>
      <c r="R693" s="20"/>
      <c r="S693" s="20"/>
      <c r="T693" s="124"/>
      <c r="U693" s="127"/>
      <c r="V693" s="20"/>
      <c r="W693" s="20"/>
      <c r="X693" s="20"/>
      <c r="Y693" s="20"/>
      <c r="Z693" s="20"/>
      <c r="AA693" s="20"/>
      <c r="AB693" s="20"/>
      <c r="AC693" s="20"/>
      <c r="AD693" s="20"/>
    </row>
    <row r="694" spans="1:30" ht="19.5">
      <c r="A694" s="20"/>
      <c r="B694" s="20"/>
      <c r="C694" s="20"/>
      <c r="D694" s="20"/>
      <c r="E694" s="20"/>
      <c r="F694" s="124"/>
      <c r="G694" s="20"/>
      <c r="H694" s="20"/>
      <c r="I694" s="20"/>
      <c r="J694" s="124"/>
      <c r="K694" s="127"/>
      <c r="L694" s="20"/>
      <c r="M694" s="20"/>
      <c r="N694" s="20"/>
      <c r="O694" s="124"/>
      <c r="P694" s="127"/>
      <c r="Q694" s="20"/>
      <c r="R694" s="20"/>
      <c r="S694" s="20"/>
      <c r="T694" s="124"/>
      <c r="U694" s="127"/>
      <c r="V694" s="20"/>
      <c r="W694" s="20"/>
      <c r="X694" s="20"/>
      <c r="Y694" s="20"/>
      <c r="Z694" s="20"/>
      <c r="AA694" s="20"/>
      <c r="AB694" s="20"/>
      <c r="AC694" s="20"/>
      <c r="AD694" s="20"/>
    </row>
    <row r="695" spans="1:30" ht="19.5">
      <c r="A695" s="20"/>
      <c r="B695" s="20"/>
      <c r="C695" s="20"/>
      <c r="D695" s="20"/>
      <c r="E695" s="20"/>
      <c r="F695" s="124"/>
      <c r="G695" s="20"/>
      <c r="H695" s="20"/>
      <c r="I695" s="20"/>
      <c r="J695" s="124"/>
      <c r="K695" s="127"/>
      <c r="L695" s="20"/>
      <c r="M695" s="20"/>
      <c r="N695" s="20"/>
      <c r="O695" s="124"/>
      <c r="P695" s="127"/>
      <c r="Q695" s="20"/>
      <c r="R695" s="20"/>
      <c r="S695" s="20"/>
      <c r="T695" s="124"/>
      <c r="U695" s="127"/>
      <c r="V695" s="20"/>
      <c r="W695" s="20"/>
      <c r="X695" s="20"/>
      <c r="Y695" s="20"/>
      <c r="Z695" s="20"/>
      <c r="AA695" s="20"/>
      <c r="AB695" s="20"/>
      <c r="AC695" s="20"/>
      <c r="AD695" s="20"/>
    </row>
    <row r="696" spans="1:30" ht="19.5">
      <c r="A696" s="20"/>
      <c r="B696" s="20"/>
      <c r="C696" s="20"/>
      <c r="D696" s="20"/>
      <c r="E696" s="20"/>
      <c r="F696" s="124"/>
      <c r="G696" s="20"/>
      <c r="H696" s="20"/>
      <c r="I696" s="20"/>
      <c r="J696" s="124"/>
      <c r="K696" s="127"/>
      <c r="L696" s="20"/>
      <c r="M696" s="20"/>
      <c r="N696" s="20"/>
      <c r="O696" s="124"/>
      <c r="P696" s="127"/>
      <c r="Q696" s="20"/>
      <c r="R696" s="20"/>
      <c r="S696" s="20"/>
      <c r="T696" s="124"/>
      <c r="U696" s="127"/>
      <c r="V696" s="20"/>
      <c r="W696" s="20"/>
      <c r="X696" s="20"/>
      <c r="Y696" s="20"/>
      <c r="Z696" s="20"/>
      <c r="AA696" s="20"/>
      <c r="AB696" s="20"/>
      <c r="AC696" s="20"/>
      <c r="AD696" s="20"/>
    </row>
    <row r="697" spans="1:30" ht="19.5">
      <c r="A697" s="20"/>
      <c r="B697" s="20"/>
      <c r="C697" s="20"/>
      <c r="D697" s="20"/>
      <c r="E697" s="20"/>
      <c r="F697" s="124"/>
      <c r="G697" s="20"/>
      <c r="H697" s="20"/>
      <c r="I697" s="20"/>
      <c r="J697" s="124"/>
      <c r="K697" s="127"/>
      <c r="L697" s="20"/>
      <c r="M697" s="20"/>
      <c r="N697" s="20"/>
      <c r="O697" s="124"/>
      <c r="P697" s="127"/>
      <c r="Q697" s="20"/>
      <c r="R697" s="20"/>
      <c r="S697" s="20"/>
      <c r="T697" s="124"/>
      <c r="U697" s="127"/>
      <c r="V697" s="20"/>
      <c r="W697" s="20"/>
      <c r="X697" s="20"/>
      <c r="Y697" s="20"/>
      <c r="Z697" s="20"/>
      <c r="AA697" s="20"/>
      <c r="AB697" s="20"/>
      <c r="AC697" s="20"/>
      <c r="AD697" s="20"/>
    </row>
    <row r="698" spans="1:30" ht="19.5">
      <c r="A698" s="20"/>
      <c r="B698" s="20"/>
      <c r="C698" s="20"/>
      <c r="D698" s="20"/>
      <c r="E698" s="20"/>
      <c r="F698" s="124"/>
      <c r="G698" s="20"/>
      <c r="H698" s="20"/>
      <c r="I698" s="20"/>
      <c r="J698" s="124"/>
      <c r="K698" s="127"/>
      <c r="L698" s="20"/>
      <c r="M698" s="20"/>
      <c r="N698" s="20"/>
      <c r="O698" s="124"/>
      <c r="P698" s="127"/>
      <c r="Q698" s="20"/>
      <c r="R698" s="20"/>
      <c r="S698" s="20"/>
      <c r="T698" s="124"/>
      <c r="U698" s="127"/>
      <c r="V698" s="20"/>
      <c r="W698" s="20"/>
      <c r="X698" s="20"/>
      <c r="Y698" s="20"/>
      <c r="Z698" s="20"/>
      <c r="AA698" s="20"/>
      <c r="AB698" s="20"/>
      <c r="AC698" s="20"/>
      <c r="AD698" s="20"/>
    </row>
    <row r="699" spans="1:30" ht="19.5">
      <c r="A699" s="20"/>
      <c r="B699" s="20"/>
      <c r="C699" s="20"/>
      <c r="D699" s="20"/>
      <c r="E699" s="20"/>
      <c r="F699" s="124"/>
      <c r="G699" s="20"/>
      <c r="H699" s="20"/>
      <c r="I699" s="20"/>
      <c r="J699" s="124"/>
      <c r="K699" s="127"/>
      <c r="L699" s="20"/>
      <c r="M699" s="20"/>
      <c r="N699" s="20"/>
      <c r="O699" s="124"/>
      <c r="P699" s="127"/>
      <c r="Q699" s="20"/>
      <c r="R699" s="20"/>
      <c r="S699" s="20"/>
      <c r="T699" s="124"/>
      <c r="U699" s="127"/>
      <c r="V699" s="20"/>
      <c r="W699" s="20"/>
      <c r="X699" s="20"/>
      <c r="Y699" s="20"/>
      <c r="Z699" s="20"/>
      <c r="AA699" s="20"/>
      <c r="AB699" s="20"/>
      <c r="AC699" s="20"/>
      <c r="AD699" s="20"/>
    </row>
    <row r="700" spans="1:30" ht="19.5">
      <c r="A700" s="20"/>
      <c r="B700" s="20"/>
      <c r="C700" s="20"/>
      <c r="D700" s="20"/>
      <c r="E700" s="20"/>
      <c r="F700" s="124"/>
      <c r="G700" s="20"/>
      <c r="H700" s="20"/>
      <c r="I700" s="20"/>
      <c r="J700" s="124"/>
      <c r="K700" s="127"/>
      <c r="L700" s="20"/>
      <c r="M700" s="20"/>
      <c r="N700" s="20"/>
      <c r="O700" s="124"/>
      <c r="P700" s="127"/>
      <c r="Q700" s="20"/>
      <c r="R700" s="20"/>
      <c r="S700" s="20"/>
      <c r="T700" s="124"/>
      <c r="U700" s="127"/>
      <c r="V700" s="20"/>
      <c r="W700" s="20"/>
      <c r="X700" s="20"/>
      <c r="Y700" s="20"/>
      <c r="Z700" s="20"/>
      <c r="AA700" s="20"/>
      <c r="AB700" s="20"/>
      <c r="AC700" s="20"/>
      <c r="AD700" s="20"/>
    </row>
    <row r="701" spans="1:30" ht="19.5">
      <c r="A701" s="20"/>
      <c r="B701" s="20"/>
      <c r="C701" s="20"/>
      <c r="D701" s="20"/>
      <c r="E701" s="20"/>
      <c r="F701" s="124"/>
      <c r="G701" s="20"/>
      <c r="H701" s="20"/>
      <c r="I701" s="20"/>
      <c r="J701" s="124"/>
      <c r="K701" s="127"/>
      <c r="L701" s="20"/>
      <c r="M701" s="20"/>
      <c r="N701" s="20"/>
      <c r="O701" s="124"/>
      <c r="P701" s="127"/>
      <c r="Q701" s="20"/>
      <c r="R701" s="20"/>
      <c r="S701" s="20"/>
      <c r="T701" s="124"/>
      <c r="U701" s="127"/>
      <c r="V701" s="20"/>
      <c r="W701" s="20"/>
      <c r="X701" s="20"/>
      <c r="Y701" s="20"/>
      <c r="Z701" s="20"/>
      <c r="AA701" s="20"/>
      <c r="AB701" s="20"/>
      <c r="AC701" s="20"/>
      <c r="AD701" s="20"/>
    </row>
    <row r="702" spans="1:30" ht="19.5">
      <c r="A702" s="20"/>
      <c r="B702" s="20"/>
      <c r="C702" s="20"/>
      <c r="D702" s="20"/>
      <c r="E702" s="20"/>
      <c r="F702" s="124"/>
      <c r="G702" s="20"/>
      <c r="H702" s="20"/>
      <c r="I702" s="20"/>
      <c r="J702" s="124"/>
      <c r="K702" s="127"/>
      <c r="L702" s="20"/>
      <c r="M702" s="20"/>
      <c r="N702" s="20"/>
      <c r="O702" s="124"/>
      <c r="P702" s="127"/>
      <c r="Q702" s="20"/>
      <c r="R702" s="20"/>
      <c r="S702" s="20"/>
      <c r="T702" s="124"/>
      <c r="U702" s="127"/>
      <c r="V702" s="20"/>
      <c r="W702" s="20"/>
      <c r="X702" s="20"/>
      <c r="Y702" s="20"/>
      <c r="Z702" s="20"/>
      <c r="AA702" s="20"/>
      <c r="AB702" s="20"/>
      <c r="AC702" s="20"/>
      <c r="AD702" s="20"/>
    </row>
    <row r="703" spans="1:30" ht="19.5">
      <c r="A703" s="20"/>
      <c r="B703" s="20"/>
      <c r="C703" s="20"/>
      <c r="D703" s="20"/>
      <c r="E703" s="20"/>
      <c r="F703" s="124"/>
      <c r="G703" s="20"/>
      <c r="H703" s="20"/>
      <c r="I703" s="20"/>
      <c r="J703" s="124"/>
      <c r="K703" s="127"/>
      <c r="L703" s="20"/>
      <c r="M703" s="20"/>
      <c r="N703" s="20"/>
      <c r="O703" s="124"/>
      <c r="P703" s="127"/>
      <c r="Q703" s="20"/>
      <c r="R703" s="20"/>
      <c r="S703" s="20"/>
      <c r="T703" s="124"/>
      <c r="U703" s="127"/>
      <c r="V703" s="20"/>
      <c r="W703" s="20"/>
      <c r="X703" s="20"/>
      <c r="Y703" s="20"/>
      <c r="Z703" s="20"/>
      <c r="AA703" s="20"/>
      <c r="AB703" s="20"/>
      <c r="AC703" s="20"/>
      <c r="AD703" s="20"/>
    </row>
    <row r="704" spans="1:30" ht="19.5">
      <c r="A704" s="20"/>
      <c r="B704" s="20"/>
      <c r="C704" s="20"/>
      <c r="D704" s="20"/>
      <c r="E704" s="20"/>
      <c r="F704" s="124"/>
      <c r="G704" s="20"/>
      <c r="H704" s="20"/>
      <c r="I704" s="20"/>
      <c r="J704" s="124"/>
      <c r="K704" s="127"/>
      <c r="L704" s="20"/>
      <c r="M704" s="20"/>
      <c r="N704" s="20"/>
      <c r="O704" s="124"/>
      <c r="P704" s="127"/>
      <c r="Q704" s="20"/>
      <c r="R704" s="20"/>
      <c r="S704" s="20"/>
      <c r="T704" s="124"/>
      <c r="U704" s="127"/>
      <c r="V704" s="20"/>
      <c r="W704" s="20"/>
      <c r="X704" s="20"/>
      <c r="Y704" s="20"/>
      <c r="Z704" s="20"/>
      <c r="AA704" s="20"/>
      <c r="AB704" s="20"/>
      <c r="AC704" s="20"/>
      <c r="AD704" s="20"/>
    </row>
    <row r="705" spans="1:30" ht="19.5">
      <c r="A705" s="20"/>
      <c r="B705" s="20"/>
      <c r="C705" s="20"/>
      <c r="D705" s="20"/>
      <c r="E705" s="20"/>
      <c r="F705" s="124"/>
      <c r="G705" s="20"/>
      <c r="H705" s="20"/>
      <c r="I705" s="20"/>
      <c r="J705" s="124"/>
      <c r="K705" s="127"/>
      <c r="L705" s="20"/>
      <c r="M705" s="20"/>
      <c r="N705" s="20"/>
      <c r="O705" s="124"/>
      <c r="P705" s="127"/>
      <c r="Q705" s="20"/>
      <c r="R705" s="20"/>
      <c r="S705" s="20"/>
      <c r="T705" s="124"/>
      <c r="U705" s="127"/>
      <c r="V705" s="20"/>
      <c r="W705" s="20"/>
      <c r="X705" s="20"/>
      <c r="Y705" s="20"/>
      <c r="Z705" s="20"/>
      <c r="AA705" s="20"/>
      <c r="AB705" s="20"/>
      <c r="AC705" s="20"/>
      <c r="AD705" s="20"/>
    </row>
    <row r="706" spans="1:30" ht="19.5">
      <c r="A706" s="20"/>
      <c r="B706" s="20"/>
      <c r="C706" s="20"/>
      <c r="D706" s="20"/>
      <c r="E706" s="20"/>
      <c r="F706" s="124"/>
      <c r="G706" s="20"/>
      <c r="H706" s="20"/>
      <c r="I706" s="20"/>
      <c r="J706" s="124"/>
      <c r="K706" s="127"/>
      <c r="L706" s="20"/>
      <c r="M706" s="20"/>
      <c r="N706" s="20"/>
      <c r="O706" s="124"/>
      <c r="P706" s="127"/>
      <c r="Q706" s="20"/>
      <c r="R706" s="20"/>
      <c r="S706" s="20"/>
      <c r="T706" s="124"/>
      <c r="U706" s="127"/>
      <c r="V706" s="20"/>
      <c r="W706" s="20"/>
      <c r="X706" s="20"/>
      <c r="Y706" s="20"/>
      <c r="Z706" s="20"/>
      <c r="AA706" s="20"/>
      <c r="AB706" s="20"/>
      <c r="AC706" s="20"/>
      <c r="AD706" s="20"/>
    </row>
    <row r="707" spans="1:30" ht="19.5">
      <c r="A707" s="20"/>
      <c r="B707" s="20"/>
      <c r="C707" s="20"/>
      <c r="D707" s="20"/>
      <c r="E707" s="20"/>
      <c r="F707" s="124"/>
      <c r="G707" s="20"/>
      <c r="H707" s="20"/>
      <c r="I707" s="20"/>
      <c r="J707" s="124"/>
      <c r="K707" s="127"/>
      <c r="L707" s="20"/>
      <c r="M707" s="20"/>
      <c r="N707" s="20"/>
      <c r="O707" s="124"/>
      <c r="P707" s="127"/>
      <c r="Q707" s="20"/>
      <c r="R707" s="20"/>
      <c r="S707" s="20"/>
      <c r="T707" s="124"/>
      <c r="U707" s="127"/>
      <c r="V707" s="20"/>
      <c r="W707" s="20"/>
      <c r="X707" s="20"/>
      <c r="Y707" s="20"/>
      <c r="Z707" s="20"/>
      <c r="AA707" s="20"/>
      <c r="AB707" s="20"/>
      <c r="AC707" s="20"/>
      <c r="AD707" s="20"/>
    </row>
    <row r="708" spans="1:30" ht="19.5">
      <c r="A708" s="20"/>
      <c r="B708" s="20"/>
      <c r="C708" s="20"/>
      <c r="D708" s="20"/>
      <c r="E708" s="20"/>
      <c r="F708" s="124"/>
      <c r="G708" s="20"/>
      <c r="H708" s="20"/>
      <c r="I708" s="20"/>
      <c r="J708" s="124"/>
      <c r="K708" s="127"/>
      <c r="L708" s="20"/>
      <c r="M708" s="20"/>
      <c r="N708" s="20"/>
      <c r="O708" s="124"/>
      <c r="P708" s="127"/>
      <c r="Q708" s="20"/>
      <c r="R708" s="20"/>
      <c r="S708" s="20"/>
      <c r="T708" s="124"/>
      <c r="U708" s="127"/>
      <c r="V708" s="20"/>
      <c r="W708" s="20"/>
      <c r="X708" s="20"/>
      <c r="Y708" s="20"/>
      <c r="Z708" s="20"/>
      <c r="AA708" s="20"/>
      <c r="AB708" s="20"/>
      <c r="AC708" s="20"/>
      <c r="AD708" s="20"/>
    </row>
    <row r="709" spans="1:30" ht="19.5">
      <c r="A709" s="20"/>
      <c r="B709" s="20"/>
      <c r="C709" s="20"/>
      <c r="D709" s="20"/>
      <c r="E709" s="20"/>
      <c r="F709" s="124"/>
      <c r="G709" s="20"/>
      <c r="H709" s="20"/>
      <c r="I709" s="20"/>
      <c r="J709" s="124"/>
      <c r="K709" s="127"/>
      <c r="L709" s="20"/>
      <c r="M709" s="20"/>
      <c r="N709" s="20"/>
      <c r="O709" s="124"/>
      <c r="P709" s="127"/>
      <c r="Q709" s="20"/>
      <c r="R709" s="20"/>
      <c r="S709" s="20"/>
      <c r="T709" s="124"/>
      <c r="U709" s="127"/>
      <c r="V709" s="20"/>
      <c r="W709" s="20"/>
      <c r="X709" s="20"/>
      <c r="Y709" s="20"/>
      <c r="Z709" s="20"/>
      <c r="AA709" s="20"/>
      <c r="AB709" s="20"/>
      <c r="AC709" s="20"/>
      <c r="AD709" s="20"/>
    </row>
    <row r="710" spans="1:30" ht="19.5">
      <c r="A710" s="20"/>
      <c r="B710" s="20"/>
      <c r="C710" s="20"/>
      <c r="D710" s="20"/>
      <c r="E710" s="20"/>
      <c r="F710" s="124"/>
      <c r="G710" s="20"/>
      <c r="H710" s="20"/>
      <c r="I710" s="20"/>
      <c r="J710" s="124"/>
      <c r="K710" s="127"/>
      <c r="L710" s="20"/>
      <c r="M710" s="20"/>
      <c r="N710" s="20"/>
      <c r="O710" s="124"/>
      <c r="P710" s="127"/>
      <c r="Q710" s="20"/>
      <c r="R710" s="20"/>
      <c r="S710" s="20"/>
      <c r="T710" s="124"/>
      <c r="U710" s="127"/>
      <c r="V710" s="20"/>
      <c r="W710" s="20"/>
      <c r="X710" s="20"/>
      <c r="Y710" s="20"/>
      <c r="Z710" s="20"/>
      <c r="AA710" s="20"/>
      <c r="AB710" s="20"/>
      <c r="AC710" s="20"/>
      <c r="AD710" s="20"/>
    </row>
    <row r="711" spans="1:30" ht="19.5">
      <c r="A711" s="20"/>
      <c r="B711" s="20"/>
      <c r="C711" s="20"/>
      <c r="D711" s="20"/>
      <c r="E711" s="20"/>
      <c r="F711" s="124"/>
      <c r="G711" s="20"/>
      <c r="H711" s="20"/>
      <c r="I711" s="20"/>
      <c r="J711" s="124"/>
      <c r="K711" s="127"/>
      <c r="L711" s="20"/>
      <c r="M711" s="20"/>
      <c r="N711" s="20"/>
      <c r="O711" s="124"/>
      <c r="P711" s="127"/>
      <c r="Q711" s="20"/>
      <c r="R711" s="20"/>
      <c r="S711" s="20"/>
      <c r="T711" s="124"/>
      <c r="U711" s="127"/>
      <c r="V711" s="20"/>
      <c r="W711" s="20"/>
      <c r="X711" s="20"/>
      <c r="Y711" s="20"/>
      <c r="Z711" s="20"/>
      <c r="AA711" s="20"/>
      <c r="AB711" s="20"/>
      <c r="AC711" s="20"/>
      <c r="AD711" s="20"/>
    </row>
    <row r="712" spans="1:30" ht="19.5">
      <c r="A712" s="20"/>
      <c r="B712" s="20"/>
      <c r="C712" s="20"/>
      <c r="D712" s="20"/>
      <c r="E712" s="20"/>
      <c r="F712" s="124"/>
      <c r="G712" s="20"/>
      <c r="H712" s="20"/>
      <c r="I712" s="20"/>
      <c r="J712" s="124"/>
      <c r="K712" s="127"/>
      <c r="L712" s="20"/>
      <c r="M712" s="20"/>
      <c r="N712" s="20"/>
      <c r="O712" s="124"/>
      <c r="P712" s="127"/>
      <c r="Q712" s="20"/>
      <c r="R712" s="20"/>
      <c r="S712" s="20"/>
      <c r="T712" s="124"/>
      <c r="U712" s="127"/>
      <c r="V712" s="20"/>
      <c r="W712" s="20"/>
      <c r="X712" s="20"/>
      <c r="Y712" s="20"/>
      <c r="Z712" s="20"/>
      <c r="AA712" s="20"/>
      <c r="AB712" s="20"/>
      <c r="AC712" s="20"/>
      <c r="AD712" s="20"/>
    </row>
    <row r="713" spans="1:30" ht="19.5">
      <c r="A713" s="20"/>
      <c r="B713" s="20"/>
      <c r="C713" s="20"/>
      <c r="D713" s="20"/>
      <c r="E713" s="20"/>
      <c r="F713" s="124"/>
      <c r="G713" s="20"/>
      <c r="H713" s="20"/>
      <c r="I713" s="20"/>
      <c r="J713" s="124"/>
      <c r="K713" s="127"/>
      <c r="L713" s="20"/>
      <c r="M713" s="20"/>
      <c r="N713" s="20"/>
      <c r="O713" s="124"/>
      <c r="P713" s="127"/>
      <c r="Q713" s="20"/>
      <c r="R713" s="20"/>
      <c r="S713" s="20"/>
      <c r="T713" s="124"/>
      <c r="U713" s="127"/>
      <c r="V713" s="20"/>
      <c r="W713" s="20"/>
      <c r="X713" s="20"/>
      <c r="Y713" s="20"/>
      <c r="Z713" s="20"/>
      <c r="AA713" s="20"/>
      <c r="AB713" s="20"/>
      <c r="AC713" s="20"/>
      <c r="AD713" s="20"/>
    </row>
    <row r="714" spans="1:30" ht="19.5">
      <c r="A714" s="20"/>
      <c r="B714" s="20"/>
      <c r="C714" s="20"/>
      <c r="D714" s="20"/>
      <c r="E714" s="20"/>
      <c r="F714" s="124"/>
      <c r="G714" s="20"/>
      <c r="H714" s="20"/>
      <c r="I714" s="20"/>
      <c r="J714" s="124"/>
      <c r="K714" s="127"/>
      <c r="L714" s="20"/>
      <c r="M714" s="20"/>
      <c r="N714" s="20"/>
      <c r="O714" s="124"/>
      <c r="P714" s="127"/>
      <c r="Q714" s="20"/>
      <c r="R714" s="20"/>
      <c r="S714" s="20"/>
      <c r="T714" s="124"/>
      <c r="U714" s="127"/>
      <c r="V714" s="20"/>
      <c r="W714" s="20"/>
      <c r="X714" s="20"/>
      <c r="Y714" s="20"/>
      <c r="Z714" s="20"/>
      <c r="AA714" s="20"/>
      <c r="AB714" s="20"/>
      <c r="AC714" s="20"/>
      <c r="AD714" s="20"/>
    </row>
    <row r="715" spans="1:30" ht="19.5">
      <c r="A715" s="20"/>
      <c r="B715" s="20"/>
      <c r="C715" s="20"/>
      <c r="D715" s="20"/>
      <c r="E715" s="20"/>
      <c r="F715" s="124"/>
      <c r="G715" s="20"/>
      <c r="H715" s="20"/>
      <c r="I715" s="20"/>
      <c r="J715" s="124"/>
      <c r="K715" s="127"/>
      <c r="L715" s="20"/>
      <c r="M715" s="20"/>
      <c r="N715" s="20"/>
      <c r="O715" s="124"/>
      <c r="P715" s="127"/>
      <c r="Q715" s="20"/>
      <c r="R715" s="20"/>
      <c r="S715" s="20"/>
      <c r="T715" s="124"/>
      <c r="U715" s="127"/>
      <c r="V715" s="20"/>
      <c r="W715" s="20"/>
      <c r="X715" s="20"/>
      <c r="Y715" s="20"/>
      <c r="Z715" s="20"/>
      <c r="AA715" s="20"/>
      <c r="AB715" s="20"/>
      <c r="AC715" s="20"/>
      <c r="AD715" s="20"/>
    </row>
    <row r="716" spans="1:30" ht="19.5">
      <c r="A716" s="20"/>
      <c r="B716" s="20"/>
      <c r="C716" s="20"/>
      <c r="D716" s="20"/>
      <c r="E716" s="20"/>
      <c r="F716" s="124"/>
      <c r="G716" s="20"/>
      <c r="H716" s="20"/>
      <c r="I716" s="20"/>
      <c r="J716" s="124"/>
      <c r="K716" s="127"/>
      <c r="L716" s="20"/>
      <c r="M716" s="20"/>
      <c r="N716" s="20"/>
      <c r="O716" s="124"/>
      <c r="P716" s="127"/>
      <c r="Q716" s="20"/>
      <c r="R716" s="20"/>
      <c r="S716" s="20"/>
      <c r="T716" s="124"/>
      <c r="U716" s="127"/>
      <c r="V716" s="20"/>
      <c r="W716" s="20"/>
      <c r="X716" s="20"/>
      <c r="Y716" s="20"/>
      <c r="Z716" s="20"/>
      <c r="AA716" s="20"/>
      <c r="AB716" s="20"/>
      <c r="AC716" s="20"/>
      <c r="AD716" s="20"/>
    </row>
    <row r="717" spans="1:30" ht="19.5">
      <c r="A717" s="20"/>
      <c r="B717" s="20"/>
      <c r="C717" s="20"/>
      <c r="D717" s="20"/>
      <c r="E717" s="20"/>
      <c r="F717" s="124"/>
      <c r="G717" s="20"/>
      <c r="H717" s="20"/>
      <c r="I717" s="20"/>
      <c r="J717" s="124"/>
      <c r="K717" s="127"/>
      <c r="L717" s="20"/>
      <c r="M717" s="20"/>
      <c r="N717" s="20"/>
      <c r="O717" s="124"/>
      <c r="P717" s="127"/>
      <c r="Q717" s="20"/>
      <c r="R717" s="20"/>
      <c r="S717" s="20"/>
      <c r="T717" s="124"/>
      <c r="U717" s="127"/>
      <c r="V717" s="20"/>
      <c r="W717" s="20"/>
      <c r="X717" s="20"/>
      <c r="Y717" s="20"/>
      <c r="Z717" s="20"/>
      <c r="AA717" s="20"/>
      <c r="AB717" s="20"/>
      <c r="AC717" s="20"/>
      <c r="AD717" s="20"/>
    </row>
    <row r="718" spans="1:30" ht="19.5">
      <c r="A718" s="20"/>
      <c r="B718" s="20"/>
      <c r="C718" s="20"/>
      <c r="D718" s="20"/>
      <c r="E718" s="20"/>
      <c r="F718" s="124"/>
      <c r="G718" s="20"/>
      <c r="H718" s="20"/>
      <c r="I718" s="20"/>
      <c r="J718" s="124"/>
      <c r="K718" s="127"/>
      <c r="L718" s="20"/>
      <c r="M718" s="20"/>
      <c r="N718" s="20"/>
      <c r="O718" s="124"/>
      <c r="P718" s="127"/>
      <c r="Q718" s="20"/>
      <c r="R718" s="20"/>
      <c r="S718" s="20"/>
      <c r="T718" s="124"/>
      <c r="U718" s="127"/>
      <c r="V718" s="20"/>
      <c r="W718" s="20"/>
      <c r="X718" s="20"/>
      <c r="Y718" s="20"/>
      <c r="Z718" s="20"/>
      <c r="AA718" s="20"/>
      <c r="AB718" s="20"/>
      <c r="AC718" s="20"/>
      <c r="AD718" s="20"/>
    </row>
    <row r="719" spans="1:30" ht="19.5">
      <c r="A719" s="20"/>
      <c r="B719" s="20"/>
      <c r="C719" s="20"/>
      <c r="D719" s="20"/>
      <c r="E719" s="20"/>
      <c r="F719" s="124"/>
      <c r="G719" s="20"/>
      <c r="H719" s="20"/>
      <c r="I719" s="20"/>
      <c r="J719" s="124"/>
      <c r="K719" s="127"/>
      <c r="L719" s="20"/>
      <c r="M719" s="20"/>
      <c r="N719" s="20"/>
      <c r="O719" s="124"/>
      <c r="P719" s="127"/>
      <c r="Q719" s="20"/>
      <c r="R719" s="20"/>
      <c r="S719" s="20"/>
      <c r="T719" s="124"/>
      <c r="U719" s="127"/>
      <c r="V719" s="20"/>
      <c r="W719" s="20"/>
      <c r="X719" s="20"/>
      <c r="Y719" s="20"/>
      <c r="Z719" s="20"/>
      <c r="AA719" s="20"/>
      <c r="AB719" s="20"/>
      <c r="AC719" s="20"/>
      <c r="AD719" s="20"/>
    </row>
    <row r="720" spans="1:30" ht="19.5">
      <c r="A720" s="20"/>
      <c r="B720" s="20"/>
      <c r="C720" s="20"/>
      <c r="D720" s="20"/>
      <c r="E720" s="20"/>
      <c r="F720" s="124"/>
      <c r="G720" s="20"/>
      <c r="H720" s="20"/>
      <c r="I720" s="20"/>
      <c r="J720" s="124"/>
      <c r="K720" s="127"/>
      <c r="L720" s="20"/>
      <c r="M720" s="20"/>
      <c r="N720" s="20"/>
      <c r="O720" s="124"/>
      <c r="P720" s="127"/>
      <c r="Q720" s="20"/>
      <c r="R720" s="20"/>
      <c r="S720" s="20"/>
      <c r="T720" s="124"/>
      <c r="U720" s="127"/>
      <c r="V720" s="20"/>
      <c r="W720" s="20"/>
      <c r="X720" s="20"/>
      <c r="Y720" s="20"/>
      <c r="Z720" s="20"/>
      <c r="AA720" s="20"/>
      <c r="AB720" s="20"/>
      <c r="AC720" s="20"/>
      <c r="AD720" s="20"/>
    </row>
    <row r="721" spans="1:30" ht="19.5">
      <c r="A721" s="20"/>
      <c r="B721" s="20"/>
      <c r="C721" s="20"/>
      <c r="D721" s="20"/>
      <c r="E721" s="20"/>
      <c r="F721" s="124"/>
      <c r="G721" s="20"/>
      <c r="H721" s="20"/>
      <c r="I721" s="20"/>
      <c r="J721" s="124"/>
      <c r="K721" s="127"/>
      <c r="L721" s="20"/>
      <c r="M721" s="20"/>
      <c r="N721" s="20"/>
      <c r="O721" s="124"/>
      <c r="P721" s="127"/>
      <c r="Q721" s="20"/>
      <c r="R721" s="20"/>
      <c r="S721" s="20"/>
      <c r="T721" s="124"/>
      <c r="U721" s="127"/>
      <c r="V721" s="20"/>
      <c r="W721" s="20"/>
      <c r="X721" s="20"/>
      <c r="Y721" s="20"/>
      <c r="Z721" s="20"/>
      <c r="AA721" s="20"/>
      <c r="AB721" s="20"/>
      <c r="AC721" s="20"/>
      <c r="AD721" s="20"/>
    </row>
    <row r="722" spans="1:30" ht="19.5">
      <c r="A722" s="20"/>
      <c r="B722" s="20"/>
      <c r="C722" s="20"/>
      <c r="D722" s="20"/>
      <c r="E722" s="20"/>
      <c r="F722" s="124"/>
      <c r="G722" s="20"/>
      <c r="H722" s="20"/>
      <c r="I722" s="20"/>
      <c r="J722" s="124"/>
      <c r="K722" s="127"/>
      <c r="L722" s="20"/>
      <c r="M722" s="20"/>
      <c r="N722" s="20"/>
      <c r="O722" s="124"/>
      <c r="P722" s="127"/>
      <c r="Q722" s="20"/>
      <c r="R722" s="20"/>
      <c r="S722" s="20"/>
      <c r="T722" s="124"/>
      <c r="U722" s="127"/>
      <c r="V722" s="20"/>
      <c r="W722" s="20"/>
      <c r="X722" s="20"/>
      <c r="Y722" s="20"/>
      <c r="Z722" s="20"/>
      <c r="AA722" s="20"/>
      <c r="AB722" s="20"/>
      <c r="AC722" s="20"/>
      <c r="AD722" s="20"/>
    </row>
    <row r="723" spans="1:30" ht="19.5">
      <c r="A723" s="20"/>
      <c r="B723" s="20"/>
      <c r="C723" s="20"/>
      <c r="D723" s="20"/>
      <c r="E723" s="20"/>
      <c r="F723" s="124"/>
      <c r="G723" s="20"/>
      <c r="H723" s="20"/>
      <c r="I723" s="20"/>
      <c r="J723" s="124"/>
      <c r="K723" s="127"/>
      <c r="L723" s="20"/>
      <c r="M723" s="20"/>
      <c r="N723" s="20"/>
      <c r="O723" s="124"/>
      <c r="P723" s="127"/>
      <c r="Q723" s="20"/>
      <c r="R723" s="20"/>
      <c r="S723" s="20"/>
      <c r="T723" s="124"/>
      <c r="U723" s="127"/>
      <c r="V723" s="20"/>
      <c r="W723" s="20"/>
      <c r="X723" s="20"/>
      <c r="Y723" s="20"/>
      <c r="Z723" s="20"/>
      <c r="AA723" s="20"/>
      <c r="AB723" s="20"/>
      <c r="AC723" s="20"/>
      <c r="AD723" s="20"/>
    </row>
    <row r="724" spans="1:30" ht="19.5">
      <c r="A724" s="20"/>
      <c r="B724" s="20"/>
      <c r="C724" s="20"/>
      <c r="D724" s="20"/>
      <c r="E724" s="20"/>
      <c r="F724" s="124"/>
      <c r="G724" s="20"/>
      <c r="H724" s="20"/>
      <c r="I724" s="20"/>
      <c r="J724" s="124"/>
      <c r="K724" s="127"/>
      <c r="L724" s="20"/>
      <c r="M724" s="20"/>
      <c r="N724" s="20"/>
      <c r="O724" s="124"/>
      <c r="P724" s="127"/>
      <c r="Q724" s="20"/>
      <c r="R724" s="20"/>
      <c r="S724" s="20"/>
      <c r="T724" s="124"/>
      <c r="U724" s="127"/>
      <c r="V724" s="20"/>
      <c r="W724" s="20"/>
      <c r="X724" s="20"/>
      <c r="Y724" s="20"/>
      <c r="Z724" s="20"/>
      <c r="AA724" s="20"/>
      <c r="AB724" s="20"/>
      <c r="AC724" s="20"/>
      <c r="AD724" s="20"/>
    </row>
    <row r="725" spans="1:30" ht="19.5">
      <c r="A725" s="20"/>
      <c r="B725" s="20"/>
      <c r="C725" s="20"/>
      <c r="D725" s="20"/>
      <c r="E725" s="20"/>
      <c r="F725" s="124"/>
      <c r="G725" s="20"/>
      <c r="H725" s="20"/>
      <c r="I725" s="20"/>
      <c r="J725" s="124"/>
      <c r="K725" s="127"/>
      <c r="L725" s="20"/>
      <c r="M725" s="20"/>
      <c r="N725" s="20"/>
      <c r="O725" s="124"/>
      <c r="P725" s="127"/>
      <c r="Q725" s="20"/>
      <c r="R725" s="20"/>
      <c r="S725" s="20"/>
      <c r="T725" s="124"/>
      <c r="U725" s="127"/>
      <c r="V725" s="20"/>
      <c r="W725" s="20"/>
      <c r="X725" s="20"/>
      <c r="Y725" s="20"/>
      <c r="Z725" s="20"/>
      <c r="AA725" s="20"/>
      <c r="AB725" s="20"/>
      <c r="AC725" s="20"/>
      <c r="AD725" s="20"/>
    </row>
    <row r="726" spans="1:30" ht="19.5">
      <c r="A726" s="20"/>
      <c r="B726" s="20"/>
      <c r="C726" s="20"/>
      <c r="D726" s="20"/>
      <c r="E726" s="20"/>
      <c r="F726" s="124"/>
      <c r="G726" s="20"/>
      <c r="H726" s="20"/>
      <c r="I726" s="20"/>
      <c r="J726" s="124"/>
      <c r="K726" s="127"/>
      <c r="L726" s="20"/>
      <c r="M726" s="20"/>
      <c r="N726" s="20"/>
      <c r="O726" s="124"/>
      <c r="P726" s="127"/>
      <c r="Q726" s="20"/>
      <c r="R726" s="20"/>
      <c r="S726" s="20"/>
      <c r="T726" s="124"/>
      <c r="U726" s="127"/>
      <c r="V726" s="20"/>
      <c r="W726" s="20"/>
      <c r="X726" s="20"/>
      <c r="Y726" s="20"/>
      <c r="Z726" s="20"/>
      <c r="AA726" s="20"/>
      <c r="AB726" s="20"/>
      <c r="AC726" s="20"/>
      <c r="AD726" s="20"/>
    </row>
    <row r="727" spans="1:30" ht="19.5">
      <c r="A727" s="20"/>
      <c r="B727" s="20"/>
      <c r="C727" s="20"/>
      <c r="D727" s="20"/>
      <c r="E727" s="20"/>
      <c r="F727" s="124"/>
      <c r="G727" s="20"/>
      <c r="H727" s="20"/>
      <c r="I727" s="20"/>
      <c r="J727" s="124"/>
      <c r="K727" s="127"/>
      <c r="L727" s="20"/>
      <c r="M727" s="20"/>
      <c r="N727" s="20"/>
      <c r="O727" s="124"/>
      <c r="P727" s="127"/>
      <c r="Q727" s="20"/>
      <c r="R727" s="20"/>
      <c r="S727" s="20"/>
      <c r="T727" s="124"/>
      <c r="U727" s="127"/>
      <c r="V727" s="20"/>
      <c r="W727" s="20"/>
      <c r="X727" s="20"/>
      <c r="Y727" s="20"/>
      <c r="Z727" s="20"/>
      <c r="AA727" s="20"/>
      <c r="AB727" s="20"/>
      <c r="AC727" s="20"/>
      <c r="AD727" s="20"/>
    </row>
    <row r="728" spans="1:30" ht="19.5">
      <c r="A728" s="20"/>
      <c r="B728" s="20"/>
      <c r="C728" s="20"/>
      <c r="D728" s="20"/>
      <c r="E728" s="20"/>
      <c r="F728" s="124"/>
      <c r="G728" s="20"/>
      <c r="H728" s="20"/>
      <c r="I728" s="20"/>
      <c r="J728" s="124"/>
      <c r="K728" s="127"/>
      <c r="L728" s="20"/>
      <c r="M728" s="20"/>
      <c r="N728" s="20"/>
      <c r="O728" s="124"/>
      <c r="P728" s="127"/>
      <c r="Q728" s="20"/>
      <c r="R728" s="20"/>
      <c r="S728" s="20"/>
      <c r="T728" s="124"/>
      <c r="U728" s="127"/>
      <c r="V728" s="20"/>
      <c r="W728" s="20"/>
      <c r="X728" s="20"/>
      <c r="Y728" s="20"/>
      <c r="Z728" s="20"/>
      <c r="AA728" s="20"/>
      <c r="AB728" s="20"/>
      <c r="AC728" s="20"/>
      <c r="AD728" s="20"/>
    </row>
    <row r="729" spans="1:30" ht="19.5">
      <c r="A729" s="20"/>
      <c r="B729" s="20"/>
      <c r="C729" s="20"/>
      <c r="D729" s="20"/>
      <c r="E729" s="20"/>
      <c r="F729" s="124"/>
      <c r="G729" s="20"/>
      <c r="H729" s="20"/>
      <c r="I729" s="20"/>
      <c r="J729" s="124"/>
      <c r="K729" s="127"/>
      <c r="L729" s="20"/>
      <c r="M729" s="20"/>
      <c r="N729" s="20"/>
      <c r="O729" s="124"/>
      <c r="P729" s="127"/>
      <c r="Q729" s="20"/>
      <c r="R729" s="20"/>
      <c r="S729" s="20"/>
      <c r="T729" s="124"/>
      <c r="U729" s="127"/>
      <c r="V729" s="20"/>
      <c r="W729" s="20"/>
      <c r="X729" s="20"/>
      <c r="Y729" s="20"/>
      <c r="Z729" s="20"/>
      <c r="AA729" s="20"/>
      <c r="AB729" s="20"/>
      <c r="AC729" s="20"/>
      <c r="AD729" s="20"/>
    </row>
    <row r="730" spans="1:30" ht="19.5">
      <c r="A730" s="20"/>
      <c r="B730" s="20"/>
      <c r="C730" s="20"/>
      <c r="D730" s="20"/>
      <c r="E730" s="20"/>
      <c r="F730" s="124"/>
      <c r="G730" s="20"/>
      <c r="H730" s="20"/>
      <c r="I730" s="20"/>
      <c r="J730" s="124"/>
      <c r="K730" s="127"/>
      <c r="L730" s="20"/>
      <c r="M730" s="20"/>
      <c r="N730" s="20"/>
      <c r="O730" s="124"/>
      <c r="P730" s="127"/>
      <c r="Q730" s="20"/>
      <c r="R730" s="20"/>
      <c r="S730" s="20"/>
      <c r="T730" s="124"/>
      <c r="U730" s="127"/>
      <c r="V730" s="20"/>
      <c r="W730" s="20"/>
      <c r="X730" s="20"/>
      <c r="Y730" s="20"/>
      <c r="Z730" s="20"/>
      <c r="AA730" s="20"/>
      <c r="AB730" s="20"/>
      <c r="AC730" s="20"/>
      <c r="AD730" s="20"/>
    </row>
    <row r="731" spans="1:30" ht="19.5">
      <c r="A731" s="20"/>
      <c r="B731" s="20"/>
      <c r="C731" s="20"/>
      <c r="D731" s="20"/>
      <c r="E731" s="20"/>
      <c r="F731" s="124"/>
      <c r="G731" s="20"/>
      <c r="H731" s="20"/>
      <c r="I731" s="20"/>
      <c r="J731" s="124"/>
      <c r="K731" s="127"/>
      <c r="L731" s="20"/>
      <c r="M731" s="20"/>
      <c r="N731" s="20"/>
      <c r="O731" s="124"/>
      <c r="P731" s="127"/>
      <c r="Q731" s="20"/>
      <c r="R731" s="20"/>
      <c r="S731" s="20"/>
      <c r="T731" s="124"/>
      <c r="U731" s="127"/>
      <c r="V731" s="20"/>
      <c r="W731" s="20"/>
      <c r="X731" s="20"/>
      <c r="Y731" s="20"/>
      <c r="Z731" s="20"/>
      <c r="AA731" s="20"/>
      <c r="AB731" s="20"/>
      <c r="AC731" s="20"/>
      <c r="AD731" s="20"/>
    </row>
    <row r="732" spans="1:30" ht="19.5">
      <c r="A732" s="20"/>
      <c r="B732" s="20"/>
      <c r="C732" s="20"/>
      <c r="D732" s="20"/>
      <c r="E732" s="20"/>
      <c r="F732" s="124"/>
      <c r="G732" s="20"/>
      <c r="H732" s="20"/>
      <c r="I732" s="20"/>
      <c r="J732" s="124"/>
      <c r="K732" s="127"/>
      <c r="L732" s="20"/>
      <c r="M732" s="20"/>
      <c r="N732" s="20"/>
      <c r="O732" s="124"/>
      <c r="P732" s="127"/>
      <c r="Q732" s="20"/>
      <c r="R732" s="20"/>
      <c r="S732" s="20"/>
      <c r="T732" s="124"/>
      <c r="U732" s="127"/>
      <c r="V732" s="20"/>
      <c r="W732" s="20"/>
      <c r="X732" s="20"/>
      <c r="Y732" s="20"/>
      <c r="Z732" s="20"/>
      <c r="AA732" s="20"/>
      <c r="AB732" s="20"/>
      <c r="AC732" s="20"/>
      <c r="AD732" s="20"/>
    </row>
    <row r="733" spans="1:30" ht="19.5">
      <c r="A733" s="20"/>
      <c r="B733" s="20"/>
      <c r="C733" s="20"/>
      <c r="D733" s="20"/>
      <c r="E733" s="20"/>
      <c r="F733" s="124"/>
      <c r="G733" s="20"/>
      <c r="H733" s="20"/>
      <c r="I733" s="20"/>
      <c r="J733" s="124"/>
      <c r="K733" s="127"/>
      <c r="L733" s="20"/>
      <c r="M733" s="20"/>
      <c r="N733" s="20"/>
      <c r="O733" s="124"/>
      <c r="P733" s="127"/>
      <c r="Q733" s="20"/>
      <c r="R733" s="20"/>
      <c r="S733" s="20"/>
      <c r="T733" s="124"/>
      <c r="U733" s="127"/>
      <c r="V733" s="20"/>
      <c r="W733" s="20"/>
      <c r="X733" s="20"/>
      <c r="Y733" s="20"/>
      <c r="Z733" s="20"/>
      <c r="AA733" s="20"/>
      <c r="AB733" s="20"/>
      <c r="AC733" s="20"/>
      <c r="AD733" s="20"/>
    </row>
    <row r="734" spans="1:30" ht="19.5">
      <c r="A734" s="20"/>
      <c r="B734" s="20"/>
      <c r="C734" s="20"/>
      <c r="D734" s="20"/>
      <c r="E734" s="20"/>
      <c r="F734" s="124"/>
      <c r="G734" s="20"/>
      <c r="H734" s="20"/>
      <c r="I734" s="20"/>
      <c r="J734" s="124"/>
      <c r="K734" s="127"/>
      <c r="L734" s="20"/>
      <c r="M734" s="20"/>
      <c r="N734" s="20"/>
      <c r="O734" s="124"/>
      <c r="P734" s="127"/>
      <c r="Q734" s="20"/>
      <c r="R734" s="20"/>
      <c r="S734" s="20"/>
      <c r="T734" s="124"/>
      <c r="U734" s="127"/>
      <c r="V734" s="20"/>
      <c r="W734" s="20"/>
      <c r="X734" s="20"/>
      <c r="Y734" s="20"/>
      <c r="Z734" s="20"/>
      <c r="AA734" s="20"/>
      <c r="AB734" s="20"/>
      <c r="AC734" s="20"/>
      <c r="AD734" s="20"/>
    </row>
    <row r="735" spans="1:30" ht="19.5">
      <c r="A735" s="20"/>
      <c r="B735" s="20"/>
      <c r="C735" s="20"/>
      <c r="D735" s="20"/>
      <c r="E735" s="20"/>
      <c r="F735" s="124"/>
      <c r="G735" s="20"/>
      <c r="H735" s="20"/>
      <c r="I735" s="20"/>
      <c r="J735" s="124"/>
      <c r="K735" s="127"/>
      <c r="L735" s="20"/>
      <c r="M735" s="20"/>
      <c r="N735" s="20"/>
      <c r="O735" s="124"/>
      <c r="P735" s="127"/>
      <c r="Q735" s="20"/>
      <c r="R735" s="20"/>
      <c r="S735" s="20"/>
      <c r="T735" s="124"/>
      <c r="U735" s="127"/>
      <c r="V735" s="20"/>
      <c r="W735" s="20"/>
      <c r="X735" s="20"/>
      <c r="Y735" s="20"/>
      <c r="Z735" s="20"/>
      <c r="AA735" s="20"/>
      <c r="AB735" s="20"/>
      <c r="AC735" s="20"/>
      <c r="AD735" s="20"/>
    </row>
    <row r="736" spans="1:30" ht="19.5">
      <c r="A736" s="20"/>
      <c r="B736" s="20"/>
      <c r="C736" s="20"/>
      <c r="D736" s="20"/>
      <c r="E736" s="20"/>
      <c r="F736" s="124"/>
      <c r="G736" s="20"/>
      <c r="H736" s="20"/>
      <c r="I736" s="20"/>
      <c r="J736" s="124"/>
      <c r="K736" s="127"/>
      <c r="L736" s="20"/>
      <c r="M736" s="20"/>
      <c r="N736" s="20"/>
      <c r="O736" s="124"/>
      <c r="P736" s="127"/>
      <c r="Q736" s="20"/>
      <c r="R736" s="20"/>
      <c r="S736" s="20"/>
      <c r="T736" s="124"/>
      <c r="U736" s="127"/>
      <c r="V736" s="20"/>
      <c r="W736" s="20"/>
      <c r="X736" s="20"/>
      <c r="Y736" s="20"/>
      <c r="Z736" s="20"/>
      <c r="AA736" s="20"/>
      <c r="AB736" s="20"/>
      <c r="AC736" s="20"/>
      <c r="AD736" s="20"/>
    </row>
    <row r="737" spans="1:30" ht="19.5">
      <c r="A737" s="20"/>
      <c r="B737" s="20"/>
      <c r="C737" s="20"/>
      <c r="D737" s="20"/>
      <c r="E737" s="20"/>
      <c r="F737" s="124"/>
      <c r="G737" s="20"/>
      <c r="H737" s="20"/>
      <c r="I737" s="20"/>
      <c r="J737" s="124"/>
      <c r="K737" s="127"/>
      <c r="L737" s="20"/>
      <c r="M737" s="20"/>
      <c r="N737" s="20"/>
      <c r="O737" s="124"/>
      <c r="P737" s="127"/>
      <c r="Q737" s="20"/>
      <c r="R737" s="20"/>
      <c r="S737" s="20"/>
      <c r="T737" s="124"/>
      <c r="U737" s="127"/>
      <c r="V737" s="20"/>
      <c r="W737" s="20"/>
      <c r="X737" s="20"/>
      <c r="Y737" s="20"/>
      <c r="Z737" s="20"/>
      <c r="AA737" s="20"/>
      <c r="AB737" s="20"/>
      <c r="AC737" s="20"/>
      <c r="AD737" s="20"/>
    </row>
    <row r="738" spans="1:30" ht="19.5">
      <c r="A738" s="20"/>
      <c r="B738" s="20"/>
      <c r="C738" s="20"/>
      <c r="D738" s="20"/>
      <c r="E738" s="20"/>
      <c r="F738" s="124"/>
      <c r="G738" s="20"/>
      <c r="H738" s="20"/>
      <c r="I738" s="20"/>
      <c r="J738" s="124"/>
      <c r="K738" s="127"/>
      <c r="L738" s="20"/>
      <c r="M738" s="20"/>
      <c r="N738" s="20"/>
      <c r="O738" s="124"/>
      <c r="P738" s="127"/>
      <c r="Q738" s="20"/>
      <c r="R738" s="20"/>
      <c r="S738" s="20"/>
      <c r="T738" s="124"/>
      <c r="U738" s="127"/>
      <c r="V738" s="20"/>
      <c r="W738" s="20"/>
      <c r="X738" s="20"/>
      <c r="Y738" s="20"/>
      <c r="Z738" s="20"/>
      <c r="AA738" s="20"/>
      <c r="AB738" s="20"/>
      <c r="AC738" s="20"/>
      <c r="AD738" s="20"/>
    </row>
    <row r="739" spans="1:30" ht="19.5">
      <c r="A739" s="20"/>
      <c r="B739" s="20"/>
      <c r="C739" s="20"/>
      <c r="D739" s="20"/>
      <c r="E739" s="20"/>
      <c r="F739" s="124"/>
      <c r="G739" s="20"/>
      <c r="H739" s="20"/>
      <c r="I739" s="20"/>
      <c r="J739" s="124"/>
      <c r="K739" s="127"/>
      <c r="L739" s="20"/>
      <c r="M739" s="20"/>
      <c r="N739" s="20"/>
      <c r="O739" s="124"/>
      <c r="P739" s="127"/>
      <c r="Q739" s="20"/>
      <c r="R739" s="20"/>
      <c r="S739" s="20"/>
      <c r="T739" s="124"/>
      <c r="U739" s="127"/>
      <c r="V739" s="20"/>
      <c r="W739" s="20"/>
      <c r="X739" s="20"/>
      <c r="Y739" s="20"/>
      <c r="Z739" s="20"/>
      <c r="AA739" s="20"/>
      <c r="AB739" s="20"/>
      <c r="AC739" s="20"/>
      <c r="AD739" s="20"/>
    </row>
    <row r="740" spans="1:30" ht="19.5">
      <c r="A740" s="20"/>
      <c r="B740" s="20"/>
      <c r="C740" s="20"/>
      <c r="D740" s="20"/>
      <c r="E740" s="20"/>
      <c r="F740" s="124"/>
      <c r="G740" s="20"/>
      <c r="H740" s="20"/>
      <c r="I740" s="20"/>
      <c r="J740" s="124"/>
      <c r="K740" s="127"/>
      <c r="L740" s="20"/>
      <c r="M740" s="20"/>
      <c r="N740" s="20"/>
      <c r="O740" s="124"/>
      <c r="P740" s="127"/>
      <c r="Q740" s="20"/>
      <c r="R740" s="20"/>
      <c r="S740" s="20"/>
      <c r="T740" s="124"/>
      <c r="U740" s="127"/>
      <c r="V740" s="20"/>
      <c r="W740" s="20"/>
      <c r="X740" s="20"/>
      <c r="Y740" s="20"/>
      <c r="Z740" s="20"/>
      <c r="AA740" s="20"/>
      <c r="AB740" s="20"/>
      <c r="AC740" s="20"/>
      <c r="AD740" s="20"/>
    </row>
    <row r="741" spans="1:30" ht="19.5">
      <c r="A741" s="20"/>
      <c r="B741" s="20"/>
      <c r="C741" s="20"/>
      <c r="D741" s="20"/>
      <c r="E741" s="20"/>
      <c r="F741" s="124"/>
      <c r="G741" s="20"/>
      <c r="H741" s="20"/>
      <c r="I741" s="20"/>
      <c r="J741" s="124"/>
      <c r="K741" s="127"/>
      <c r="L741" s="20"/>
      <c r="M741" s="20"/>
      <c r="N741" s="20"/>
      <c r="O741" s="124"/>
      <c r="P741" s="127"/>
      <c r="Q741" s="20"/>
      <c r="R741" s="20"/>
      <c r="S741" s="20"/>
      <c r="T741" s="124"/>
      <c r="U741" s="127"/>
      <c r="V741" s="20"/>
      <c r="W741" s="20"/>
      <c r="X741" s="20"/>
      <c r="Y741" s="20"/>
      <c r="Z741" s="20"/>
      <c r="AA741" s="20"/>
      <c r="AB741" s="20"/>
      <c r="AC741" s="20"/>
      <c r="AD741" s="20"/>
    </row>
    <row r="742" spans="1:30" ht="19.5">
      <c r="A742" s="20"/>
      <c r="B742" s="20"/>
      <c r="C742" s="20"/>
      <c r="D742" s="20"/>
      <c r="E742" s="20"/>
      <c r="F742" s="124"/>
      <c r="G742" s="20"/>
      <c r="H742" s="20"/>
      <c r="I742" s="20"/>
      <c r="J742" s="124"/>
      <c r="K742" s="127"/>
      <c r="L742" s="20"/>
      <c r="M742" s="20"/>
      <c r="N742" s="20"/>
      <c r="O742" s="124"/>
      <c r="P742" s="127"/>
      <c r="Q742" s="20"/>
      <c r="R742" s="20"/>
      <c r="S742" s="20"/>
      <c r="T742" s="124"/>
      <c r="U742" s="127"/>
      <c r="V742" s="20"/>
      <c r="W742" s="20"/>
      <c r="X742" s="20"/>
      <c r="Y742" s="20"/>
      <c r="Z742" s="20"/>
      <c r="AA742" s="20"/>
      <c r="AB742" s="20"/>
      <c r="AC742" s="20"/>
      <c r="AD742" s="20"/>
    </row>
    <row r="743" spans="1:30" ht="19.5">
      <c r="A743" s="20"/>
      <c r="B743" s="20"/>
      <c r="C743" s="20"/>
      <c r="D743" s="20"/>
      <c r="E743" s="20"/>
      <c r="F743" s="124"/>
      <c r="G743" s="20"/>
      <c r="H743" s="20"/>
      <c r="I743" s="20"/>
      <c r="J743" s="124"/>
      <c r="K743" s="127"/>
      <c r="L743" s="20"/>
      <c r="M743" s="20"/>
      <c r="N743" s="20"/>
      <c r="O743" s="124"/>
      <c r="P743" s="127"/>
      <c r="Q743" s="20"/>
      <c r="R743" s="20"/>
      <c r="S743" s="20"/>
      <c r="T743" s="124"/>
      <c r="U743" s="127"/>
      <c r="V743" s="20"/>
      <c r="W743" s="20"/>
      <c r="X743" s="20"/>
      <c r="Y743" s="20"/>
      <c r="Z743" s="20"/>
      <c r="AA743" s="20"/>
      <c r="AB743" s="20"/>
      <c r="AC743" s="20"/>
      <c r="AD743" s="20"/>
    </row>
    <row r="744" spans="1:30" ht="19.5">
      <c r="A744" s="20"/>
      <c r="B744" s="20"/>
      <c r="C744" s="20"/>
      <c r="D744" s="20"/>
      <c r="E744" s="20"/>
      <c r="F744" s="124"/>
      <c r="G744" s="20"/>
      <c r="H744" s="20"/>
      <c r="I744" s="20"/>
      <c r="J744" s="124"/>
      <c r="K744" s="127"/>
      <c r="L744" s="20"/>
      <c r="M744" s="20"/>
      <c r="N744" s="20"/>
      <c r="O744" s="124"/>
      <c r="P744" s="127"/>
      <c r="Q744" s="20"/>
      <c r="R744" s="20"/>
      <c r="S744" s="20"/>
      <c r="T744" s="124"/>
      <c r="U744" s="127"/>
      <c r="V744" s="20"/>
      <c r="W744" s="20"/>
      <c r="X744" s="20"/>
      <c r="Y744" s="20"/>
      <c r="Z744" s="20"/>
      <c r="AA744" s="20"/>
      <c r="AB744" s="20"/>
      <c r="AC744" s="20"/>
      <c r="AD744" s="20"/>
    </row>
    <row r="745" spans="1:30" ht="19.5">
      <c r="A745" s="20"/>
      <c r="B745" s="20"/>
      <c r="C745" s="20"/>
      <c r="D745" s="20"/>
      <c r="E745" s="20"/>
      <c r="F745" s="124"/>
      <c r="G745" s="20"/>
      <c r="H745" s="20"/>
      <c r="I745" s="20"/>
      <c r="J745" s="124"/>
      <c r="K745" s="127"/>
      <c r="L745" s="20"/>
      <c r="M745" s="20"/>
      <c r="N745" s="20"/>
      <c r="O745" s="124"/>
      <c r="P745" s="127"/>
      <c r="Q745" s="20"/>
      <c r="R745" s="20"/>
      <c r="S745" s="20"/>
      <c r="T745" s="124"/>
      <c r="U745" s="127"/>
      <c r="V745" s="20"/>
      <c r="W745" s="20"/>
      <c r="X745" s="20"/>
      <c r="Y745" s="20"/>
      <c r="Z745" s="20"/>
      <c r="AA745" s="20"/>
      <c r="AB745" s="20"/>
      <c r="AC745" s="20"/>
      <c r="AD745" s="20"/>
    </row>
    <row r="746" spans="1:30" ht="19.5">
      <c r="A746" s="20"/>
      <c r="B746" s="20"/>
      <c r="C746" s="20"/>
      <c r="D746" s="20"/>
      <c r="E746" s="20"/>
      <c r="F746" s="124"/>
      <c r="G746" s="20"/>
      <c r="H746" s="20"/>
      <c r="I746" s="20"/>
      <c r="J746" s="124"/>
      <c r="K746" s="127"/>
      <c r="L746" s="20"/>
      <c r="M746" s="20"/>
      <c r="N746" s="20"/>
      <c r="O746" s="124"/>
      <c r="P746" s="127"/>
      <c r="Q746" s="20"/>
      <c r="R746" s="20"/>
      <c r="S746" s="20"/>
      <c r="T746" s="124"/>
      <c r="U746" s="127"/>
      <c r="V746" s="20"/>
      <c r="W746" s="20"/>
      <c r="X746" s="20"/>
      <c r="Y746" s="20"/>
      <c r="Z746" s="20"/>
      <c r="AA746" s="20"/>
      <c r="AB746" s="20"/>
      <c r="AC746" s="20"/>
      <c r="AD746" s="20"/>
    </row>
    <row r="747" spans="1:30" ht="19.5">
      <c r="A747" s="20"/>
      <c r="B747" s="20"/>
      <c r="C747" s="20"/>
      <c r="D747" s="20"/>
      <c r="E747" s="20"/>
      <c r="F747" s="124"/>
      <c r="G747" s="20"/>
      <c r="H747" s="20"/>
      <c r="I747" s="20"/>
      <c r="J747" s="124"/>
      <c r="K747" s="127"/>
      <c r="L747" s="20"/>
      <c r="M747" s="20"/>
      <c r="N747" s="20"/>
      <c r="O747" s="124"/>
      <c r="P747" s="127"/>
      <c r="Q747" s="20"/>
      <c r="R747" s="20"/>
      <c r="S747" s="20"/>
      <c r="T747" s="124"/>
      <c r="U747" s="127"/>
      <c r="V747" s="20"/>
      <c r="W747" s="20"/>
      <c r="X747" s="20"/>
      <c r="Y747" s="20"/>
      <c r="Z747" s="20"/>
      <c r="AA747" s="20"/>
      <c r="AB747" s="20"/>
      <c r="AC747" s="20"/>
      <c r="AD747" s="20"/>
    </row>
    <row r="748" spans="1:30" ht="19.5">
      <c r="A748" s="20"/>
      <c r="B748" s="20"/>
      <c r="C748" s="20"/>
      <c r="D748" s="20"/>
      <c r="E748" s="20"/>
      <c r="F748" s="124"/>
      <c r="G748" s="20"/>
      <c r="H748" s="20"/>
      <c r="I748" s="20"/>
      <c r="J748" s="124"/>
      <c r="K748" s="127"/>
      <c r="L748" s="20"/>
      <c r="M748" s="20"/>
      <c r="N748" s="20"/>
      <c r="O748" s="124"/>
      <c r="P748" s="127"/>
      <c r="Q748" s="20"/>
      <c r="R748" s="20"/>
      <c r="S748" s="20"/>
      <c r="T748" s="124"/>
      <c r="U748" s="127"/>
      <c r="V748" s="20"/>
      <c r="W748" s="20"/>
      <c r="X748" s="20"/>
      <c r="Y748" s="20"/>
      <c r="Z748" s="20"/>
      <c r="AA748" s="20"/>
      <c r="AB748" s="20"/>
      <c r="AC748" s="20"/>
      <c r="AD748" s="20"/>
    </row>
    <row r="749" spans="1:30" ht="19.5">
      <c r="A749" s="20"/>
      <c r="B749" s="20"/>
      <c r="C749" s="20"/>
      <c r="D749" s="20"/>
      <c r="E749" s="20"/>
      <c r="F749" s="124"/>
      <c r="G749" s="20"/>
      <c r="H749" s="20"/>
      <c r="I749" s="20"/>
      <c r="J749" s="124"/>
      <c r="K749" s="127"/>
      <c r="L749" s="20"/>
      <c r="M749" s="20"/>
      <c r="N749" s="20"/>
      <c r="O749" s="124"/>
      <c r="P749" s="127"/>
      <c r="Q749" s="20"/>
      <c r="R749" s="20"/>
      <c r="S749" s="20"/>
      <c r="T749" s="124"/>
      <c r="U749" s="127"/>
      <c r="V749" s="20"/>
      <c r="W749" s="20"/>
      <c r="X749" s="20"/>
      <c r="Y749" s="20"/>
      <c r="Z749" s="20"/>
      <c r="AA749" s="20"/>
      <c r="AB749" s="20"/>
      <c r="AC749" s="20"/>
      <c r="AD749" s="20"/>
    </row>
    <row r="750" spans="1:30" ht="19.5">
      <c r="A750" s="20"/>
      <c r="B750" s="20"/>
      <c r="C750" s="20"/>
      <c r="D750" s="20"/>
      <c r="E750" s="20"/>
      <c r="F750" s="124"/>
      <c r="G750" s="20"/>
      <c r="H750" s="20"/>
      <c r="I750" s="20"/>
      <c r="J750" s="124"/>
      <c r="K750" s="127"/>
      <c r="L750" s="20"/>
      <c r="M750" s="20"/>
      <c r="N750" s="20"/>
      <c r="O750" s="124"/>
      <c r="P750" s="127"/>
      <c r="Q750" s="20"/>
      <c r="R750" s="20"/>
      <c r="S750" s="20"/>
      <c r="T750" s="124"/>
      <c r="U750" s="127"/>
      <c r="V750" s="20"/>
      <c r="W750" s="20"/>
      <c r="X750" s="20"/>
      <c r="Y750" s="20"/>
      <c r="Z750" s="20"/>
      <c r="AA750" s="20"/>
      <c r="AB750" s="20"/>
      <c r="AC750" s="20"/>
      <c r="AD750" s="20"/>
    </row>
    <row r="751" spans="1:30" ht="19.5">
      <c r="A751" s="20"/>
      <c r="B751" s="20"/>
      <c r="C751" s="20"/>
      <c r="D751" s="20"/>
      <c r="E751" s="20"/>
      <c r="F751" s="124"/>
      <c r="G751" s="20"/>
      <c r="H751" s="20"/>
      <c r="I751" s="20"/>
      <c r="J751" s="124"/>
      <c r="K751" s="127"/>
      <c r="L751" s="20"/>
      <c r="M751" s="20"/>
      <c r="N751" s="20"/>
      <c r="O751" s="124"/>
      <c r="P751" s="127"/>
      <c r="Q751" s="20"/>
      <c r="R751" s="20"/>
      <c r="S751" s="20"/>
      <c r="T751" s="124"/>
      <c r="U751" s="127"/>
      <c r="V751" s="20"/>
      <c r="W751" s="20"/>
      <c r="X751" s="20"/>
      <c r="Y751" s="20"/>
      <c r="Z751" s="20"/>
      <c r="AA751" s="20"/>
      <c r="AB751" s="20"/>
      <c r="AC751" s="20"/>
      <c r="AD751" s="20"/>
    </row>
    <row r="752" spans="1:30" ht="19.5">
      <c r="A752" s="20"/>
      <c r="B752" s="20"/>
      <c r="C752" s="20"/>
      <c r="D752" s="20"/>
      <c r="E752" s="20"/>
      <c r="F752" s="124"/>
      <c r="G752" s="20"/>
      <c r="H752" s="20"/>
      <c r="I752" s="20"/>
      <c r="J752" s="124"/>
      <c r="K752" s="127"/>
      <c r="L752" s="20"/>
      <c r="M752" s="20"/>
      <c r="N752" s="20"/>
      <c r="O752" s="124"/>
      <c r="P752" s="127"/>
      <c r="Q752" s="20"/>
      <c r="R752" s="20"/>
      <c r="S752" s="20"/>
      <c r="T752" s="124"/>
      <c r="U752" s="127"/>
      <c r="V752" s="20"/>
      <c r="W752" s="20"/>
      <c r="X752" s="20"/>
      <c r="Y752" s="20"/>
      <c r="Z752" s="20"/>
      <c r="AA752" s="20"/>
      <c r="AB752" s="20"/>
      <c r="AC752" s="20"/>
      <c r="AD752" s="20"/>
    </row>
    <row r="753" spans="1:30" ht="19.5">
      <c r="A753" s="20"/>
      <c r="B753" s="20"/>
      <c r="C753" s="20"/>
      <c r="D753" s="20"/>
      <c r="E753" s="20"/>
      <c r="F753" s="124"/>
      <c r="G753" s="20"/>
      <c r="H753" s="20"/>
      <c r="I753" s="20"/>
      <c r="J753" s="124"/>
      <c r="K753" s="127"/>
      <c r="L753" s="20"/>
      <c r="M753" s="20"/>
      <c r="N753" s="20"/>
      <c r="O753" s="124"/>
      <c r="P753" s="127"/>
      <c r="Q753" s="20"/>
      <c r="R753" s="20"/>
      <c r="S753" s="20"/>
      <c r="T753" s="124"/>
      <c r="U753" s="127"/>
      <c r="V753" s="20"/>
      <c r="W753" s="20"/>
      <c r="X753" s="20"/>
      <c r="Y753" s="20"/>
      <c r="Z753" s="20"/>
      <c r="AA753" s="20"/>
      <c r="AB753" s="20"/>
      <c r="AC753" s="20"/>
      <c r="AD753" s="20"/>
    </row>
    <row r="754" spans="1:30" ht="19.5">
      <c r="A754" s="20"/>
      <c r="B754" s="20"/>
      <c r="C754" s="20"/>
      <c r="D754" s="20"/>
      <c r="E754" s="20"/>
      <c r="F754" s="124"/>
      <c r="G754" s="20"/>
      <c r="H754" s="20"/>
      <c r="I754" s="20"/>
      <c r="J754" s="124"/>
      <c r="K754" s="127"/>
      <c r="L754" s="20"/>
      <c r="M754" s="20"/>
      <c r="N754" s="20"/>
      <c r="O754" s="124"/>
      <c r="P754" s="127"/>
      <c r="Q754" s="20"/>
      <c r="R754" s="20"/>
      <c r="S754" s="20"/>
      <c r="T754" s="124"/>
      <c r="U754" s="127"/>
      <c r="V754" s="20"/>
      <c r="W754" s="20"/>
      <c r="X754" s="20"/>
      <c r="Y754" s="20"/>
      <c r="Z754" s="20"/>
      <c r="AA754" s="20"/>
      <c r="AB754" s="20"/>
      <c r="AC754" s="20"/>
      <c r="AD754" s="20"/>
    </row>
    <row r="755" spans="1:30" ht="19.5">
      <c r="A755" s="20"/>
      <c r="B755" s="20"/>
      <c r="C755" s="20"/>
      <c r="D755" s="20"/>
      <c r="E755" s="20"/>
      <c r="F755" s="124"/>
      <c r="G755" s="20"/>
      <c r="H755" s="20"/>
      <c r="I755" s="20"/>
      <c r="J755" s="124"/>
      <c r="K755" s="127"/>
      <c r="L755" s="20"/>
      <c r="M755" s="20"/>
      <c r="N755" s="20"/>
      <c r="O755" s="124"/>
      <c r="P755" s="127"/>
      <c r="Q755" s="20"/>
      <c r="R755" s="20"/>
      <c r="S755" s="20"/>
      <c r="T755" s="124"/>
      <c r="U755" s="127"/>
      <c r="V755" s="20"/>
      <c r="W755" s="20"/>
      <c r="X755" s="20"/>
      <c r="Y755" s="20"/>
      <c r="Z755" s="20"/>
      <c r="AA755" s="20"/>
      <c r="AB755" s="20"/>
      <c r="AC755" s="20"/>
      <c r="AD755" s="20"/>
    </row>
    <row r="756" spans="1:30" ht="19.5">
      <c r="A756" s="20"/>
      <c r="B756" s="20"/>
      <c r="C756" s="20"/>
      <c r="D756" s="20"/>
      <c r="E756" s="20"/>
      <c r="F756" s="124"/>
      <c r="G756" s="20"/>
      <c r="H756" s="20"/>
      <c r="I756" s="20"/>
      <c r="J756" s="124"/>
      <c r="K756" s="127"/>
      <c r="L756" s="20"/>
      <c r="M756" s="20"/>
      <c r="N756" s="20"/>
      <c r="O756" s="124"/>
      <c r="P756" s="127"/>
      <c r="Q756" s="20"/>
      <c r="R756" s="20"/>
      <c r="S756" s="20"/>
      <c r="T756" s="124"/>
      <c r="U756" s="127"/>
      <c r="V756" s="20"/>
      <c r="W756" s="20"/>
      <c r="X756" s="20"/>
      <c r="Y756" s="20"/>
      <c r="Z756" s="20"/>
      <c r="AA756" s="20"/>
      <c r="AB756" s="20"/>
      <c r="AC756" s="20"/>
      <c r="AD756" s="20"/>
    </row>
    <row r="757" spans="1:30" ht="19.5">
      <c r="A757" s="20"/>
      <c r="B757" s="20"/>
      <c r="C757" s="20"/>
      <c r="D757" s="20"/>
      <c r="E757" s="20"/>
      <c r="F757" s="124"/>
      <c r="G757" s="20"/>
      <c r="H757" s="20"/>
      <c r="I757" s="20"/>
      <c r="J757" s="124"/>
      <c r="K757" s="127"/>
      <c r="L757" s="20"/>
      <c r="M757" s="20"/>
      <c r="N757" s="20"/>
      <c r="O757" s="124"/>
      <c r="P757" s="127"/>
      <c r="Q757" s="20"/>
      <c r="R757" s="20"/>
      <c r="S757" s="20"/>
      <c r="T757" s="124"/>
      <c r="U757" s="127"/>
      <c r="V757" s="20"/>
      <c r="W757" s="20"/>
      <c r="X757" s="20"/>
      <c r="Y757" s="20"/>
      <c r="Z757" s="20"/>
      <c r="AA757" s="20"/>
      <c r="AB757" s="20"/>
      <c r="AC757" s="20"/>
      <c r="AD757" s="20"/>
    </row>
    <row r="758" spans="1:30" ht="19.5">
      <c r="A758" s="20"/>
      <c r="B758" s="20"/>
      <c r="C758" s="20"/>
      <c r="D758" s="20"/>
      <c r="E758" s="20"/>
      <c r="F758" s="124"/>
      <c r="G758" s="20"/>
      <c r="H758" s="20"/>
      <c r="I758" s="20"/>
      <c r="J758" s="124"/>
      <c r="K758" s="127"/>
      <c r="L758" s="20"/>
      <c r="M758" s="20"/>
      <c r="N758" s="20"/>
      <c r="O758" s="124"/>
      <c r="P758" s="127"/>
      <c r="Q758" s="20"/>
      <c r="R758" s="20"/>
      <c r="S758" s="20"/>
      <c r="T758" s="124"/>
      <c r="U758" s="127"/>
      <c r="V758" s="20"/>
      <c r="W758" s="20"/>
      <c r="X758" s="20"/>
      <c r="Y758" s="20"/>
      <c r="Z758" s="20"/>
      <c r="AA758" s="20"/>
      <c r="AB758" s="20"/>
      <c r="AC758" s="20"/>
      <c r="AD758" s="20"/>
    </row>
    <row r="759" spans="1:30" ht="19.5">
      <c r="A759" s="20"/>
      <c r="B759" s="20"/>
      <c r="C759" s="20"/>
      <c r="D759" s="20"/>
      <c r="E759" s="20"/>
      <c r="F759" s="124"/>
      <c r="G759" s="20"/>
      <c r="H759" s="20"/>
      <c r="I759" s="20"/>
      <c r="J759" s="124"/>
      <c r="K759" s="127"/>
      <c r="L759" s="20"/>
      <c r="M759" s="20"/>
      <c r="N759" s="20"/>
      <c r="O759" s="124"/>
      <c r="P759" s="127"/>
      <c r="Q759" s="20"/>
      <c r="R759" s="20"/>
      <c r="S759" s="20"/>
      <c r="T759" s="124"/>
      <c r="U759" s="127"/>
      <c r="V759" s="20"/>
      <c r="W759" s="20"/>
      <c r="X759" s="20"/>
      <c r="Y759" s="20"/>
      <c r="Z759" s="20"/>
      <c r="AA759" s="20"/>
      <c r="AB759" s="20"/>
      <c r="AC759" s="20"/>
      <c r="AD759" s="20"/>
    </row>
    <row r="760" spans="1:30" ht="19.5">
      <c r="A760" s="20"/>
      <c r="B760" s="20"/>
      <c r="C760" s="20"/>
      <c r="D760" s="20"/>
      <c r="E760" s="20"/>
      <c r="F760" s="124"/>
      <c r="G760" s="20"/>
      <c r="H760" s="20"/>
      <c r="I760" s="20"/>
      <c r="J760" s="124"/>
      <c r="K760" s="127"/>
      <c r="L760" s="20"/>
      <c r="M760" s="20"/>
      <c r="N760" s="20"/>
      <c r="O760" s="124"/>
      <c r="P760" s="127"/>
      <c r="Q760" s="20"/>
      <c r="R760" s="20"/>
      <c r="S760" s="20"/>
      <c r="T760" s="124"/>
      <c r="U760" s="127"/>
      <c r="V760" s="20"/>
      <c r="W760" s="20"/>
      <c r="X760" s="20"/>
      <c r="Y760" s="20"/>
      <c r="Z760" s="20"/>
      <c r="AA760" s="20"/>
      <c r="AB760" s="20"/>
      <c r="AC760" s="20"/>
      <c r="AD760" s="20"/>
    </row>
    <row r="761" spans="1:30" ht="19.5">
      <c r="A761" s="20"/>
      <c r="B761" s="20"/>
      <c r="C761" s="20"/>
      <c r="D761" s="20"/>
      <c r="E761" s="20"/>
      <c r="F761" s="124"/>
      <c r="G761" s="20"/>
      <c r="H761" s="20"/>
      <c r="I761" s="20"/>
      <c r="J761" s="124"/>
      <c r="K761" s="127"/>
      <c r="L761" s="20"/>
      <c r="M761" s="20"/>
      <c r="N761" s="20"/>
      <c r="O761" s="124"/>
      <c r="P761" s="127"/>
      <c r="Q761" s="20"/>
      <c r="R761" s="20"/>
      <c r="S761" s="20"/>
      <c r="T761" s="124"/>
      <c r="U761" s="127"/>
      <c r="V761" s="20"/>
      <c r="W761" s="20"/>
      <c r="X761" s="20"/>
      <c r="Y761" s="20"/>
      <c r="Z761" s="20"/>
      <c r="AA761" s="20"/>
      <c r="AB761" s="20"/>
      <c r="AC761" s="20"/>
      <c r="AD761" s="20"/>
    </row>
    <row r="762" spans="1:30" ht="19.5">
      <c r="A762" s="20"/>
      <c r="B762" s="20"/>
      <c r="C762" s="20"/>
      <c r="D762" s="20"/>
      <c r="E762" s="20"/>
      <c r="F762" s="124"/>
      <c r="G762" s="20"/>
      <c r="H762" s="20"/>
      <c r="I762" s="20"/>
      <c r="J762" s="124"/>
      <c r="K762" s="127"/>
      <c r="L762" s="20"/>
      <c r="M762" s="20"/>
      <c r="N762" s="20"/>
      <c r="O762" s="124"/>
      <c r="P762" s="127"/>
      <c r="Q762" s="20"/>
      <c r="R762" s="20"/>
      <c r="S762" s="20"/>
      <c r="T762" s="124"/>
      <c r="U762" s="127"/>
      <c r="V762" s="20"/>
      <c r="W762" s="20"/>
      <c r="X762" s="20"/>
      <c r="Y762" s="20"/>
      <c r="Z762" s="20"/>
      <c r="AA762" s="20"/>
      <c r="AB762" s="20"/>
      <c r="AC762" s="20"/>
      <c r="AD762" s="20"/>
    </row>
    <row r="763" spans="1:30" ht="19.5">
      <c r="A763" s="20"/>
      <c r="B763" s="20"/>
      <c r="C763" s="20"/>
      <c r="D763" s="20"/>
      <c r="E763" s="20"/>
      <c r="F763" s="124"/>
      <c r="G763" s="20"/>
      <c r="H763" s="20"/>
      <c r="I763" s="20"/>
      <c r="J763" s="124"/>
      <c r="K763" s="127"/>
      <c r="L763" s="20"/>
      <c r="M763" s="20"/>
      <c r="N763" s="20"/>
      <c r="O763" s="124"/>
      <c r="P763" s="127"/>
      <c r="Q763" s="20"/>
      <c r="R763" s="20"/>
      <c r="S763" s="20"/>
      <c r="T763" s="124"/>
      <c r="U763" s="127"/>
      <c r="V763" s="20"/>
      <c r="W763" s="20"/>
      <c r="X763" s="20"/>
      <c r="Y763" s="20"/>
      <c r="Z763" s="20"/>
      <c r="AA763" s="20"/>
      <c r="AB763" s="20"/>
      <c r="AC763" s="20"/>
      <c r="AD763" s="20"/>
    </row>
    <row r="764" spans="1:30" ht="19.5">
      <c r="A764" s="20"/>
      <c r="B764" s="20"/>
      <c r="C764" s="20"/>
      <c r="D764" s="20"/>
      <c r="E764" s="20"/>
      <c r="F764" s="124"/>
      <c r="G764" s="20"/>
      <c r="H764" s="20"/>
      <c r="I764" s="20"/>
      <c r="J764" s="124"/>
      <c r="K764" s="127"/>
      <c r="L764" s="20"/>
      <c r="M764" s="20"/>
      <c r="N764" s="20"/>
      <c r="O764" s="124"/>
      <c r="P764" s="127"/>
      <c r="Q764" s="20"/>
      <c r="R764" s="20"/>
      <c r="S764" s="20"/>
      <c r="T764" s="124"/>
      <c r="U764" s="127"/>
      <c r="V764" s="20"/>
      <c r="W764" s="20"/>
      <c r="X764" s="20"/>
      <c r="Y764" s="20"/>
      <c r="Z764" s="20"/>
      <c r="AA764" s="20"/>
      <c r="AB764" s="20"/>
      <c r="AC764" s="20"/>
      <c r="AD764" s="20"/>
    </row>
    <row r="765" spans="1:30" ht="19.5">
      <c r="A765" s="20"/>
      <c r="B765" s="20"/>
      <c r="C765" s="20"/>
      <c r="D765" s="20"/>
      <c r="E765" s="20"/>
      <c r="F765" s="124"/>
      <c r="G765" s="20"/>
      <c r="H765" s="20"/>
      <c r="I765" s="20"/>
      <c r="J765" s="124"/>
      <c r="K765" s="127"/>
      <c r="L765" s="20"/>
      <c r="M765" s="20"/>
      <c r="N765" s="20"/>
      <c r="O765" s="124"/>
      <c r="P765" s="127"/>
      <c r="Q765" s="20"/>
      <c r="R765" s="20"/>
      <c r="S765" s="20"/>
      <c r="T765" s="124"/>
      <c r="U765" s="127"/>
      <c r="V765" s="20"/>
      <c r="W765" s="20"/>
      <c r="X765" s="20"/>
      <c r="Y765" s="20"/>
      <c r="Z765" s="20"/>
      <c r="AA765" s="20"/>
      <c r="AB765" s="20"/>
      <c r="AC765" s="20"/>
      <c r="AD765" s="20"/>
    </row>
    <row r="766" spans="1:30" ht="19.5">
      <c r="A766" s="20"/>
      <c r="B766" s="20"/>
      <c r="C766" s="20"/>
      <c r="D766" s="20"/>
      <c r="E766" s="20"/>
      <c r="F766" s="124"/>
      <c r="G766" s="20"/>
      <c r="H766" s="20"/>
      <c r="I766" s="20"/>
      <c r="J766" s="124"/>
      <c r="K766" s="127"/>
      <c r="L766" s="20"/>
      <c r="M766" s="20"/>
      <c r="N766" s="20"/>
      <c r="O766" s="124"/>
      <c r="P766" s="127"/>
      <c r="Q766" s="20"/>
      <c r="R766" s="20"/>
      <c r="S766" s="20"/>
      <c r="T766" s="124"/>
      <c r="U766" s="127"/>
      <c r="V766" s="20"/>
      <c r="W766" s="20"/>
      <c r="X766" s="20"/>
      <c r="Y766" s="20"/>
      <c r="Z766" s="20"/>
      <c r="AA766" s="20"/>
      <c r="AB766" s="20"/>
      <c r="AC766" s="20"/>
      <c r="AD766" s="20"/>
    </row>
    <row r="767" spans="1:30" ht="19.5">
      <c r="A767" s="20"/>
      <c r="B767" s="20"/>
      <c r="C767" s="20"/>
      <c r="D767" s="20"/>
      <c r="E767" s="20"/>
      <c r="F767" s="124"/>
      <c r="G767" s="20"/>
      <c r="H767" s="20"/>
      <c r="I767" s="20"/>
      <c r="J767" s="124"/>
      <c r="K767" s="127"/>
      <c r="L767" s="20"/>
      <c r="M767" s="20"/>
      <c r="N767" s="20"/>
      <c r="O767" s="124"/>
      <c r="P767" s="127"/>
      <c r="Q767" s="20"/>
      <c r="R767" s="20"/>
      <c r="S767" s="20"/>
      <c r="T767" s="124"/>
      <c r="U767" s="127"/>
      <c r="V767" s="20"/>
      <c r="W767" s="20"/>
      <c r="X767" s="20"/>
      <c r="Y767" s="20"/>
      <c r="Z767" s="20"/>
      <c r="AA767" s="20"/>
      <c r="AB767" s="20"/>
      <c r="AC767" s="20"/>
      <c r="AD767" s="20"/>
    </row>
    <row r="768" spans="1:30" ht="19.5">
      <c r="A768" s="20"/>
      <c r="B768" s="20"/>
      <c r="C768" s="20"/>
      <c r="D768" s="20"/>
      <c r="E768" s="20"/>
      <c r="F768" s="124"/>
      <c r="G768" s="20"/>
      <c r="H768" s="20"/>
      <c r="I768" s="20"/>
      <c r="J768" s="124"/>
      <c r="K768" s="127"/>
      <c r="L768" s="20"/>
      <c r="M768" s="20"/>
      <c r="N768" s="20"/>
      <c r="O768" s="124"/>
      <c r="P768" s="127"/>
      <c r="Q768" s="20"/>
      <c r="R768" s="20"/>
      <c r="S768" s="20"/>
      <c r="T768" s="124"/>
      <c r="U768" s="127"/>
      <c r="V768" s="20"/>
      <c r="W768" s="20"/>
      <c r="X768" s="20"/>
      <c r="Y768" s="20"/>
      <c r="Z768" s="20"/>
      <c r="AA768" s="20"/>
      <c r="AB768" s="20"/>
      <c r="AC768" s="20"/>
      <c r="AD768" s="20"/>
    </row>
    <row r="769" spans="1:30" ht="19.5">
      <c r="A769" s="20"/>
      <c r="B769" s="20"/>
      <c r="C769" s="20"/>
      <c r="D769" s="20"/>
      <c r="E769" s="20"/>
      <c r="F769" s="124"/>
      <c r="G769" s="20"/>
      <c r="H769" s="20"/>
      <c r="I769" s="20"/>
      <c r="J769" s="124"/>
      <c r="K769" s="127"/>
      <c r="L769" s="20"/>
      <c r="M769" s="20"/>
      <c r="N769" s="20"/>
      <c r="O769" s="124"/>
      <c r="P769" s="127"/>
      <c r="Q769" s="20"/>
      <c r="R769" s="20"/>
      <c r="S769" s="20"/>
      <c r="T769" s="124"/>
      <c r="U769" s="127"/>
      <c r="V769" s="20"/>
      <c r="W769" s="20"/>
      <c r="X769" s="20"/>
      <c r="Y769" s="20"/>
      <c r="Z769" s="20"/>
      <c r="AA769" s="20"/>
      <c r="AB769" s="20"/>
      <c r="AC769" s="20"/>
      <c r="AD769" s="20"/>
    </row>
    <row r="770" spans="1:30" ht="19.5">
      <c r="A770" s="20"/>
      <c r="B770" s="20"/>
      <c r="C770" s="20"/>
      <c r="D770" s="20"/>
      <c r="E770" s="20"/>
      <c r="F770" s="124"/>
      <c r="G770" s="20"/>
      <c r="H770" s="20"/>
      <c r="I770" s="20"/>
      <c r="J770" s="124"/>
      <c r="K770" s="127"/>
      <c r="L770" s="20"/>
      <c r="M770" s="20"/>
      <c r="N770" s="20"/>
      <c r="O770" s="124"/>
      <c r="P770" s="127"/>
      <c r="Q770" s="20"/>
      <c r="R770" s="20"/>
      <c r="S770" s="20"/>
      <c r="T770" s="124"/>
      <c r="U770" s="127"/>
      <c r="V770" s="20"/>
      <c r="W770" s="20"/>
      <c r="X770" s="20"/>
      <c r="Y770" s="20"/>
      <c r="Z770" s="20"/>
      <c r="AA770" s="20"/>
      <c r="AB770" s="20"/>
      <c r="AC770" s="20"/>
      <c r="AD770" s="20"/>
    </row>
    <row r="771" spans="1:30" ht="19.5">
      <c r="A771" s="20"/>
      <c r="B771" s="20"/>
      <c r="C771" s="20"/>
      <c r="D771" s="20"/>
      <c r="E771" s="20"/>
      <c r="F771" s="124"/>
      <c r="G771" s="20"/>
      <c r="H771" s="20"/>
      <c r="I771" s="20"/>
      <c r="J771" s="124"/>
      <c r="K771" s="127"/>
      <c r="L771" s="20"/>
      <c r="M771" s="20"/>
      <c r="N771" s="20"/>
      <c r="O771" s="124"/>
      <c r="P771" s="127"/>
      <c r="Q771" s="20"/>
      <c r="R771" s="20"/>
      <c r="S771" s="20"/>
      <c r="T771" s="124"/>
      <c r="U771" s="127"/>
      <c r="V771" s="20"/>
      <c r="W771" s="20"/>
      <c r="X771" s="20"/>
      <c r="Y771" s="20"/>
      <c r="Z771" s="20"/>
      <c r="AA771" s="20"/>
      <c r="AB771" s="20"/>
      <c r="AC771" s="20"/>
      <c r="AD771" s="20"/>
    </row>
    <row r="772" spans="1:30" ht="19.5">
      <c r="A772" s="20"/>
      <c r="B772" s="20"/>
      <c r="C772" s="20"/>
      <c r="D772" s="20"/>
      <c r="E772" s="20"/>
      <c r="F772" s="124"/>
      <c r="G772" s="20"/>
      <c r="H772" s="20"/>
      <c r="I772" s="20"/>
      <c r="J772" s="124"/>
      <c r="K772" s="127"/>
      <c r="L772" s="20"/>
      <c r="M772" s="20"/>
      <c r="N772" s="20"/>
      <c r="O772" s="124"/>
      <c r="P772" s="127"/>
      <c r="Q772" s="20"/>
      <c r="R772" s="20"/>
      <c r="S772" s="20"/>
      <c r="T772" s="124"/>
      <c r="U772" s="127"/>
      <c r="V772" s="20"/>
      <c r="W772" s="20"/>
      <c r="X772" s="20"/>
      <c r="Y772" s="20"/>
      <c r="Z772" s="20"/>
      <c r="AA772" s="20"/>
      <c r="AB772" s="20"/>
      <c r="AC772" s="20"/>
      <c r="AD772" s="20"/>
    </row>
    <row r="773" spans="1:30" ht="19.5">
      <c r="A773" s="20"/>
      <c r="B773" s="20"/>
      <c r="C773" s="20"/>
      <c r="D773" s="20"/>
      <c r="E773" s="20"/>
      <c r="F773" s="124"/>
      <c r="G773" s="20"/>
      <c r="H773" s="20"/>
      <c r="I773" s="20"/>
      <c r="J773" s="124"/>
      <c r="K773" s="127"/>
      <c r="L773" s="20"/>
      <c r="M773" s="20"/>
      <c r="N773" s="20"/>
      <c r="O773" s="124"/>
      <c r="P773" s="127"/>
      <c r="Q773" s="20"/>
      <c r="R773" s="20"/>
      <c r="S773" s="20"/>
      <c r="T773" s="124"/>
      <c r="U773" s="127"/>
      <c r="V773" s="20"/>
      <c r="W773" s="20"/>
      <c r="X773" s="20"/>
      <c r="Y773" s="20"/>
      <c r="Z773" s="20"/>
      <c r="AA773" s="20"/>
      <c r="AB773" s="20"/>
      <c r="AC773" s="20"/>
      <c r="AD773" s="20"/>
    </row>
    <row r="774" spans="1:30" ht="19.5">
      <c r="A774" s="20"/>
      <c r="B774" s="20"/>
      <c r="C774" s="20"/>
      <c r="D774" s="20"/>
      <c r="E774" s="20"/>
      <c r="F774" s="124"/>
      <c r="G774" s="20"/>
      <c r="H774" s="20"/>
      <c r="I774" s="20"/>
      <c r="J774" s="124"/>
      <c r="K774" s="127"/>
      <c r="L774" s="20"/>
      <c r="M774" s="20"/>
      <c r="N774" s="20"/>
      <c r="O774" s="124"/>
      <c r="P774" s="127"/>
      <c r="Q774" s="20"/>
      <c r="R774" s="20"/>
      <c r="S774" s="20"/>
      <c r="T774" s="124"/>
      <c r="U774" s="127"/>
      <c r="V774" s="20"/>
      <c r="W774" s="20"/>
      <c r="X774" s="20"/>
      <c r="Y774" s="20"/>
      <c r="Z774" s="20"/>
      <c r="AA774" s="20"/>
      <c r="AB774" s="20"/>
      <c r="AC774" s="20"/>
      <c r="AD774" s="20"/>
    </row>
    <row r="775" spans="1:30" ht="19.5">
      <c r="A775" s="20"/>
      <c r="B775" s="20"/>
      <c r="C775" s="20"/>
      <c r="D775" s="20"/>
      <c r="E775" s="20"/>
      <c r="F775" s="124"/>
      <c r="G775" s="20"/>
      <c r="H775" s="20"/>
      <c r="I775" s="20"/>
      <c r="J775" s="124"/>
      <c r="K775" s="127"/>
      <c r="L775" s="20"/>
      <c r="M775" s="20"/>
      <c r="N775" s="20"/>
      <c r="O775" s="124"/>
      <c r="P775" s="127"/>
      <c r="Q775" s="20"/>
      <c r="R775" s="20"/>
      <c r="S775" s="20"/>
      <c r="T775" s="124"/>
      <c r="U775" s="127"/>
      <c r="V775" s="20"/>
      <c r="W775" s="20"/>
      <c r="X775" s="20"/>
      <c r="Y775" s="20"/>
      <c r="Z775" s="20"/>
      <c r="AA775" s="20"/>
      <c r="AB775" s="20"/>
      <c r="AC775" s="20"/>
      <c r="AD775" s="20"/>
    </row>
    <row r="776" spans="1:30" ht="19.5">
      <c r="A776" s="20"/>
      <c r="B776" s="20"/>
      <c r="C776" s="20"/>
      <c r="D776" s="20"/>
      <c r="E776" s="20"/>
      <c r="F776" s="124"/>
      <c r="G776" s="20"/>
      <c r="H776" s="20"/>
      <c r="I776" s="20"/>
      <c r="J776" s="124"/>
      <c r="K776" s="127"/>
      <c r="L776" s="20"/>
      <c r="M776" s="20"/>
      <c r="N776" s="20"/>
      <c r="O776" s="124"/>
      <c r="P776" s="127"/>
      <c r="Q776" s="20"/>
      <c r="R776" s="20"/>
      <c r="S776" s="20"/>
      <c r="T776" s="124"/>
      <c r="U776" s="127"/>
      <c r="V776" s="20"/>
      <c r="W776" s="20"/>
      <c r="X776" s="20"/>
      <c r="Y776" s="20"/>
      <c r="Z776" s="20"/>
      <c r="AA776" s="20"/>
      <c r="AB776" s="20"/>
      <c r="AC776" s="20"/>
      <c r="AD776" s="20"/>
    </row>
    <row r="777" spans="1:30" ht="19.5">
      <c r="A777" s="20"/>
      <c r="B777" s="20"/>
      <c r="C777" s="20"/>
      <c r="D777" s="20"/>
      <c r="E777" s="20"/>
      <c r="F777" s="124"/>
      <c r="G777" s="20"/>
      <c r="H777" s="20"/>
      <c r="I777" s="20"/>
      <c r="J777" s="124"/>
      <c r="K777" s="127"/>
      <c r="L777" s="20"/>
      <c r="M777" s="20"/>
      <c r="N777" s="20"/>
      <c r="O777" s="124"/>
      <c r="P777" s="127"/>
      <c r="Q777" s="20"/>
      <c r="R777" s="20"/>
      <c r="S777" s="20"/>
      <c r="T777" s="124"/>
      <c r="U777" s="127"/>
      <c r="V777" s="20"/>
      <c r="W777" s="20"/>
      <c r="X777" s="20"/>
      <c r="Y777" s="20"/>
      <c r="Z777" s="20"/>
      <c r="AA777" s="20"/>
      <c r="AB777" s="20"/>
      <c r="AC777" s="20"/>
      <c r="AD777" s="20"/>
    </row>
    <row r="778" spans="1:30" ht="19.5">
      <c r="A778" s="20"/>
      <c r="B778" s="20"/>
      <c r="C778" s="20"/>
      <c r="D778" s="20"/>
      <c r="E778" s="20"/>
      <c r="F778" s="124"/>
      <c r="G778" s="20"/>
      <c r="H778" s="20"/>
      <c r="I778" s="20"/>
      <c r="J778" s="124"/>
      <c r="K778" s="127"/>
      <c r="L778" s="20"/>
      <c r="M778" s="20"/>
      <c r="N778" s="20"/>
      <c r="O778" s="124"/>
      <c r="P778" s="127"/>
      <c r="Q778" s="20"/>
      <c r="R778" s="20"/>
      <c r="S778" s="20"/>
      <c r="T778" s="124"/>
      <c r="U778" s="127"/>
      <c r="V778" s="20"/>
      <c r="W778" s="20"/>
      <c r="X778" s="20"/>
      <c r="Y778" s="20"/>
      <c r="Z778" s="20"/>
      <c r="AA778" s="20"/>
      <c r="AB778" s="20"/>
      <c r="AC778" s="20"/>
      <c r="AD778" s="20"/>
    </row>
    <row r="779" spans="1:30" ht="19.5">
      <c r="A779" s="20"/>
      <c r="B779" s="20"/>
      <c r="C779" s="20"/>
      <c r="D779" s="20"/>
      <c r="E779" s="20"/>
      <c r="F779" s="124"/>
      <c r="G779" s="20"/>
      <c r="H779" s="20"/>
      <c r="I779" s="20"/>
      <c r="J779" s="124"/>
      <c r="K779" s="127"/>
      <c r="L779" s="20"/>
      <c r="M779" s="20"/>
      <c r="N779" s="20"/>
      <c r="O779" s="124"/>
      <c r="P779" s="127"/>
      <c r="Q779" s="20"/>
      <c r="R779" s="20"/>
      <c r="S779" s="20"/>
      <c r="T779" s="124"/>
      <c r="U779" s="127"/>
      <c r="V779" s="20"/>
      <c r="W779" s="20"/>
      <c r="X779" s="20"/>
      <c r="Y779" s="20"/>
      <c r="Z779" s="20"/>
      <c r="AA779" s="20"/>
      <c r="AB779" s="20"/>
      <c r="AC779" s="20"/>
      <c r="AD779" s="20"/>
    </row>
    <row r="780" spans="1:30" ht="19.5">
      <c r="A780" s="20"/>
      <c r="B780" s="20"/>
      <c r="C780" s="20"/>
      <c r="D780" s="20"/>
      <c r="E780" s="20"/>
      <c r="F780" s="124"/>
      <c r="G780" s="20"/>
      <c r="H780" s="20"/>
      <c r="I780" s="20"/>
      <c r="J780" s="124"/>
      <c r="K780" s="127"/>
      <c r="L780" s="20"/>
      <c r="M780" s="20"/>
      <c r="N780" s="20"/>
      <c r="O780" s="124"/>
      <c r="P780" s="127"/>
      <c r="Q780" s="20"/>
      <c r="R780" s="20"/>
      <c r="S780" s="20"/>
      <c r="T780" s="124"/>
      <c r="U780" s="127"/>
      <c r="V780" s="20"/>
      <c r="W780" s="20"/>
      <c r="X780" s="20"/>
      <c r="Y780" s="20"/>
      <c r="Z780" s="20"/>
      <c r="AA780" s="20"/>
      <c r="AB780" s="20"/>
      <c r="AC780" s="20"/>
      <c r="AD780" s="20"/>
    </row>
    <row r="781" spans="1:30" ht="19.5">
      <c r="A781" s="20"/>
      <c r="B781" s="20"/>
      <c r="C781" s="20"/>
      <c r="D781" s="20"/>
      <c r="E781" s="20"/>
      <c r="F781" s="124"/>
      <c r="G781" s="20"/>
      <c r="H781" s="20"/>
      <c r="I781" s="20"/>
      <c r="J781" s="124"/>
      <c r="K781" s="127"/>
      <c r="L781" s="20"/>
      <c r="M781" s="20"/>
      <c r="N781" s="20"/>
      <c r="O781" s="124"/>
      <c r="P781" s="127"/>
      <c r="Q781" s="20"/>
      <c r="R781" s="20"/>
      <c r="S781" s="20"/>
      <c r="T781" s="124"/>
      <c r="U781" s="127"/>
      <c r="V781" s="20"/>
      <c r="W781" s="20"/>
      <c r="X781" s="20"/>
      <c r="Y781" s="20"/>
      <c r="Z781" s="20"/>
      <c r="AA781" s="20"/>
      <c r="AB781" s="20"/>
      <c r="AC781" s="20"/>
      <c r="AD781" s="20"/>
    </row>
    <row r="782" spans="1:30" ht="19.5">
      <c r="A782" s="20"/>
      <c r="B782" s="20"/>
      <c r="C782" s="20"/>
      <c r="D782" s="20"/>
      <c r="E782" s="20"/>
      <c r="F782" s="124"/>
      <c r="G782" s="20"/>
      <c r="H782" s="20"/>
      <c r="I782" s="20"/>
      <c r="J782" s="124"/>
      <c r="K782" s="127"/>
      <c r="L782" s="20"/>
      <c r="M782" s="20"/>
      <c r="N782" s="20"/>
      <c r="O782" s="124"/>
      <c r="P782" s="127"/>
      <c r="Q782" s="20"/>
      <c r="R782" s="20"/>
      <c r="S782" s="20"/>
      <c r="T782" s="124"/>
      <c r="U782" s="127"/>
      <c r="V782" s="20"/>
      <c r="W782" s="20"/>
      <c r="X782" s="20"/>
      <c r="Y782" s="20"/>
      <c r="Z782" s="20"/>
      <c r="AA782" s="20"/>
      <c r="AB782" s="20"/>
      <c r="AC782" s="20"/>
      <c r="AD782" s="20"/>
    </row>
    <row r="783" spans="1:30" ht="19.5">
      <c r="A783" s="20"/>
      <c r="B783" s="20"/>
      <c r="C783" s="20"/>
      <c r="D783" s="20"/>
      <c r="E783" s="20"/>
      <c r="F783" s="124"/>
      <c r="G783" s="20"/>
      <c r="H783" s="20"/>
      <c r="I783" s="20"/>
      <c r="J783" s="124"/>
      <c r="K783" s="127"/>
      <c r="L783" s="20"/>
      <c r="M783" s="20"/>
      <c r="N783" s="20"/>
      <c r="O783" s="124"/>
      <c r="P783" s="127"/>
      <c r="Q783" s="20"/>
      <c r="R783" s="20"/>
      <c r="S783" s="20"/>
      <c r="T783" s="124"/>
      <c r="U783" s="127"/>
      <c r="V783" s="20"/>
      <c r="W783" s="20"/>
      <c r="X783" s="20"/>
      <c r="Y783" s="20"/>
      <c r="Z783" s="20"/>
      <c r="AA783" s="20"/>
      <c r="AB783" s="20"/>
      <c r="AC783" s="20"/>
      <c r="AD783" s="20"/>
    </row>
    <row r="784" spans="1:30" ht="19.5">
      <c r="A784" s="20"/>
      <c r="B784" s="20"/>
      <c r="C784" s="20"/>
      <c r="D784" s="20"/>
      <c r="E784" s="20"/>
      <c r="F784" s="124"/>
      <c r="G784" s="20"/>
      <c r="H784" s="20"/>
      <c r="I784" s="20"/>
      <c r="J784" s="124"/>
      <c r="K784" s="127"/>
      <c r="L784" s="20"/>
      <c r="M784" s="20"/>
      <c r="N784" s="20"/>
      <c r="O784" s="124"/>
      <c r="P784" s="127"/>
      <c r="Q784" s="20"/>
      <c r="R784" s="20"/>
      <c r="S784" s="20"/>
      <c r="T784" s="124"/>
      <c r="U784" s="127"/>
      <c r="V784" s="20"/>
      <c r="W784" s="20"/>
      <c r="X784" s="20"/>
      <c r="Y784" s="20"/>
      <c r="Z784" s="20"/>
      <c r="AA784" s="20"/>
      <c r="AB784" s="20"/>
      <c r="AC784" s="20"/>
      <c r="AD784" s="20"/>
    </row>
    <row r="785" spans="1:30" ht="19.5">
      <c r="A785" s="20"/>
      <c r="B785" s="20"/>
      <c r="C785" s="20"/>
      <c r="D785" s="20"/>
      <c r="E785" s="20"/>
      <c r="F785" s="124"/>
      <c r="G785" s="20"/>
      <c r="H785" s="20"/>
      <c r="I785" s="20"/>
      <c r="J785" s="124"/>
      <c r="K785" s="127"/>
      <c r="L785" s="20"/>
      <c r="M785" s="20"/>
      <c r="N785" s="20"/>
      <c r="O785" s="124"/>
      <c r="P785" s="127"/>
      <c r="Q785" s="20"/>
      <c r="R785" s="20"/>
      <c r="S785" s="20"/>
      <c r="T785" s="124"/>
      <c r="U785" s="127"/>
      <c r="V785" s="20"/>
      <c r="W785" s="20"/>
      <c r="X785" s="20"/>
      <c r="Y785" s="20"/>
      <c r="Z785" s="20"/>
      <c r="AA785" s="20"/>
      <c r="AB785" s="20"/>
      <c r="AC785" s="20"/>
      <c r="AD785" s="20"/>
    </row>
    <row r="786" spans="1:30" ht="19.5">
      <c r="A786" s="20"/>
      <c r="B786" s="20"/>
      <c r="C786" s="20"/>
      <c r="D786" s="20"/>
      <c r="E786" s="20"/>
      <c r="F786" s="124"/>
      <c r="G786" s="20"/>
      <c r="H786" s="20"/>
      <c r="I786" s="20"/>
      <c r="J786" s="124"/>
      <c r="K786" s="127"/>
      <c r="L786" s="20"/>
      <c r="M786" s="20"/>
      <c r="N786" s="20"/>
      <c r="O786" s="124"/>
      <c r="P786" s="127"/>
      <c r="Q786" s="20"/>
      <c r="R786" s="20"/>
      <c r="S786" s="20"/>
      <c r="T786" s="124"/>
      <c r="U786" s="127"/>
      <c r="V786" s="20"/>
      <c r="W786" s="20"/>
      <c r="X786" s="20"/>
      <c r="Y786" s="20"/>
      <c r="Z786" s="20"/>
      <c r="AA786" s="20"/>
      <c r="AB786" s="20"/>
      <c r="AC786" s="20"/>
      <c r="AD786" s="20"/>
    </row>
    <row r="787" spans="1:30" ht="19.5">
      <c r="A787" s="20"/>
      <c r="B787" s="20"/>
      <c r="C787" s="20"/>
      <c r="D787" s="20"/>
      <c r="E787" s="20"/>
      <c r="F787" s="124"/>
      <c r="G787" s="20"/>
      <c r="H787" s="20"/>
      <c r="I787" s="20"/>
      <c r="J787" s="124"/>
      <c r="K787" s="127"/>
      <c r="L787" s="20"/>
      <c r="M787" s="20"/>
      <c r="N787" s="20"/>
      <c r="O787" s="124"/>
      <c r="P787" s="127"/>
      <c r="Q787" s="20"/>
      <c r="R787" s="20"/>
      <c r="S787" s="20"/>
      <c r="T787" s="124"/>
      <c r="U787" s="127"/>
      <c r="V787" s="20"/>
      <c r="W787" s="20"/>
      <c r="X787" s="20"/>
      <c r="Y787" s="20"/>
      <c r="Z787" s="20"/>
      <c r="AA787" s="20"/>
      <c r="AB787" s="20"/>
      <c r="AC787" s="20"/>
      <c r="AD787" s="20"/>
    </row>
    <row r="788" spans="1:30" ht="19.5">
      <c r="A788" s="20"/>
      <c r="B788" s="20"/>
      <c r="C788" s="20"/>
      <c r="D788" s="20"/>
      <c r="E788" s="20"/>
      <c r="F788" s="124"/>
      <c r="G788" s="20"/>
      <c r="H788" s="20"/>
      <c r="I788" s="20"/>
      <c r="J788" s="124"/>
      <c r="K788" s="127"/>
      <c r="L788" s="20"/>
      <c r="M788" s="20"/>
      <c r="N788" s="20"/>
      <c r="O788" s="124"/>
      <c r="P788" s="127"/>
      <c r="Q788" s="20"/>
      <c r="R788" s="20"/>
      <c r="S788" s="20"/>
      <c r="T788" s="124"/>
      <c r="U788" s="127"/>
      <c r="V788" s="20"/>
      <c r="W788" s="20"/>
      <c r="X788" s="20"/>
      <c r="Y788" s="20"/>
      <c r="Z788" s="20"/>
      <c r="AA788" s="20"/>
      <c r="AB788" s="20"/>
      <c r="AC788" s="20"/>
      <c r="AD788" s="20"/>
    </row>
    <row r="789" spans="1:30" ht="19.5">
      <c r="A789" s="20"/>
      <c r="B789" s="20"/>
      <c r="C789" s="20"/>
      <c r="D789" s="20"/>
      <c r="E789" s="20"/>
      <c r="F789" s="124"/>
      <c r="G789" s="20"/>
      <c r="H789" s="20"/>
      <c r="I789" s="20"/>
      <c r="J789" s="124"/>
      <c r="K789" s="127"/>
      <c r="L789" s="20"/>
      <c r="M789" s="20"/>
      <c r="N789" s="20"/>
      <c r="O789" s="124"/>
      <c r="P789" s="127"/>
      <c r="Q789" s="20"/>
      <c r="R789" s="20"/>
      <c r="S789" s="20"/>
      <c r="T789" s="124"/>
      <c r="U789" s="127"/>
      <c r="V789" s="20"/>
      <c r="W789" s="20"/>
      <c r="X789" s="20"/>
      <c r="Y789" s="20"/>
      <c r="Z789" s="20"/>
      <c r="AA789" s="20"/>
      <c r="AB789" s="20"/>
      <c r="AC789" s="20"/>
      <c r="AD789" s="20"/>
    </row>
    <row r="790" spans="1:30" ht="19.5">
      <c r="A790" s="20"/>
      <c r="B790" s="20"/>
      <c r="C790" s="20"/>
      <c r="D790" s="20"/>
      <c r="E790" s="20"/>
      <c r="F790" s="124"/>
      <c r="G790" s="20"/>
      <c r="H790" s="20"/>
      <c r="I790" s="20"/>
      <c r="J790" s="124"/>
      <c r="K790" s="127"/>
      <c r="L790" s="20"/>
      <c r="M790" s="20"/>
      <c r="N790" s="20"/>
      <c r="O790" s="124"/>
      <c r="P790" s="127"/>
      <c r="Q790" s="20"/>
      <c r="R790" s="20"/>
      <c r="S790" s="20"/>
      <c r="T790" s="124"/>
      <c r="U790" s="127"/>
      <c r="V790" s="20"/>
      <c r="W790" s="20"/>
      <c r="X790" s="20"/>
      <c r="Y790" s="20"/>
      <c r="Z790" s="20"/>
      <c r="AA790" s="20"/>
      <c r="AB790" s="20"/>
      <c r="AC790" s="20"/>
      <c r="AD790" s="20"/>
    </row>
    <row r="791" spans="1:30" ht="19.5">
      <c r="A791" s="20"/>
      <c r="B791" s="20"/>
      <c r="C791" s="20"/>
      <c r="D791" s="20"/>
      <c r="E791" s="20"/>
      <c r="F791" s="124"/>
      <c r="G791" s="20"/>
      <c r="H791" s="20"/>
      <c r="I791" s="20"/>
      <c r="J791" s="124"/>
      <c r="K791" s="127"/>
      <c r="L791" s="20"/>
      <c r="M791" s="20"/>
      <c r="N791" s="20"/>
      <c r="O791" s="124"/>
      <c r="P791" s="127"/>
      <c r="Q791" s="20"/>
      <c r="R791" s="20"/>
      <c r="S791" s="20"/>
      <c r="T791" s="124"/>
      <c r="U791" s="127"/>
      <c r="V791" s="20"/>
      <c r="W791" s="20"/>
      <c r="X791" s="20"/>
      <c r="Y791" s="20"/>
      <c r="Z791" s="20"/>
      <c r="AA791" s="20"/>
      <c r="AB791" s="20"/>
      <c r="AC791" s="20"/>
      <c r="AD791" s="20"/>
    </row>
    <row r="792" spans="1:30" ht="19.5">
      <c r="A792" s="20"/>
      <c r="B792" s="20"/>
      <c r="C792" s="20"/>
      <c r="D792" s="20"/>
      <c r="E792" s="20"/>
      <c r="F792" s="124"/>
      <c r="G792" s="20"/>
      <c r="H792" s="20"/>
      <c r="I792" s="20"/>
      <c r="J792" s="124"/>
      <c r="K792" s="127"/>
      <c r="L792" s="20"/>
      <c r="M792" s="20"/>
      <c r="N792" s="20"/>
      <c r="O792" s="124"/>
      <c r="P792" s="127"/>
      <c r="Q792" s="20"/>
      <c r="R792" s="20"/>
      <c r="S792" s="20"/>
      <c r="T792" s="124"/>
      <c r="U792" s="127"/>
      <c r="V792" s="20"/>
      <c r="W792" s="20"/>
      <c r="X792" s="20"/>
      <c r="Y792" s="20"/>
      <c r="Z792" s="20"/>
      <c r="AA792" s="20"/>
      <c r="AB792" s="20"/>
      <c r="AC792" s="20"/>
      <c r="AD792" s="20"/>
    </row>
    <row r="793" spans="1:30" ht="19.5">
      <c r="A793" s="20"/>
      <c r="B793" s="20"/>
      <c r="C793" s="20"/>
      <c r="D793" s="20"/>
      <c r="E793" s="20"/>
      <c r="F793" s="124"/>
      <c r="G793" s="20"/>
      <c r="H793" s="20"/>
      <c r="I793" s="20"/>
      <c r="J793" s="124"/>
      <c r="K793" s="127"/>
      <c r="L793" s="20"/>
      <c r="M793" s="20"/>
      <c r="N793" s="20"/>
      <c r="O793" s="124"/>
      <c r="P793" s="127"/>
      <c r="Q793" s="20"/>
      <c r="R793" s="20"/>
      <c r="S793" s="20"/>
      <c r="T793" s="124"/>
      <c r="U793" s="127"/>
      <c r="V793" s="20"/>
      <c r="W793" s="20"/>
      <c r="X793" s="20"/>
      <c r="Y793" s="20"/>
      <c r="Z793" s="20"/>
      <c r="AA793" s="20"/>
      <c r="AB793" s="20"/>
      <c r="AC793" s="20"/>
      <c r="AD793" s="20"/>
    </row>
    <row r="794" spans="1:30" ht="19.5">
      <c r="A794" s="20"/>
      <c r="B794" s="20"/>
      <c r="C794" s="20"/>
      <c r="D794" s="20"/>
      <c r="E794" s="20"/>
      <c r="F794" s="124"/>
      <c r="G794" s="20"/>
      <c r="H794" s="20"/>
      <c r="I794" s="20"/>
      <c r="J794" s="124"/>
      <c r="K794" s="127"/>
      <c r="L794" s="20"/>
      <c r="M794" s="20"/>
      <c r="N794" s="20"/>
      <c r="O794" s="124"/>
      <c r="P794" s="127"/>
      <c r="Q794" s="20"/>
      <c r="R794" s="20"/>
      <c r="S794" s="20"/>
      <c r="T794" s="124"/>
      <c r="U794" s="127"/>
      <c r="V794" s="20"/>
      <c r="W794" s="20"/>
      <c r="X794" s="20"/>
      <c r="Y794" s="20"/>
      <c r="Z794" s="20"/>
      <c r="AA794" s="20"/>
      <c r="AB794" s="20"/>
      <c r="AC794" s="20"/>
      <c r="AD794" s="20"/>
    </row>
    <row r="795" spans="1:30" ht="19.5">
      <c r="A795" s="20"/>
      <c r="B795" s="20"/>
      <c r="C795" s="20"/>
      <c r="D795" s="20"/>
      <c r="E795" s="20"/>
      <c r="F795" s="124"/>
      <c r="G795" s="20"/>
      <c r="H795" s="20"/>
      <c r="I795" s="20"/>
      <c r="J795" s="124"/>
      <c r="K795" s="127"/>
      <c r="L795" s="20"/>
      <c r="M795" s="20"/>
      <c r="N795" s="20"/>
      <c r="O795" s="124"/>
      <c r="P795" s="127"/>
      <c r="Q795" s="20"/>
      <c r="R795" s="20"/>
      <c r="S795" s="20"/>
      <c r="T795" s="124"/>
      <c r="U795" s="127"/>
      <c r="V795" s="20"/>
      <c r="W795" s="20"/>
      <c r="X795" s="20"/>
      <c r="Y795" s="20"/>
      <c r="Z795" s="20"/>
      <c r="AA795" s="20"/>
      <c r="AB795" s="20"/>
      <c r="AC795" s="20"/>
      <c r="AD795" s="20"/>
    </row>
    <row r="796" spans="1:30" ht="19.5">
      <c r="A796" s="20"/>
      <c r="B796" s="20"/>
      <c r="C796" s="20"/>
      <c r="D796" s="20"/>
      <c r="E796" s="20"/>
      <c r="F796" s="124"/>
      <c r="G796" s="20"/>
      <c r="H796" s="20"/>
      <c r="I796" s="20"/>
      <c r="J796" s="124"/>
      <c r="K796" s="127"/>
      <c r="L796" s="20"/>
      <c r="M796" s="20"/>
      <c r="N796" s="20"/>
      <c r="O796" s="124"/>
      <c r="P796" s="127"/>
      <c r="Q796" s="20"/>
      <c r="R796" s="20"/>
      <c r="S796" s="20"/>
      <c r="T796" s="124"/>
      <c r="U796" s="127"/>
      <c r="V796" s="20"/>
      <c r="W796" s="20"/>
      <c r="X796" s="20"/>
      <c r="Y796" s="20"/>
      <c r="Z796" s="20"/>
      <c r="AA796" s="20"/>
      <c r="AB796" s="20"/>
      <c r="AC796" s="20"/>
      <c r="AD796" s="20"/>
    </row>
    <row r="797" spans="1:30" ht="19.5">
      <c r="A797" s="20"/>
      <c r="B797" s="20"/>
      <c r="C797" s="20"/>
      <c r="D797" s="20"/>
      <c r="E797" s="20"/>
      <c r="F797" s="124"/>
      <c r="G797" s="20"/>
      <c r="H797" s="20"/>
      <c r="I797" s="20"/>
      <c r="J797" s="124"/>
      <c r="K797" s="127"/>
      <c r="L797" s="20"/>
      <c r="M797" s="20"/>
      <c r="N797" s="20"/>
      <c r="O797" s="124"/>
      <c r="P797" s="127"/>
      <c r="Q797" s="20"/>
      <c r="R797" s="20"/>
      <c r="S797" s="20"/>
      <c r="T797" s="124"/>
      <c r="U797" s="127"/>
      <c r="V797" s="20"/>
      <c r="W797" s="20"/>
      <c r="X797" s="20"/>
      <c r="Y797" s="20"/>
      <c r="Z797" s="20"/>
      <c r="AA797" s="20"/>
      <c r="AB797" s="20"/>
      <c r="AC797" s="20"/>
      <c r="AD797" s="20"/>
    </row>
    <row r="798" spans="1:30" ht="19.5">
      <c r="A798" s="20"/>
      <c r="B798" s="20"/>
      <c r="C798" s="20"/>
      <c r="D798" s="20"/>
      <c r="E798" s="20"/>
      <c r="F798" s="124"/>
      <c r="G798" s="20"/>
      <c r="H798" s="20"/>
      <c r="I798" s="20"/>
      <c r="J798" s="124"/>
      <c r="K798" s="127"/>
      <c r="L798" s="20"/>
      <c r="M798" s="20"/>
      <c r="N798" s="20"/>
      <c r="O798" s="124"/>
      <c r="P798" s="127"/>
      <c r="Q798" s="20"/>
      <c r="R798" s="20"/>
      <c r="S798" s="20"/>
      <c r="T798" s="124"/>
      <c r="U798" s="127"/>
      <c r="V798" s="20"/>
      <c r="W798" s="20"/>
      <c r="X798" s="20"/>
      <c r="Y798" s="20"/>
      <c r="Z798" s="20"/>
      <c r="AA798" s="20"/>
      <c r="AB798" s="20"/>
      <c r="AC798" s="20"/>
      <c r="AD798" s="20"/>
    </row>
    <row r="799" spans="1:30" ht="19.5">
      <c r="A799" s="20"/>
      <c r="B799" s="20"/>
      <c r="C799" s="20"/>
      <c r="D799" s="20"/>
      <c r="E799" s="20"/>
      <c r="F799" s="124"/>
      <c r="G799" s="20"/>
      <c r="H799" s="20"/>
      <c r="I799" s="20"/>
      <c r="J799" s="124"/>
      <c r="K799" s="127"/>
      <c r="L799" s="20"/>
      <c r="M799" s="20"/>
      <c r="N799" s="20"/>
      <c r="O799" s="124"/>
      <c r="P799" s="127"/>
      <c r="Q799" s="20"/>
      <c r="R799" s="20"/>
      <c r="S799" s="20"/>
      <c r="T799" s="124"/>
      <c r="U799" s="127"/>
      <c r="V799" s="20"/>
      <c r="W799" s="20"/>
      <c r="X799" s="20"/>
      <c r="Y799" s="20"/>
      <c r="Z799" s="20"/>
      <c r="AA799" s="20"/>
      <c r="AB799" s="20"/>
      <c r="AC799" s="20"/>
      <c r="AD799" s="20"/>
    </row>
    <row r="800" spans="1:30" ht="19.5">
      <c r="A800" s="20"/>
      <c r="B800" s="20"/>
      <c r="C800" s="20"/>
      <c r="D800" s="20"/>
      <c r="E800" s="20"/>
      <c r="F800" s="124"/>
      <c r="G800" s="20"/>
      <c r="H800" s="20"/>
      <c r="I800" s="20"/>
      <c r="J800" s="124"/>
      <c r="K800" s="127"/>
      <c r="L800" s="20"/>
      <c r="M800" s="20"/>
      <c r="N800" s="20"/>
      <c r="O800" s="124"/>
      <c r="P800" s="127"/>
      <c r="Q800" s="20"/>
      <c r="R800" s="20"/>
      <c r="S800" s="20"/>
      <c r="T800" s="124"/>
      <c r="U800" s="127"/>
      <c r="V800" s="20"/>
      <c r="W800" s="20"/>
      <c r="X800" s="20"/>
      <c r="Y800" s="20"/>
      <c r="Z800" s="20"/>
      <c r="AA800" s="20"/>
      <c r="AB800" s="20"/>
      <c r="AC800" s="20"/>
      <c r="AD800" s="20"/>
    </row>
    <row r="801" spans="1:30" ht="19.5">
      <c r="A801" s="20"/>
      <c r="B801" s="20"/>
      <c r="C801" s="20"/>
      <c r="D801" s="20"/>
      <c r="E801" s="20"/>
      <c r="F801" s="124"/>
      <c r="G801" s="20"/>
      <c r="H801" s="20"/>
      <c r="I801" s="20"/>
      <c r="J801" s="124"/>
      <c r="K801" s="127"/>
      <c r="L801" s="20"/>
      <c r="M801" s="20"/>
      <c r="N801" s="20"/>
      <c r="O801" s="124"/>
      <c r="P801" s="127"/>
      <c r="Q801" s="20"/>
      <c r="R801" s="20"/>
      <c r="S801" s="20"/>
      <c r="T801" s="124"/>
      <c r="U801" s="127"/>
      <c r="V801" s="20"/>
      <c r="W801" s="20"/>
      <c r="X801" s="20"/>
      <c r="Y801" s="20"/>
      <c r="Z801" s="20"/>
      <c r="AA801" s="20"/>
      <c r="AB801" s="20"/>
      <c r="AC801" s="20"/>
      <c r="AD801" s="20"/>
    </row>
    <row r="802" spans="1:30" ht="19.5">
      <c r="A802" s="20"/>
      <c r="B802" s="20"/>
      <c r="C802" s="20"/>
      <c r="D802" s="20"/>
      <c r="E802" s="20"/>
      <c r="F802" s="124"/>
      <c r="G802" s="20"/>
      <c r="H802" s="20"/>
      <c r="I802" s="20"/>
      <c r="J802" s="124"/>
      <c r="K802" s="127"/>
      <c r="L802" s="20"/>
      <c r="M802" s="20"/>
      <c r="N802" s="20"/>
      <c r="O802" s="124"/>
      <c r="P802" s="127"/>
      <c r="Q802" s="20"/>
      <c r="R802" s="20"/>
      <c r="S802" s="20"/>
      <c r="T802" s="124"/>
      <c r="U802" s="127"/>
      <c r="V802" s="20"/>
      <c r="W802" s="20"/>
      <c r="X802" s="20"/>
      <c r="Y802" s="20"/>
      <c r="Z802" s="20"/>
      <c r="AA802" s="20"/>
      <c r="AB802" s="20"/>
      <c r="AC802" s="20"/>
      <c r="AD802" s="20"/>
    </row>
    <row r="803" spans="1:30" ht="19.5">
      <c r="A803" s="20"/>
      <c r="B803" s="20"/>
      <c r="C803" s="20"/>
      <c r="D803" s="20"/>
      <c r="E803" s="20"/>
      <c r="F803" s="124"/>
      <c r="G803" s="20"/>
      <c r="H803" s="20"/>
      <c r="I803" s="20"/>
      <c r="J803" s="124"/>
      <c r="K803" s="127"/>
      <c r="L803" s="20"/>
      <c r="M803" s="20"/>
      <c r="N803" s="20"/>
      <c r="O803" s="124"/>
      <c r="P803" s="127"/>
      <c r="Q803" s="20"/>
      <c r="R803" s="20"/>
      <c r="S803" s="20"/>
      <c r="T803" s="124"/>
      <c r="U803" s="127"/>
      <c r="V803" s="20"/>
      <c r="W803" s="20"/>
      <c r="X803" s="20"/>
      <c r="Y803" s="20"/>
      <c r="Z803" s="20"/>
      <c r="AA803" s="20"/>
      <c r="AB803" s="20"/>
      <c r="AC803" s="20"/>
      <c r="AD803" s="20"/>
    </row>
    <row r="804" spans="1:30" ht="19.5">
      <c r="A804" s="20"/>
      <c r="B804" s="20"/>
      <c r="C804" s="20"/>
      <c r="D804" s="20"/>
      <c r="E804" s="20"/>
      <c r="F804" s="124"/>
      <c r="G804" s="20"/>
      <c r="H804" s="20"/>
      <c r="I804" s="20"/>
      <c r="J804" s="124"/>
      <c r="K804" s="127"/>
      <c r="L804" s="20"/>
      <c r="M804" s="20"/>
      <c r="N804" s="20"/>
      <c r="O804" s="124"/>
      <c r="P804" s="127"/>
      <c r="Q804" s="20"/>
      <c r="R804" s="20"/>
      <c r="S804" s="20"/>
      <c r="T804" s="124"/>
      <c r="U804" s="127"/>
      <c r="V804" s="20"/>
      <c r="W804" s="20"/>
      <c r="X804" s="20"/>
      <c r="Y804" s="20"/>
      <c r="Z804" s="20"/>
      <c r="AA804" s="20"/>
      <c r="AB804" s="20"/>
      <c r="AC804" s="20"/>
      <c r="AD804" s="20"/>
    </row>
    <row r="805" spans="1:30" ht="19.5">
      <c r="A805" s="20"/>
      <c r="B805" s="20"/>
      <c r="C805" s="20"/>
      <c r="D805" s="20"/>
      <c r="E805" s="20"/>
      <c r="F805" s="124"/>
      <c r="G805" s="20"/>
      <c r="H805" s="20"/>
      <c r="I805" s="20"/>
      <c r="J805" s="124"/>
      <c r="K805" s="127"/>
      <c r="L805" s="20"/>
      <c r="M805" s="20"/>
      <c r="N805" s="20"/>
      <c r="O805" s="124"/>
      <c r="P805" s="127"/>
      <c r="Q805" s="20"/>
      <c r="R805" s="20"/>
      <c r="S805" s="20"/>
      <c r="T805" s="124"/>
      <c r="U805" s="127"/>
      <c r="V805" s="20"/>
      <c r="W805" s="20"/>
      <c r="X805" s="20"/>
      <c r="Y805" s="20"/>
      <c r="Z805" s="20"/>
      <c r="AA805" s="20"/>
      <c r="AB805" s="20"/>
      <c r="AC805" s="20"/>
      <c r="AD805" s="20"/>
    </row>
    <row r="806" spans="1:30" ht="19.5">
      <c r="A806" s="20"/>
      <c r="B806" s="20"/>
      <c r="C806" s="20"/>
      <c r="D806" s="20"/>
      <c r="E806" s="20"/>
      <c r="F806" s="124"/>
      <c r="G806" s="20"/>
      <c r="H806" s="20"/>
      <c r="I806" s="20"/>
      <c r="J806" s="124"/>
      <c r="K806" s="127"/>
      <c r="L806" s="20"/>
      <c r="M806" s="20"/>
      <c r="N806" s="20"/>
      <c r="O806" s="124"/>
      <c r="P806" s="127"/>
      <c r="Q806" s="20"/>
      <c r="R806" s="20"/>
      <c r="S806" s="20"/>
      <c r="T806" s="124"/>
      <c r="U806" s="127"/>
      <c r="V806" s="20"/>
      <c r="W806" s="20"/>
      <c r="X806" s="20"/>
      <c r="Y806" s="20"/>
      <c r="Z806" s="20"/>
      <c r="AA806" s="20"/>
      <c r="AB806" s="20"/>
      <c r="AC806" s="20"/>
      <c r="AD806" s="20"/>
    </row>
    <row r="807" spans="1:30" ht="19.5">
      <c r="A807" s="20"/>
      <c r="B807" s="20"/>
      <c r="C807" s="20"/>
      <c r="D807" s="20"/>
      <c r="E807" s="20"/>
      <c r="F807" s="124"/>
      <c r="G807" s="20"/>
      <c r="H807" s="20"/>
      <c r="I807" s="20"/>
      <c r="J807" s="124"/>
      <c r="K807" s="127"/>
      <c r="L807" s="20"/>
      <c r="M807" s="20"/>
      <c r="N807" s="20"/>
      <c r="O807" s="124"/>
      <c r="P807" s="127"/>
      <c r="Q807" s="20"/>
      <c r="R807" s="20"/>
      <c r="S807" s="20"/>
      <c r="T807" s="124"/>
      <c r="U807" s="127"/>
      <c r="V807" s="20"/>
      <c r="W807" s="20"/>
      <c r="X807" s="20"/>
      <c r="Y807" s="20"/>
      <c r="Z807" s="20"/>
      <c r="AA807" s="20"/>
      <c r="AB807" s="20"/>
      <c r="AC807" s="20"/>
      <c r="AD807" s="20"/>
    </row>
    <row r="808" spans="1:30" ht="19.5">
      <c r="A808" s="20"/>
      <c r="B808" s="20"/>
      <c r="C808" s="20"/>
      <c r="D808" s="20"/>
      <c r="E808" s="20"/>
      <c r="F808" s="124"/>
      <c r="G808" s="20"/>
      <c r="H808" s="20"/>
      <c r="I808" s="20"/>
      <c r="J808" s="124"/>
      <c r="K808" s="127"/>
      <c r="L808" s="20"/>
      <c r="M808" s="20"/>
      <c r="N808" s="20"/>
      <c r="O808" s="124"/>
      <c r="P808" s="127"/>
      <c r="Q808" s="20"/>
      <c r="R808" s="20"/>
      <c r="S808" s="20"/>
      <c r="T808" s="124"/>
      <c r="U808" s="127"/>
      <c r="V808" s="20"/>
      <c r="W808" s="20"/>
      <c r="X808" s="20"/>
      <c r="Y808" s="20"/>
      <c r="Z808" s="20"/>
      <c r="AA808" s="20"/>
      <c r="AB808" s="20"/>
      <c r="AC808" s="20"/>
      <c r="AD808" s="20"/>
    </row>
    <row r="809" spans="1:30" ht="19.5">
      <c r="A809" s="20"/>
      <c r="B809" s="20"/>
      <c r="C809" s="20"/>
      <c r="D809" s="20"/>
      <c r="E809" s="20"/>
      <c r="F809" s="124"/>
      <c r="G809" s="20"/>
      <c r="H809" s="20"/>
      <c r="I809" s="20"/>
      <c r="J809" s="124"/>
      <c r="K809" s="127"/>
      <c r="L809" s="20"/>
      <c r="M809" s="20"/>
      <c r="N809" s="20"/>
      <c r="O809" s="124"/>
      <c r="P809" s="127"/>
      <c r="Q809" s="20"/>
      <c r="R809" s="20"/>
      <c r="S809" s="20"/>
      <c r="T809" s="124"/>
      <c r="U809" s="127"/>
      <c r="V809" s="20"/>
      <c r="W809" s="20"/>
      <c r="X809" s="20"/>
      <c r="Y809" s="20"/>
      <c r="Z809" s="20"/>
      <c r="AA809" s="20"/>
      <c r="AB809" s="20"/>
      <c r="AC809" s="20"/>
      <c r="AD809" s="20"/>
    </row>
    <row r="810" spans="1:30" ht="19.5">
      <c r="A810" s="20"/>
      <c r="B810" s="20"/>
      <c r="C810" s="20"/>
      <c r="D810" s="20"/>
      <c r="E810" s="20"/>
      <c r="F810" s="124"/>
      <c r="G810" s="20"/>
      <c r="H810" s="20"/>
      <c r="I810" s="20"/>
      <c r="J810" s="124"/>
      <c r="K810" s="127"/>
      <c r="L810" s="20"/>
      <c r="M810" s="20"/>
      <c r="N810" s="20"/>
      <c r="O810" s="124"/>
      <c r="P810" s="127"/>
      <c r="Q810" s="20"/>
      <c r="R810" s="20"/>
      <c r="S810" s="20"/>
      <c r="T810" s="124"/>
      <c r="U810" s="127"/>
      <c r="V810" s="20"/>
      <c r="W810" s="20"/>
      <c r="X810" s="20"/>
      <c r="Y810" s="20"/>
      <c r="Z810" s="20"/>
      <c r="AA810" s="20"/>
      <c r="AB810" s="20"/>
      <c r="AC810" s="20"/>
      <c r="AD810" s="20"/>
    </row>
    <row r="811" spans="1:30" ht="19.5">
      <c r="A811" s="20"/>
      <c r="B811" s="20"/>
      <c r="C811" s="20"/>
      <c r="D811" s="20"/>
      <c r="E811" s="20"/>
      <c r="F811" s="124"/>
      <c r="G811" s="20"/>
      <c r="H811" s="20"/>
      <c r="I811" s="20"/>
      <c r="J811" s="124"/>
      <c r="K811" s="127"/>
      <c r="L811" s="20"/>
      <c r="M811" s="20"/>
      <c r="N811" s="20"/>
      <c r="O811" s="124"/>
      <c r="P811" s="127"/>
      <c r="Q811" s="20"/>
      <c r="R811" s="20"/>
      <c r="S811" s="20"/>
      <c r="T811" s="124"/>
      <c r="U811" s="127"/>
      <c r="V811" s="20"/>
      <c r="W811" s="20"/>
      <c r="X811" s="20"/>
      <c r="Y811" s="20"/>
      <c r="Z811" s="20"/>
      <c r="AA811" s="20"/>
      <c r="AB811" s="20"/>
      <c r="AC811" s="20"/>
      <c r="AD811" s="20"/>
    </row>
    <row r="812" spans="1:30" ht="19.5">
      <c r="A812" s="20"/>
      <c r="B812" s="20"/>
      <c r="C812" s="20"/>
      <c r="D812" s="20"/>
      <c r="E812" s="20"/>
      <c r="F812" s="124"/>
      <c r="G812" s="20"/>
      <c r="H812" s="20"/>
      <c r="I812" s="20"/>
      <c r="J812" s="124"/>
      <c r="K812" s="127"/>
      <c r="L812" s="20"/>
      <c r="M812" s="20"/>
      <c r="N812" s="20"/>
      <c r="O812" s="124"/>
      <c r="P812" s="127"/>
      <c r="Q812" s="20"/>
      <c r="R812" s="20"/>
      <c r="S812" s="20"/>
      <c r="T812" s="124"/>
      <c r="U812" s="127"/>
      <c r="V812" s="20"/>
      <c r="W812" s="20"/>
      <c r="X812" s="20"/>
      <c r="Y812" s="20"/>
      <c r="Z812" s="20"/>
      <c r="AA812" s="20"/>
      <c r="AB812" s="20"/>
      <c r="AC812" s="20"/>
      <c r="AD812" s="20"/>
    </row>
    <row r="813" spans="1:30" ht="19.5">
      <c r="A813" s="20"/>
      <c r="B813" s="20"/>
      <c r="C813" s="20"/>
      <c r="D813" s="20"/>
      <c r="E813" s="20"/>
      <c r="F813" s="124"/>
      <c r="G813" s="20"/>
      <c r="H813" s="20"/>
      <c r="I813" s="20"/>
      <c r="J813" s="124"/>
      <c r="K813" s="127"/>
      <c r="L813" s="20"/>
      <c r="M813" s="20"/>
      <c r="N813" s="20"/>
      <c r="O813" s="124"/>
      <c r="P813" s="127"/>
      <c r="Q813" s="20"/>
      <c r="R813" s="20"/>
      <c r="S813" s="20"/>
      <c r="T813" s="124"/>
      <c r="U813" s="127"/>
      <c r="V813" s="20"/>
      <c r="W813" s="20"/>
      <c r="X813" s="20"/>
      <c r="Y813" s="20"/>
      <c r="Z813" s="20"/>
      <c r="AA813" s="20"/>
      <c r="AB813" s="20"/>
      <c r="AC813" s="20"/>
      <c r="AD813" s="20"/>
    </row>
    <row r="814" spans="1:30" ht="19.5">
      <c r="A814" s="20"/>
      <c r="B814" s="20"/>
      <c r="C814" s="20"/>
      <c r="D814" s="20"/>
      <c r="E814" s="20"/>
      <c r="F814" s="124"/>
      <c r="G814" s="20"/>
      <c r="H814" s="20"/>
      <c r="I814" s="20"/>
      <c r="J814" s="124"/>
      <c r="K814" s="127"/>
      <c r="L814" s="20"/>
      <c r="M814" s="20"/>
      <c r="N814" s="20"/>
      <c r="O814" s="124"/>
      <c r="P814" s="127"/>
      <c r="Q814" s="20"/>
      <c r="R814" s="20"/>
      <c r="S814" s="20"/>
      <c r="T814" s="124"/>
      <c r="U814" s="127"/>
      <c r="V814" s="20"/>
      <c r="W814" s="20"/>
      <c r="X814" s="20"/>
      <c r="Y814" s="20"/>
      <c r="Z814" s="20"/>
      <c r="AA814" s="20"/>
      <c r="AB814" s="20"/>
      <c r="AC814" s="20"/>
      <c r="AD814" s="20"/>
    </row>
    <row r="815" spans="1:30" ht="19.5">
      <c r="A815" s="20"/>
      <c r="B815" s="20"/>
      <c r="C815" s="20"/>
      <c r="D815" s="20"/>
      <c r="E815" s="20"/>
      <c r="F815" s="124"/>
      <c r="G815" s="20"/>
      <c r="H815" s="20"/>
      <c r="I815" s="20"/>
      <c r="J815" s="124"/>
      <c r="K815" s="127"/>
      <c r="L815" s="20"/>
      <c r="M815" s="20"/>
      <c r="N815" s="20"/>
      <c r="O815" s="124"/>
      <c r="P815" s="127"/>
      <c r="Q815" s="20"/>
      <c r="R815" s="20"/>
      <c r="S815" s="20"/>
      <c r="T815" s="124"/>
      <c r="U815" s="127"/>
      <c r="V815" s="20"/>
      <c r="W815" s="20"/>
      <c r="X815" s="20"/>
      <c r="Y815" s="20"/>
      <c r="Z815" s="20"/>
      <c r="AA815" s="20"/>
      <c r="AB815" s="20"/>
      <c r="AC815" s="20"/>
      <c r="AD815" s="20"/>
    </row>
    <row r="816" spans="1:30" ht="19.5">
      <c r="A816" s="20"/>
      <c r="B816" s="20"/>
      <c r="C816" s="20"/>
      <c r="D816" s="20"/>
      <c r="E816" s="20"/>
      <c r="F816" s="124"/>
      <c r="G816" s="20"/>
      <c r="H816" s="20"/>
      <c r="I816" s="20"/>
      <c r="J816" s="124"/>
      <c r="K816" s="127"/>
      <c r="L816" s="20"/>
      <c r="M816" s="20"/>
      <c r="N816" s="20"/>
      <c r="O816" s="124"/>
      <c r="P816" s="127"/>
      <c r="Q816" s="20"/>
      <c r="R816" s="20"/>
      <c r="S816" s="20"/>
      <c r="T816" s="124"/>
      <c r="U816" s="127"/>
      <c r="V816" s="20"/>
      <c r="W816" s="20"/>
      <c r="X816" s="20"/>
      <c r="Y816" s="20"/>
      <c r="Z816" s="20"/>
      <c r="AA816" s="20"/>
      <c r="AB816" s="20"/>
      <c r="AC816" s="20"/>
      <c r="AD816" s="20"/>
    </row>
    <row r="817" spans="1:30" ht="19.5">
      <c r="A817" s="20"/>
      <c r="B817" s="20"/>
      <c r="C817" s="20"/>
      <c r="D817" s="20"/>
      <c r="E817" s="20"/>
      <c r="F817" s="124"/>
      <c r="G817" s="20"/>
      <c r="H817" s="20"/>
      <c r="I817" s="20"/>
      <c r="J817" s="124"/>
      <c r="K817" s="127"/>
      <c r="L817" s="20"/>
      <c r="M817" s="20"/>
      <c r="N817" s="20"/>
      <c r="O817" s="124"/>
      <c r="P817" s="127"/>
      <c r="Q817" s="20"/>
      <c r="R817" s="20"/>
      <c r="S817" s="20"/>
      <c r="T817" s="124"/>
      <c r="U817" s="127"/>
      <c r="V817" s="20"/>
      <c r="W817" s="20"/>
      <c r="X817" s="20"/>
      <c r="Y817" s="20"/>
      <c r="Z817" s="20"/>
      <c r="AA817" s="20"/>
      <c r="AB817" s="20"/>
      <c r="AC817" s="20"/>
      <c r="AD817" s="20"/>
    </row>
    <row r="818" spans="1:30" ht="19.5">
      <c r="A818" s="20"/>
      <c r="B818" s="20"/>
      <c r="C818" s="20"/>
      <c r="D818" s="20"/>
      <c r="E818" s="20"/>
      <c r="F818" s="124"/>
      <c r="G818" s="20"/>
      <c r="H818" s="20"/>
      <c r="I818" s="20"/>
      <c r="J818" s="124"/>
      <c r="K818" s="127"/>
      <c r="L818" s="20"/>
      <c r="M818" s="20"/>
      <c r="N818" s="20"/>
      <c r="O818" s="124"/>
      <c r="P818" s="127"/>
      <c r="Q818" s="20"/>
      <c r="R818" s="20"/>
      <c r="S818" s="20"/>
      <c r="T818" s="124"/>
      <c r="U818" s="127"/>
      <c r="V818" s="20"/>
      <c r="W818" s="20"/>
      <c r="X818" s="20"/>
      <c r="Y818" s="20"/>
      <c r="Z818" s="20"/>
      <c r="AA818" s="20"/>
      <c r="AB818" s="20"/>
      <c r="AC818" s="20"/>
      <c r="AD818" s="20"/>
    </row>
    <row r="819" spans="1:30" ht="19.5">
      <c r="A819" s="20"/>
      <c r="B819" s="20"/>
      <c r="C819" s="20"/>
      <c r="D819" s="20"/>
      <c r="E819" s="20"/>
      <c r="F819" s="124"/>
      <c r="G819" s="20"/>
      <c r="H819" s="20"/>
      <c r="I819" s="20"/>
      <c r="J819" s="124"/>
      <c r="K819" s="127"/>
      <c r="L819" s="20"/>
      <c r="M819" s="20"/>
      <c r="N819" s="20"/>
      <c r="O819" s="124"/>
      <c r="P819" s="127"/>
      <c r="Q819" s="20"/>
      <c r="R819" s="20"/>
      <c r="S819" s="20"/>
      <c r="T819" s="124"/>
      <c r="U819" s="127"/>
      <c r="V819" s="20"/>
      <c r="W819" s="20"/>
      <c r="X819" s="20"/>
      <c r="Y819" s="20"/>
      <c r="Z819" s="20"/>
      <c r="AA819" s="20"/>
      <c r="AB819" s="20"/>
      <c r="AC819" s="20"/>
      <c r="AD819" s="20"/>
    </row>
    <row r="820" spans="1:30" ht="19.5">
      <c r="A820" s="20"/>
      <c r="B820" s="20"/>
      <c r="C820" s="20"/>
      <c r="D820" s="20"/>
      <c r="E820" s="20"/>
      <c r="F820" s="124"/>
      <c r="G820" s="20"/>
      <c r="H820" s="20"/>
      <c r="I820" s="20"/>
      <c r="J820" s="124"/>
      <c r="K820" s="127"/>
      <c r="L820" s="20"/>
      <c r="M820" s="20"/>
      <c r="N820" s="20"/>
      <c r="O820" s="124"/>
      <c r="P820" s="127"/>
      <c r="Q820" s="20"/>
      <c r="R820" s="20"/>
      <c r="S820" s="20"/>
      <c r="T820" s="124"/>
      <c r="U820" s="127"/>
      <c r="V820" s="20"/>
      <c r="W820" s="20"/>
      <c r="X820" s="20"/>
      <c r="Y820" s="20"/>
      <c r="Z820" s="20"/>
      <c r="AA820" s="20"/>
      <c r="AB820" s="20"/>
      <c r="AC820" s="20"/>
      <c r="AD820" s="20"/>
    </row>
    <row r="821" spans="1:30" ht="19.5">
      <c r="A821" s="20"/>
      <c r="B821" s="20"/>
      <c r="C821" s="20"/>
      <c r="D821" s="20"/>
      <c r="E821" s="20"/>
      <c r="F821" s="124"/>
      <c r="G821" s="20"/>
      <c r="H821" s="20"/>
      <c r="I821" s="20"/>
      <c r="J821" s="124"/>
      <c r="K821" s="127"/>
      <c r="L821" s="20"/>
      <c r="M821" s="20"/>
      <c r="N821" s="20"/>
      <c r="O821" s="124"/>
      <c r="P821" s="127"/>
      <c r="Q821" s="20"/>
      <c r="R821" s="20"/>
      <c r="S821" s="20"/>
      <c r="T821" s="124"/>
      <c r="U821" s="127"/>
      <c r="V821" s="20"/>
      <c r="W821" s="20"/>
      <c r="X821" s="20"/>
      <c r="Y821" s="20"/>
      <c r="Z821" s="20"/>
      <c r="AA821" s="20"/>
      <c r="AB821" s="20"/>
      <c r="AC821" s="20"/>
      <c r="AD821" s="20"/>
    </row>
    <row r="822" spans="1:30" ht="19.5">
      <c r="A822" s="20"/>
      <c r="B822" s="20"/>
      <c r="C822" s="20"/>
      <c r="D822" s="20"/>
      <c r="E822" s="20"/>
      <c r="F822" s="124"/>
      <c r="G822" s="20"/>
      <c r="H822" s="20"/>
      <c r="I822" s="20"/>
      <c r="J822" s="124"/>
      <c r="K822" s="127"/>
      <c r="L822" s="20"/>
      <c r="M822" s="20"/>
      <c r="N822" s="20"/>
      <c r="O822" s="124"/>
      <c r="P822" s="127"/>
      <c r="Q822" s="20"/>
      <c r="R822" s="20"/>
      <c r="S822" s="20"/>
      <c r="T822" s="124"/>
      <c r="U822" s="127"/>
      <c r="V822" s="20"/>
      <c r="W822" s="20"/>
      <c r="X822" s="20"/>
      <c r="Y822" s="20"/>
      <c r="Z822" s="20"/>
      <c r="AA822" s="20"/>
      <c r="AB822" s="20"/>
      <c r="AC822" s="20"/>
      <c r="AD822" s="20"/>
    </row>
    <row r="823" spans="1:30" ht="19.5">
      <c r="A823" s="20"/>
      <c r="B823" s="20"/>
      <c r="C823" s="20"/>
      <c r="D823" s="20"/>
      <c r="E823" s="20"/>
      <c r="F823" s="124"/>
      <c r="G823" s="20"/>
      <c r="H823" s="20"/>
      <c r="I823" s="20"/>
      <c r="J823" s="124"/>
      <c r="K823" s="127"/>
      <c r="L823" s="20"/>
      <c r="M823" s="20"/>
      <c r="N823" s="20"/>
      <c r="O823" s="124"/>
      <c r="P823" s="127"/>
      <c r="Q823" s="20"/>
      <c r="R823" s="20"/>
      <c r="S823" s="20"/>
      <c r="T823" s="124"/>
      <c r="U823" s="127"/>
      <c r="V823" s="20"/>
      <c r="W823" s="20"/>
      <c r="X823" s="20"/>
      <c r="Y823" s="20"/>
      <c r="Z823" s="20"/>
      <c r="AA823" s="20"/>
      <c r="AB823" s="20"/>
      <c r="AC823" s="20"/>
      <c r="AD823" s="20"/>
    </row>
    <row r="824" spans="1:30" ht="19.5">
      <c r="A824" s="20"/>
      <c r="B824" s="20"/>
      <c r="C824" s="20"/>
      <c r="D824" s="20"/>
      <c r="E824" s="20"/>
      <c r="F824" s="124"/>
      <c r="G824" s="20"/>
      <c r="H824" s="20"/>
      <c r="I824" s="20"/>
      <c r="J824" s="124"/>
      <c r="K824" s="127"/>
      <c r="L824" s="20"/>
      <c r="M824" s="20"/>
      <c r="N824" s="20"/>
      <c r="O824" s="124"/>
      <c r="P824" s="127"/>
      <c r="Q824" s="20"/>
      <c r="R824" s="20"/>
      <c r="S824" s="20"/>
      <c r="T824" s="124"/>
      <c r="U824" s="127"/>
      <c r="V824" s="20"/>
      <c r="W824" s="20"/>
      <c r="X824" s="20"/>
      <c r="Y824" s="20"/>
      <c r="Z824" s="20"/>
      <c r="AA824" s="20"/>
      <c r="AB824" s="20"/>
      <c r="AC824" s="20"/>
      <c r="AD824" s="20"/>
    </row>
    <row r="825" spans="1:30" ht="19.5">
      <c r="A825" s="20"/>
      <c r="B825" s="20"/>
      <c r="C825" s="20"/>
      <c r="D825" s="20"/>
      <c r="E825" s="20"/>
      <c r="F825" s="124"/>
      <c r="G825" s="20"/>
      <c r="H825" s="20"/>
      <c r="I825" s="20"/>
      <c r="J825" s="124"/>
      <c r="K825" s="127"/>
      <c r="L825" s="20"/>
      <c r="M825" s="20"/>
      <c r="N825" s="20"/>
      <c r="O825" s="124"/>
      <c r="P825" s="127"/>
      <c r="Q825" s="20"/>
      <c r="R825" s="20"/>
      <c r="S825" s="20"/>
      <c r="T825" s="124"/>
      <c r="U825" s="127"/>
      <c r="V825" s="20"/>
      <c r="W825" s="20"/>
      <c r="X825" s="20"/>
      <c r="Y825" s="20"/>
      <c r="Z825" s="20"/>
      <c r="AA825" s="20"/>
      <c r="AB825" s="20"/>
      <c r="AC825" s="20"/>
      <c r="AD825" s="20"/>
    </row>
    <row r="826" spans="1:30" ht="19.5">
      <c r="A826" s="20"/>
      <c r="B826" s="20"/>
      <c r="C826" s="20"/>
      <c r="D826" s="20"/>
      <c r="E826" s="20"/>
      <c r="F826" s="124"/>
      <c r="G826" s="20"/>
      <c r="H826" s="20"/>
      <c r="I826" s="20"/>
      <c r="J826" s="124"/>
      <c r="K826" s="127"/>
      <c r="L826" s="20"/>
      <c r="M826" s="20"/>
      <c r="N826" s="20"/>
      <c r="O826" s="124"/>
      <c r="P826" s="127"/>
      <c r="Q826" s="20"/>
      <c r="R826" s="20"/>
      <c r="S826" s="20"/>
      <c r="T826" s="124"/>
      <c r="U826" s="127"/>
      <c r="V826" s="20"/>
      <c r="W826" s="20"/>
      <c r="X826" s="20"/>
      <c r="Y826" s="20"/>
      <c r="Z826" s="20"/>
      <c r="AA826" s="20"/>
      <c r="AB826" s="20"/>
      <c r="AC826" s="20"/>
      <c r="AD826" s="20"/>
    </row>
    <row r="827" spans="1:30" ht="19.5">
      <c r="A827" s="20"/>
      <c r="B827" s="20"/>
      <c r="C827" s="20"/>
      <c r="D827" s="20"/>
      <c r="E827" s="20"/>
      <c r="F827" s="124"/>
      <c r="G827" s="20"/>
      <c r="H827" s="20"/>
      <c r="I827" s="20"/>
      <c r="J827" s="124"/>
      <c r="K827" s="127"/>
      <c r="L827" s="20"/>
      <c r="M827" s="20"/>
      <c r="N827" s="20"/>
      <c r="O827" s="124"/>
      <c r="P827" s="127"/>
      <c r="Q827" s="20"/>
      <c r="R827" s="20"/>
      <c r="S827" s="20"/>
      <c r="T827" s="124"/>
      <c r="U827" s="127"/>
      <c r="V827" s="20"/>
      <c r="W827" s="20"/>
      <c r="X827" s="20"/>
      <c r="Y827" s="20"/>
      <c r="Z827" s="20"/>
      <c r="AA827" s="20"/>
      <c r="AB827" s="20"/>
      <c r="AC827" s="20"/>
      <c r="AD827" s="20"/>
    </row>
    <row r="828" spans="1:30" ht="19.5">
      <c r="A828" s="20"/>
      <c r="B828" s="20"/>
      <c r="C828" s="20"/>
      <c r="D828" s="20"/>
      <c r="E828" s="20"/>
      <c r="F828" s="124"/>
      <c r="G828" s="20"/>
      <c r="H828" s="20"/>
      <c r="I828" s="20"/>
      <c r="J828" s="124"/>
      <c r="K828" s="127"/>
      <c r="L828" s="20"/>
      <c r="M828" s="20"/>
      <c r="N828" s="20"/>
      <c r="O828" s="124"/>
      <c r="P828" s="127"/>
      <c r="Q828" s="20"/>
      <c r="R828" s="20"/>
      <c r="S828" s="20"/>
      <c r="T828" s="124"/>
      <c r="U828" s="127"/>
      <c r="V828" s="20"/>
      <c r="W828" s="20"/>
      <c r="X828" s="20"/>
      <c r="Y828" s="20"/>
      <c r="Z828" s="20"/>
      <c r="AA828" s="20"/>
      <c r="AB828" s="20"/>
      <c r="AC828" s="20"/>
      <c r="AD828" s="20"/>
    </row>
    <row r="829" spans="1:30" ht="19.5">
      <c r="A829" s="20"/>
      <c r="B829" s="20"/>
      <c r="C829" s="20"/>
      <c r="D829" s="20"/>
      <c r="E829" s="20"/>
      <c r="F829" s="124"/>
      <c r="G829" s="20"/>
      <c r="H829" s="20"/>
      <c r="I829" s="20"/>
      <c r="J829" s="124"/>
      <c r="K829" s="127"/>
      <c r="L829" s="20"/>
      <c r="M829" s="20"/>
      <c r="N829" s="20"/>
      <c r="O829" s="124"/>
      <c r="P829" s="127"/>
      <c r="Q829" s="20"/>
      <c r="R829" s="20"/>
      <c r="S829" s="20"/>
      <c r="T829" s="124"/>
      <c r="U829" s="127"/>
      <c r="V829" s="20"/>
      <c r="W829" s="20"/>
      <c r="X829" s="20"/>
      <c r="Y829" s="20"/>
      <c r="Z829" s="20"/>
      <c r="AA829" s="20"/>
      <c r="AB829" s="20"/>
      <c r="AC829" s="20"/>
      <c r="AD829" s="20"/>
    </row>
    <row r="830" spans="1:30" ht="19.5">
      <c r="A830" s="20"/>
      <c r="B830" s="20"/>
      <c r="C830" s="20"/>
      <c r="D830" s="20"/>
      <c r="E830" s="20"/>
      <c r="F830" s="124"/>
      <c r="G830" s="20"/>
      <c r="H830" s="20"/>
      <c r="I830" s="20"/>
      <c r="J830" s="124"/>
      <c r="K830" s="127"/>
      <c r="L830" s="20"/>
      <c r="M830" s="20"/>
      <c r="N830" s="20"/>
      <c r="O830" s="124"/>
      <c r="P830" s="127"/>
      <c r="Q830" s="20"/>
      <c r="R830" s="20"/>
      <c r="S830" s="20"/>
      <c r="T830" s="124"/>
      <c r="U830" s="127"/>
      <c r="V830" s="20"/>
      <c r="W830" s="20"/>
      <c r="X830" s="20"/>
      <c r="Y830" s="20"/>
      <c r="Z830" s="20"/>
      <c r="AA830" s="20"/>
      <c r="AB830" s="20"/>
      <c r="AC830" s="20"/>
      <c r="AD830" s="20"/>
    </row>
    <row r="831" spans="1:30" ht="19.5">
      <c r="A831" s="20"/>
      <c r="B831" s="20"/>
      <c r="C831" s="20"/>
      <c r="D831" s="20"/>
      <c r="E831" s="20"/>
      <c r="F831" s="124"/>
      <c r="G831" s="20"/>
      <c r="H831" s="20"/>
      <c r="I831" s="20"/>
      <c r="J831" s="124"/>
      <c r="K831" s="127"/>
      <c r="L831" s="20"/>
      <c r="M831" s="20"/>
      <c r="N831" s="20"/>
      <c r="O831" s="124"/>
      <c r="P831" s="127"/>
      <c r="Q831" s="20"/>
      <c r="R831" s="20"/>
      <c r="S831" s="20"/>
      <c r="T831" s="124"/>
      <c r="U831" s="127"/>
      <c r="V831" s="20"/>
      <c r="W831" s="20"/>
      <c r="X831" s="20"/>
      <c r="Y831" s="20"/>
      <c r="Z831" s="20"/>
      <c r="AA831" s="20"/>
      <c r="AB831" s="20"/>
      <c r="AC831" s="20"/>
      <c r="AD831" s="20"/>
    </row>
    <row r="832" spans="1:30" ht="19.5">
      <c r="A832" s="20"/>
      <c r="B832" s="20"/>
      <c r="C832" s="20"/>
      <c r="D832" s="20"/>
      <c r="E832" s="20"/>
      <c r="F832" s="124"/>
      <c r="G832" s="20"/>
      <c r="H832" s="20"/>
      <c r="I832" s="20"/>
      <c r="J832" s="124"/>
      <c r="K832" s="127"/>
      <c r="L832" s="20"/>
      <c r="M832" s="20"/>
      <c r="N832" s="20"/>
      <c r="O832" s="124"/>
      <c r="P832" s="127"/>
      <c r="Q832" s="20"/>
      <c r="R832" s="20"/>
      <c r="S832" s="20"/>
      <c r="T832" s="124"/>
      <c r="U832" s="127"/>
      <c r="V832" s="20"/>
      <c r="W832" s="20"/>
      <c r="X832" s="20"/>
      <c r="Y832" s="20"/>
      <c r="Z832" s="20"/>
      <c r="AA832" s="20"/>
      <c r="AB832" s="20"/>
      <c r="AC832" s="20"/>
      <c r="AD832" s="20"/>
    </row>
    <row r="833" spans="1:30" ht="19.5">
      <c r="A833" s="20"/>
      <c r="B833" s="20"/>
      <c r="C833" s="20"/>
      <c r="D833" s="20"/>
      <c r="E833" s="20"/>
      <c r="F833" s="124"/>
      <c r="G833" s="20"/>
      <c r="H833" s="20"/>
      <c r="I833" s="20"/>
      <c r="J833" s="124"/>
      <c r="K833" s="127"/>
      <c r="L833" s="20"/>
      <c r="M833" s="20"/>
      <c r="N833" s="20"/>
      <c r="O833" s="124"/>
      <c r="P833" s="127"/>
      <c r="Q833" s="20"/>
      <c r="R833" s="20"/>
      <c r="S833" s="20"/>
      <c r="T833" s="124"/>
      <c r="U833" s="127"/>
      <c r="V833" s="20"/>
      <c r="W833" s="20"/>
      <c r="X833" s="20"/>
      <c r="Y833" s="20"/>
      <c r="Z833" s="20"/>
      <c r="AA833" s="20"/>
      <c r="AB833" s="20"/>
      <c r="AC833" s="20"/>
      <c r="AD833" s="20"/>
    </row>
    <row r="834" spans="1:30" ht="19.5">
      <c r="A834" s="20"/>
      <c r="B834" s="20"/>
      <c r="C834" s="20"/>
      <c r="D834" s="20"/>
      <c r="E834" s="20"/>
      <c r="F834" s="124"/>
      <c r="G834" s="20"/>
      <c r="H834" s="20"/>
      <c r="I834" s="20"/>
      <c r="J834" s="124"/>
      <c r="K834" s="127"/>
      <c r="L834" s="20"/>
      <c r="M834" s="20"/>
      <c r="N834" s="20"/>
      <c r="O834" s="124"/>
      <c r="P834" s="127"/>
      <c r="Q834" s="20"/>
      <c r="R834" s="20"/>
      <c r="S834" s="20"/>
      <c r="T834" s="124"/>
      <c r="U834" s="127"/>
      <c r="V834" s="20"/>
      <c r="W834" s="20"/>
      <c r="X834" s="20"/>
      <c r="Y834" s="20"/>
      <c r="Z834" s="20"/>
      <c r="AA834" s="20"/>
      <c r="AB834" s="20"/>
      <c r="AC834" s="20"/>
      <c r="AD834" s="20"/>
    </row>
    <row r="835" spans="1:30" ht="19.5">
      <c r="A835" s="20"/>
      <c r="B835" s="20"/>
      <c r="C835" s="20"/>
      <c r="D835" s="20"/>
      <c r="E835" s="20"/>
      <c r="F835" s="124"/>
      <c r="G835" s="20"/>
      <c r="H835" s="20"/>
      <c r="I835" s="20"/>
      <c r="J835" s="124"/>
      <c r="K835" s="127"/>
      <c r="L835" s="20"/>
      <c r="M835" s="20"/>
      <c r="N835" s="20"/>
      <c r="O835" s="124"/>
      <c r="P835" s="127"/>
      <c r="Q835" s="20"/>
      <c r="R835" s="20"/>
      <c r="S835" s="20"/>
      <c r="T835" s="124"/>
      <c r="U835" s="127"/>
      <c r="V835" s="20"/>
      <c r="W835" s="20"/>
      <c r="X835" s="20"/>
      <c r="Y835" s="20"/>
      <c r="Z835" s="20"/>
      <c r="AA835" s="20"/>
      <c r="AB835" s="20"/>
      <c r="AC835" s="20"/>
      <c r="AD835" s="20"/>
    </row>
    <row r="836" spans="1:30" ht="19.5">
      <c r="A836" s="20"/>
      <c r="B836" s="20"/>
      <c r="C836" s="20"/>
      <c r="D836" s="20"/>
      <c r="E836" s="20"/>
      <c r="F836" s="124"/>
      <c r="G836" s="20"/>
      <c r="H836" s="20"/>
      <c r="I836" s="20"/>
      <c r="J836" s="124"/>
      <c r="K836" s="127"/>
      <c r="L836" s="20"/>
      <c r="M836" s="20"/>
      <c r="N836" s="20"/>
      <c r="O836" s="124"/>
      <c r="P836" s="127"/>
      <c r="Q836" s="20"/>
      <c r="R836" s="20"/>
      <c r="S836" s="20"/>
      <c r="T836" s="124"/>
      <c r="U836" s="127"/>
      <c r="V836" s="20"/>
      <c r="W836" s="20"/>
      <c r="X836" s="20"/>
      <c r="Y836" s="20"/>
      <c r="Z836" s="20"/>
      <c r="AA836" s="20"/>
      <c r="AB836" s="20"/>
      <c r="AC836" s="20"/>
      <c r="AD836" s="20"/>
    </row>
    <row r="837" spans="1:30" ht="19.5">
      <c r="A837" s="20"/>
      <c r="B837" s="20"/>
      <c r="C837" s="20"/>
      <c r="D837" s="20"/>
      <c r="E837" s="20"/>
      <c r="F837" s="124"/>
      <c r="G837" s="20"/>
      <c r="H837" s="20"/>
      <c r="I837" s="20"/>
      <c r="J837" s="124"/>
      <c r="K837" s="127"/>
      <c r="L837" s="20"/>
      <c r="M837" s="20"/>
      <c r="N837" s="20"/>
      <c r="O837" s="124"/>
      <c r="P837" s="127"/>
      <c r="Q837" s="20"/>
      <c r="R837" s="20"/>
      <c r="S837" s="20"/>
      <c r="T837" s="124"/>
      <c r="U837" s="127"/>
      <c r="V837" s="20"/>
      <c r="W837" s="20"/>
      <c r="X837" s="20"/>
      <c r="Y837" s="20"/>
      <c r="Z837" s="20"/>
      <c r="AA837" s="20"/>
      <c r="AB837" s="20"/>
      <c r="AC837" s="20"/>
      <c r="AD837" s="20"/>
    </row>
    <row r="838" spans="1:30" ht="19.5">
      <c r="A838" s="20"/>
      <c r="B838" s="20"/>
      <c r="C838" s="20"/>
      <c r="D838" s="20"/>
      <c r="E838" s="20"/>
      <c r="F838" s="124"/>
      <c r="G838" s="20"/>
      <c r="H838" s="20"/>
      <c r="I838" s="20"/>
      <c r="J838" s="124"/>
      <c r="K838" s="127"/>
      <c r="L838" s="20"/>
      <c r="M838" s="20"/>
      <c r="N838" s="20"/>
      <c r="O838" s="124"/>
      <c r="P838" s="127"/>
      <c r="Q838" s="20"/>
      <c r="R838" s="20"/>
      <c r="S838" s="20"/>
      <c r="T838" s="124"/>
      <c r="U838" s="127"/>
      <c r="V838" s="20"/>
      <c r="W838" s="20"/>
      <c r="X838" s="20"/>
      <c r="Y838" s="20"/>
      <c r="Z838" s="20"/>
      <c r="AA838" s="20"/>
      <c r="AB838" s="20"/>
      <c r="AC838" s="20"/>
      <c r="AD838" s="20"/>
    </row>
    <row r="839" spans="1:30" ht="19.5">
      <c r="A839" s="20"/>
      <c r="B839" s="20"/>
      <c r="C839" s="20"/>
      <c r="D839" s="20"/>
      <c r="E839" s="20"/>
      <c r="F839" s="124"/>
      <c r="G839" s="20"/>
      <c r="H839" s="20"/>
      <c r="I839" s="20"/>
      <c r="J839" s="124"/>
      <c r="K839" s="127"/>
      <c r="L839" s="20"/>
      <c r="M839" s="20"/>
      <c r="N839" s="20"/>
      <c r="O839" s="124"/>
      <c r="P839" s="127"/>
      <c r="Q839" s="20"/>
      <c r="R839" s="20"/>
      <c r="S839" s="20"/>
      <c r="T839" s="124"/>
      <c r="U839" s="127"/>
      <c r="V839" s="20"/>
      <c r="W839" s="20"/>
      <c r="X839" s="20"/>
      <c r="Y839" s="20"/>
      <c r="Z839" s="20"/>
      <c r="AA839" s="20"/>
      <c r="AB839" s="20"/>
      <c r="AC839" s="20"/>
      <c r="AD839" s="20"/>
    </row>
    <row r="840" spans="1:30" ht="19.5">
      <c r="A840" s="20"/>
      <c r="B840" s="20"/>
      <c r="C840" s="20"/>
      <c r="D840" s="20"/>
      <c r="E840" s="20"/>
      <c r="F840" s="124"/>
      <c r="G840" s="20"/>
      <c r="H840" s="20"/>
      <c r="I840" s="20"/>
      <c r="J840" s="124"/>
      <c r="K840" s="127"/>
      <c r="L840" s="20"/>
      <c r="M840" s="20"/>
      <c r="N840" s="20"/>
      <c r="O840" s="124"/>
      <c r="P840" s="127"/>
      <c r="Q840" s="20"/>
      <c r="R840" s="20"/>
      <c r="S840" s="20"/>
      <c r="T840" s="124"/>
      <c r="U840" s="127"/>
      <c r="V840" s="20"/>
      <c r="W840" s="20"/>
      <c r="X840" s="20"/>
      <c r="Y840" s="20"/>
      <c r="Z840" s="20"/>
      <c r="AA840" s="20"/>
      <c r="AB840" s="20"/>
      <c r="AC840" s="20"/>
      <c r="AD840" s="20"/>
    </row>
    <row r="841" spans="1:30" ht="19.5">
      <c r="A841" s="20"/>
      <c r="B841" s="20"/>
      <c r="C841" s="20"/>
      <c r="D841" s="20"/>
      <c r="E841" s="20"/>
      <c r="F841" s="124"/>
      <c r="G841" s="20"/>
      <c r="H841" s="20"/>
      <c r="I841" s="20"/>
      <c r="J841" s="124"/>
      <c r="K841" s="127"/>
      <c r="L841" s="20"/>
      <c r="M841" s="20"/>
      <c r="N841" s="20"/>
      <c r="O841" s="124"/>
      <c r="P841" s="127"/>
      <c r="Q841" s="20"/>
      <c r="R841" s="20"/>
      <c r="S841" s="20"/>
      <c r="T841" s="124"/>
      <c r="U841" s="127"/>
      <c r="V841" s="20"/>
      <c r="W841" s="20"/>
      <c r="X841" s="20"/>
      <c r="Y841" s="20"/>
      <c r="Z841" s="20"/>
      <c r="AA841" s="20"/>
      <c r="AB841" s="20"/>
      <c r="AC841" s="20"/>
      <c r="AD841" s="20"/>
    </row>
    <row r="842" spans="1:30" ht="19.5">
      <c r="A842" s="20"/>
      <c r="B842" s="20"/>
      <c r="C842" s="20"/>
      <c r="D842" s="20"/>
      <c r="E842" s="20"/>
      <c r="F842" s="124"/>
      <c r="G842" s="20"/>
      <c r="H842" s="20"/>
      <c r="I842" s="20"/>
      <c r="J842" s="124"/>
      <c r="K842" s="127"/>
      <c r="L842" s="20"/>
      <c r="M842" s="20"/>
      <c r="N842" s="20"/>
      <c r="O842" s="124"/>
      <c r="P842" s="127"/>
      <c r="Q842" s="20"/>
      <c r="R842" s="20"/>
      <c r="S842" s="20"/>
      <c r="T842" s="124"/>
      <c r="U842" s="127"/>
      <c r="V842" s="20"/>
      <c r="W842" s="20"/>
      <c r="X842" s="20"/>
      <c r="Y842" s="20"/>
      <c r="Z842" s="20"/>
      <c r="AA842" s="20"/>
      <c r="AB842" s="20"/>
      <c r="AC842" s="20"/>
      <c r="AD842" s="20"/>
    </row>
    <row r="843" spans="1:30" ht="19.5">
      <c r="A843" s="20"/>
      <c r="B843" s="20"/>
      <c r="C843" s="20"/>
      <c r="D843" s="20"/>
      <c r="E843" s="20"/>
      <c r="F843" s="124"/>
      <c r="G843" s="20"/>
      <c r="H843" s="20"/>
      <c r="I843" s="20"/>
      <c r="J843" s="124"/>
      <c r="K843" s="127"/>
      <c r="L843" s="20"/>
      <c r="M843" s="20"/>
      <c r="N843" s="20"/>
      <c r="O843" s="124"/>
      <c r="P843" s="127"/>
      <c r="Q843" s="20"/>
      <c r="R843" s="20"/>
      <c r="S843" s="20"/>
      <c r="T843" s="124"/>
      <c r="U843" s="127"/>
      <c r="V843" s="20"/>
      <c r="W843" s="20"/>
      <c r="X843" s="20"/>
      <c r="Y843" s="20"/>
      <c r="Z843" s="20"/>
      <c r="AA843" s="20"/>
      <c r="AB843" s="20"/>
      <c r="AC843" s="20"/>
      <c r="AD843" s="20"/>
    </row>
    <row r="844" spans="1:30" ht="19.5">
      <c r="A844" s="20"/>
      <c r="B844" s="20"/>
      <c r="C844" s="20"/>
      <c r="D844" s="20"/>
      <c r="E844" s="20"/>
      <c r="F844" s="124"/>
      <c r="G844" s="20"/>
      <c r="H844" s="20"/>
      <c r="I844" s="20"/>
      <c r="J844" s="124"/>
      <c r="K844" s="127"/>
      <c r="L844" s="20"/>
      <c r="M844" s="20"/>
      <c r="N844" s="20"/>
      <c r="O844" s="124"/>
      <c r="P844" s="127"/>
      <c r="Q844" s="20"/>
      <c r="R844" s="20"/>
      <c r="S844" s="20"/>
      <c r="T844" s="124"/>
      <c r="U844" s="127"/>
      <c r="V844" s="20"/>
      <c r="W844" s="20"/>
      <c r="X844" s="20"/>
      <c r="Y844" s="20"/>
      <c r="Z844" s="20"/>
      <c r="AA844" s="20"/>
      <c r="AB844" s="20"/>
      <c r="AC844" s="20"/>
      <c r="AD844" s="20"/>
    </row>
    <row r="845" spans="1:30" ht="19.5">
      <c r="A845" s="20"/>
      <c r="B845" s="20"/>
      <c r="C845" s="20"/>
      <c r="D845" s="20"/>
      <c r="E845" s="20"/>
      <c r="F845" s="124"/>
      <c r="G845" s="20"/>
      <c r="H845" s="20"/>
      <c r="I845" s="20"/>
      <c r="J845" s="124"/>
      <c r="K845" s="127"/>
      <c r="L845" s="20"/>
      <c r="M845" s="20"/>
      <c r="N845" s="20"/>
      <c r="O845" s="124"/>
      <c r="P845" s="127"/>
      <c r="Q845" s="20"/>
      <c r="R845" s="20"/>
      <c r="S845" s="20"/>
      <c r="T845" s="124"/>
      <c r="U845" s="127"/>
      <c r="V845" s="20"/>
      <c r="W845" s="20"/>
      <c r="X845" s="20"/>
      <c r="Y845" s="20"/>
      <c r="Z845" s="20"/>
      <c r="AA845" s="20"/>
      <c r="AB845" s="20"/>
      <c r="AC845" s="20"/>
      <c r="AD845" s="20"/>
    </row>
    <row r="846" spans="1:30" ht="19.5">
      <c r="A846" s="20"/>
      <c r="B846" s="20"/>
      <c r="C846" s="20"/>
      <c r="D846" s="20"/>
      <c r="E846" s="20"/>
      <c r="F846" s="124"/>
      <c r="G846" s="20"/>
      <c r="H846" s="20"/>
      <c r="I846" s="20"/>
      <c r="J846" s="124"/>
      <c r="K846" s="127"/>
      <c r="L846" s="20"/>
      <c r="M846" s="20"/>
      <c r="N846" s="20"/>
      <c r="O846" s="124"/>
      <c r="P846" s="127"/>
      <c r="Q846" s="20"/>
      <c r="R846" s="20"/>
      <c r="S846" s="20"/>
      <c r="T846" s="124"/>
      <c r="U846" s="127"/>
      <c r="V846" s="20"/>
      <c r="W846" s="20"/>
      <c r="X846" s="20"/>
      <c r="Y846" s="20"/>
      <c r="Z846" s="20"/>
      <c r="AA846" s="20"/>
      <c r="AB846" s="20"/>
      <c r="AC846" s="20"/>
      <c r="AD846" s="20"/>
    </row>
    <row r="847" spans="1:30" ht="19.5">
      <c r="A847" s="20"/>
      <c r="B847" s="20"/>
      <c r="C847" s="20"/>
      <c r="D847" s="20"/>
      <c r="E847" s="20"/>
      <c r="F847" s="124"/>
      <c r="G847" s="20"/>
      <c r="H847" s="20"/>
      <c r="I847" s="20"/>
      <c r="J847" s="124"/>
      <c r="K847" s="127"/>
      <c r="L847" s="20"/>
      <c r="M847" s="20"/>
      <c r="N847" s="20"/>
      <c r="O847" s="124"/>
      <c r="P847" s="127"/>
      <c r="Q847" s="20"/>
      <c r="R847" s="20"/>
      <c r="S847" s="20"/>
      <c r="T847" s="124"/>
      <c r="U847" s="127"/>
      <c r="V847" s="20"/>
      <c r="W847" s="20"/>
      <c r="X847" s="20"/>
      <c r="Y847" s="20"/>
      <c r="Z847" s="20"/>
      <c r="AA847" s="20"/>
      <c r="AB847" s="20"/>
      <c r="AC847" s="20"/>
      <c r="AD847" s="20"/>
    </row>
    <row r="848" spans="1:30" ht="19.5">
      <c r="A848" s="20"/>
      <c r="B848" s="20"/>
      <c r="C848" s="20"/>
      <c r="D848" s="20"/>
      <c r="E848" s="20"/>
      <c r="F848" s="124"/>
      <c r="G848" s="20"/>
      <c r="H848" s="20"/>
      <c r="I848" s="20"/>
      <c r="J848" s="124"/>
      <c r="K848" s="127"/>
      <c r="L848" s="20"/>
      <c r="M848" s="20"/>
      <c r="N848" s="20"/>
      <c r="O848" s="124"/>
      <c r="P848" s="127"/>
      <c r="Q848" s="20"/>
      <c r="R848" s="20"/>
      <c r="S848" s="20"/>
      <c r="T848" s="124"/>
      <c r="U848" s="127"/>
      <c r="V848" s="20"/>
      <c r="W848" s="20"/>
      <c r="X848" s="20"/>
      <c r="Y848" s="20"/>
      <c r="Z848" s="20"/>
      <c r="AA848" s="20"/>
      <c r="AB848" s="20"/>
      <c r="AC848" s="20"/>
      <c r="AD848" s="20"/>
    </row>
    <row r="849" spans="1:30" ht="19.5">
      <c r="A849" s="20"/>
      <c r="B849" s="20"/>
      <c r="C849" s="20"/>
      <c r="D849" s="20"/>
      <c r="E849" s="20"/>
      <c r="F849" s="124"/>
      <c r="G849" s="20"/>
      <c r="H849" s="20"/>
      <c r="I849" s="20"/>
      <c r="J849" s="124"/>
      <c r="K849" s="127"/>
      <c r="L849" s="20"/>
      <c r="M849" s="20"/>
      <c r="N849" s="20"/>
      <c r="O849" s="124"/>
      <c r="P849" s="127"/>
      <c r="Q849" s="20"/>
      <c r="R849" s="20"/>
      <c r="S849" s="20"/>
      <c r="T849" s="124"/>
      <c r="U849" s="127"/>
      <c r="V849" s="20"/>
      <c r="W849" s="20"/>
      <c r="X849" s="20"/>
      <c r="Y849" s="20"/>
      <c r="Z849" s="20"/>
      <c r="AA849" s="20"/>
      <c r="AB849" s="20"/>
      <c r="AC849" s="20"/>
      <c r="AD849" s="20"/>
    </row>
    <row r="850" spans="1:30" ht="19.5">
      <c r="A850" s="20"/>
      <c r="B850" s="20"/>
      <c r="C850" s="20"/>
      <c r="D850" s="20"/>
      <c r="E850" s="20"/>
      <c r="F850" s="124"/>
      <c r="G850" s="20"/>
      <c r="H850" s="20"/>
      <c r="I850" s="20"/>
      <c r="J850" s="124"/>
      <c r="K850" s="127"/>
      <c r="L850" s="20"/>
      <c r="M850" s="20"/>
      <c r="N850" s="20"/>
      <c r="O850" s="124"/>
      <c r="P850" s="127"/>
      <c r="Q850" s="20"/>
      <c r="R850" s="20"/>
      <c r="S850" s="20"/>
      <c r="T850" s="124"/>
      <c r="U850" s="127"/>
      <c r="V850" s="20"/>
      <c r="W850" s="20"/>
      <c r="X850" s="20"/>
      <c r="Y850" s="20"/>
      <c r="Z850" s="20"/>
      <c r="AA850" s="20"/>
      <c r="AB850" s="20"/>
      <c r="AC850" s="20"/>
      <c r="AD850" s="20"/>
    </row>
    <row r="851" spans="1:30" ht="19.5">
      <c r="A851" s="20"/>
      <c r="B851" s="20"/>
      <c r="C851" s="20"/>
      <c r="D851" s="20"/>
      <c r="E851" s="20"/>
      <c r="F851" s="124"/>
      <c r="G851" s="20"/>
      <c r="H851" s="20"/>
      <c r="I851" s="20"/>
      <c r="J851" s="124"/>
      <c r="K851" s="127"/>
      <c r="L851" s="20"/>
      <c r="M851" s="20"/>
      <c r="N851" s="20"/>
      <c r="O851" s="124"/>
      <c r="P851" s="127"/>
      <c r="Q851" s="20"/>
      <c r="R851" s="20"/>
      <c r="S851" s="20"/>
      <c r="T851" s="124"/>
      <c r="U851" s="127"/>
      <c r="V851" s="20"/>
      <c r="W851" s="20"/>
      <c r="X851" s="20"/>
      <c r="Y851" s="20"/>
      <c r="Z851" s="20"/>
      <c r="AA851" s="20"/>
      <c r="AB851" s="20"/>
      <c r="AC851" s="20"/>
      <c r="AD851" s="20"/>
    </row>
    <row r="852" spans="1:30" ht="19.5">
      <c r="A852" s="20"/>
      <c r="B852" s="20"/>
      <c r="C852" s="20"/>
      <c r="D852" s="20"/>
      <c r="E852" s="20"/>
      <c r="F852" s="124"/>
      <c r="G852" s="20"/>
      <c r="H852" s="20"/>
      <c r="I852" s="20"/>
      <c r="J852" s="124"/>
      <c r="K852" s="127"/>
      <c r="L852" s="20"/>
      <c r="M852" s="20"/>
      <c r="N852" s="20"/>
      <c r="O852" s="124"/>
      <c r="P852" s="127"/>
      <c r="Q852" s="20"/>
      <c r="R852" s="20"/>
      <c r="S852" s="20"/>
      <c r="T852" s="124"/>
      <c r="U852" s="127"/>
      <c r="V852" s="20"/>
      <c r="W852" s="20"/>
      <c r="X852" s="20"/>
      <c r="Y852" s="20"/>
      <c r="Z852" s="20"/>
      <c r="AA852" s="20"/>
      <c r="AB852" s="20"/>
      <c r="AC852" s="20"/>
      <c r="AD852" s="20"/>
    </row>
    <row r="853" spans="1:30" ht="19.5">
      <c r="A853" s="20"/>
      <c r="B853" s="20"/>
      <c r="C853" s="20"/>
      <c r="D853" s="20"/>
      <c r="E853" s="20"/>
      <c r="F853" s="124"/>
      <c r="G853" s="20"/>
      <c r="H853" s="20"/>
      <c r="I853" s="20"/>
      <c r="J853" s="124"/>
      <c r="K853" s="127"/>
      <c r="L853" s="20"/>
      <c r="M853" s="20"/>
      <c r="N853" s="20"/>
      <c r="O853" s="124"/>
      <c r="P853" s="127"/>
      <c r="Q853" s="20"/>
      <c r="R853" s="20"/>
      <c r="S853" s="20"/>
      <c r="T853" s="124"/>
      <c r="U853" s="127"/>
      <c r="V853" s="20"/>
      <c r="W853" s="20"/>
      <c r="X853" s="20"/>
      <c r="Y853" s="20"/>
      <c r="Z853" s="20"/>
      <c r="AA853" s="20"/>
      <c r="AB853" s="20"/>
      <c r="AC853" s="20"/>
      <c r="AD853" s="20"/>
    </row>
    <row r="854" spans="1:30" ht="19.5">
      <c r="A854" s="20"/>
      <c r="B854" s="20"/>
      <c r="C854" s="20"/>
      <c r="D854" s="20"/>
      <c r="E854" s="20"/>
      <c r="F854" s="124"/>
      <c r="G854" s="20"/>
      <c r="H854" s="20"/>
      <c r="I854" s="20"/>
      <c r="J854" s="124"/>
      <c r="K854" s="127"/>
      <c r="L854" s="20"/>
      <c r="M854" s="20"/>
      <c r="N854" s="20"/>
      <c r="O854" s="124"/>
      <c r="P854" s="127"/>
      <c r="Q854" s="20"/>
      <c r="R854" s="20"/>
      <c r="S854" s="20"/>
      <c r="T854" s="124"/>
      <c r="U854" s="127"/>
      <c r="V854" s="20"/>
      <c r="W854" s="20"/>
      <c r="X854" s="20"/>
      <c r="Y854" s="20"/>
      <c r="Z854" s="20"/>
      <c r="AA854" s="20"/>
      <c r="AB854" s="20"/>
      <c r="AC854" s="20"/>
      <c r="AD854" s="20"/>
    </row>
    <row r="855" spans="1:30" ht="19.5">
      <c r="A855" s="20"/>
      <c r="B855" s="20"/>
      <c r="C855" s="20"/>
      <c r="D855" s="20"/>
      <c r="E855" s="20"/>
      <c r="F855" s="124"/>
      <c r="G855" s="20"/>
      <c r="H855" s="20"/>
      <c r="I855" s="20"/>
      <c r="J855" s="124"/>
      <c r="K855" s="127"/>
      <c r="L855" s="20"/>
      <c r="M855" s="20"/>
      <c r="N855" s="20"/>
      <c r="O855" s="124"/>
      <c r="P855" s="127"/>
      <c r="Q855" s="20"/>
      <c r="R855" s="20"/>
      <c r="S855" s="20"/>
      <c r="T855" s="124"/>
      <c r="U855" s="127"/>
      <c r="V855" s="20"/>
      <c r="W855" s="20"/>
      <c r="X855" s="20"/>
      <c r="Y855" s="20"/>
      <c r="Z855" s="20"/>
      <c r="AA855" s="20"/>
      <c r="AB855" s="20"/>
      <c r="AC855" s="20"/>
      <c r="AD855" s="20"/>
    </row>
    <row r="856" spans="1:30" ht="19.5">
      <c r="A856" s="20"/>
      <c r="B856" s="20"/>
      <c r="C856" s="20"/>
      <c r="D856" s="20"/>
      <c r="E856" s="20"/>
      <c r="F856" s="124"/>
      <c r="G856" s="20"/>
      <c r="H856" s="20"/>
      <c r="I856" s="20"/>
      <c r="J856" s="124"/>
      <c r="K856" s="127"/>
      <c r="L856" s="20"/>
      <c r="M856" s="20"/>
      <c r="N856" s="20"/>
      <c r="O856" s="124"/>
      <c r="P856" s="127"/>
      <c r="Q856" s="20"/>
      <c r="R856" s="20"/>
      <c r="S856" s="20"/>
      <c r="T856" s="124"/>
      <c r="U856" s="127"/>
      <c r="V856" s="20"/>
      <c r="W856" s="20"/>
      <c r="X856" s="20"/>
      <c r="Y856" s="20"/>
      <c r="Z856" s="20"/>
      <c r="AA856" s="20"/>
      <c r="AB856" s="20"/>
      <c r="AC856" s="20"/>
      <c r="AD856" s="20"/>
    </row>
    <row r="857" spans="1:30" ht="19.5">
      <c r="A857" s="20"/>
      <c r="B857" s="20"/>
      <c r="C857" s="20"/>
      <c r="D857" s="20"/>
      <c r="E857" s="20"/>
      <c r="F857" s="124"/>
      <c r="G857" s="20"/>
      <c r="H857" s="20"/>
      <c r="I857" s="20"/>
      <c r="J857" s="124"/>
      <c r="K857" s="127"/>
      <c r="L857" s="20"/>
      <c r="M857" s="20"/>
      <c r="N857" s="20"/>
      <c r="O857" s="124"/>
      <c r="P857" s="127"/>
      <c r="Q857" s="20"/>
      <c r="R857" s="20"/>
      <c r="S857" s="20"/>
      <c r="T857" s="124"/>
      <c r="U857" s="127"/>
      <c r="V857" s="20"/>
      <c r="W857" s="20"/>
      <c r="X857" s="20"/>
      <c r="Y857" s="20"/>
      <c r="Z857" s="20"/>
      <c r="AA857" s="20"/>
      <c r="AB857" s="20"/>
      <c r="AC857" s="20"/>
      <c r="AD857" s="20"/>
    </row>
    <row r="858" spans="1:30" ht="19.5">
      <c r="A858" s="20"/>
      <c r="B858" s="20"/>
      <c r="C858" s="20"/>
      <c r="D858" s="20"/>
      <c r="E858" s="20"/>
      <c r="F858" s="124"/>
      <c r="G858" s="20"/>
      <c r="H858" s="20"/>
      <c r="I858" s="20"/>
      <c r="J858" s="124"/>
      <c r="K858" s="127"/>
      <c r="L858" s="20"/>
      <c r="M858" s="20"/>
      <c r="N858" s="20"/>
      <c r="O858" s="124"/>
      <c r="P858" s="127"/>
      <c r="Q858" s="20"/>
      <c r="R858" s="20"/>
      <c r="S858" s="20"/>
      <c r="T858" s="124"/>
      <c r="U858" s="127"/>
      <c r="V858" s="20"/>
      <c r="W858" s="20"/>
      <c r="X858" s="20"/>
      <c r="Y858" s="20"/>
      <c r="Z858" s="20"/>
      <c r="AA858" s="20"/>
      <c r="AB858" s="20"/>
      <c r="AC858" s="20"/>
      <c r="AD858" s="20"/>
    </row>
    <row r="859" spans="1:30" ht="19.5">
      <c r="A859" s="20"/>
      <c r="B859" s="20"/>
      <c r="C859" s="20"/>
      <c r="D859" s="20"/>
      <c r="E859" s="20"/>
      <c r="F859" s="124"/>
      <c r="G859" s="20"/>
      <c r="H859" s="20"/>
      <c r="I859" s="20"/>
      <c r="J859" s="124"/>
      <c r="K859" s="127"/>
      <c r="L859" s="20"/>
      <c r="M859" s="20"/>
      <c r="N859" s="20"/>
      <c r="O859" s="124"/>
      <c r="P859" s="127"/>
      <c r="Q859" s="20"/>
      <c r="R859" s="20"/>
      <c r="S859" s="20"/>
      <c r="T859" s="124"/>
      <c r="U859" s="127"/>
      <c r="V859" s="20"/>
      <c r="W859" s="20"/>
      <c r="X859" s="20"/>
      <c r="Y859" s="20"/>
      <c r="Z859" s="20"/>
      <c r="AA859" s="20"/>
      <c r="AB859" s="20"/>
      <c r="AC859" s="20"/>
      <c r="AD859" s="20"/>
    </row>
    <row r="860" spans="1:30" ht="19.5">
      <c r="A860" s="20"/>
      <c r="B860" s="20"/>
      <c r="C860" s="20"/>
      <c r="D860" s="20"/>
      <c r="E860" s="20"/>
      <c r="F860" s="124"/>
      <c r="G860" s="20"/>
      <c r="H860" s="20"/>
      <c r="I860" s="20"/>
      <c r="J860" s="124"/>
      <c r="K860" s="127"/>
      <c r="L860" s="20"/>
      <c r="M860" s="20"/>
      <c r="N860" s="20"/>
      <c r="O860" s="124"/>
      <c r="P860" s="127"/>
      <c r="Q860" s="20"/>
      <c r="R860" s="20"/>
      <c r="S860" s="20"/>
      <c r="T860" s="124"/>
      <c r="U860" s="127"/>
      <c r="V860" s="20"/>
      <c r="W860" s="20"/>
      <c r="X860" s="20"/>
      <c r="Y860" s="20"/>
      <c r="Z860" s="20"/>
      <c r="AA860" s="20"/>
      <c r="AB860" s="20"/>
      <c r="AC860" s="20"/>
      <c r="AD860" s="20"/>
    </row>
    <row r="861" spans="1:30" ht="19.5">
      <c r="A861" s="20"/>
      <c r="B861" s="20"/>
      <c r="C861" s="20"/>
      <c r="D861" s="20"/>
      <c r="E861" s="20"/>
      <c r="F861" s="124"/>
      <c r="G861" s="20"/>
      <c r="H861" s="20"/>
      <c r="I861" s="20"/>
      <c r="J861" s="124"/>
      <c r="K861" s="127"/>
      <c r="L861" s="20"/>
      <c r="M861" s="20"/>
      <c r="N861" s="20"/>
      <c r="O861" s="124"/>
      <c r="P861" s="127"/>
      <c r="Q861" s="20"/>
      <c r="R861" s="20"/>
      <c r="S861" s="20"/>
      <c r="T861" s="124"/>
      <c r="U861" s="127"/>
      <c r="V861" s="20"/>
      <c r="W861" s="20"/>
      <c r="X861" s="20"/>
      <c r="Y861" s="20"/>
      <c r="Z861" s="20"/>
      <c r="AA861" s="20"/>
      <c r="AB861" s="20"/>
      <c r="AC861" s="20"/>
      <c r="AD861" s="20"/>
    </row>
    <row r="862" spans="1:30" ht="19.5">
      <c r="A862" s="20"/>
      <c r="B862" s="20"/>
      <c r="C862" s="20"/>
      <c r="D862" s="20"/>
      <c r="E862" s="20"/>
      <c r="F862" s="124"/>
      <c r="G862" s="20"/>
      <c r="H862" s="20"/>
      <c r="I862" s="20"/>
      <c r="J862" s="124"/>
      <c r="K862" s="127"/>
      <c r="L862" s="20"/>
      <c r="M862" s="20"/>
      <c r="N862" s="20"/>
      <c r="O862" s="124"/>
      <c r="P862" s="127"/>
      <c r="Q862" s="20"/>
      <c r="R862" s="20"/>
      <c r="S862" s="20"/>
      <c r="T862" s="124"/>
      <c r="U862" s="127"/>
      <c r="V862" s="20"/>
      <c r="W862" s="20"/>
      <c r="X862" s="20"/>
      <c r="Y862" s="20"/>
      <c r="Z862" s="20"/>
      <c r="AA862" s="20"/>
      <c r="AB862" s="20"/>
      <c r="AC862" s="20"/>
      <c r="AD862" s="20"/>
    </row>
    <row r="863" spans="1:30" ht="19.5">
      <c r="A863" s="20"/>
      <c r="B863" s="20"/>
      <c r="C863" s="20"/>
      <c r="D863" s="20"/>
      <c r="E863" s="20"/>
      <c r="F863" s="124"/>
      <c r="G863" s="20"/>
      <c r="H863" s="20"/>
      <c r="I863" s="20"/>
      <c r="J863" s="124"/>
      <c r="K863" s="127"/>
      <c r="L863" s="20"/>
      <c r="M863" s="20"/>
      <c r="N863" s="20"/>
      <c r="O863" s="124"/>
      <c r="P863" s="127"/>
      <c r="Q863" s="20"/>
      <c r="R863" s="20"/>
      <c r="S863" s="20"/>
      <c r="T863" s="124"/>
      <c r="U863" s="127"/>
      <c r="V863" s="20"/>
      <c r="W863" s="20"/>
      <c r="X863" s="20"/>
      <c r="Y863" s="20"/>
      <c r="Z863" s="20"/>
      <c r="AA863" s="20"/>
      <c r="AB863" s="20"/>
      <c r="AC863" s="20"/>
      <c r="AD863" s="20"/>
    </row>
    <row r="864" spans="1:30" ht="19.5">
      <c r="A864" s="20"/>
      <c r="B864" s="20"/>
      <c r="C864" s="20"/>
      <c r="D864" s="20"/>
      <c r="E864" s="20"/>
      <c r="F864" s="124"/>
      <c r="G864" s="20"/>
      <c r="H864" s="20"/>
      <c r="I864" s="20"/>
      <c r="J864" s="124"/>
      <c r="K864" s="127"/>
      <c r="L864" s="20"/>
      <c r="M864" s="20"/>
      <c r="N864" s="20"/>
      <c r="O864" s="124"/>
      <c r="P864" s="127"/>
      <c r="Q864" s="20"/>
      <c r="R864" s="20"/>
      <c r="S864" s="20"/>
      <c r="T864" s="124"/>
      <c r="U864" s="127"/>
      <c r="V864" s="20"/>
      <c r="W864" s="20"/>
      <c r="X864" s="20"/>
      <c r="Y864" s="20"/>
      <c r="Z864" s="20"/>
      <c r="AA864" s="20"/>
      <c r="AB864" s="20"/>
      <c r="AC864" s="20"/>
      <c r="AD864" s="20"/>
    </row>
    <row r="865" spans="1:30" ht="19.5">
      <c r="A865" s="20"/>
      <c r="B865" s="20"/>
      <c r="C865" s="20"/>
      <c r="D865" s="20"/>
      <c r="E865" s="20"/>
      <c r="F865" s="124"/>
      <c r="G865" s="20"/>
      <c r="H865" s="20"/>
      <c r="I865" s="20"/>
      <c r="J865" s="124"/>
      <c r="K865" s="127"/>
      <c r="L865" s="20"/>
      <c r="M865" s="20"/>
      <c r="N865" s="20"/>
      <c r="O865" s="124"/>
      <c r="P865" s="127"/>
      <c r="Q865" s="20"/>
      <c r="R865" s="20"/>
      <c r="S865" s="20"/>
      <c r="T865" s="124"/>
      <c r="U865" s="127"/>
      <c r="V865" s="20"/>
      <c r="W865" s="20"/>
      <c r="X865" s="20"/>
      <c r="Y865" s="20"/>
      <c r="Z865" s="20"/>
      <c r="AA865" s="20"/>
      <c r="AB865" s="20"/>
      <c r="AC865" s="20"/>
      <c r="AD865" s="20"/>
    </row>
    <row r="866" spans="1:30" ht="19.5">
      <c r="A866" s="20"/>
      <c r="B866" s="20"/>
      <c r="C866" s="20"/>
      <c r="D866" s="20"/>
      <c r="E866" s="20"/>
      <c r="F866" s="124"/>
      <c r="G866" s="20"/>
      <c r="H866" s="20"/>
      <c r="I866" s="20"/>
      <c r="J866" s="124"/>
      <c r="K866" s="127"/>
      <c r="L866" s="20"/>
      <c r="M866" s="20"/>
      <c r="N866" s="20"/>
      <c r="O866" s="124"/>
      <c r="P866" s="127"/>
      <c r="Q866" s="20"/>
      <c r="R866" s="20"/>
      <c r="S866" s="20"/>
      <c r="T866" s="124"/>
      <c r="U866" s="127"/>
      <c r="V866" s="20"/>
      <c r="W866" s="20"/>
      <c r="X866" s="20"/>
      <c r="Y866" s="20"/>
      <c r="Z866" s="20"/>
      <c r="AA866" s="20"/>
      <c r="AB866" s="20"/>
      <c r="AC866" s="20"/>
      <c r="AD866" s="20"/>
    </row>
    <row r="867" spans="1:30" ht="19.5">
      <c r="A867" s="20"/>
      <c r="B867" s="20"/>
      <c r="C867" s="20"/>
      <c r="D867" s="20"/>
      <c r="E867" s="20"/>
      <c r="F867" s="124"/>
      <c r="G867" s="20"/>
      <c r="H867" s="20"/>
      <c r="I867" s="20"/>
      <c r="J867" s="124"/>
      <c r="K867" s="127"/>
      <c r="L867" s="20"/>
      <c r="M867" s="20"/>
      <c r="N867" s="20"/>
      <c r="O867" s="124"/>
      <c r="P867" s="127"/>
      <c r="Q867" s="20"/>
      <c r="R867" s="20"/>
      <c r="S867" s="20"/>
      <c r="T867" s="124"/>
      <c r="U867" s="127"/>
      <c r="V867" s="20"/>
      <c r="W867" s="20"/>
      <c r="X867" s="20"/>
      <c r="Y867" s="20"/>
      <c r="Z867" s="20"/>
      <c r="AA867" s="20"/>
      <c r="AB867" s="20"/>
      <c r="AC867" s="20"/>
      <c r="AD867" s="20"/>
    </row>
    <row r="868" spans="1:30" ht="19.5">
      <c r="A868" s="20"/>
      <c r="B868" s="20"/>
      <c r="C868" s="20"/>
      <c r="D868" s="20"/>
      <c r="E868" s="20"/>
      <c r="F868" s="124"/>
      <c r="G868" s="20"/>
      <c r="H868" s="20"/>
      <c r="I868" s="20"/>
      <c r="J868" s="124"/>
      <c r="K868" s="127"/>
      <c r="L868" s="20"/>
      <c r="M868" s="20"/>
      <c r="N868" s="20"/>
      <c r="O868" s="124"/>
      <c r="P868" s="127"/>
      <c r="Q868" s="20"/>
      <c r="R868" s="20"/>
      <c r="S868" s="20"/>
      <c r="T868" s="124"/>
      <c r="U868" s="127"/>
      <c r="V868" s="20"/>
      <c r="W868" s="20"/>
      <c r="X868" s="20"/>
      <c r="Y868" s="20"/>
      <c r="Z868" s="20"/>
      <c r="AA868" s="20"/>
      <c r="AB868" s="20"/>
      <c r="AC868" s="20"/>
      <c r="AD868" s="20"/>
    </row>
    <row r="869" spans="1:30" ht="19.5">
      <c r="A869" s="20"/>
      <c r="B869" s="20"/>
      <c r="C869" s="20"/>
      <c r="D869" s="20"/>
      <c r="E869" s="20"/>
      <c r="F869" s="124"/>
      <c r="G869" s="20"/>
      <c r="H869" s="20"/>
      <c r="I869" s="20"/>
      <c r="J869" s="124"/>
      <c r="K869" s="127"/>
      <c r="L869" s="20"/>
      <c r="M869" s="20"/>
      <c r="N869" s="20"/>
      <c r="O869" s="124"/>
      <c r="P869" s="127"/>
      <c r="Q869" s="20"/>
      <c r="R869" s="20"/>
      <c r="S869" s="20"/>
      <c r="T869" s="124"/>
      <c r="U869" s="127"/>
      <c r="V869" s="20"/>
      <c r="W869" s="20"/>
      <c r="X869" s="20"/>
      <c r="Y869" s="20"/>
      <c r="Z869" s="20"/>
      <c r="AA869" s="20"/>
      <c r="AB869" s="20"/>
      <c r="AC869" s="20"/>
      <c r="AD869" s="20"/>
    </row>
    <row r="870" spans="1:30" ht="19.5">
      <c r="A870" s="20"/>
      <c r="B870" s="20"/>
      <c r="C870" s="20"/>
      <c r="D870" s="20"/>
      <c r="E870" s="20"/>
      <c r="F870" s="124"/>
      <c r="G870" s="20"/>
      <c r="H870" s="20"/>
      <c r="I870" s="20"/>
      <c r="J870" s="124"/>
      <c r="K870" s="127"/>
      <c r="L870" s="20"/>
      <c r="M870" s="20"/>
      <c r="N870" s="20"/>
      <c r="O870" s="124"/>
      <c r="P870" s="127"/>
      <c r="Q870" s="20"/>
      <c r="R870" s="20"/>
      <c r="S870" s="20"/>
      <c r="T870" s="124"/>
      <c r="U870" s="127"/>
      <c r="V870" s="20"/>
      <c r="W870" s="20"/>
      <c r="X870" s="20"/>
      <c r="Y870" s="20"/>
      <c r="Z870" s="20"/>
      <c r="AA870" s="20"/>
      <c r="AB870" s="20"/>
      <c r="AC870" s="20"/>
      <c r="AD870" s="20"/>
    </row>
    <row r="871" spans="1:30" ht="19.5">
      <c r="A871" s="20"/>
      <c r="B871" s="20"/>
      <c r="C871" s="20"/>
      <c r="D871" s="20"/>
      <c r="E871" s="20"/>
      <c r="F871" s="124"/>
      <c r="G871" s="20"/>
      <c r="H871" s="20"/>
      <c r="I871" s="20"/>
      <c r="J871" s="124"/>
      <c r="K871" s="127"/>
      <c r="L871" s="20"/>
      <c r="M871" s="20"/>
      <c r="N871" s="20"/>
      <c r="O871" s="124"/>
      <c r="P871" s="127"/>
      <c r="Q871" s="20"/>
      <c r="R871" s="20"/>
      <c r="S871" s="20"/>
      <c r="T871" s="124"/>
      <c r="U871" s="127"/>
      <c r="V871" s="20"/>
      <c r="W871" s="20"/>
      <c r="X871" s="20"/>
      <c r="Y871" s="20"/>
      <c r="Z871" s="20"/>
      <c r="AA871" s="20"/>
      <c r="AB871" s="20"/>
      <c r="AC871" s="20"/>
      <c r="AD871" s="20"/>
    </row>
    <row r="872" spans="1:30" ht="19.5">
      <c r="A872" s="20"/>
      <c r="B872" s="20"/>
      <c r="C872" s="20"/>
      <c r="D872" s="20"/>
      <c r="E872" s="20"/>
      <c r="F872" s="124"/>
      <c r="G872" s="20"/>
      <c r="H872" s="20"/>
      <c r="I872" s="20"/>
      <c r="J872" s="124"/>
      <c r="K872" s="127"/>
      <c r="L872" s="20"/>
      <c r="M872" s="20"/>
      <c r="N872" s="20"/>
      <c r="O872" s="124"/>
      <c r="P872" s="127"/>
      <c r="Q872" s="20"/>
      <c r="R872" s="20"/>
      <c r="S872" s="20"/>
      <c r="T872" s="124"/>
      <c r="U872" s="127"/>
      <c r="V872" s="20"/>
      <c r="W872" s="20"/>
      <c r="X872" s="20"/>
      <c r="Y872" s="20"/>
      <c r="Z872" s="20"/>
      <c r="AA872" s="20"/>
      <c r="AB872" s="20"/>
      <c r="AC872" s="20"/>
      <c r="AD872" s="20"/>
    </row>
    <row r="873" spans="1:30" ht="19.5">
      <c r="A873" s="20"/>
      <c r="B873" s="20"/>
      <c r="C873" s="20"/>
      <c r="D873" s="20"/>
      <c r="E873" s="20"/>
      <c r="F873" s="124"/>
      <c r="G873" s="20"/>
      <c r="H873" s="20"/>
      <c r="I873" s="20"/>
      <c r="J873" s="124"/>
      <c r="K873" s="127"/>
      <c r="L873" s="20"/>
      <c r="M873" s="20"/>
      <c r="N873" s="20"/>
      <c r="O873" s="124"/>
      <c r="P873" s="127"/>
      <c r="Q873" s="20"/>
      <c r="R873" s="20"/>
      <c r="S873" s="20"/>
      <c r="T873" s="124"/>
      <c r="U873" s="127"/>
      <c r="V873" s="20"/>
      <c r="W873" s="20"/>
      <c r="X873" s="20"/>
      <c r="Y873" s="20"/>
      <c r="Z873" s="20"/>
      <c r="AA873" s="20"/>
      <c r="AB873" s="20"/>
      <c r="AC873" s="20"/>
      <c r="AD873" s="20"/>
    </row>
    <row r="874" spans="1:30" ht="19.5">
      <c r="A874" s="20"/>
      <c r="B874" s="20"/>
      <c r="C874" s="20"/>
      <c r="D874" s="20"/>
      <c r="E874" s="20"/>
      <c r="F874" s="124"/>
      <c r="G874" s="20"/>
      <c r="H874" s="20"/>
      <c r="I874" s="20"/>
      <c r="J874" s="124"/>
      <c r="K874" s="127"/>
      <c r="L874" s="20"/>
      <c r="M874" s="20"/>
      <c r="N874" s="20"/>
      <c r="O874" s="124"/>
      <c r="P874" s="127"/>
      <c r="Q874" s="20"/>
      <c r="R874" s="20"/>
      <c r="S874" s="20"/>
      <c r="T874" s="124"/>
      <c r="U874" s="127"/>
      <c r="V874" s="20"/>
      <c r="W874" s="20"/>
      <c r="X874" s="20"/>
      <c r="Y874" s="20"/>
      <c r="Z874" s="20"/>
      <c r="AA874" s="20"/>
      <c r="AB874" s="20"/>
      <c r="AC874" s="20"/>
      <c r="AD874" s="20"/>
    </row>
    <row r="875" spans="1:30" ht="19.5">
      <c r="A875" s="20"/>
      <c r="B875" s="20"/>
      <c r="C875" s="20"/>
      <c r="D875" s="20"/>
      <c r="E875" s="20"/>
      <c r="F875" s="124"/>
      <c r="G875" s="20"/>
      <c r="H875" s="20"/>
      <c r="I875" s="20"/>
      <c r="J875" s="124"/>
      <c r="K875" s="127"/>
      <c r="L875" s="20"/>
      <c r="M875" s="20"/>
      <c r="N875" s="20"/>
      <c r="O875" s="124"/>
      <c r="P875" s="127"/>
      <c r="Q875" s="20"/>
      <c r="R875" s="20"/>
      <c r="S875" s="20"/>
      <c r="T875" s="124"/>
      <c r="U875" s="127"/>
      <c r="V875" s="20"/>
      <c r="W875" s="20"/>
      <c r="X875" s="20"/>
      <c r="Y875" s="20"/>
      <c r="Z875" s="20"/>
      <c r="AA875" s="20"/>
      <c r="AB875" s="20"/>
      <c r="AC875" s="20"/>
      <c r="AD875" s="20"/>
    </row>
    <row r="876" spans="1:30" ht="19.5">
      <c r="A876" s="20"/>
      <c r="B876" s="20"/>
      <c r="C876" s="20"/>
      <c r="D876" s="20"/>
      <c r="E876" s="20"/>
      <c r="F876" s="124"/>
      <c r="G876" s="20"/>
      <c r="H876" s="20"/>
      <c r="I876" s="20"/>
      <c r="J876" s="124"/>
      <c r="K876" s="127"/>
      <c r="L876" s="20"/>
      <c r="M876" s="20"/>
      <c r="N876" s="20"/>
      <c r="O876" s="124"/>
      <c r="P876" s="127"/>
      <c r="Q876" s="20"/>
      <c r="R876" s="20"/>
      <c r="S876" s="20"/>
      <c r="T876" s="124"/>
      <c r="U876" s="127"/>
      <c r="V876" s="20"/>
      <c r="W876" s="20"/>
      <c r="X876" s="20"/>
      <c r="Y876" s="20"/>
      <c r="Z876" s="20"/>
      <c r="AA876" s="20"/>
      <c r="AB876" s="20"/>
      <c r="AC876" s="20"/>
      <c r="AD876" s="20"/>
    </row>
    <row r="877" spans="1:30" ht="19.5">
      <c r="A877" s="20"/>
      <c r="B877" s="20"/>
      <c r="C877" s="20"/>
      <c r="D877" s="20"/>
      <c r="E877" s="20"/>
      <c r="F877" s="124"/>
      <c r="G877" s="20"/>
      <c r="H877" s="20"/>
      <c r="I877" s="20"/>
      <c r="J877" s="124"/>
      <c r="K877" s="127"/>
      <c r="L877" s="20"/>
      <c r="M877" s="20"/>
      <c r="N877" s="20"/>
      <c r="O877" s="124"/>
      <c r="P877" s="127"/>
      <c r="Q877" s="20"/>
      <c r="R877" s="20"/>
      <c r="S877" s="20"/>
      <c r="T877" s="124"/>
      <c r="U877" s="127"/>
      <c r="V877" s="20"/>
      <c r="W877" s="20"/>
      <c r="X877" s="20"/>
      <c r="Y877" s="20"/>
      <c r="Z877" s="20"/>
      <c r="AA877" s="20"/>
      <c r="AB877" s="20"/>
      <c r="AC877" s="20"/>
      <c r="AD877" s="20"/>
    </row>
    <row r="878" spans="1:30" ht="19.5">
      <c r="A878" s="20"/>
      <c r="B878" s="20"/>
      <c r="C878" s="20"/>
      <c r="D878" s="20"/>
      <c r="E878" s="20"/>
      <c r="F878" s="124"/>
      <c r="G878" s="20"/>
      <c r="H878" s="20"/>
      <c r="I878" s="20"/>
      <c r="J878" s="124"/>
      <c r="K878" s="127"/>
      <c r="L878" s="20"/>
      <c r="M878" s="20"/>
      <c r="N878" s="20"/>
      <c r="O878" s="124"/>
      <c r="P878" s="127"/>
      <c r="Q878" s="20"/>
      <c r="R878" s="20"/>
      <c r="S878" s="20"/>
      <c r="T878" s="124"/>
      <c r="U878" s="127"/>
      <c r="V878" s="20"/>
      <c r="W878" s="20"/>
      <c r="X878" s="20"/>
      <c r="Y878" s="20"/>
      <c r="Z878" s="20"/>
      <c r="AA878" s="20"/>
      <c r="AB878" s="20"/>
      <c r="AC878" s="20"/>
      <c r="AD878" s="20"/>
    </row>
    <row r="879" spans="1:30" ht="19.5">
      <c r="A879" s="20"/>
      <c r="B879" s="20"/>
      <c r="C879" s="20"/>
      <c r="D879" s="20"/>
      <c r="E879" s="20"/>
      <c r="F879" s="124"/>
      <c r="G879" s="20"/>
      <c r="H879" s="20"/>
      <c r="I879" s="20"/>
      <c r="J879" s="124"/>
      <c r="K879" s="127"/>
      <c r="L879" s="20"/>
      <c r="M879" s="20"/>
      <c r="N879" s="20"/>
      <c r="O879" s="124"/>
      <c r="P879" s="127"/>
      <c r="Q879" s="20"/>
      <c r="R879" s="20"/>
      <c r="S879" s="20"/>
      <c r="T879" s="124"/>
      <c r="U879" s="127"/>
      <c r="V879" s="20"/>
      <c r="W879" s="20"/>
      <c r="X879" s="20"/>
      <c r="Y879" s="20"/>
      <c r="Z879" s="20"/>
      <c r="AA879" s="20"/>
      <c r="AB879" s="20"/>
      <c r="AC879" s="20"/>
      <c r="AD879" s="20"/>
    </row>
    <row r="880" spans="1:30" ht="19.5">
      <c r="A880" s="20"/>
      <c r="B880" s="20"/>
      <c r="C880" s="20"/>
      <c r="D880" s="20"/>
      <c r="E880" s="20"/>
      <c r="F880" s="124"/>
      <c r="G880" s="20"/>
      <c r="H880" s="20"/>
      <c r="I880" s="20"/>
      <c r="J880" s="124"/>
      <c r="K880" s="127"/>
      <c r="L880" s="20"/>
      <c r="M880" s="20"/>
      <c r="N880" s="20"/>
      <c r="O880" s="124"/>
      <c r="P880" s="127"/>
      <c r="Q880" s="20"/>
      <c r="R880" s="20"/>
      <c r="S880" s="20"/>
      <c r="T880" s="124"/>
      <c r="U880" s="127"/>
      <c r="V880" s="20"/>
      <c r="W880" s="20"/>
      <c r="X880" s="20"/>
      <c r="Y880" s="20"/>
      <c r="Z880" s="20"/>
      <c r="AA880" s="20"/>
      <c r="AB880" s="20"/>
      <c r="AC880" s="20"/>
      <c r="AD880" s="20"/>
    </row>
    <row r="881" spans="1:30" ht="19.5">
      <c r="A881" s="20"/>
      <c r="B881" s="20"/>
      <c r="C881" s="20"/>
      <c r="D881" s="20"/>
      <c r="E881" s="20"/>
      <c r="F881" s="124"/>
      <c r="G881" s="20"/>
      <c r="H881" s="20"/>
      <c r="I881" s="20"/>
      <c r="J881" s="124"/>
      <c r="K881" s="127"/>
      <c r="L881" s="20"/>
      <c r="M881" s="20"/>
      <c r="N881" s="20"/>
      <c r="O881" s="124"/>
      <c r="P881" s="127"/>
      <c r="Q881" s="20"/>
      <c r="R881" s="20"/>
      <c r="S881" s="20"/>
      <c r="T881" s="124"/>
      <c r="U881" s="127"/>
      <c r="V881" s="20"/>
      <c r="W881" s="20"/>
      <c r="X881" s="20"/>
      <c r="Y881" s="20"/>
      <c r="Z881" s="20"/>
      <c r="AA881" s="20"/>
      <c r="AB881" s="20"/>
      <c r="AC881" s="20"/>
      <c r="AD881" s="20"/>
    </row>
    <row r="882" spans="1:30" ht="19.5">
      <c r="A882" s="20"/>
      <c r="B882" s="20"/>
      <c r="C882" s="20"/>
      <c r="D882" s="20"/>
      <c r="E882" s="20"/>
      <c r="F882" s="124"/>
      <c r="G882" s="20"/>
      <c r="H882" s="20"/>
      <c r="I882" s="20"/>
      <c r="J882" s="124"/>
      <c r="K882" s="127"/>
      <c r="L882" s="20"/>
      <c r="M882" s="20"/>
      <c r="N882" s="20"/>
      <c r="O882" s="124"/>
      <c r="P882" s="127"/>
      <c r="Q882" s="20"/>
      <c r="R882" s="20"/>
      <c r="S882" s="20"/>
      <c r="T882" s="124"/>
      <c r="U882" s="127"/>
      <c r="V882" s="20"/>
      <c r="W882" s="20"/>
      <c r="X882" s="20"/>
      <c r="Y882" s="20"/>
      <c r="Z882" s="20"/>
      <c r="AA882" s="20"/>
      <c r="AB882" s="20"/>
      <c r="AC882" s="20"/>
      <c r="AD882" s="20"/>
    </row>
    <row r="883" spans="1:30" ht="19.5">
      <c r="A883" s="20"/>
      <c r="B883" s="20"/>
      <c r="C883" s="20"/>
      <c r="D883" s="20"/>
      <c r="E883" s="20"/>
      <c r="F883" s="124"/>
      <c r="G883" s="20"/>
      <c r="H883" s="20"/>
      <c r="I883" s="20"/>
      <c r="J883" s="124"/>
      <c r="K883" s="127"/>
      <c r="L883" s="20"/>
      <c r="M883" s="20"/>
      <c r="N883" s="20"/>
      <c r="O883" s="124"/>
      <c r="P883" s="127"/>
      <c r="Q883" s="20"/>
      <c r="R883" s="20"/>
      <c r="S883" s="20"/>
      <c r="T883" s="124"/>
      <c r="U883" s="127"/>
      <c r="V883" s="20"/>
      <c r="W883" s="20"/>
      <c r="X883" s="20"/>
      <c r="Y883" s="20"/>
      <c r="Z883" s="20"/>
      <c r="AA883" s="20"/>
      <c r="AB883" s="20"/>
      <c r="AC883" s="20"/>
      <c r="AD883" s="20"/>
    </row>
    <row r="884" spans="1:30" ht="19.5">
      <c r="A884" s="20"/>
      <c r="B884" s="20"/>
      <c r="C884" s="20"/>
      <c r="D884" s="20"/>
      <c r="E884" s="20"/>
      <c r="F884" s="124"/>
      <c r="G884" s="20"/>
      <c r="H884" s="20"/>
      <c r="I884" s="20"/>
      <c r="J884" s="124"/>
      <c r="K884" s="127"/>
      <c r="L884" s="20"/>
      <c r="M884" s="20"/>
      <c r="N884" s="20"/>
      <c r="O884" s="124"/>
      <c r="P884" s="127"/>
      <c r="Q884" s="20"/>
      <c r="R884" s="20"/>
      <c r="S884" s="20"/>
      <c r="T884" s="124"/>
      <c r="U884" s="127"/>
      <c r="V884" s="20"/>
      <c r="W884" s="20"/>
      <c r="X884" s="20"/>
      <c r="Y884" s="20"/>
      <c r="Z884" s="20"/>
      <c r="AA884" s="20"/>
      <c r="AB884" s="20"/>
      <c r="AC884" s="20"/>
      <c r="AD884" s="20"/>
    </row>
    <row r="885" spans="1:30" ht="19.5">
      <c r="A885" s="20"/>
      <c r="B885" s="20"/>
      <c r="C885" s="20"/>
      <c r="D885" s="20"/>
      <c r="E885" s="20"/>
      <c r="F885" s="124"/>
      <c r="G885" s="20"/>
      <c r="H885" s="20"/>
      <c r="I885" s="20"/>
      <c r="J885" s="124"/>
      <c r="K885" s="127"/>
      <c r="L885" s="20"/>
      <c r="M885" s="20"/>
      <c r="N885" s="20"/>
      <c r="O885" s="124"/>
      <c r="P885" s="127"/>
      <c r="Q885" s="20"/>
      <c r="R885" s="20"/>
      <c r="S885" s="20"/>
      <c r="T885" s="124"/>
      <c r="U885" s="127"/>
      <c r="V885" s="20"/>
      <c r="W885" s="20"/>
      <c r="X885" s="20"/>
      <c r="Y885" s="20"/>
      <c r="Z885" s="20"/>
      <c r="AA885" s="20"/>
      <c r="AB885" s="20"/>
      <c r="AC885" s="20"/>
      <c r="AD885" s="20"/>
    </row>
    <row r="886" spans="1:30" ht="19.5">
      <c r="A886" s="20"/>
      <c r="B886" s="20"/>
      <c r="C886" s="20"/>
      <c r="D886" s="20"/>
      <c r="E886" s="20"/>
      <c r="F886" s="124"/>
      <c r="G886" s="20"/>
      <c r="H886" s="20"/>
      <c r="I886" s="20"/>
      <c r="J886" s="124"/>
      <c r="K886" s="127"/>
      <c r="L886" s="20"/>
      <c r="M886" s="20"/>
      <c r="N886" s="20"/>
      <c r="O886" s="124"/>
      <c r="P886" s="127"/>
      <c r="Q886" s="20"/>
      <c r="R886" s="20"/>
      <c r="S886" s="20"/>
      <c r="T886" s="124"/>
      <c r="U886" s="127"/>
      <c r="V886" s="20"/>
      <c r="W886" s="20"/>
      <c r="X886" s="20"/>
      <c r="Y886" s="20"/>
      <c r="Z886" s="20"/>
      <c r="AA886" s="20"/>
      <c r="AB886" s="20"/>
      <c r="AC886" s="20"/>
      <c r="AD886" s="20"/>
    </row>
    <row r="887" spans="1:30" ht="19.5">
      <c r="A887" s="20"/>
      <c r="B887" s="20"/>
      <c r="C887" s="20"/>
      <c r="D887" s="20"/>
      <c r="E887" s="20"/>
      <c r="F887" s="124"/>
      <c r="G887" s="20"/>
      <c r="H887" s="20"/>
      <c r="I887" s="20"/>
      <c r="J887" s="124"/>
      <c r="K887" s="127"/>
      <c r="L887" s="20"/>
      <c r="M887" s="20"/>
      <c r="N887" s="20"/>
      <c r="O887" s="124"/>
      <c r="P887" s="127"/>
      <c r="Q887" s="20"/>
      <c r="R887" s="20"/>
      <c r="S887" s="20"/>
      <c r="T887" s="124"/>
      <c r="U887" s="127"/>
      <c r="V887" s="20"/>
      <c r="W887" s="20"/>
      <c r="X887" s="20"/>
      <c r="Y887" s="20"/>
      <c r="Z887" s="20"/>
      <c r="AA887" s="20"/>
      <c r="AB887" s="20"/>
      <c r="AC887" s="20"/>
      <c r="AD887" s="20"/>
    </row>
    <row r="888" spans="1:30" ht="19.5">
      <c r="A888" s="20"/>
      <c r="B888" s="20"/>
      <c r="C888" s="20"/>
      <c r="D888" s="20"/>
      <c r="E888" s="20"/>
      <c r="F888" s="124"/>
      <c r="G888" s="20"/>
      <c r="H888" s="20"/>
      <c r="I888" s="20"/>
      <c r="J888" s="124"/>
      <c r="K888" s="127"/>
      <c r="L888" s="20"/>
      <c r="M888" s="20"/>
      <c r="N888" s="20"/>
      <c r="O888" s="124"/>
      <c r="P888" s="127"/>
      <c r="Q888" s="20"/>
      <c r="R888" s="20"/>
      <c r="S888" s="20"/>
      <c r="T888" s="124"/>
      <c r="U888" s="127"/>
      <c r="V888" s="20"/>
      <c r="W888" s="20"/>
      <c r="X888" s="20"/>
      <c r="Y888" s="20"/>
      <c r="Z888" s="20"/>
      <c r="AA888" s="20"/>
      <c r="AB888" s="20"/>
      <c r="AC888" s="20"/>
      <c r="AD888" s="20"/>
    </row>
    <row r="889" spans="1:30" ht="19.5">
      <c r="A889" s="20"/>
      <c r="B889" s="20"/>
      <c r="C889" s="20"/>
      <c r="D889" s="20"/>
      <c r="E889" s="20"/>
      <c r="F889" s="124"/>
      <c r="G889" s="20"/>
      <c r="H889" s="20"/>
      <c r="I889" s="20"/>
      <c r="J889" s="124"/>
      <c r="K889" s="127"/>
      <c r="L889" s="20"/>
      <c r="M889" s="20"/>
      <c r="N889" s="20"/>
      <c r="O889" s="124"/>
      <c r="P889" s="127"/>
      <c r="Q889" s="20"/>
      <c r="R889" s="20"/>
      <c r="S889" s="20"/>
      <c r="T889" s="124"/>
      <c r="U889" s="127"/>
      <c r="V889" s="20"/>
      <c r="W889" s="20"/>
      <c r="X889" s="20"/>
      <c r="Y889" s="20"/>
      <c r="Z889" s="20"/>
      <c r="AA889" s="20"/>
      <c r="AB889" s="20"/>
      <c r="AC889" s="20"/>
      <c r="AD889" s="20"/>
    </row>
    <row r="890" spans="1:30" ht="19.5">
      <c r="A890" s="20"/>
      <c r="B890" s="20"/>
      <c r="C890" s="20"/>
      <c r="D890" s="20"/>
      <c r="E890" s="20"/>
      <c r="F890" s="124"/>
      <c r="G890" s="20"/>
      <c r="H890" s="20"/>
      <c r="I890" s="20"/>
      <c r="J890" s="124"/>
      <c r="K890" s="127"/>
      <c r="L890" s="20"/>
      <c r="M890" s="20"/>
      <c r="N890" s="20"/>
      <c r="O890" s="124"/>
      <c r="P890" s="127"/>
      <c r="Q890" s="20"/>
      <c r="R890" s="20"/>
      <c r="S890" s="20"/>
      <c r="T890" s="124"/>
      <c r="U890" s="127"/>
      <c r="V890" s="20"/>
      <c r="W890" s="20"/>
      <c r="X890" s="20"/>
      <c r="Y890" s="20"/>
      <c r="Z890" s="20"/>
      <c r="AA890" s="20"/>
      <c r="AB890" s="20"/>
      <c r="AC890" s="20"/>
      <c r="AD890" s="20"/>
    </row>
    <row r="891" spans="1:30" ht="19.5">
      <c r="A891" s="20"/>
      <c r="B891" s="20"/>
      <c r="C891" s="20"/>
      <c r="D891" s="20"/>
      <c r="E891" s="20"/>
      <c r="F891" s="124"/>
      <c r="G891" s="20"/>
      <c r="H891" s="20"/>
      <c r="I891" s="20"/>
      <c r="J891" s="124"/>
      <c r="K891" s="127"/>
      <c r="L891" s="20"/>
      <c r="M891" s="20"/>
      <c r="N891" s="20"/>
      <c r="O891" s="124"/>
      <c r="P891" s="127"/>
      <c r="Q891" s="20"/>
      <c r="R891" s="20"/>
      <c r="S891" s="20"/>
      <c r="T891" s="124"/>
      <c r="U891" s="127"/>
      <c r="V891" s="20"/>
      <c r="W891" s="20"/>
      <c r="X891" s="20"/>
      <c r="Y891" s="20"/>
      <c r="Z891" s="20"/>
      <c r="AA891" s="20"/>
      <c r="AB891" s="20"/>
      <c r="AC891" s="20"/>
      <c r="AD891" s="20"/>
    </row>
    <row r="892" spans="1:30" ht="19.5">
      <c r="A892" s="20"/>
      <c r="B892" s="20"/>
      <c r="C892" s="20"/>
      <c r="D892" s="20"/>
      <c r="E892" s="20"/>
      <c r="F892" s="124"/>
      <c r="G892" s="20"/>
      <c r="H892" s="20"/>
      <c r="I892" s="20"/>
      <c r="J892" s="124"/>
      <c r="K892" s="127"/>
      <c r="L892" s="20"/>
      <c r="M892" s="20"/>
      <c r="N892" s="20"/>
      <c r="O892" s="124"/>
      <c r="P892" s="127"/>
      <c r="Q892" s="20"/>
      <c r="R892" s="20"/>
      <c r="S892" s="20"/>
      <c r="T892" s="124"/>
      <c r="U892" s="127"/>
      <c r="V892" s="20"/>
      <c r="W892" s="20"/>
      <c r="X892" s="20"/>
      <c r="Y892" s="20"/>
      <c r="Z892" s="20"/>
      <c r="AA892" s="20"/>
      <c r="AB892" s="20"/>
      <c r="AC892" s="20"/>
      <c r="AD892" s="20"/>
    </row>
    <row r="893" spans="1:30" ht="19.5">
      <c r="A893" s="20"/>
      <c r="B893" s="20"/>
      <c r="C893" s="20"/>
      <c r="D893" s="20"/>
      <c r="E893" s="20"/>
      <c r="F893" s="124"/>
      <c r="G893" s="20"/>
      <c r="H893" s="20"/>
      <c r="I893" s="20"/>
      <c r="J893" s="124"/>
      <c r="K893" s="127"/>
      <c r="L893" s="20"/>
      <c r="M893" s="20"/>
      <c r="N893" s="20"/>
      <c r="O893" s="124"/>
      <c r="P893" s="127"/>
      <c r="Q893" s="20"/>
      <c r="R893" s="20"/>
      <c r="S893" s="20"/>
      <c r="T893" s="124"/>
      <c r="U893" s="127"/>
      <c r="V893" s="20"/>
      <c r="W893" s="20"/>
      <c r="X893" s="20"/>
      <c r="Y893" s="20"/>
      <c r="Z893" s="20"/>
      <c r="AA893" s="20"/>
      <c r="AB893" s="20"/>
      <c r="AC893" s="20"/>
      <c r="AD893" s="20"/>
    </row>
    <row r="894" spans="1:30" ht="19.5">
      <c r="A894" s="20"/>
      <c r="B894" s="20"/>
      <c r="C894" s="20"/>
      <c r="D894" s="20"/>
      <c r="E894" s="20"/>
      <c r="F894" s="124"/>
      <c r="G894" s="20"/>
      <c r="H894" s="20"/>
      <c r="I894" s="20"/>
      <c r="J894" s="124"/>
      <c r="K894" s="127"/>
      <c r="L894" s="20"/>
      <c r="M894" s="20"/>
      <c r="N894" s="20"/>
      <c r="O894" s="124"/>
      <c r="P894" s="127"/>
      <c r="Q894" s="20"/>
      <c r="R894" s="20"/>
      <c r="S894" s="20"/>
      <c r="T894" s="124"/>
      <c r="U894" s="127"/>
      <c r="V894" s="20"/>
      <c r="W894" s="20"/>
      <c r="X894" s="20"/>
      <c r="Y894" s="20"/>
      <c r="Z894" s="20"/>
      <c r="AA894" s="20"/>
      <c r="AB894" s="20"/>
      <c r="AC894" s="20"/>
      <c r="AD894" s="20"/>
    </row>
    <row r="895" spans="1:30" ht="19.5">
      <c r="A895" s="20"/>
      <c r="B895" s="20"/>
      <c r="C895" s="20"/>
      <c r="D895" s="20"/>
      <c r="E895" s="20"/>
      <c r="F895" s="124"/>
      <c r="G895" s="20"/>
      <c r="H895" s="20"/>
      <c r="I895" s="20"/>
      <c r="J895" s="124"/>
      <c r="K895" s="127"/>
      <c r="L895" s="20"/>
      <c r="M895" s="20"/>
      <c r="N895" s="20"/>
      <c r="O895" s="124"/>
      <c r="P895" s="127"/>
      <c r="Q895" s="20"/>
      <c r="R895" s="20"/>
      <c r="S895" s="20"/>
      <c r="T895" s="124"/>
      <c r="U895" s="127"/>
      <c r="V895" s="20"/>
      <c r="W895" s="20"/>
      <c r="X895" s="20"/>
      <c r="Y895" s="20"/>
      <c r="Z895" s="20"/>
      <c r="AA895" s="20"/>
      <c r="AB895" s="20"/>
      <c r="AC895" s="20"/>
      <c r="AD895" s="20"/>
    </row>
    <row r="896" spans="1:30" ht="19.5">
      <c r="A896" s="20"/>
      <c r="B896" s="20"/>
      <c r="C896" s="20"/>
      <c r="D896" s="20"/>
      <c r="E896" s="20"/>
      <c r="F896" s="124"/>
      <c r="G896" s="20"/>
      <c r="H896" s="20"/>
      <c r="I896" s="20"/>
      <c r="J896" s="124"/>
      <c r="K896" s="127"/>
      <c r="L896" s="20"/>
      <c r="M896" s="20"/>
      <c r="N896" s="20"/>
      <c r="O896" s="124"/>
      <c r="P896" s="127"/>
      <c r="Q896" s="20"/>
      <c r="R896" s="20"/>
      <c r="S896" s="20"/>
      <c r="T896" s="124"/>
      <c r="U896" s="127"/>
      <c r="V896" s="20"/>
      <c r="W896" s="20"/>
      <c r="X896" s="20"/>
      <c r="Y896" s="20"/>
      <c r="Z896" s="20"/>
      <c r="AA896" s="20"/>
      <c r="AB896" s="20"/>
      <c r="AC896" s="20"/>
      <c r="AD896" s="20"/>
    </row>
    <row r="897" spans="1:30" ht="19.5">
      <c r="A897" s="20"/>
      <c r="B897" s="20"/>
      <c r="C897" s="20"/>
      <c r="D897" s="20"/>
      <c r="E897" s="20"/>
      <c r="F897" s="124"/>
      <c r="G897" s="20"/>
      <c r="H897" s="20"/>
      <c r="I897" s="20"/>
      <c r="J897" s="124"/>
      <c r="K897" s="127"/>
      <c r="L897" s="20"/>
      <c r="M897" s="20"/>
      <c r="N897" s="20"/>
      <c r="O897" s="124"/>
      <c r="P897" s="127"/>
      <c r="Q897" s="20"/>
      <c r="R897" s="20"/>
      <c r="S897" s="20"/>
      <c r="T897" s="124"/>
      <c r="U897" s="127"/>
      <c r="V897" s="20"/>
      <c r="W897" s="20"/>
      <c r="X897" s="20"/>
      <c r="Y897" s="20"/>
      <c r="Z897" s="20"/>
      <c r="AA897" s="20"/>
      <c r="AB897" s="20"/>
      <c r="AC897" s="20"/>
      <c r="AD897" s="20"/>
    </row>
    <row r="898" spans="1:30" ht="19.5">
      <c r="A898" s="20"/>
      <c r="B898" s="20"/>
      <c r="C898" s="20"/>
      <c r="D898" s="20"/>
      <c r="E898" s="20"/>
      <c r="F898" s="124"/>
      <c r="G898" s="20"/>
      <c r="H898" s="20"/>
      <c r="I898" s="20"/>
      <c r="J898" s="124"/>
      <c r="K898" s="127"/>
      <c r="L898" s="20"/>
      <c r="M898" s="20"/>
      <c r="N898" s="20"/>
      <c r="O898" s="124"/>
      <c r="P898" s="127"/>
      <c r="Q898" s="20"/>
      <c r="R898" s="20"/>
      <c r="S898" s="20"/>
      <c r="T898" s="124"/>
      <c r="U898" s="127"/>
      <c r="V898" s="20"/>
      <c r="W898" s="20"/>
      <c r="X898" s="20"/>
      <c r="Y898" s="20"/>
      <c r="Z898" s="20"/>
      <c r="AA898" s="20"/>
      <c r="AB898" s="20"/>
      <c r="AC898" s="20"/>
      <c r="AD898" s="20"/>
    </row>
    <row r="899" spans="1:30" ht="19.5">
      <c r="A899" s="20"/>
      <c r="B899" s="20"/>
      <c r="C899" s="20"/>
      <c r="D899" s="20"/>
      <c r="E899" s="20"/>
      <c r="F899" s="124"/>
      <c r="G899" s="20"/>
      <c r="H899" s="20"/>
      <c r="I899" s="20"/>
      <c r="J899" s="124"/>
      <c r="K899" s="127"/>
      <c r="L899" s="20"/>
      <c r="M899" s="20"/>
      <c r="N899" s="20"/>
      <c r="O899" s="124"/>
      <c r="P899" s="127"/>
      <c r="Q899" s="20"/>
      <c r="R899" s="20"/>
      <c r="S899" s="20"/>
      <c r="T899" s="124"/>
      <c r="U899" s="127"/>
      <c r="V899" s="20"/>
      <c r="W899" s="20"/>
      <c r="X899" s="20"/>
      <c r="Y899" s="20"/>
      <c r="Z899" s="20"/>
      <c r="AA899" s="20"/>
      <c r="AB899" s="20"/>
      <c r="AC899" s="20"/>
      <c r="AD899" s="20"/>
    </row>
    <row r="900" spans="1:30" ht="19.5">
      <c r="A900" s="20"/>
      <c r="B900" s="20"/>
      <c r="C900" s="20"/>
      <c r="D900" s="20"/>
      <c r="E900" s="20"/>
      <c r="F900" s="124"/>
      <c r="G900" s="20"/>
      <c r="H900" s="20"/>
      <c r="I900" s="20"/>
      <c r="J900" s="124"/>
      <c r="K900" s="127"/>
      <c r="L900" s="20"/>
      <c r="M900" s="20"/>
      <c r="N900" s="20"/>
      <c r="O900" s="124"/>
      <c r="P900" s="127"/>
      <c r="Q900" s="20"/>
      <c r="R900" s="20"/>
      <c r="S900" s="20"/>
      <c r="T900" s="124"/>
      <c r="U900" s="127"/>
      <c r="V900" s="20"/>
      <c r="W900" s="20"/>
      <c r="X900" s="20"/>
      <c r="Y900" s="20"/>
      <c r="Z900" s="20"/>
      <c r="AA900" s="20"/>
      <c r="AB900" s="20"/>
      <c r="AC900" s="20"/>
      <c r="AD900" s="20"/>
    </row>
    <row r="901" spans="1:30" ht="19.5">
      <c r="A901" s="20"/>
      <c r="B901" s="20"/>
      <c r="C901" s="20"/>
      <c r="D901" s="20"/>
      <c r="E901" s="20"/>
      <c r="F901" s="124"/>
      <c r="G901" s="20"/>
      <c r="H901" s="20"/>
      <c r="I901" s="20"/>
      <c r="J901" s="124"/>
      <c r="K901" s="127"/>
      <c r="L901" s="20"/>
      <c r="M901" s="20"/>
      <c r="N901" s="20"/>
      <c r="O901" s="124"/>
      <c r="P901" s="127"/>
      <c r="Q901" s="20"/>
      <c r="R901" s="20"/>
      <c r="S901" s="20"/>
      <c r="T901" s="124"/>
      <c r="U901" s="127"/>
      <c r="V901" s="20"/>
      <c r="W901" s="20"/>
      <c r="X901" s="20"/>
      <c r="Y901" s="20"/>
      <c r="Z901" s="20"/>
      <c r="AA901" s="20"/>
      <c r="AB901" s="20"/>
      <c r="AC901" s="20"/>
      <c r="AD901" s="20"/>
    </row>
    <row r="902" spans="1:30" ht="19.5">
      <c r="A902" s="20"/>
      <c r="B902" s="20"/>
      <c r="C902" s="20"/>
      <c r="D902" s="20"/>
      <c r="E902" s="20"/>
      <c r="F902" s="124"/>
      <c r="G902" s="20"/>
      <c r="H902" s="20"/>
      <c r="I902" s="20"/>
      <c r="J902" s="124"/>
      <c r="K902" s="127"/>
      <c r="L902" s="20"/>
      <c r="M902" s="20"/>
      <c r="N902" s="20"/>
      <c r="O902" s="124"/>
      <c r="P902" s="127"/>
      <c r="Q902" s="20"/>
      <c r="R902" s="20"/>
      <c r="S902" s="20"/>
      <c r="T902" s="124"/>
      <c r="U902" s="127"/>
      <c r="V902" s="20"/>
      <c r="W902" s="20"/>
      <c r="X902" s="20"/>
      <c r="Y902" s="20"/>
      <c r="Z902" s="20"/>
      <c r="AA902" s="20"/>
      <c r="AB902" s="20"/>
      <c r="AC902" s="20"/>
      <c r="AD902" s="20"/>
    </row>
    <row r="903" spans="1:30" ht="19.5">
      <c r="A903" s="20"/>
      <c r="B903" s="20"/>
      <c r="C903" s="20"/>
      <c r="D903" s="20"/>
      <c r="E903" s="20"/>
      <c r="F903" s="124"/>
      <c r="G903" s="20"/>
      <c r="H903" s="20"/>
      <c r="I903" s="20"/>
      <c r="J903" s="124"/>
      <c r="K903" s="127"/>
      <c r="L903" s="20"/>
      <c r="M903" s="20"/>
      <c r="N903" s="20"/>
      <c r="O903" s="124"/>
      <c r="P903" s="127"/>
      <c r="Q903" s="20"/>
      <c r="R903" s="20"/>
      <c r="S903" s="20"/>
      <c r="T903" s="124"/>
      <c r="U903" s="127"/>
      <c r="V903" s="20"/>
      <c r="W903" s="20"/>
      <c r="X903" s="20"/>
      <c r="Y903" s="20"/>
      <c r="Z903" s="20"/>
      <c r="AA903" s="20"/>
      <c r="AB903" s="20"/>
      <c r="AC903" s="20"/>
      <c r="AD903" s="20"/>
    </row>
    <row r="904" spans="1:30" ht="19.5">
      <c r="A904" s="20"/>
      <c r="B904" s="20"/>
      <c r="C904" s="20"/>
      <c r="D904" s="20"/>
      <c r="E904" s="20"/>
      <c r="F904" s="124"/>
      <c r="G904" s="20"/>
      <c r="H904" s="20"/>
      <c r="I904" s="20"/>
      <c r="J904" s="124"/>
      <c r="K904" s="127"/>
      <c r="L904" s="20"/>
      <c r="M904" s="20"/>
      <c r="N904" s="20"/>
      <c r="O904" s="124"/>
      <c r="P904" s="127"/>
      <c r="Q904" s="20"/>
      <c r="R904" s="20"/>
      <c r="S904" s="20"/>
      <c r="T904" s="124"/>
      <c r="U904" s="127"/>
      <c r="V904" s="20"/>
      <c r="W904" s="20"/>
      <c r="X904" s="20"/>
      <c r="Y904" s="20"/>
      <c r="Z904" s="20"/>
      <c r="AA904" s="20"/>
      <c r="AB904" s="20"/>
      <c r="AC904" s="20"/>
      <c r="AD904" s="20"/>
    </row>
    <row r="905" spans="1:30" ht="19.5">
      <c r="A905" s="20"/>
      <c r="B905" s="20"/>
      <c r="C905" s="20"/>
      <c r="D905" s="20"/>
      <c r="E905" s="20"/>
      <c r="F905" s="124"/>
      <c r="G905" s="20"/>
      <c r="H905" s="20"/>
      <c r="I905" s="20"/>
      <c r="J905" s="124"/>
      <c r="K905" s="127"/>
      <c r="L905" s="20"/>
      <c r="M905" s="20"/>
      <c r="N905" s="20"/>
      <c r="O905" s="124"/>
      <c r="P905" s="127"/>
      <c r="Q905" s="20"/>
      <c r="R905" s="20"/>
      <c r="S905" s="20"/>
      <c r="T905" s="124"/>
      <c r="U905" s="127"/>
      <c r="V905" s="20"/>
      <c r="W905" s="20"/>
      <c r="X905" s="20"/>
      <c r="Y905" s="20"/>
      <c r="Z905" s="20"/>
      <c r="AA905" s="20"/>
      <c r="AB905" s="20"/>
      <c r="AC905" s="20"/>
      <c r="AD905" s="20"/>
    </row>
    <row r="906" spans="1:30" ht="19.5">
      <c r="A906" s="20"/>
      <c r="B906" s="20"/>
      <c r="C906" s="20"/>
      <c r="D906" s="20"/>
      <c r="E906" s="20"/>
      <c r="F906" s="124"/>
      <c r="G906" s="20"/>
      <c r="H906" s="20"/>
      <c r="I906" s="20"/>
      <c r="J906" s="124"/>
      <c r="K906" s="127"/>
      <c r="L906" s="20"/>
      <c r="M906" s="20"/>
      <c r="N906" s="20"/>
      <c r="O906" s="124"/>
      <c r="P906" s="127"/>
      <c r="Q906" s="20"/>
      <c r="R906" s="20"/>
      <c r="S906" s="20"/>
      <c r="T906" s="124"/>
      <c r="U906" s="127"/>
      <c r="V906" s="20"/>
      <c r="W906" s="20"/>
      <c r="X906" s="20"/>
      <c r="Y906" s="20"/>
      <c r="Z906" s="20"/>
      <c r="AA906" s="20"/>
      <c r="AB906" s="20"/>
      <c r="AC906" s="20"/>
      <c r="AD906" s="20"/>
    </row>
    <row r="907" spans="1:30" ht="19.5">
      <c r="A907" s="20"/>
      <c r="B907" s="20"/>
      <c r="C907" s="20"/>
      <c r="D907" s="20"/>
      <c r="E907" s="20"/>
      <c r="F907" s="124"/>
      <c r="G907" s="20"/>
      <c r="H907" s="20"/>
      <c r="I907" s="20"/>
      <c r="J907" s="124"/>
      <c r="K907" s="127"/>
      <c r="L907" s="20"/>
      <c r="M907" s="20"/>
      <c r="N907" s="20"/>
      <c r="O907" s="124"/>
      <c r="P907" s="127"/>
      <c r="Q907" s="20"/>
      <c r="R907" s="20"/>
      <c r="S907" s="20"/>
      <c r="T907" s="124"/>
      <c r="U907" s="127"/>
      <c r="V907" s="20"/>
      <c r="W907" s="20"/>
      <c r="X907" s="20"/>
      <c r="Y907" s="20"/>
      <c r="Z907" s="20"/>
      <c r="AA907" s="20"/>
      <c r="AB907" s="20"/>
      <c r="AC907" s="20"/>
      <c r="AD907" s="20"/>
    </row>
    <row r="908" spans="1:30" ht="19.5">
      <c r="A908" s="20"/>
      <c r="B908" s="20"/>
      <c r="C908" s="20"/>
      <c r="D908" s="20"/>
      <c r="E908" s="20"/>
      <c r="F908" s="124"/>
      <c r="G908" s="20"/>
      <c r="H908" s="20"/>
      <c r="I908" s="20"/>
      <c r="J908" s="124"/>
      <c r="K908" s="127"/>
      <c r="L908" s="20"/>
      <c r="M908" s="20"/>
      <c r="N908" s="20"/>
      <c r="O908" s="124"/>
      <c r="P908" s="127"/>
      <c r="Q908" s="20"/>
      <c r="R908" s="20"/>
      <c r="S908" s="20"/>
      <c r="T908" s="124"/>
      <c r="U908" s="127"/>
      <c r="V908" s="20"/>
      <c r="W908" s="20"/>
      <c r="X908" s="20"/>
      <c r="Y908" s="20"/>
      <c r="Z908" s="20"/>
      <c r="AA908" s="20"/>
      <c r="AB908" s="20"/>
      <c r="AC908" s="20"/>
      <c r="AD908" s="20"/>
    </row>
    <row r="909" spans="1:30" ht="19.5">
      <c r="A909" s="20"/>
      <c r="B909" s="20"/>
      <c r="C909" s="20"/>
      <c r="D909" s="20"/>
      <c r="E909" s="20"/>
      <c r="F909" s="124"/>
      <c r="G909" s="20"/>
      <c r="H909" s="20"/>
      <c r="I909" s="20"/>
      <c r="J909" s="124"/>
      <c r="K909" s="127"/>
      <c r="L909" s="20"/>
      <c r="M909" s="20"/>
      <c r="N909" s="20"/>
      <c r="O909" s="124"/>
      <c r="P909" s="127"/>
      <c r="Q909" s="20"/>
      <c r="R909" s="20"/>
      <c r="S909" s="20"/>
      <c r="T909" s="124"/>
      <c r="U909" s="127"/>
      <c r="V909" s="20"/>
      <c r="W909" s="20"/>
      <c r="X909" s="20"/>
      <c r="Y909" s="20"/>
      <c r="Z909" s="20"/>
      <c r="AA909" s="20"/>
      <c r="AB909" s="20"/>
      <c r="AC909" s="20"/>
      <c r="AD909" s="20"/>
    </row>
    <row r="910" spans="1:30" ht="19.5">
      <c r="A910" s="20"/>
      <c r="B910" s="20"/>
      <c r="C910" s="20"/>
      <c r="D910" s="20"/>
      <c r="E910" s="20"/>
      <c r="F910" s="124"/>
      <c r="G910" s="20"/>
      <c r="H910" s="20"/>
      <c r="I910" s="20"/>
      <c r="J910" s="124"/>
      <c r="K910" s="127"/>
      <c r="L910" s="20"/>
      <c r="M910" s="20"/>
      <c r="N910" s="20"/>
      <c r="O910" s="124"/>
      <c r="P910" s="127"/>
      <c r="Q910" s="20"/>
      <c r="R910" s="20"/>
      <c r="S910" s="20"/>
      <c r="T910" s="124"/>
      <c r="U910" s="127"/>
      <c r="V910" s="20"/>
      <c r="W910" s="20"/>
      <c r="X910" s="20"/>
      <c r="Y910" s="20"/>
      <c r="Z910" s="20"/>
      <c r="AA910" s="20"/>
      <c r="AB910" s="20"/>
      <c r="AC910" s="20"/>
      <c r="AD910" s="20"/>
    </row>
    <row r="911" spans="1:30" ht="19.5">
      <c r="A911" s="20"/>
      <c r="B911" s="20"/>
      <c r="C911" s="20"/>
      <c r="D911" s="20"/>
      <c r="E911" s="20"/>
      <c r="F911" s="124"/>
      <c r="G911" s="20"/>
      <c r="H911" s="20"/>
      <c r="I911" s="20"/>
      <c r="J911" s="124"/>
      <c r="K911" s="127"/>
      <c r="L911" s="20"/>
      <c r="M911" s="20"/>
      <c r="N911" s="20"/>
      <c r="O911" s="124"/>
      <c r="P911" s="127"/>
      <c r="Q911" s="20"/>
      <c r="R911" s="20"/>
      <c r="S911" s="20"/>
      <c r="T911" s="124"/>
      <c r="U911" s="127"/>
      <c r="V911" s="20"/>
      <c r="W911" s="20"/>
      <c r="X911" s="20"/>
      <c r="Y911" s="20"/>
      <c r="Z911" s="20"/>
      <c r="AA911" s="20"/>
      <c r="AB911" s="20"/>
      <c r="AC911" s="20"/>
      <c r="AD911" s="20"/>
    </row>
    <row r="912" spans="1:30" ht="19.5">
      <c r="A912" s="20"/>
      <c r="B912" s="20"/>
      <c r="C912" s="20"/>
      <c r="D912" s="20"/>
      <c r="E912" s="20"/>
      <c r="F912" s="124"/>
      <c r="G912" s="20"/>
      <c r="H912" s="20"/>
      <c r="I912" s="20"/>
      <c r="J912" s="124"/>
      <c r="K912" s="127"/>
      <c r="L912" s="20"/>
      <c r="M912" s="20"/>
      <c r="N912" s="20"/>
      <c r="O912" s="124"/>
      <c r="P912" s="127"/>
      <c r="Q912" s="20"/>
      <c r="R912" s="20"/>
      <c r="S912" s="20"/>
      <c r="T912" s="124"/>
      <c r="U912" s="127"/>
      <c r="V912" s="20"/>
      <c r="W912" s="20"/>
      <c r="X912" s="20"/>
      <c r="Y912" s="20"/>
      <c r="Z912" s="20"/>
      <c r="AA912" s="20"/>
      <c r="AB912" s="20"/>
      <c r="AC912" s="20"/>
      <c r="AD912" s="20"/>
    </row>
    <row r="913" spans="1:30" ht="19.5">
      <c r="A913" s="20"/>
      <c r="B913" s="20"/>
      <c r="C913" s="20"/>
      <c r="D913" s="20"/>
      <c r="E913" s="20"/>
      <c r="F913" s="124"/>
      <c r="G913" s="20"/>
      <c r="H913" s="20"/>
      <c r="I913" s="20"/>
      <c r="J913" s="124"/>
      <c r="K913" s="127"/>
      <c r="L913" s="20"/>
      <c r="M913" s="20"/>
      <c r="N913" s="20"/>
      <c r="O913" s="124"/>
      <c r="P913" s="127"/>
      <c r="Q913" s="20"/>
      <c r="R913" s="20"/>
      <c r="S913" s="20"/>
      <c r="T913" s="124"/>
      <c r="U913" s="127"/>
      <c r="V913" s="20"/>
      <c r="W913" s="20"/>
      <c r="X913" s="20"/>
      <c r="Y913" s="20"/>
      <c r="Z913" s="20"/>
      <c r="AA913" s="20"/>
      <c r="AB913" s="20"/>
      <c r="AC913" s="20"/>
      <c r="AD913" s="20"/>
    </row>
    <row r="914" spans="1:30" ht="19.5">
      <c r="A914" s="20"/>
      <c r="B914" s="20"/>
      <c r="C914" s="20"/>
      <c r="D914" s="20"/>
      <c r="E914" s="20"/>
      <c r="F914" s="124"/>
      <c r="G914" s="20"/>
      <c r="H914" s="20"/>
      <c r="I914" s="20"/>
      <c r="J914" s="124"/>
      <c r="K914" s="127"/>
      <c r="L914" s="20"/>
      <c r="M914" s="20"/>
      <c r="N914" s="20"/>
      <c r="O914" s="124"/>
      <c r="P914" s="127"/>
      <c r="Q914" s="20"/>
      <c r="R914" s="20"/>
      <c r="S914" s="20"/>
      <c r="T914" s="124"/>
      <c r="U914" s="127"/>
      <c r="V914" s="20"/>
      <c r="W914" s="20"/>
      <c r="X914" s="20"/>
      <c r="Y914" s="20"/>
      <c r="Z914" s="20"/>
      <c r="AA914" s="20"/>
      <c r="AB914" s="20"/>
      <c r="AC914" s="20"/>
      <c r="AD914" s="20"/>
    </row>
    <row r="915" spans="1:30" ht="19.5">
      <c r="A915" s="20"/>
      <c r="B915" s="20"/>
      <c r="C915" s="20"/>
      <c r="D915" s="20"/>
      <c r="E915" s="20"/>
      <c r="F915" s="124"/>
      <c r="G915" s="20"/>
      <c r="H915" s="20"/>
      <c r="I915" s="20"/>
      <c r="J915" s="124"/>
      <c r="K915" s="127"/>
      <c r="L915" s="20"/>
      <c r="M915" s="20"/>
      <c r="N915" s="20"/>
      <c r="O915" s="124"/>
      <c r="P915" s="127"/>
      <c r="Q915" s="20"/>
      <c r="R915" s="20"/>
      <c r="S915" s="20"/>
      <c r="T915" s="124"/>
      <c r="U915" s="127"/>
      <c r="V915" s="20"/>
      <c r="W915" s="20"/>
      <c r="X915" s="20"/>
      <c r="Y915" s="20"/>
      <c r="Z915" s="20"/>
      <c r="AA915" s="20"/>
      <c r="AB915" s="20"/>
      <c r="AC915" s="20"/>
      <c r="AD915" s="20"/>
    </row>
    <row r="916" spans="1:30" ht="19.5">
      <c r="A916" s="20"/>
      <c r="B916" s="20"/>
      <c r="C916" s="20"/>
      <c r="D916" s="20"/>
      <c r="E916" s="20"/>
      <c r="F916" s="124"/>
      <c r="G916" s="20"/>
      <c r="H916" s="20"/>
      <c r="I916" s="20"/>
      <c r="J916" s="124"/>
      <c r="K916" s="127"/>
      <c r="L916" s="20"/>
      <c r="M916" s="20"/>
      <c r="N916" s="20"/>
      <c r="O916" s="124"/>
      <c r="P916" s="127"/>
      <c r="Q916" s="20"/>
      <c r="R916" s="20"/>
      <c r="S916" s="20"/>
      <c r="T916" s="124"/>
      <c r="U916" s="127"/>
      <c r="V916" s="20"/>
      <c r="W916" s="20"/>
      <c r="X916" s="20"/>
      <c r="Y916" s="20"/>
      <c r="Z916" s="20"/>
      <c r="AA916" s="20"/>
      <c r="AB916" s="20"/>
      <c r="AC916" s="20"/>
      <c r="AD916" s="20"/>
    </row>
    <row r="917" spans="1:30" ht="19.5">
      <c r="A917" s="20"/>
      <c r="B917" s="20"/>
      <c r="C917" s="20"/>
      <c r="D917" s="20"/>
      <c r="E917" s="20"/>
      <c r="F917" s="124"/>
      <c r="G917" s="20"/>
      <c r="H917" s="20"/>
      <c r="I917" s="20"/>
      <c r="J917" s="124"/>
      <c r="K917" s="127"/>
      <c r="L917" s="20"/>
      <c r="M917" s="20"/>
      <c r="N917" s="20"/>
      <c r="O917" s="124"/>
      <c r="P917" s="127"/>
      <c r="Q917" s="20"/>
      <c r="R917" s="20"/>
      <c r="S917" s="20"/>
      <c r="T917" s="124"/>
      <c r="U917" s="127"/>
      <c r="V917" s="20"/>
      <c r="W917" s="20"/>
      <c r="X917" s="20"/>
      <c r="Y917" s="20"/>
      <c r="Z917" s="20"/>
      <c r="AA917" s="20"/>
      <c r="AB917" s="20"/>
      <c r="AC917" s="20"/>
      <c r="AD917" s="20"/>
    </row>
    <row r="918" spans="1:30" ht="19.5">
      <c r="A918" s="20"/>
      <c r="B918" s="20"/>
      <c r="C918" s="20"/>
      <c r="D918" s="20"/>
      <c r="E918" s="20"/>
      <c r="F918" s="124"/>
      <c r="G918" s="20"/>
      <c r="H918" s="20"/>
      <c r="I918" s="20"/>
      <c r="J918" s="124"/>
      <c r="K918" s="127"/>
      <c r="L918" s="20"/>
      <c r="M918" s="20"/>
      <c r="N918" s="20"/>
      <c r="O918" s="124"/>
      <c r="P918" s="127"/>
      <c r="Q918" s="20"/>
      <c r="R918" s="20"/>
      <c r="S918" s="20"/>
      <c r="T918" s="124"/>
      <c r="U918" s="127"/>
      <c r="V918" s="20"/>
      <c r="W918" s="20"/>
      <c r="X918" s="20"/>
      <c r="Y918" s="20"/>
      <c r="Z918" s="20"/>
      <c r="AA918" s="20"/>
      <c r="AB918" s="20"/>
      <c r="AC918" s="20"/>
      <c r="AD918" s="20"/>
    </row>
    <row r="919" spans="1:30" ht="19.5">
      <c r="A919" s="20"/>
      <c r="B919" s="20"/>
      <c r="C919" s="20"/>
      <c r="D919" s="20"/>
      <c r="E919" s="20"/>
      <c r="F919" s="124"/>
      <c r="G919" s="20"/>
      <c r="H919" s="20"/>
      <c r="I919" s="20"/>
      <c r="J919" s="124"/>
      <c r="K919" s="127"/>
      <c r="L919" s="20"/>
      <c r="M919" s="20"/>
      <c r="N919" s="20"/>
      <c r="O919" s="124"/>
      <c r="P919" s="127"/>
      <c r="Q919" s="20"/>
      <c r="R919" s="20"/>
      <c r="S919" s="20"/>
      <c r="T919" s="124"/>
      <c r="U919" s="127"/>
      <c r="V919" s="20"/>
      <c r="W919" s="20"/>
      <c r="X919" s="20"/>
      <c r="Y919" s="20"/>
      <c r="Z919" s="20"/>
      <c r="AA919" s="20"/>
      <c r="AB919" s="20"/>
      <c r="AC919" s="20"/>
      <c r="AD919" s="20"/>
    </row>
    <row r="920" spans="1:30" ht="19.5">
      <c r="A920" s="20"/>
      <c r="B920" s="20"/>
      <c r="C920" s="20"/>
      <c r="D920" s="20"/>
      <c r="E920" s="20"/>
      <c r="F920" s="124"/>
      <c r="G920" s="20"/>
      <c r="H920" s="20"/>
      <c r="I920" s="20"/>
      <c r="J920" s="124"/>
      <c r="K920" s="127"/>
      <c r="L920" s="20"/>
      <c r="M920" s="20"/>
      <c r="N920" s="20"/>
      <c r="O920" s="124"/>
      <c r="P920" s="127"/>
      <c r="Q920" s="20"/>
      <c r="R920" s="20"/>
      <c r="S920" s="20"/>
      <c r="T920" s="124"/>
      <c r="U920" s="127"/>
      <c r="V920" s="20"/>
      <c r="W920" s="20"/>
      <c r="X920" s="20"/>
      <c r="Y920" s="20"/>
      <c r="Z920" s="20"/>
      <c r="AA920" s="20"/>
      <c r="AB920" s="20"/>
      <c r="AC920" s="20"/>
      <c r="AD920" s="20"/>
    </row>
    <row r="921" spans="1:30" ht="19.5">
      <c r="A921" s="20"/>
      <c r="B921" s="20"/>
      <c r="C921" s="20"/>
      <c r="D921" s="20"/>
      <c r="E921" s="20"/>
      <c r="F921" s="124"/>
      <c r="G921" s="20"/>
      <c r="H921" s="20"/>
      <c r="I921" s="20"/>
      <c r="J921" s="124"/>
      <c r="K921" s="127"/>
      <c r="L921" s="20"/>
      <c r="M921" s="20"/>
      <c r="N921" s="20"/>
      <c r="O921" s="124"/>
      <c r="P921" s="127"/>
      <c r="Q921" s="20"/>
      <c r="R921" s="20"/>
      <c r="S921" s="20"/>
      <c r="T921" s="124"/>
      <c r="U921" s="127"/>
      <c r="V921" s="20"/>
      <c r="W921" s="20"/>
      <c r="X921" s="20"/>
      <c r="Y921" s="20"/>
      <c r="Z921" s="20"/>
      <c r="AA921" s="20"/>
      <c r="AB921" s="20"/>
      <c r="AC921" s="20"/>
      <c r="AD921" s="20"/>
    </row>
    <row r="922" spans="1:30" ht="19.5">
      <c r="A922" s="20"/>
      <c r="B922" s="20"/>
      <c r="C922" s="20"/>
      <c r="D922" s="20"/>
      <c r="E922" s="20"/>
      <c r="F922" s="124"/>
      <c r="G922" s="20"/>
      <c r="H922" s="20"/>
      <c r="I922" s="20"/>
      <c r="J922" s="124"/>
      <c r="K922" s="127"/>
      <c r="L922" s="20"/>
      <c r="M922" s="20"/>
      <c r="N922" s="20"/>
      <c r="O922" s="124"/>
      <c r="P922" s="127"/>
      <c r="Q922" s="20"/>
      <c r="R922" s="20"/>
      <c r="S922" s="20"/>
      <c r="T922" s="124"/>
      <c r="U922" s="127"/>
      <c r="V922" s="20"/>
      <c r="W922" s="20"/>
      <c r="X922" s="20"/>
      <c r="Y922" s="20"/>
      <c r="Z922" s="20"/>
      <c r="AA922" s="20"/>
      <c r="AB922" s="20"/>
      <c r="AC922" s="20"/>
      <c r="AD922" s="20"/>
    </row>
    <row r="923" spans="1:30" ht="19.5">
      <c r="A923" s="20"/>
      <c r="B923" s="20"/>
      <c r="C923" s="20"/>
      <c r="D923" s="20"/>
      <c r="E923" s="20"/>
      <c r="F923" s="124"/>
      <c r="G923" s="20"/>
      <c r="H923" s="20"/>
      <c r="I923" s="20"/>
      <c r="J923" s="124"/>
      <c r="K923" s="127"/>
      <c r="L923" s="20"/>
      <c r="M923" s="20"/>
      <c r="N923" s="20"/>
      <c r="O923" s="124"/>
      <c r="P923" s="127"/>
      <c r="Q923" s="20"/>
      <c r="R923" s="20"/>
      <c r="S923" s="20"/>
      <c r="T923" s="124"/>
      <c r="U923" s="127"/>
      <c r="V923" s="20"/>
      <c r="W923" s="20"/>
      <c r="X923" s="20"/>
      <c r="Y923" s="20"/>
      <c r="Z923" s="20"/>
      <c r="AA923" s="20"/>
      <c r="AB923" s="20"/>
      <c r="AC923" s="20"/>
      <c r="AD923" s="20"/>
    </row>
    <row r="924" spans="1:30" ht="19.5">
      <c r="A924" s="20"/>
      <c r="B924" s="20"/>
      <c r="C924" s="20"/>
      <c r="D924" s="20"/>
      <c r="E924" s="20"/>
      <c r="F924" s="124"/>
      <c r="G924" s="20"/>
      <c r="H924" s="20"/>
      <c r="I924" s="20"/>
      <c r="J924" s="124"/>
      <c r="K924" s="127"/>
      <c r="L924" s="20"/>
      <c r="M924" s="20"/>
      <c r="N924" s="20"/>
      <c r="O924" s="124"/>
      <c r="P924" s="127"/>
      <c r="Q924" s="20"/>
      <c r="R924" s="20"/>
      <c r="S924" s="20"/>
      <c r="T924" s="124"/>
      <c r="U924" s="127"/>
      <c r="V924" s="20"/>
      <c r="W924" s="20"/>
      <c r="X924" s="20"/>
      <c r="Y924" s="20"/>
      <c r="Z924" s="20"/>
      <c r="AA924" s="20"/>
      <c r="AB924" s="20"/>
      <c r="AC924" s="20"/>
      <c r="AD924" s="20"/>
    </row>
    <row r="925" spans="1:30" ht="19.5">
      <c r="A925" s="20"/>
      <c r="B925" s="20"/>
      <c r="C925" s="20"/>
      <c r="D925" s="20"/>
      <c r="E925" s="20"/>
      <c r="F925" s="124"/>
      <c r="G925" s="20"/>
      <c r="H925" s="20"/>
      <c r="I925" s="20"/>
      <c r="J925" s="124"/>
      <c r="K925" s="127"/>
      <c r="L925" s="20"/>
      <c r="M925" s="20"/>
      <c r="N925" s="20"/>
      <c r="O925" s="124"/>
      <c r="P925" s="127"/>
      <c r="Q925" s="20"/>
      <c r="R925" s="20"/>
      <c r="S925" s="20"/>
      <c r="T925" s="124"/>
      <c r="U925" s="127"/>
      <c r="V925" s="20"/>
      <c r="W925" s="20"/>
      <c r="X925" s="20"/>
      <c r="Y925" s="20"/>
      <c r="Z925" s="20"/>
      <c r="AA925" s="20"/>
      <c r="AB925" s="20"/>
      <c r="AC925" s="20"/>
      <c r="AD925" s="20"/>
    </row>
    <row r="926" spans="1:30" ht="19.5">
      <c r="A926" s="20"/>
      <c r="B926" s="20"/>
      <c r="C926" s="20"/>
      <c r="D926" s="20"/>
      <c r="E926" s="20"/>
      <c r="F926" s="124"/>
      <c r="G926" s="20"/>
      <c r="H926" s="20"/>
      <c r="I926" s="20"/>
      <c r="J926" s="124"/>
      <c r="K926" s="127"/>
      <c r="L926" s="20"/>
      <c r="M926" s="20"/>
      <c r="N926" s="20"/>
      <c r="O926" s="124"/>
      <c r="P926" s="127"/>
      <c r="Q926" s="20"/>
      <c r="R926" s="20"/>
      <c r="S926" s="20"/>
      <c r="T926" s="124"/>
      <c r="U926" s="127"/>
      <c r="V926" s="20"/>
      <c r="W926" s="20"/>
      <c r="X926" s="20"/>
      <c r="Y926" s="20"/>
      <c r="Z926" s="20"/>
      <c r="AA926" s="20"/>
      <c r="AB926" s="20"/>
      <c r="AC926" s="20"/>
      <c r="AD926" s="20"/>
    </row>
    <row r="927" spans="1:30" ht="19.5">
      <c r="A927" s="20"/>
      <c r="B927" s="20"/>
      <c r="C927" s="20"/>
      <c r="D927" s="20"/>
      <c r="E927" s="20"/>
      <c r="F927" s="124"/>
      <c r="G927" s="20"/>
      <c r="H927" s="20"/>
      <c r="I927" s="20"/>
      <c r="J927" s="124"/>
      <c r="K927" s="127"/>
      <c r="L927" s="20"/>
      <c r="M927" s="20"/>
      <c r="N927" s="20"/>
      <c r="O927" s="124"/>
      <c r="P927" s="127"/>
      <c r="Q927" s="20"/>
      <c r="R927" s="20"/>
      <c r="S927" s="20"/>
      <c r="T927" s="124"/>
      <c r="U927" s="127"/>
      <c r="V927" s="20"/>
      <c r="W927" s="20"/>
      <c r="X927" s="20"/>
      <c r="Y927" s="20"/>
      <c r="Z927" s="20"/>
      <c r="AA927" s="20"/>
      <c r="AB927" s="20"/>
      <c r="AC927" s="20"/>
      <c r="AD927" s="20"/>
    </row>
    <row r="928" spans="1:30" ht="19.5">
      <c r="A928" s="20"/>
      <c r="B928" s="20"/>
      <c r="C928" s="20"/>
      <c r="D928" s="20"/>
      <c r="E928" s="20"/>
      <c r="F928" s="124"/>
      <c r="G928" s="20"/>
      <c r="H928" s="20"/>
      <c r="I928" s="20"/>
      <c r="J928" s="124"/>
      <c r="K928" s="127"/>
      <c r="L928" s="20"/>
      <c r="M928" s="20"/>
      <c r="N928" s="20"/>
      <c r="O928" s="124"/>
      <c r="P928" s="127"/>
      <c r="Q928" s="20"/>
      <c r="R928" s="20"/>
      <c r="S928" s="20"/>
      <c r="T928" s="124"/>
      <c r="U928" s="127"/>
      <c r="V928" s="20"/>
      <c r="W928" s="20"/>
      <c r="X928" s="20"/>
      <c r="Y928" s="20"/>
      <c r="Z928" s="20"/>
      <c r="AA928" s="20"/>
      <c r="AB928" s="20"/>
      <c r="AC928" s="20"/>
      <c r="AD928" s="20"/>
    </row>
    <row r="929" spans="1:30" ht="19.5">
      <c r="A929" s="20"/>
      <c r="B929" s="20"/>
      <c r="C929" s="20"/>
      <c r="D929" s="20"/>
      <c r="E929" s="20"/>
      <c r="F929" s="124"/>
      <c r="G929" s="20"/>
      <c r="H929" s="20"/>
      <c r="I929" s="20"/>
      <c r="J929" s="124"/>
      <c r="K929" s="127"/>
      <c r="L929" s="20"/>
      <c r="M929" s="20"/>
      <c r="N929" s="20"/>
      <c r="O929" s="124"/>
      <c r="P929" s="127"/>
      <c r="Q929" s="20"/>
      <c r="R929" s="20"/>
      <c r="S929" s="20"/>
      <c r="T929" s="124"/>
      <c r="U929" s="127"/>
      <c r="V929" s="20"/>
      <c r="W929" s="20"/>
      <c r="X929" s="20"/>
      <c r="Y929" s="20"/>
      <c r="Z929" s="20"/>
      <c r="AA929" s="20"/>
      <c r="AB929" s="20"/>
      <c r="AC929" s="20"/>
      <c r="AD929" s="20"/>
    </row>
    <row r="930" spans="1:30" ht="19.5">
      <c r="A930" s="20"/>
      <c r="B930" s="20"/>
      <c r="C930" s="20"/>
      <c r="D930" s="20"/>
      <c r="E930" s="20"/>
      <c r="F930" s="124"/>
      <c r="G930" s="20"/>
      <c r="H930" s="20"/>
      <c r="I930" s="20"/>
      <c r="J930" s="124"/>
      <c r="K930" s="127"/>
      <c r="L930" s="20"/>
      <c r="M930" s="20"/>
      <c r="N930" s="20"/>
      <c r="O930" s="124"/>
      <c r="P930" s="127"/>
      <c r="Q930" s="20"/>
      <c r="R930" s="20"/>
      <c r="S930" s="20"/>
      <c r="T930" s="124"/>
      <c r="U930" s="127"/>
      <c r="V930" s="20"/>
      <c r="W930" s="20"/>
      <c r="X930" s="20"/>
      <c r="Y930" s="20"/>
      <c r="Z930" s="20"/>
      <c r="AA930" s="20"/>
      <c r="AB930" s="20"/>
      <c r="AC930" s="20"/>
      <c r="AD930" s="20"/>
    </row>
    <row r="931" spans="1:30" ht="19.5">
      <c r="A931" s="20"/>
      <c r="B931" s="20"/>
      <c r="C931" s="20"/>
      <c r="D931" s="20"/>
      <c r="E931" s="20"/>
      <c r="F931" s="124"/>
      <c r="G931" s="20"/>
      <c r="H931" s="20"/>
      <c r="I931" s="20"/>
      <c r="J931" s="124"/>
      <c r="K931" s="127"/>
      <c r="L931" s="20"/>
      <c r="M931" s="20"/>
      <c r="N931" s="20"/>
      <c r="O931" s="124"/>
      <c r="P931" s="127"/>
      <c r="Q931" s="20"/>
      <c r="R931" s="20"/>
      <c r="S931" s="20"/>
      <c r="T931" s="124"/>
      <c r="U931" s="127"/>
      <c r="V931" s="20"/>
      <c r="W931" s="20"/>
      <c r="X931" s="20"/>
      <c r="Y931" s="20"/>
      <c r="Z931" s="20"/>
      <c r="AA931" s="20"/>
      <c r="AB931" s="20"/>
      <c r="AC931" s="20"/>
      <c r="AD931" s="20"/>
    </row>
    <row r="932" spans="1:30" ht="19.5">
      <c r="A932" s="20"/>
      <c r="B932" s="20"/>
      <c r="C932" s="20"/>
      <c r="D932" s="20"/>
      <c r="E932" s="20"/>
      <c r="F932" s="124"/>
      <c r="G932" s="20"/>
      <c r="H932" s="20"/>
      <c r="I932" s="20"/>
      <c r="J932" s="124"/>
      <c r="K932" s="127"/>
      <c r="L932" s="20"/>
      <c r="M932" s="20"/>
      <c r="N932" s="20"/>
      <c r="O932" s="124"/>
      <c r="P932" s="127"/>
      <c r="Q932" s="20"/>
      <c r="R932" s="20"/>
      <c r="S932" s="20"/>
      <c r="T932" s="124"/>
      <c r="U932" s="127"/>
      <c r="V932" s="20"/>
      <c r="W932" s="20"/>
      <c r="X932" s="20"/>
      <c r="Y932" s="20"/>
      <c r="Z932" s="20"/>
      <c r="AA932" s="20"/>
      <c r="AB932" s="20"/>
      <c r="AC932" s="20"/>
      <c r="AD932" s="20"/>
    </row>
    <row r="933" spans="1:30" ht="19.5">
      <c r="A933" s="20"/>
      <c r="B933" s="20"/>
      <c r="C933" s="20"/>
      <c r="D933" s="20"/>
      <c r="E933" s="20"/>
      <c r="F933" s="124"/>
      <c r="G933" s="20"/>
      <c r="H933" s="20"/>
      <c r="I933" s="20"/>
      <c r="J933" s="124"/>
      <c r="K933" s="127"/>
      <c r="L933" s="20"/>
      <c r="M933" s="20"/>
      <c r="N933" s="20"/>
      <c r="O933" s="124"/>
      <c r="P933" s="127"/>
      <c r="Q933" s="20"/>
      <c r="R933" s="20"/>
      <c r="S933" s="20"/>
      <c r="T933" s="124"/>
      <c r="U933" s="127"/>
      <c r="V933" s="20"/>
      <c r="W933" s="20"/>
      <c r="X933" s="20"/>
      <c r="Y933" s="20"/>
      <c r="Z933" s="20"/>
      <c r="AA933" s="20"/>
      <c r="AB933" s="20"/>
      <c r="AC933" s="20"/>
      <c r="AD933" s="20"/>
    </row>
    <row r="934" spans="1:30" ht="19.5">
      <c r="A934" s="20"/>
      <c r="B934" s="20"/>
      <c r="C934" s="20"/>
      <c r="D934" s="20"/>
      <c r="E934" s="20"/>
      <c r="F934" s="124"/>
      <c r="G934" s="20"/>
      <c r="H934" s="20"/>
      <c r="I934" s="20"/>
      <c r="J934" s="124"/>
      <c r="K934" s="127"/>
      <c r="L934" s="20"/>
      <c r="M934" s="20"/>
      <c r="N934" s="20"/>
      <c r="O934" s="124"/>
      <c r="P934" s="127"/>
      <c r="Q934" s="20"/>
      <c r="R934" s="20"/>
      <c r="S934" s="20"/>
      <c r="T934" s="124"/>
      <c r="U934" s="127"/>
      <c r="V934" s="20"/>
      <c r="W934" s="20"/>
      <c r="X934" s="20"/>
      <c r="Y934" s="20"/>
      <c r="Z934" s="20"/>
      <c r="AA934" s="20"/>
      <c r="AB934" s="20"/>
      <c r="AC934" s="20"/>
      <c r="AD934" s="20"/>
    </row>
    <row r="935" spans="1:30" ht="19.5">
      <c r="A935" s="20"/>
      <c r="B935" s="20"/>
      <c r="C935" s="20"/>
      <c r="D935" s="20"/>
      <c r="E935" s="20"/>
      <c r="F935" s="124"/>
      <c r="G935" s="20"/>
      <c r="H935" s="20"/>
      <c r="I935" s="20"/>
      <c r="J935" s="124"/>
      <c r="K935" s="127"/>
      <c r="L935" s="20"/>
      <c r="M935" s="20"/>
      <c r="N935" s="20"/>
      <c r="O935" s="124"/>
      <c r="P935" s="127"/>
      <c r="Q935" s="20"/>
      <c r="R935" s="20"/>
      <c r="S935" s="20"/>
      <c r="T935" s="124"/>
      <c r="U935" s="127"/>
      <c r="V935" s="20"/>
      <c r="W935" s="20"/>
      <c r="X935" s="20"/>
      <c r="Y935" s="20"/>
      <c r="Z935" s="20"/>
      <c r="AA935" s="20"/>
      <c r="AB935" s="20"/>
      <c r="AC935" s="20"/>
      <c r="AD935" s="20"/>
    </row>
    <row r="936" spans="1:30" ht="19.5">
      <c r="A936" s="20"/>
      <c r="B936" s="20"/>
      <c r="C936" s="20"/>
      <c r="D936" s="20"/>
      <c r="E936" s="20"/>
      <c r="F936" s="124"/>
      <c r="G936" s="20"/>
      <c r="H936" s="20"/>
      <c r="I936" s="20"/>
      <c r="J936" s="124"/>
      <c r="K936" s="127"/>
      <c r="L936" s="20"/>
      <c r="M936" s="20"/>
      <c r="N936" s="20"/>
      <c r="O936" s="124"/>
      <c r="P936" s="127"/>
      <c r="Q936" s="20"/>
      <c r="R936" s="20"/>
      <c r="S936" s="20"/>
      <c r="T936" s="124"/>
      <c r="U936" s="127"/>
      <c r="V936" s="20"/>
      <c r="W936" s="20"/>
      <c r="X936" s="20"/>
      <c r="Y936" s="20"/>
      <c r="Z936" s="20"/>
      <c r="AA936" s="20"/>
      <c r="AB936" s="20"/>
      <c r="AC936" s="20"/>
      <c r="AD936" s="20"/>
    </row>
    <row r="937" spans="1:30" ht="19.5">
      <c r="A937" s="20"/>
      <c r="B937" s="20"/>
      <c r="C937" s="20"/>
      <c r="D937" s="20"/>
      <c r="E937" s="20"/>
      <c r="F937" s="124"/>
      <c r="G937" s="20"/>
      <c r="H937" s="20"/>
      <c r="I937" s="20"/>
      <c r="J937" s="124"/>
      <c r="K937" s="127"/>
      <c r="L937" s="20"/>
      <c r="M937" s="20"/>
      <c r="N937" s="20"/>
      <c r="O937" s="124"/>
      <c r="P937" s="127"/>
      <c r="Q937" s="20"/>
      <c r="R937" s="20"/>
      <c r="S937" s="20"/>
      <c r="T937" s="124"/>
      <c r="U937" s="127"/>
      <c r="V937" s="20"/>
      <c r="W937" s="20"/>
      <c r="X937" s="20"/>
      <c r="Y937" s="20"/>
      <c r="Z937" s="20"/>
      <c r="AA937" s="20"/>
      <c r="AB937" s="20"/>
      <c r="AC937" s="20"/>
      <c r="AD937" s="20"/>
    </row>
    <row r="938" spans="1:30" ht="19.5">
      <c r="A938" s="20"/>
      <c r="B938" s="20"/>
      <c r="C938" s="20"/>
      <c r="D938" s="20"/>
      <c r="E938" s="20"/>
      <c r="F938" s="124"/>
      <c r="G938" s="20"/>
      <c r="H938" s="20"/>
      <c r="I938" s="20"/>
      <c r="J938" s="124"/>
      <c r="K938" s="127"/>
      <c r="L938" s="20"/>
      <c r="M938" s="20"/>
      <c r="N938" s="20"/>
      <c r="O938" s="124"/>
      <c r="P938" s="127"/>
      <c r="Q938" s="20"/>
      <c r="R938" s="20"/>
      <c r="S938" s="20"/>
      <c r="T938" s="124"/>
      <c r="U938" s="127"/>
      <c r="V938" s="20"/>
      <c r="W938" s="20"/>
      <c r="X938" s="20"/>
      <c r="Y938" s="20"/>
      <c r="Z938" s="20"/>
      <c r="AA938" s="20"/>
      <c r="AB938" s="20"/>
      <c r="AC938" s="20"/>
      <c r="AD938" s="20"/>
    </row>
    <row r="939" spans="1:30" ht="19.5">
      <c r="A939" s="20"/>
      <c r="B939" s="20"/>
      <c r="C939" s="20"/>
      <c r="D939" s="20"/>
      <c r="E939" s="20"/>
      <c r="F939" s="124"/>
      <c r="G939" s="20"/>
      <c r="H939" s="20"/>
      <c r="I939" s="20"/>
      <c r="J939" s="124"/>
      <c r="K939" s="127"/>
      <c r="L939" s="20"/>
      <c r="M939" s="20"/>
      <c r="N939" s="20"/>
      <c r="O939" s="124"/>
      <c r="P939" s="127"/>
      <c r="Q939" s="20"/>
      <c r="R939" s="20"/>
      <c r="S939" s="20"/>
      <c r="T939" s="124"/>
      <c r="U939" s="127"/>
      <c r="V939" s="20"/>
      <c r="W939" s="20"/>
      <c r="X939" s="20"/>
      <c r="Y939" s="20"/>
      <c r="Z939" s="20"/>
      <c r="AA939" s="20"/>
      <c r="AB939" s="20"/>
      <c r="AC939" s="20"/>
      <c r="AD939" s="20"/>
    </row>
    <row r="940" spans="1:30" ht="19.5">
      <c r="A940" s="20"/>
      <c r="B940" s="20"/>
      <c r="C940" s="20"/>
      <c r="D940" s="20"/>
      <c r="E940" s="20"/>
      <c r="F940" s="124"/>
      <c r="G940" s="20"/>
      <c r="H940" s="20"/>
      <c r="I940" s="20"/>
      <c r="J940" s="124"/>
      <c r="K940" s="127"/>
      <c r="L940" s="20"/>
      <c r="M940" s="20"/>
      <c r="N940" s="20"/>
      <c r="O940" s="124"/>
      <c r="P940" s="127"/>
      <c r="Q940" s="20"/>
      <c r="R940" s="20"/>
      <c r="S940" s="20"/>
      <c r="T940" s="124"/>
      <c r="U940" s="127"/>
      <c r="V940" s="20"/>
      <c r="W940" s="20"/>
      <c r="X940" s="20"/>
      <c r="Y940" s="20"/>
      <c r="Z940" s="20"/>
      <c r="AA940" s="20"/>
      <c r="AB940" s="20"/>
      <c r="AC940" s="20"/>
      <c r="AD940" s="20"/>
    </row>
    <row r="941" spans="1:30" ht="19.5">
      <c r="A941" s="20"/>
      <c r="B941" s="20"/>
      <c r="C941" s="20"/>
      <c r="D941" s="20"/>
      <c r="E941" s="20"/>
      <c r="F941" s="124"/>
      <c r="G941" s="20"/>
      <c r="H941" s="20"/>
      <c r="I941" s="20"/>
      <c r="J941" s="124"/>
      <c r="K941" s="127"/>
      <c r="L941" s="20"/>
      <c r="M941" s="20"/>
      <c r="N941" s="20"/>
      <c r="O941" s="124"/>
      <c r="P941" s="127"/>
      <c r="Q941" s="20"/>
      <c r="R941" s="20"/>
      <c r="S941" s="20"/>
      <c r="T941" s="124"/>
      <c r="U941" s="127"/>
      <c r="V941" s="20"/>
      <c r="W941" s="20"/>
      <c r="X941" s="20"/>
      <c r="Y941" s="20"/>
      <c r="Z941" s="20"/>
      <c r="AA941" s="20"/>
      <c r="AB941" s="20"/>
      <c r="AC941" s="20"/>
      <c r="AD941" s="20"/>
    </row>
    <row r="942" spans="1:30" ht="19.5">
      <c r="A942" s="20"/>
      <c r="B942" s="20"/>
      <c r="C942" s="20"/>
      <c r="D942" s="20"/>
      <c r="E942" s="20"/>
      <c r="F942" s="124"/>
      <c r="G942" s="20"/>
      <c r="H942" s="20"/>
      <c r="I942" s="20"/>
      <c r="J942" s="124"/>
      <c r="K942" s="127"/>
      <c r="L942" s="20"/>
      <c r="M942" s="20"/>
      <c r="N942" s="20"/>
      <c r="O942" s="124"/>
      <c r="P942" s="127"/>
      <c r="Q942" s="20"/>
      <c r="R942" s="20"/>
      <c r="S942" s="20"/>
      <c r="T942" s="124"/>
      <c r="U942" s="127"/>
      <c r="V942" s="20"/>
      <c r="W942" s="20"/>
      <c r="X942" s="20"/>
      <c r="Y942" s="20"/>
      <c r="Z942" s="20"/>
      <c r="AA942" s="20"/>
      <c r="AB942" s="20"/>
      <c r="AC942" s="20"/>
      <c r="AD942" s="20"/>
    </row>
    <row r="943" spans="1:30" ht="19.5">
      <c r="A943" s="20"/>
      <c r="B943" s="20"/>
      <c r="C943" s="20"/>
      <c r="D943" s="20"/>
      <c r="E943" s="20"/>
      <c r="F943" s="124"/>
      <c r="G943" s="20"/>
      <c r="H943" s="20"/>
      <c r="I943" s="20"/>
      <c r="J943" s="124"/>
      <c r="K943" s="127"/>
      <c r="L943" s="20"/>
      <c r="M943" s="20"/>
      <c r="N943" s="20"/>
      <c r="O943" s="124"/>
      <c r="P943" s="127"/>
      <c r="Q943" s="20"/>
      <c r="R943" s="20"/>
      <c r="S943" s="20"/>
      <c r="T943" s="124"/>
      <c r="U943" s="127"/>
      <c r="V943" s="20"/>
      <c r="W943" s="20"/>
      <c r="X943" s="20"/>
      <c r="Y943" s="20"/>
      <c r="Z943" s="20"/>
      <c r="AA943" s="20"/>
      <c r="AB943" s="20"/>
      <c r="AC943" s="20"/>
      <c r="AD943" s="20"/>
    </row>
    <row r="944" spans="1:30" ht="19.5">
      <c r="A944" s="20"/>
      <c r="B944" s="20"/>
      <c r="C944" s="20"/>
      <c r="D944" s="20"/>
      <c r="E944" s="20"/>
      <c r="F944" s="124"/>
      <c r="G944" s="20"/>
      <c r="H944" s="20"/>
      <c r="I944" s="20"/>
      <c r="J944" s="124"/>
      <c r="K944" s="127"/>
      <c r="L944" s="20"/>
      <c r="M944" s="20"/>
      <c r="N944" s="20"/>
      <c r="O944" s="124"/>
      <c r="P944" s="127"/>
      <c r="Q944" s="20"/>
      <c r="R944" s="20"/>
      <c r="S944" s="20"/>
      <c r="T944" s="124"/>
      <c r="U944" s="127"/>
      <c r="V944" s="20"/>
      <c r="W944" s="20"/>
      <c r="X944" s="20"/>
      <c r="Y944" s="20"/>
      <c r="Z944" s="20"/>
      <c r="AA944" s="20"/>
      <c r="AB944" s="20"/>
      <c r="AC944" s="20"/>
      <c r="AD944" s="20"/>
    </row>
    <row r="945" spans="1:30" ht="19.5">
      <c r="A945" s="20"/>
      <c r="B945" s="20"/>
      <c r="C945" s="20"/>
      <c r="D945" s="20"/>
      <c r="E945" s="20"/>
      <c r="F945" s="124"/>
      <c r="G945" s="20"/>
      <c r="H945" s="20"/>
      <c r="I945" s="20"/>
      <c r="J945" s="124"/>
      <c r="K945" s="127"/>
      <c r="L945" s="20"/>
      <c r="M945" s="20"/>
      <c r="N945" s="20"/>
      <c r="O945" s="124"/>
      <c r="P945" s="127"/>
      <c r="Q945" s="20"/>
      <c r="R945" s="20"/>
      <c r="S945" s="20"/>
      <c r="T945" s="124"/>
      <c r="U945" s="127"/>
      <c r="V945" s="20"/>
      <c r="W945" s="20"/>
      <c r="X945" s="20"/>
      <c r="Y945" s="20"/>
      <c r="Z945" s="20"/>
      <c r="AA945" s="20"/>
      <c r="AB945" s="20"/>
      <c r="AC945" s="20"/>
      <c r="AD945" s="20"/>
    </row>
    <row r="946" spans="1:30" ht="19.5">
      <c r="A946" s="20"/>
      <c r="B946" s="20"/>
      <c r="C946" s="20"/>
      <c r="D946" s="20"/>
      <c r="E946" s="20"/>
      <c r="F946" s="124"/>
      <c r="G946" s="20"/>
      <c r="H946" s="20"/>
      <c r="I946" s="20"/>
      <c r="J946" s="124"/>
      <c r="K946" s="127"/>
      <c r="L946" s="20"/>
      <c r="M946" s="20"/>
      <c r="N946" s="20"/>
      <c r="O946" s="124"/>
      <c r="P946" s="127"/>
      <c r="Q946" s="20"/>
      <c r="R946" s="20"/>
      <c r="S946" s="20"/>
      <c r="T946" s="124"/>
      <c r="U946" s="127"/>
      <c r="V946" s="20"/>
      <c r="W946" s="20"/>
      <c r="X946" s="20"/>
      <c r="Y946" s="20"/>
      <c r="Z946" s="20"/>
      <c r="AA946" s="20"/>
      <c r="AB946" s="20"/>
      <c r="AC946" s="20"/>
      <c r="AD946" s="20"/>
    </row>
    <row r="947" spans="1:30" ht="19.5">
      <c r="A947" s="20"/>
      <c r="B947" s="20"/>
      <c r="C947" s="20"/>
      <c r="D947" s="20"/>
      <c r="E947" s="20"/>
      <c r="F947" s="124"/>
      <c r="G947" s="20"/>
      <c r="H947" s="20"/>
      <c r="I947" s="20"/>
      <c r="J947" s="124"/>
      <c r="K947" s="127"/>
      <c r="L947" s="20"/>
      <c r="M947" s="20"/>
      <c r="N947" s="20"/>
      <c r="O947" s="124"/>
      <c r="P947" s="127"/>
      <c r="Q947" s="20"/>
      <c r="R947" s="20"/>
      <c r="S947" s="20"/>
      <c r="T947" s="124"/>
      <c r="U947" s="127"/>
      <c r="V947" s="20"/>
      <c r="W947" s="20"/>
      <c r="X947" s="20"/>
      <c r="Y947" s="20"/>
      <c r="Z947" s="20"/>
      <c r="AA947" s="20"/>
      <c r="AB947" s="20"/>
      <c r="AC947" s="20"/>
      <c r="AD947" s="20"/>
    </row>
    <row r="948" spans="1:30" ht="19.5">
      <c r="A948" s="20"/>
      <c r="B948" s="20"/>
      <c r="C948" s="20"/>
      <c r="D948" s="20"/>
      <c r="E948" s="20"/>
      <c r="F948" s="124"/>
      <c r="G948" s="20"/>
      <c r="H948" s="20"/>
      <c r="I948" s="20"/>
      <c r="J948" s="124"/>
      <c r="K948" s="127"/>
      <c r="L948" s="20"/>
      <c r="M948" s="20"/>
      <c r="N948" s="20"/>
      <c r="O948" s="124"/>
      <c r="P948" s="127"/>
      <c r="Q948" s="20"/>
      <c r="R948" s="20"/>
      <c r="S948" s="20"/>
      <c r="T948" s="124"/>
      <c r="U948" s="127"/>
      <c r="V948" s="20"/>
      <c r="W948" s="20"/>
      <c r="X948" s="20"/>
      <c r="Y948" s="20"/>
      <c r="Z948" s="20"/>
      <c r="AA948" s="20"/>
      <c r="AB948" s="20"/>
      <c r="AC948" s="20"/>
      <c r="AD948" s="20"/>
    </row>
    <row r="949" spans="1:30" ht="19.5">
      <c r="A949" s="20"/>
      <c r="B949" s="20"/>
      <c r="C949" s="20"/>
      <c r="D949" s="20"/>
      <c r="E949" s="20"/>
      <c r="F949" s="124"/>
      <c r="G949" s="20"/>
      <c r="H949" s="20"/>
      <c r="I949" s="20"/>
      <c r="J949" s="124"/>
      <c r="K949" s="127"/>
      <c r="L949" s="20"/>
      <c r="M949" s="20"/>
      <c r="N949" s="20"/>
      <c r="O949" s="124"/>
      <c r="P949" s="127"/>
      <c r="Q949" s="20"/>
      <c r="R949" s="20"/>
      <c r="S949" s="20"/>
      <c r="T949" s="124"/>
      <c r="U949" s="127"/>
      <c r="V949" s="20"/>
      <c r="W949" s="20"/>
      <c r="X949" s="20"/>
      <c r="Y949" s="20"/>
      <c r="Z949" s="20"/>
      <c r="AA949" s="20"/>
      <c r="AB949" s="20"/>
      <c r="AC949" s="20"/>
      <c r="AD949" s="20"/>
    </row>
    <row r="950" spans="1:30" ht="19.5">
      <c r="A950" s="20"/>
      <c r="B950" s="20"/>
      <c r="C950" s="20"/>
      <c r="D950" s="20"/>
      <c r="E950" s="20"/>
      <c r="F950" s="124"/>
      <c r="G950" s="20"/>
      <c r="H950" s="20"/>
      <c r="I950" s="20"/>
      <c r="J950" s="124"/>
      <c r="K950" s="127"/>
      <c r="L950" s="20"/>
      <c r="M950" s="20"/>
      <c r="N950" s="20"/>
      <c r="O950" s="124"/>
      <c r="P950" s="127"/>
      <c r="Q950" s="20"/>
      <c r="R950" s="20"/>
      <c r="S950" s="20"/>
      <c r="T950" s="124"/>
      <c r="U950" s="127"/>
      <c r="V950" s="20"/>
      <c r="W950" s="20"/>
      <c r="X950" s="20"/>
      <c r="Y950" s="20"/>
      <c r="Z950" s="20"/>
      <c r="AA950" s="20"/>
      <c r="AB950" s="20"/>
      <c r="AC950" s="20"/>
      <c r="AD950" s="20"/>
    </row>
    <row r="951" spans="1:30" ht="19.5">
      <c r="A951" s="20"/>
      <c r="B951" s="20"/>
      <c r="C951" s="20"/>
      <c r="D951" s="20"/>
      <c r="E951" s="20"/>
      <c r="F951" s="124"/>
      <c r="G951" s="20"/>
      <c r="H951" s="20"/>
      <c r="I951" s="20"/>
      <c r="J951" s="124"/>
      <c r="K951" s="127"/>
      <c r="L951" s="20"/>
      <c r="M951" s="20"/>
      <c r="N951" s="20"/>
      <c r="O951" s="124"/>
      <c r="P951" s="127"/>
      <c r="Q951" s="20"/>
      <c r="R951" s="20"/>
      <c r="S951" s="20"/>
      <c r="T951" s="124"/>
      <c r="U951" s="127"/>
      <c r="V951" s="20"/>
      <c r="W951" s="20"/>
      <c r="X951" s="20"/>
      <c r="Y951" s="20"/>
      <c r="Z951" s="20"/>
      <c r="AA951" s="20"/>
      <c r="AB951" s="20"/>
      <c r="AC951" s="20"/>
      <c r="AD951" s="20"/>
    </row>
    <row r="952" spans="1:30" ht="19.5">
      <c r="A952" s="20"/>
      <c r="B952" s="20"/>
      <c r="C952" s="20"/>
      <c r="D952" s="20"/>
      <c r="E952" s="20"/>
      <c r="F952" s="124"/>
      <c r="G952" s="20"/>
      <c r="H952" s="20"/>
      <c r="I952" s="20"/>
      <c r="J952" s="124"/>
      <c r="K952" s="127"/>
      <c r="L952" s="20"/>
      <c r="M952" s="20"/>
      <c r="N952" s="20"/>
      <c r="O952" s="124"/>
      <c r="P952" s="127"/>
      <c r="Q952" s="20"/>
      <c r="R952" s="20"/>
      <c r="S952" s="20"/>
      <c r="T952" s="124"/>
      <c r="U952" s="127"/>
      <c r="V952" s="20"/>
      <c r="W952" s="20"/>
      <c r="X952" s="20"/>
      <c r="Y952" s="20"/>
      <c r="Z952" s="20"/>
      <c r="AA952" s="20"/>
      <c r="AB952" s="20"/>
      <c r="AC952" s="20"/>
      <c r="AD952" s="20"/>
    </row>
    <row r="953" spans="1:30" ht="19.5">
      <c r="A953" s="20"/>
      <c r="B953" s="20"/>
      <c r="C953" s="20"/>
      <c r="D953" s="20"/>
      <c r="E953" s="20"/>
      <c r="F953" s="124"/>
      <c r="G953" s="20"/>
      <c r="H953" s="20"/>
      <c r="I953" s="20"/>
      <c r="J953" s="124"/>
      <c r="K953" s="127"/>
      <c r="L953" s="20"/>
      <c r="M953" s="20"/>
      <c r="N953" s="20"/>
      <c r="O953" s="124"/>
      <c r="P953" s="127"/>
      <c r="Q953" s="20"/>
      <c r="R953" s="20"/>
      <c r="S953" s="20"/>
      <c r="T953" s="124"/>
      <c r="U953" s="127"/>
      <c r="V953" s="20"/>
      <c r="W953" s="20"/>
      <c r="X953" s="20"/>
      <c r="Y953" s="20"/>
      <c r="Z953" s="20"/>
      <c r="AA953" s="20"/>
      <c r="AB953" s="20"/>
      <c r="AC953" s="20"/>
      <c r="AD953" s="20"/>
    </row>
    <row r="954" spans="1:30" ht="19.5">
      <c r="A954" s="20"/>
      <c r="B954" s="20"/>
      <c r="C954" s="20"/>
      <c r="D954" s="20"/>
      <c r="E954" s="20"/>
      <c r="F954" s="124"/>
      <c r="G954" s="20"/>
      <c r="H954" s="20"/>
      <c r="I954" s="20"/>
      <c r="J954" s="124"/>
      <c r="K954" s="127"/>
      <c r="L954" s="20"/>
      <c r="M954" s="20"/>
      <c r="N954" s="20"/>
      <c r="O954" s="124"/>
      <c r="P954" s="127"/>
      <c r="Q954" s="20"/>
      <c r="R954" s="20"/>
      <c r="S954" s="20"/>
      <c r="T954" s="124"/>
      <c r="U954" s="127"/>
      <c r="V954" s="20"/>
      <c r="W954" s="20"/>
      <c r="X954" s="20"/>
      <c r="Y954" s="20"/>
      <c r="Z954" s="20"/>
      <c r="AA954" s="20"/>
      <c r="AB954" s="20"/>
      <c r="AC954" s="20"/>
      <c r="AD954" s="20"/>
    </row>
    <row r="955" spans="1:30" ht="19.5">
      <c r="A955" s="20"/>
      <c r="B955" s="20"/>
      <c r="C955" s="20"/>
      <c r="D955" s="20"/>
      <c r="E955" s="20"/>
      <c r="F955" s="124"/>
      <c r="G955" s="20"/>
      <c r="H955" s="20"/>
      <c r="I955" s="20"/>
      <c r="J955" s="124"/>
      <c r="K955" s="127"/>
      <c r="L955" s="20"/>
      <c r="M955" s="20"/>
      <c r="N955" s="20"/>
      <c r="O955" s="124"/>
      <c r="P955" s="127"/>
      <c r="Q955" s="20"/>
      <c r="R955" s="20"/>
      <c r="S955" s="20"/>
      <c r="T955" s="124"/>
      <c r="U955" s="127"/>
      <c r="V955" s="20"/>
      <c r="W955" s="20"/>
      <c r="X955" s="20"/>
      <c r="Y955" s="20"/>
      <c r="Z955" s="20"/>
      <c r="AA955" s="20"/>
      <c r="AB955" s="20"/>
      <c r="AC955" s="20"/>
      <c r="AD955" s="20"/>
    </row>
    <row r="956" spans="1:30" ht="19.5">
      <c r="A956" s="20"/>
      <c r="B956" s="20"/>
      <c r="C956" s="20"/>
      <c r="D956" s="20"/>
      <c r="E956" s="20"/>
      <c r="F956" s="124"/>
      <c r="G956" s="20"/>
      <c r="H956" s="20"/>
      <c r="I956" s="20"/>
      <c r="J956" s="124"/>
      <c r="K956" s="127"/>
      <c r="L956" s="20"/>
      <c r="M956" s="20"/>
      <c r="N956" s="20"/>
      <c r="O956" s="124"/>
      <c r="P956" s="127"/>
      <c r="Q956" s="20"/>
      <c r="R956" s="20"/>
      <c r="S956" s="20"/>
      <c r="T956" s="124"/>
      <c r="U956" s="127"/>
      <c r="V956" s="20"/>
      <c r="W956" s="20"/>
      <c r="X956" s="20"/>
      <c r="Y956" s="20"/>
      <c r="Z956" s="20"/>
      <c r="AA956" s="20"/>
      <c r="AB956" s="20"/>
      <c r="AC956" s="20"/>
      <c r="AD956" s="20"/>
    </row>
    <row r="957" spans="1:30" ht="19.5">
      <c r="A957" s="20"/>
      <c r="B957" s="20"/>
      <c r="C957" s="20"/>
      <c r="D957" s="20"/>
      <c r="E957" s="20"/>
      <c r="F957" s="124"/>
      <c r="G957" s="20"/>
      <c r="H957" s="20"/>
      <c r="I957" s="20"/>
      <c r="J957" s="124"/>
      <c r="K957" s="127"/>
      <c r="L957" s="20"/>
      <c r="M957" s="20"/>
      <c r="N957" s="20"/>
      <c r="O957" s="124"/>
      <c r="P957" s="127"/>
      <c r="Q957" s="20"/>
      <c r="R957" s="20"/>
      <c r="S957" s="20"/>
      <c r="T957" s="124"/>
      <c r="U957" s="127"/>
      <c r="V957" s="20"/>
      <c r="W957" s="20"/>
      <c r="X957" s="20"/>
      <c r="Y957" s="20"/>
      <c r="Z957" s="20"/>
      <c r="AA957" s="20"/>
      <c r="AB957" s="20"/>
      <c r="AC957" s="20"/>
      <c r="AD957" s="20"/>
    </row>
    <row r="958" spans="1:30" ht="19.5">
      <c r="A958" s="20"/>
      <c r="B958" s="20"/>
      <c r="C958" s="20"/>
      <c r="D958" s="20"/>
      <c r="E958" s="20"/>
      <c r="F958" s="124"/>
      <c r="G958" s="20"/>
      <c r="H958" s="20"/>
      <c r="I958" s="20"/>
      <c r="J958" s="124"/>
      <c r="K958" s="127"/>
      <c r="L958" s="20"/>
      <c r="M958" s="20"/>
      <c r="N958" s="20"/>
      <c r="O958" s="124"/>
      <c r="P958" s="127"/>
      <c r="Q958" s="20"/>
      <c r="R958" s="20"/>
      <c r="S958" s="20"/>
      <c r="T958" s="124"/>
      <c r="U958" s="127"/>
      <c r="V958" s="20"/>
      <c r="W958" s="20"/>
      <c r="X958" s="20"/>
      <c r="Y958" s="20"/>
      <c r="Z958" s="20"/>
      <c r="AA958" s="20"/>
      <c r="AB958" s="20"/>
      <c r="AC958" s="20"/>
      <c r="AD958" s="20"/>
    </row>
    <row r="959" spans="1:30" ht="19.5">
      <c r="A959" s="20"/>
      <c r="B959" s="20"/>
      <c r="C959" s="20"/>
      <c r="D959" s="20"/>
      <c r="E959" s="20"/>
      <c r="F959" s="124"/>
      <c r="G959" s="20"/>
      <c r="H959" s="20"/>
      <c r="I959" s="20"/>
      <c r="J959" s="124"/>
      <c r="K959" s="127"/>
      <c r="L959" s="20"/>
      <c r="M959" s="20"/>
      <c r="N959" s="20"/>
      <c r="O959" s="124"/>
      <c r="P959" s="127"/>
      <c r="Q959" s="20"/>
      <c r="R959" s="20"/>
      <c r="S959" s="20"/>
      <c r="T959" s="124"/>
      <c r="U959" s="127"/>
      <c r="V959" s="20"/>
      <c r="W959" s="20"/>
      <c r="X959" s="20"/>
      <c r="Y959" s="20"/>
      <c r="Z959" s="20"/>
      <c r="AA959" s="20"/>
      <c r="AB959" s="20"/>
      <c r="AC959" s="20"/>
      <c r="AD959" s="20"/>
    </row>
    <row r="960" spans="1:30" ht="19.5">
      <c r="A960" s="20"/>
      <c r="B960" s="20"/>
      <c r="C960" s="20"/>
      <c r="D960" s="20"/>
      <c r="E960" s="20"/>
      <c r="F960" s="124"/>
      <c r="G960" s="20"/>
      <c r="H960" s="20"/>
      <c r="I960" s="20"/>
      <c r="J960" s="124"/>
      <c r="K960" s="127"/>
      <c r="L960" s="20"/>
      <c r="M960" s="20"/>
      <c r="N960" s="20"/>
      <c r="O960" s="124"/>
      <c r="P960" s="127"/>
      <c r="Q960" s="20"/>
      <c r="R960" s="20"/>
      <c r="S960" s="20"/>
      <c r="T960" s="124"/>
      <c r="U960" s="127"/>
      <c r="V960" s="20"/>
      <c r="W960" s="20"/>
      <c r="X960" s="20"/>
      <c r="Y960" s="20"/>
      <c r="Z960" s="20"/>
      <c r="AA960" s="20"/>
      <c r="AB960" s="20"/>
      <c r="AC960" s="20"/>
      <c r="AD960" s="20"/>
    </row>
    <row r="961" spans="1:30" ht="19.5">
      <c r="A961" s="20"/>
      <c r="B961" s="20"/>
      <c r="C961" s="20"/>
      <c r="D961" s="20"/>
      <c r="E961" s="20"/>
      <c r="F961" s="124"/>
      <c r="G961" s="20"/>
      <c r="H961" s="20"/>
      <c r="I961" s="20"/>
      <c r="J961" s="124"/>
      <c r="K961" s="127"/>
      <c r="L961" s="20"/>
      <c r="M961" s="20"/>
      <c r="N961" s="20"/>
      <c r="O961" s="124"/>
      <c r="P961" s="127"/>
      <c r="Q961" s="20"/>
      <c r="R961" s="20"/>
      <c r="S961" s="20"/>
      <c r="T961" s="124"/>
      <c r="U961" s="127"/>
      <c r="V961" s="20"/>
      <c r="W961" s="20"/>
      <c r="X961" s="20"/>
      <c r="Y961" s="20"/>
      <c r="Z961" s="20"/>
      <c r="AA961" s="20"/>
      <c r="AB961" s="20"/>
      <c r="AC961" s="20"/>
      <c r="AD961" s="20"/>
    </row>
    <row r="962" spans="1:30" ht="19.5">
      <c r="A962" s="20"/>
      <c r="B962" s="20"/>
      <c r="C962" s="20"/>
      <c r="D962" s="20"/>
      <c r="E962" s="20"/>
      <c r="F962" s="124"/>
      <c r="G962" s="20"/>
      <c r="H962" s="20"/>
      <c r="I962" s="20"/>
      <c r="J962" s="124"/>
      <c r="K962" s="127"/>
      <c r="L962" s="20"/>
      <c r="M962" s="20"/>
      <c r="N962" s="20"/>
      <c r="O962" s="124"/>
      <c r="P962" s="127"/>
      <c r="Q962" s="20"/>
      <c r="R962" s="20"/>
      <c r="S962" s="20"/>
      <c r="T962" s="124"/>
      <c r="U962" s="127"/>
      <c r="V962" s="20"/>
      <c r="W962" s="20"/>
      <c r="X962" s="20"/>
      <c r="Y962" s="20"/>
      <c r="Z962" s="20"/>
      <c r="AA962" s="20"/>
      <c r="AB962" s="20"/>
      <c r="AC962" s="20"/>
      <c r="AD962" s="20"/>
    </row>
    <row r="963" spans="1:30" ht="19.5">
      <c r="A963" s="20"/>
      <c r="B963" s="20"/>
      <c r="C963" s="20"/>
      <c r="D963" s="20"/>
      <c r="E963" s="20"/>
      <c r="F963" s="124"/>
      <c r="G963" s="20"/>
      <c r="H963" s="20"/>
      <c r="I963" s="20"/>
      <c r="J963" s="124"/>
      <c r="K963" s="127"/>
      <c r="L963" s="20"/>
      <c r="M963" s="20"/>
      <c r="N963" s="20"/>
      <c r="O963" s="124"/>
      <c r="P963" s="127"/>
      <c r="Q963" s="20"/>
      <c r="R963" s="20"/>
      <c r="S963" s="20"/>
      <c r="T963" s="124"/>
      <c r="U963" s="127"/>
      <c r="V963" s="20"/>
      <c r="W963" s="20"/>
      <c r="X963" s="20"/>
      <c r="Y963" s="20"/>
      <c r="Z963" s="20"/>
      <c r="AA963" s="20"/>
      <c r="AB963" s="20"/>
      <c r="AC963" s="20"/>
      <c r="AD963" s="20"/>
    </row>
    <row r="964" spans="1:30" ht="19.5">
      <c r="A964" s="20"/>
      <c r="B964" s="20"/>
      <c r="C964" s="20"/>
      <c r="D964" s="20"/>
      <c r="E964" s="20"/>
      <c r="F964" s="124"/>
      <c r="G964" s="20"/>
      <c r="H964" s="20"/>
      <c r="I964" s="20"/>
      <c r="J964" s="124"/>
      <c r="K964" s="127"/>
      <c r="L964" s="20"/>
      <c r="M964" s="20"/>
      <c r="N964" s="20"/>
      <c r="O964" s="124"/>
      <c r="P964" s="127"/>
      <c r="Q964" s="20"/>
      <c r="R964" s="20"/>
      <c r="S964" s="20"/>
      <c r="T964" s="124"/>
      <c r="U964" s="127"/>
      <c r="V964" s="20"/>
      <c r="W964" s="20"/>
      <c r="X964" s="20"/>
      <c r="Y964" s="20"/>
      <c r="Z964" s="20"/>
      <c r="AA964" s="20"/>
      <c r="AB964" s="20"/>
      <c r="AC964" s="20"/>
      <c r="AD964" s="20"/>
    </row>
    <row r="965" spans="1:30" ht="19.5">
      <c r="A965" s="20"/>
      <c r="B965" s="20"/>
      <c r="C965" s="20"/>
      <c r="D965" s="20"/>
      <c r="E965" s="20"/>
      <c r="F965" s="124"/>
      <c r="G965" s="20"/>
      <c r="H965" s="20"/>
      <c r="I965" s="20"/>
      <c r="J965" s="124"/>
      <c r="K965" s="127"/>
      <c r="L965" s="20"/>
      <c r="M965" s="20"/>
      <c r="N965" s="20"/>
      <c r="O965" s="124"/>
      <c r="P965" s="127"/>
      <c r="Q965" s="20"/>
      <c r="R965" s="20"/>
      <c r="S965" s="20"/>
      <c r="T965" s="124"/>
      <c r="U965" s="127"/>
      <c r="V965" s="20"/>
      <c r="W965" s="20"/>
      <c r="X965" s="20"/>
      <c r="Y965" s="20"/>
      <c r="Z965" s="20"/>
      <c r="AA965" s="20"/>
      <c r="AB965" s="20"/>
      <c r="AC965" s="20"/>
      <c r="AD965" s="20"/>
    </row>
    <row r="966" spans="1:30" ht="19.5">
      <c r="A966" s="20"/>
      <c r="B966" s="20"/>
      <c r="C966" s="20"/>
      <c r="D966" s="20"/>
      <c r="E966" s="20"/>
      <c r="F966" s="124"/>
      <c r="G966" s="20"/>
      <c r="H966" s="20"/>
      <c r="I966" s="20"/>
      <c r="J966" s="124"/>
      <c r="K966" s="127"/>
      <c r="L966" s="20"/>
      <c r="M966" s="20"/>
      <c r="N966" s="20"/>
      <c r="O966" s="124"/>
      <c r="P966" s="127"/>
      <c r="Q966" s="20"/>
      <c r="R966" s="20"/>
      <c r="S966" s="20"/>
      <c r="T966" s="124"/>
      <c r="U966" s="127"/>
      <c r="V966" s="20"/>
      <c r="W966" s="20"/>
      <c r="X966" s="20"/>
      <c r="Y966" s="20"/>
      <c r="Z966" s="20"/>
      <c r="AA966" s="20"/>
      <c r="AB966" s="20"/>
      <c r="AC966" s="20"/>
      <c r="AD966" s="20"/>
    </row>
    <row r="967" spans="1:30" ht="19.5">
      <c r="A967" s="20"/>
      <c r="B967" s="20"/>
      <c r="C967" s="20"/>
      <c r="D967" s="20"/>
      <c r="E967" s="20"/>
      <c r="F967" s="124"/>
      <c r="G967" s="20"/>
      <c r="H967" s="20"/>
      <c r="I967" s="20"/>
      <c r="J967" s="124"/>
      <c r="K967" s="127"/>
      <c r="L967" s="20"/>
      <c r="M967" s="20"/>
      <c r="N967" s="20"/>
      <c r="O967" s="124"/>
      <c r="P967" s="127"/>
      <c r="Q967" s="20"/>
      <c r="R967" s="20"/>
      <c r="S967" s="20"/>
      <c r="T967" s="124"/>
      <c r="U967" s="127"/>
      <c r="V967" s="20"/>
      <c r="W967" s="20"/>
      <c r="X967" s="20"/>
      <c r="Y967" s="20"/>
      <c r="Z967" s="20"/>
      <c r="AA967" s="20"/>
      <c r="AB967" s="20"/>
      <c r="AC967" s="20"/>
      <c r="AD967" s="20"/>
    </row>
    <row r="968" spans="1:30" ht="19.5">
      <c r="A968" s="20"/>
      <c r="B968" s="20"/>
      <c r="C968" s="20"/>
      <c r="D968" s="20"/>
      <c r="E968" s="20"/>
      <c r="F968" s="124"/>
      <c r="G968" s="20"/>
      <c r="H968" s="20"/>
      <c r="I968" s="20"/>
      <c r="J968" s="124"/>
      <c r="K968" s="127"/>
      <c r="L968" s="20"/>
      <c r="M968" s="20"/>
      <c r="N968" s="20"/>
      <c r="O968" s="124"/>
      <c r="P968" s="127"/>
      <c r="Q968" s="20"/>
      <c r="R968" s="20"/>
      <c r="S968" s="20"/>
      <c r="T968" s="124"/>
      <c r="U968" s="127"/>
      <c r="V968" s="20"/>
      <c r="W968" s="20"/>
      <c r="X968" s="20"/>
      <c r="Y968" s="20"/>
      <c r="Z968" s="20"/>
      <c r="AA968" s="20"/>
      <c r="AB968" s="20"/>
      <c r="AC968" s="20"/>
      <c r="AD968" s="20"/>
    </row>
    <row r="969" spans="1:30" ht="19.5">
      <c r="A969" s="20"/>
      <c r="B969" s="20"/>
      <c r="C969" s="20"/>
      <c r="D969" s="20"/>
      <c r="E969" s="20"/>
      <c r="F969" s="124"/>
      <c r="G969" s="20"/>
      <c r="H969" s="20"/>
      <c r="I969" s="20"/>
      <c r="J969" s="124"/>
      <c r="K969" s="127"/>
      <c r="L969" s="20"/>
      <c r="M969" s="20"/>
      <c r="N969" s="20"/>
      <c r="O969" s="124"/>
      <c r="P969" s="127"/>
      <c r="Q969" s="20"/>
      <c r="R969" s="20"/>
      <c r="S969" s="20"/>
      <c r="T969" s="124"/>
      <c r="U969" s="127"/>
      <c r="V969" s="20"/>
      <c r="W969" s="20"/>
      <c r="X969" s="20"/>
      <c r="Y969" s="20"/>
      <c r="Z969" s="20"/>
      <c r="AA969" s="20"/>
      <c r="AB969" s="20"/>
      <c r="AC969" s="20"/>
      <c r="AD969" s="20"/>
    </row>
    <row r="970" spans="1:30" ht="19.5">
      <c r="A970" s="20"/>
      <c r="B970" s="20"/>
      <c r="C970" s="20"/>
      <c r="D970" s="20"/>
      <c r="E970" s="20"/>
      <c r="F970" s="124"/>
      <c r="G970" s="20"/>
      <c r="H970" s="20"/>
      <c r="I970" s="20"/>
      <c r="J970" s="124"/>
      <c r="K970" s="127"/>
      <c r="L970" s="20"/>
      <c r="M970" s="20"/>
      <c r="N970" s="20"/>
      <c r="O970" s="124"/>
      <c r="P970" s="127"/>
      <c r="Q970" s="20"/>
      <c r="R970" s="20"/>
      <c r="S970" s="20"/>
      <c r="T970" s="124"/>
      <c r="U970" s="127"/>
      <c r="V970" s="20"/>
      <c r="W970" s="20"/>
      <c r="X970" s="20"/>
      <c r="Y970" s="20"/>
      <c r="Z970" s="20"/>
      <c r="AA970" s="20"/>
      <c r="AB970" s="20"/>
      <c r="AC970" s="20"/>
      <c r="AD970" s="20"/>
    </row>
    <row r="971" spans="1:30" ht="19.5">
      <c r="A971" s="20"/>
      <c r="B971" s="20"/>
      <c r="C971" s="20"/>
      <c r="D971" s="20"/>
      <c r="E971" s="20"/>
      <c r="F971" s="124"/>
      <c r="G971" s="20"/>
      <c r="H971" s="20"/>
      <c r="I971" s="20"/>
      <c r="J971" s="124"/>
      <c r="K971" s="127"/>
      <c r="L971" s="20"/>
      <c r="M971" s="20"/>
      <c r="N971" s="20"/>
      <c r="O971" s="124"/>
      <c r="P971" s="127"/>
      <c r="Q971" s="20"/>
      <c r="R971" s="20"/>
      <c r="S971" s="20"/>
      <c r="T971" s="124"/>
      <c r="U971" s="127"/>
      <c r="V971" s="20"/>
      <c r="W971" s="20"/>
      <c r="X971" s="20"/>
      <c r="Y971" s="20"/>
      <c r="Z971" s="20"/>
      <c r="AA971" s="20"/>
      <c r="AB971" s="20"/>
      <c r="AC971" s="20"/>
      <c r="AD971" s="20"/>
    </row>
    <row r="972" spans="1:30" ht="19.5">
      <c r="A972" s="20"/>
      <c r="B972" s="20"/>
      <c r="C972" s="20"/>
      <c r="D972" s="20"/>
      <c r="E972" s="20"/>
      <c r="F972" s="124"/>
      <c r="G972" s="20"/>
      <c r="H972" s="20"/>
      <c r="I972" s="20"/>
      <c r="J972" s="124"/>
      <c r="K972" s="127"/>
      <c r="L972" s="20"/>
      <c r="M972" s="20"/>
      <c r="N972" s="20"/>
      <c r="O972" s="124"/>
      <c r="P972" s="127"/>
      <c r="Q972" s="20"/>
      <c r="R972" s="20"/>
      <c r="S972" s="20"/>
      <c r="T972" s="124"/>
      <c r="U972" s="127"/>
      <c r="V972" s="20"/>
      <c r="W972" s="20"/>
      <c r="X972" s="20"/>
      <c r="Y972" s="20"/>
      <c r="Z972" s="20"/>
      <c r="AA972" s="20"/>
      <c r="AB972" s="20"/>
      <c r="AC972" s="20"/>
      <c r="AD972" s="20"/>
    </row>
    <row r="973" spans="1:30" ht="19.5">
      <c r="A973" s="20"/>
      <c r="B973" s="20"/>
      <c r="C973" s="20"/>
      <c r="D973" s="20"/>
      <c r="E973" s="20"/>
      <c r="F973" s="124"/>
      <c r="G973" s="20"/>
      <c r="H973" s="20"/>
      <c r="I973" s="20"/>
      <c r="J973" s="124"/>
      <c r="K973" s="127"/>
      <c r="L973" s="20"/>
      <c r="M973" s="20"/>
      <c r="N973" s="20"/>
      <c r="O973" s="124"/>
      <c r="P973" s="127"/>
      <c r="Q973" s="20"/>
      <c r="R973" s="20"/>
      <c r="S973" s="20"/>
      <c r="T973" s="124"/>
      <c r="U973" s="127"/>
      <c r="V973" s="20"/>
      <c r="W973" s="20"/>
      <c r="X973" s="20"/>
      <c r="Y973" s="20"/>
      <c r="Z973" s="20"/>
      <c r="AA973" s="20"/>
      <c r="AB973" s="20"/>
      <c r="AC973" s="20"/>
      <c r="AD973" s="20"/>
    </row>
    <row r="974" spans="1:30" ht="19.5">
      <c r="A974" s="20"/>
      <c r="B974" s="20"/>
      <c r="C974" s="20"/>
      <c r="D974" s="20"/>
      <c r="E974" s="20"/>
      <c r="F974" s="124"/>
      <c r="G974" s="20"/>
      <c r="H974" s="20"/>
      <c r="I974" s="20"/>
      <c r="J974" s="124"/>
      <c r="K974" s="127"/>
      <c r="L974" s="20"/>
      <c r="M974" s="20"/>
      <c r="N974" s="20"/>
      <c r="O974" s="124"/>
      <c r="P974" s="127"/>
      <c r="Q974" s="20"/>
      <c r="R974" s="20"/>
      <c r="S974" s="20"/>
      <c r="T974" s="124"/>
      <c r="U974" s="127"/>
      <c r="V974" s="20"/>
      <c r="W974" s="20"/>
      <c r="X974" s="20"/>
      <c r="Y974" s="20"/>
      <c r="Z974" s="20"/>
      <c r="AA974" s="20"/>
      <c r="AB974" s="20"/>
      <c r="AC974" s="20"/>
      <c r="AD974" s="20"/>
    </row>
    <row r="975" spans="1:30" ht="19.5">
      <c r="A975" s="20"/>
      <c r="B975" s="20"/>
      <c r="C975" s="20"/>
      <c r="D975" s="20"/>
      <c r="E975" s="20"/>
      <c r="F975" s="124"/>
      <c r="G975" s="20"/>
      <c r="H975" s="20"/>
      <c r="I975" s="20"/>
      <c r="J975" s="124"/>
      <c r="K975" s="127"/>
      <c r="L975" s="20"/>
      <c r="M975" s="20"/>
      <c r="N975" s="20"/>
      <c r="O975" s="124"/>
      <c r="P975" s="127"/>
      <c r="Q975" s="20"/>
      <c r="R975" s="20"/>
      <c r="S975" s="20"/>
      <c r="T975" s="124"/>
      <c r="U975" s="127"/>
      <c r="V975" s="20"/>
      <c r="W975" s="20"/>
      <c r="X975" s="20"/>
      <c r="Y975" s="20"/>
      <c r="Z975" s="20"/>
      <c r="AA975" s="20"/>
      <c r="AB975" s="20"/>
      <c r="AC975" s="20"/>
      <c r="AD975" s="20"/>
    </row>
    <row r="976" spans="1:30" ht="19.5">
      <c r="A976" s="20"/>
      <c r="B976" s="20"/>
      <c r="C976" s="20"/>
      <c r="D976" s="20"/>
      <c r="E976" s="20"/>
      <c r="F976" s="124"/>
      <c r="G976" s="20"/>
      <c r="H976" s="20"/>
      <c r="I976" s="20"/>
      <c r="J976" s="124"/>
      <c r="K976" s="127"/>
      <c r="L976" s="20"/>
      <c r="M976" s="20"/>
      <c r="N976" s="20"/>
      <c r="O976" s="124"/>
      <c r="P976" s="127"/>
      <c r="Q976" s="20"/>
      <c r="R976" s="20"/>
      <c r="S976" s="20"/>
      <c r="T976" s="124"/>
      <c r="U976" s="127"/>
      <c r="V976" s="20"/>
      <c r="W976" s="20"/>
      <c r="X976" s="20"/>
      <c r="Y976" s="20"/>
      <c r="Z976" s="20"/>
      <c r="AA976" s="20"/>
      <c r="AB976" s="20"/>
      <c r="AC976" s="20"/>
      <c r="AD976" s="20"/>
    </row>
    <row r="977" spans="1:30" ht="19.5">
      <c r="A977" s="20"/>
      <c r="B977" s="20"/>
      <c r="C977" s="20"/>
      <c r="D977" s="20"/>
      <c r="E977" s="20"/>
      <c r="F977" s="124"/>
      <c r="G977" s="20"/>
      <c r="H977" s="20"/>
      <c r="I977" s="20"/>
      <c r="J977" s="124"/>
      <c r="K977" s="127"/>
      <c r="L977" s="20"/>
      <c r="M977" s="20"/>
      <c r="N977" s="20"/>
      <c r="O977" s="124"/>
      <c r="P977" s="127"/>
      <c r="Q977" s="20"/>
      <c r="R977" s="20"/>
      <c r="S977" s="20"/>
      <c r="T977" s="124"/>
      <c r="U977" s="127"/>
      <c r="V977" s="20"/>
      <c r="W977" s="20"/>
      <c r="X977" s="20"/>
      <c r="Y977" s="20"/>
      <c r="Z977" s="20"/>
      <c r="AA977" s="20"/>
      <c r="AB977" s="20"/>
      <c r="AC977" s="20"/>
      <c r="AD977" s="20"/>
    </row>
    <row r="978" spans="1:30" ht="19.5">
      <c r="A978" s="20"/>
      <c r="B978" s="20"/>
      <c r="C978" s="20"/>
      <c r="D978" s="20"/>
      <c r="E978" s="20"/>
      <c r="F978" s="124"/>
      <c r="G978" s="20"/>
      <c r="H978" s="20"/>
      <c r="I978" s="20"/>
      <c r="J978" s="124"/>
      <c r="K978" s="127"/>
      <c r="L978" s="20"/>
      <c r="M978" s="20"/>
      <c r="N978" s="20"/>
      <c r="O978" s="124"/>
      <c r="P978" s="127"/>
      <c r="Q978" s="20"/>
      <c r="R978" s="20"/>
      <c r="S978" s="20"/>
      <c r="T978" s="124"/>
      <c r="U978" s="127"/>
      <c r="V978" s="20"/>
      <c r="W978" s="20"/>
      <c r="X978" s="20"/>
      <c r="Y978" s="20"/>
      <c r="Z978" s="20"/>
      <c r="AA978" s="20"/>
      <c r="AB978" s="20"/>
      <c r="AC978" s="20"/>
      <c r="AD978" s="20"/>
    </row>
    <row r="979" spans="1:30" ht="19.5">
      <c r="A979" s="20"/>
      <c r="B979" s="20"/>
      <c r="C979" s="20"/>
      <c r="D979" s="20"/>
      <c r="E979" s="20"/>
      <c r="F979" s="124"/>
      <c r="G979" s="20"/>
      <c r="H979" s="20"/>
      <c r="I979" s="20"/>
      <c r="J979" s="124"/>
      <c r="K979" s="127"/>
      <c r="L979" s="20"/>
      <c r="M979" s="20"/>
      <c r="N979" s="20"/>
      <c r="O979" s="124"/>
      <c r="P979" s="127"/>
      <c r="Q979" s="20"/>
      <c r="R979" s="20"/>
      <c r="S979" s="20"/>
      <c r="T979" s="124"/>
      <c r="U979" s="127"/>
      <c r="V979" s="20"/>
      <c r="W979" s="20"/>
      <c r="X979" s="20"/>
      <c r="Y979" s="20"/>
      <c r="Z979" s="20"/>
      <c r="AA979" s="20"/>
      <c r="AB979" s="20"/>
      <c r="AC979" s="20"/>
      <c r="AD979" s="20"/>
    </row>
    <row r="980" spans="1:30" ht="19.5">
      <c r="A980" s="20"/>
      <c r="B980" s="20"/>
      <c r="C980" s="20"/>
      <c r="D980" s="20"/>
      <c r="E980" s="20"/>
      <c r="F980" s="124"/>
      <c r="G980" s="20"/>
      <c r="H980" s="20"/>
      <c r="I980" s="20"/>
      <c r="J980" s="124"/>
      <c r="K980" s="127"/>
      <c r="L980" s="20"/>
      <c r="M980" s="20"/>
      <c r="N980" s="20"/>
      <c r="O980" s="124"/>
      <c r="P980" s="127"/>
      <c r="Q980" s="20"/>
      <c r="R980" s="20"/>
      <c r="S980" s="20"/>
      <c r="T980" s="124"/>
      <c r="U980" s="127"/>
      <c r="V980" s="20"/>
      <c r="W980" s="20"/>
      <c r="X980" s="20"/>
      <c r="Y980" s="20"/>
      <c r="Z980" s="20"/>
      <c r="AA980" s="20"/>
      <c r="AB980" s="20"/>
      <c r="AC980" s="20"/>
      <c r="AD980" s="20"/>
    </row>
    <row r="981" spans="1:30" ht="19.5">
      <c r="A981" s="20"/>
      <c r="B981" s="20"/>
      <c r="C981" s="20"/>
      <c r="D981" s="20"/>
      <c r="E981" s="20"/>
      <c r="F981" s="124"/>
      <c r="G981" s="20"/>
      <c r="H981" s="20"/>
      <c r="I981" s="20"/>
      <c r="J981" s="124"/>
      <c r="K981" s="127"/>
      <c r="L981" s="20"/>
      <c r="M981" s="20"/>
      <c r="N981" s="20"/>
      <c r="O981" s="124"/>
      <c r="P981" s="127"/>
      <c r="Q981" s="20"/>
      <c r="R981" s="20"/>
      <c r="S981" s="20"/>
      <c r="T981" s="124"/>
      <c r="U981" s="127"/>
      <c r="V981" s="20"/>
      <c r="W981" s="20"/>
      <c r="X981" s="20"/>
      <c r="Y981" s="20"/>
      <c r="Z981" s="20"/>
      <c r="AA981" s="20"/>
      <c r="AB981" s="20"/>
      <c r="AC981" s="20"/>
      <c r="AD981" s="20"/>
    </row>
    <row r="982" spans="1:30" ht="19.5">
      <c r="A982" s="20"/>
      <c r="B982" s="20"/>
      <c r="C982" s="20"/>
      <c r="D982" s="20"/>
      <c r="E982" s="20"/>
      <c r="F982" s="124"/>
      <c r="G982" s="20"/>
      <c r="H982" s="20"/>
      <c r="I982" s="20"/>
      <c r="J982" s="124"/>
      <c r="K982" s="127"/>
      <c r="L982" s="20"/>
      <c r="M982" s="20"/>
      <c r="N982" s="20"/>
      <c r="O982" s="124"/>
      <c r="P982" s="127"/>
      <c r="Q982" s="20"/>
      <c r="R982" s="20"/>
      <c r="S982" s="20"/>
      <c r="T982" s="124"/>
      <c r="U982" s="127"/>
      <c r="V982" s="20"/>
      <c r="W982" s="20"/>
      <c r="X982" s="20"/>
      <c r="Y982" s="20"/>
      <c r="Z982" s="20"/>
      <c r="AA982" s="20"/>
      <c r="AB982" s="20"/>
      <c r="AC982" s="20"/>
      <c r="AD982" s="20"/>
    </row>
    <row r="983" spans="1:30" ht="19.5">
      <c r="A983" s="20"/>
      <c r="B983" s="20"/>
      <c r="C983" s="20"/>
      <c r="D983" s="20"/>
      <c r="E983" s="20"/>
      <c r="F983" s="124"/>
      <c r="G983" s="20"/>
      <c r="H983" s="20"/>
      <c r="I983" s="20"/>
      <c r="J983" s="124"/>
      <c r="K983" s="127"/>
      <c r="L983" s="20"/>
      <c r="M983" s="20"/>
      <c r="N983" s="20"/>
      <c r="O983" s="124"/>
      <c r="P983" s="127"/>
      <c r="Q983" s="20"/>
      <c r="R983" s="20"/>
      <c r="S983" s="20"/>
      <c r="T983" s="124"/>
      <c r="U983" s="127"/>
      <c r="V983" s="20"/>
      <c r="W983" s="20"/>
      <c r="X983" s="20"/>
      <c r="Y983" s="20"/>
      <c r="Z983" s="20"/>
      <c r="AA983" s="20"/>
      <c r="AB983" s="20"/>
      <c r="AC983" s="20"/>
      <c r="AD983" s="20"/>
    </row>
    <row r="984" spans="1:30" ht="19.5">
      <c r="A984" s="20"/>
      <c r="B984" s="20"/>
      <c r="C984" s="20"/>
      <c r="D984" s="20"/>
      <c r="E984" s="20"/>
      <c r="F984" s="124"/>
      <c r="G984" s="20"/>
      <c r="H984" s="20"/>
      <c r="I984" s="20"/>
      <c r="J984" s="124"/>
      <c r="K984" s="127"/>
      <c r="L984" s="20"/>
      <c r="M984" s="20"/>
      <c r="N984" s="20"/>
      <c r="O984" s="124"/>
      <c r="P984" s="127"/>
      <c r="Q984" s="20"/>
      <c r="R984" s="20"/>
      <c r="S984" s="20"/>
      <c r="T984" s="124"/>
      <c r="U984" s="127"/>
      <c r="V984" s="20"/>
      <c r="W984" s="20"/>
      <c r="X984" s="20"/>
      <c r="Y984" s="20"/>
      <c r="Z984" s="20"/>
      <c r="AA984" s="20"/>
      <c r="AB984" s="20"/>
      <c r="AC984" s="20"/>
      <c r="AD984" s="20"/>
    </row>
    <row r="985" spans="1:30" ht="19.5">
      <c r="A985" s="20"/>
      <c r="B985" s="20"/>
      <c r="C985" s="20"/>
      <c r="D985" s="20"/>
      <c r="E985" s="20"/>
      <c r="F985" s="124"/>
      <c r="G985" s="20"/>
      <c r="H985" s="20"/>
      <c r="I985" s="20"/>
      <c r="J985" s="124"/>
      <c r="K985" s="127"/>
      <c r="L985" s="20"/>
      <c r="M985" s="20"/>
      <c r="N985" s="20"/>
      <c r="O985" s="124"/>
      <c r="P985" s="127"/>
      <c r="Q985" s="20"/>
      <c r="R985" s="20"/>
      <c r="S985" s="20"/>
      <c r="T985" s="124"/>
      <c r="U985" s="127"/>
      <c r="V985" s="20"/>
      <c r="W985" s="20"/>
      <c r="X985" s="20"/>
      <c r="Y985" s="20"/>
      <c r="Z985" s="20"/>
      <c r="AA985" s="20"/>
      <c r="AB985" s="20"/>
      <c r="AC985" s="20"/>
      <c r="AD985" s="20"/>
    </row>
    <row r="986" spans="1:30" ht="19.5">
      <c r="A986" s="20"/>
      <c r="B986" s="20"/>
      <c r="C986" s="20"/>
      <c r="D986" s="20"/>
      <c r="E986" s="20"/>
      <c r="F986" s="124"/>
      <c r="G986" s="20"/>
      <c r="H986" s="20"/>
      <c r="I986" s="20"/>
      <c r="J986" s="124"/>
      <c r="K986" s="127"/>
      <c r="L986" s="20"/>
      <c r="M986" s="20"/>
      <c r="N986" s="20"/>
      <c r="O986" s="124"/>
      <c r="P986" s="127"/>
      <c r="Q986" s="20"/>
      <c r="R986" s="20"/>
      <c r="S986" s="20"/>
      <c r="T986" s="124"/>
      <c r="U986" s="127"/>
      <c r="V986" s="20"/>
      <c r="W986" s="20"/>
      <c r="X986" s="20"/>
      <c r="Y986" s="20"/>
      <c r="Z986" s="20"/>
      <c r="AA986" s="20"/>
      <c r="AB986" s="20"/>
      <c r="AC986" s="20"/>
      <c r="AD986" s="20"/>
    </row>
    <row r="987" spans="1:30" ht="19.5">
      <c r="A987" s="20"/>
      <c r="B987" s="20"/>
      <c r="C987" s="20"/>
      <c r="D987" s="20"/>
      <c r="E987" s="20"/>
      <c r="F987" s="124"/>
      <c r="G987" s="20"/>
      <c r="H987" s="20"/>
      <c r="I987" s="20"/>
      <c r="J987" s="124"/>
      <c r="K987" s="127"/>
      <c r="L987" s="20"/>
      <c r="M987" s="20"/>
      <c r="N987" s="20"/>
      <c r="O987" s="124"/>
      <c r="P987" s="127"/>
      <c r="Q987" s="20"/>
      <c r="R987" s="20"/>
      <c r="S987" s="20"/>
      <c r="T987" s="124"/>
      <c r="U987" s="127"/>
      <c r="V987" s="20"/>
      <c r="W987" s="20"/>
      <c r="X987" s="20"/>
      <c r="Y987" s="20"/>
      <c r="Z987" s="20"/>
      <c r="AA987" s="20"/>
      <c r="AB987" s="20"/>
      <c r="AC987" s="20"/>
      <c r="AD987" s="20"/>
    </row>
    <row r="988" spans="1:30" ht="19.5">
      <c r="A988" s="20"/>
      <c r="B988" s="20"/>
      <c r="C988" s="20"/>
      <c r="D988" s="20"/>
      <c r="E988" s="20"/>
      <c r="F988" s="124"/>
      <c r="G988" s="20"/>
      <c r="H988" s="20"/>
      <c r="I988" s="20"/>
      <c r="J988" s="124"/>
      <c r="K988" s="127"/>
      <c r="L988" s="20"/>
      <c r="M988" s="20"/>
      <c r="N988" s="20"/>
      <c r="O988" s="124"/>
      <c r="P988" s="127"/>
      <c r="Q988" s="20"/>
      <c r="R988" s="20"/>
      <c r="S988" s="20"/>
      <c r="T988" s="124"/>
      <c r="U988" s="127"/>
      <c r="V988" s="20"/>
      <c r="W988" s="20"/>
      <c r="X988" s="20"/>
      <c r="Y988" s="20"/>
      <c r="Z988" s="20"/>
      <c r="AA988" s="20"/>
      <c r="AB988" s="20"/>
      <c r="AC988" s="20"/>
      <c r="AD988" s="20"/>
    </row>
    <row r="989" spans="1:30" ht="19.5">
      <c r="A989" s="20"/>
      <c r="B989" s="20"/>
      <c r="C989" s="20"/>
      <c r="D989" s="20"/>
      <c r="E989" s="20"/>
      <c r="F989" s="124"/>
      <c r="G989" s="20"/>
      <c r="H989" s="20"/>
      <c r="I989" s="20"/>
      <c r="J989" s="124"/>
      <c r="K989" s="127"/>
      <c r="L989" s="20"/>
      <c r="M989" s="20"/>
      <c r="N989" s="20"/>
      <c r="O989" s="124"/>
      <c r="P989" s="127"/>
      <c r="Q989" s="20"/>
      <c r="R989" s="20"/>
      <c r="S989" s="20"/>
      <c r="T989" s="124"/>
      <c r="U989" s="127"/>
      <c r="V989" s="20"/>
      <c r="W989" s="20"/>
      <c r="X989" s="20"/>
      <c r="Y989" s="20"/>
      <c r="Z989" s="20"/>
      <c r="AA989" s="20"/>
      <c r="AB989" s="20"/>
      <c r="AC989" s="20"/>
      <c r="AD989" s="20"/>
    </row>
    <row r="990" spans="1:30" ht="19.5">
      <c r="A990" s="20"/>
      <c r="B990" s="20"/>
      <c r="C990" s="20"/>
      <c r="D990" s="20"/>
      <c r="E990" s="20"/>
      <c r="F990" s="124"/>
      <c r="G990" s="20"/>
      <c r="H990" s="20"/>
      <c r="I990" s="20"/>
      <c r="J990" s="124"/>
      <c r="K990" s="127"/>
      <c r="L990" s="20"/>
      <c r="M990" s="20"/>
      <c r="N990" s="20"/>
      <c r="O990" s="124"/>
      <c r="P990" s="127"/>
      <c r="Q990" s="20"/>
      <c r="R990" s="20"/>
      <c r="S990" s="20"/>
      <c r="T990" s="124"/>
      <c r="U990" s="127"/>
      <c r="V990" s="20"/>
      <c r="W990" s="20"/>
      <c r="X990" s="20"/>
      <c r="Y990" s="20"/>
      <c r="Z990" s="20"/>
      <c r="AA990" s="20"/>
      <c r="AB990" s="20"/>
      <c r="AC990" s="20"/>
      <c r="AD990" s="20"/>
    </row>
    <row r="991" spans="1:30" ht="19.5">
      <c r="A991" s="20"/>
      <c r="B991" s="20"/>
      <c r="C991" s="20"/>
      <c r="D991" s="20"/>
      <c r="E991" s="20"/>
      <c r="F991" s="124"/>
      <c r="G991" s="20"/>
      <c r="H991" s="20"/>
      <c r="I991" s="20"/>
      <c r="J991" s="124"/>
      <c r="K991" s="127"/>
      <c r="L991" s="20"/>
      <c r="M991" s="20"/>
      <c r="N991" s="20"/>
      <c r="O991" s="124"/>
      <c r="P991" s="127"/>
      <c r="Q991" s="20"/>
      <c r="R991" s="20"/>
      <c r="S991" s="20"/>
      <c r="T991" s="124"/>
      <c r="U991" s="127"/>
      <c r="V991" s="20"/>
      <c r="W991" s="20"/>
      <c r="X991" s="20"/>
      <c r="Y991" s="20"/>
      <c r="Z991" s="20"/>
      <c r="AA991" s="20"/>
      <c r="AB991" s="20"/>
      <c r="AC991" s="20"/>
      <c r="AD991" s="20"/>
    </row>
    <row r="992" spans="1:30" ht="19.5">
      <c r="A992" s="20"/>
      <c r="B992" s="20"/>
      <c r="C992" s="20"/>
      <c r="D992" s="20"/>
      <c r="E992" s="20"/>
      <c r="F992" s="124"/>
      <c r="G992" s="20"/>
      <c r="H992" s="20"/>
      <c r="I992" s="20"/>
      <c r="J992" s="124"/>
      <c r="K992" s="127"/>
      <c r="L992" s="20"/>
      <c r="M992" s="20"/>
      <c r="N992" s="20"/>
      <c r="O992" s="124"/>
      <c r="P992" s="127"/>
      <c r="Q992" s="20"/>
      <c r="R992" s="20"/>
      <c r="S992" s="20"/>
      <c r="T992" s="124"/>
      <c r="U992" s="127"/>
      <c r="V992" s="20"/>
      <c r="W992" s="20"/>
      <c r="X992" s="20"/>
      <c r="Y992" s="20"/>
      <c r="Z992" s="20"/>
      <c r="AA992" s="20"/>
      <c r="AB992" s="20"/>
      <c r="AC992" s="20"/>
      <c r="AD992" s="20"/>
    </row>
    <row r="993" spans="1:30" ht="19.5">
      <c r="A993" s="20"/>
      <c r="B993" s="20"/>
      <c r="C993" s="20"/>
      <c r="D993" s="20"/>
      <c r="E993" s="20"/>
      <c r="F993" s="124"/>
      <c r="G993" s="20"/>
      <c r="H993" s="20"/>
      <c r="I993" s="20"/>
      <c r="J993" s="124"/>
      <c r="K993" s="127"/>
      <c r="L993" s="20"/>
      <c r="M993" s="20"/>
      <c r="N993" s="20"/>
      <c r="O993" s="124"/>
      <c r="P993" s="127"/>
      <c r="Q993" s="20"/>
      <c r="R993" s="20"/>
      <c r="S993" s="20"/>
      <c r="T993" s="124"/>
      <c r="U993" s="127"/>
      <c r="V993" s="20"/>
      <c r="W993" s="20"/>
      <c r="X993" s="20"/>
      <c r="Y993" s="20"/>
      <c r="Z993" s="20"/>
      <c r="AA993" s="20"/>
      <c r="AB993" s="20"/>
      <c r="AC993" s="20"/>
      <c r="AD993" s="20"/>
    </row>
    <row r="994" spans="1:30" ht="19.5">
      <c r="A994" s="20"/>
      <c r="B994" s="20"/>
      <c r="C994" s="20"/>
      <c r="D994" s="20"/>
      <c r="E994" s="20"/>
      <c r="F994" s="124"/>
      <c r="G994" s="20"/>
      <c r="H994" s="20"/>
      <c r="I994" s="20"/>
      <c r="J994" s="124"/>
      <c r="K994" s="127"/>
      <c r="L994" s="20"/>
      <c r="M994" s="20"/>
      <c r="N994" s="20"/>
      <c r="O994" s="124"/>
      <c r="P994" s="127"/>
      <c r="Q994" s="20"/>
      <c r="R994" s="20"/>
      <c r="S994" s="20"/>
      <c r="T994" s="124"/>
      <c r="U994" s="127"/>
      <c r="V994" s="20"/>
      <c r="W994" s="20"/>
      <c r="X994" s="20"/>
      <c r="Y994" s="20"/>
      <c r="Z994" s="20"/>
      <c r="AA994" s="20"/>
      <c r="AB994" s="20"/>
      <c r="AC994" s="20"/>
      <c r="AD994" s="20"/>
    </row>
    <row r="995" spans="1:30" ht="19.5">
      <c r="A995" s="20"/>
      <c r="B995" s="20"/>
      <c r="C995" s="20"/>
      <c r="D995" s="20"/>
      <c r="E995" s="20"/>
      <c r="F995" s="124"/>
      <c r="G995" s="20"/>
      <c r="H995" s="20"/>
      <c r="I995" s="20"/>
      <c r="J995" s="124"/>
      <c r="K995" s="127"/>
      <c r="L995" s="20"/>
      <c r="M995" s="20"/>
      <c r="N995" s="20"/>
      <c r="O995" s="124"/>
      <c r="P995" s="127"/>
      <c r="Q995" s="20"/>
      <c r="R995" s="20"/>
      <c r="S995" s="20"/>
      <c r="T995" s="124"/>
      <c r="U995" s="127"/>
      <c r="V995" s="20"/>
      <c r="W995" s="20"/>
      <c r="X995" s="20"/>
      <c r="Y995" s="20"/>
      <c r="Z995" s="20"/>
      <c r="AA995" s="20"/>
      <c r="AB995" s="20"/>
      <c r="AC995" s="20"/>
      <c r="AD995" s="20"/>
    </row>
    <row r="996" spans="1:30" ht="19.5">
      <c r="A996" s="20"/>
      <c r="B996" s="20"/>
      <c r="C996" s="20"/>
      <c r="D996" s="20"/>
      <c r="E996" s="20"/>
      <c r="F996" s="124"/>
      <c r="G996" s="20"/>
      <c r="H996" s="20"/>
      <c r="I996" s="20"/>
      <c r="J996" s="124"/>
      <c r="K996" s="127"/>
      <c r="L996" s="20"/>
      <c r="M996" s="20"/>
      <c r="N996" s="20"/>
      <c r="O996" s="124"/>
      <c r="P996" s="127"/>
      <c r="Q996" s="20"/>
      <c r="R996" s="20"/>
      <c r="S996" s="20"/>
      <c r="T996" s="124"/>
      <c r="U996" s="127"/>
      <c r="V996" s="20"/>
      <c r="W996" s="20"/>
      <c r="X996" s="20"/>
      <c r="Y996" s="20"/>
      <c r="Z996" s="20"/>
      <c r="AA996" s="20"/>
      <c r="AB996" s="20"/>
      <c r="AC996" s="20"/>
      <c r="AD996" s="20"/>
    </row>
    <row r="997" spans="1:30" ht="19.5">
      <c r="A997" s="20"/>
      <c r="B997" s="20"/>
      <c r="C997" s="20"/>
      <c r="D997" s="20"/>
      <c r="E997" s="20"/>
      <c r="F997" s="124"/>
      <c r="G997" s="20"/>
      <c r="H997" s="20"/>
      <c r="I997" s="20"/>
      <c r="J997" s="124"/>
      <c r="K997" s="127"/>
      <c r="L997" s="20"/>
      <c r="M997" s="20"/>
      <c r="N997" s="20"/>
      <c r="O997" s="124"/>
      <c r="P997" s="127"/>
      <c r="Q997" s="20"/>
      <c r="R997" s="20"/>
      <c r="S997" s="20"/>
      <c r="T997" s="124"/>
      <c r="U997" s="127"/>
      <c r="V997" s="20"/>
      <c r="W997" s="20"/>
      <c r="X997" s="20"/>
      <c r="Y997" s="20"/>
      <c r="Z997" s="20"/>
      <c r="AA997" s="20"/>
      <c r="AB997" s="20"/>
      <c r="AC997" s="20"/>
      <c r="AD997" s="20"/>
    </row>
    <row r="998" spans="1:30" ht="19.5">
      <c r="A998" s="20"/>
      <c r="B998" s="20"/>
      <c r="C998" s="20"/>
      <c r="D998" s="20"/>
      <c r="E998" s="20"/>
      <c r="F998" s="124"/>
      <c r="G998" s="20"/>
      <c r="H998" s="20"/>
      <c r="I998" s="20"/>
      <c r="J998" s="124"/>
      <c r="K998" s="127"/>
      <c r="L998" s="20"/>
      <c r="M998" s="20"/>
      <c r="N998" s="20"/>
      <c r="O998" s="124"/>
      <c r="P998" s="127"/>
      <c r="Q998" s="20"/>
      <c r="R998" s="20"/>
      <c r="S998" s="20"/>
      <c r="T998" s="124"/>
      <c r="U998" s="127"/>
      <c r="V998" s="20"/>
      <c r="W998" s="20"/>
      <c r="X998" s="20"/>
      <c r="Y998" s="20"/>
      <c r="Z998" s="20"/>
      <c r="AA998" s="20"/>
      <c r="AB998" s="20"/>
      <c r="AC998" s="20"/>
      <c r="AD998" s="20"/>
    </row>
    <row r="999" spans="1:30" ht="19.5">
      <c r="A999" s="20"/>
      <c r="B999" s="20"/>
      <c r="C999" s="20"/>
      <c r="D999" s="20"/>
      <c r="E999" s="20"/>
      <c r="F999" s="124"/>
      <c r="G999" s="20"/>
      <c r="H999" s="20"/>
      <c r="I999" s="20"/>
      <c r="J999" s="124"/>
      <c r="K999" s="127"/>
      <c r="L999" s="20"/>
      <c r="M999" s="20"/>
      <c r="N999" s="20"/>
      <c r="O999" s="124"/>
      <c r="P999" s="127"/>
      <c r="Q999" s="20"/>
      <c r="R999" s="20"/>
      <c r="S999" s="20"/>
      <c r="T999" s="124"/>
      <c r="U999" s="127"/>
      <c r="V999" s="20"/>
      <c r="W999" s="20"/>
      <c r="X999" s="20"/>
      <c r="Y999" s="20"/>
      <c r="Z999" s="20"/>
      <c r="AA999" s="20"/>
      <c r="AB999" s="20"/>
      <c r="AC999" s="20"/>
      <c r="AD999" s="20"/>
    </row>
    <row r="1000" spans="1:30" ht="19.5">
      <c r="A1000" s="20"/>
      <c r="B1000" s="20"/>
      <c r="C1000" s="20"/>
      <c r="D1000" s="20"/>
      <c r="E1000" s="20"/>
      <c r="F1000" s="124"/>
      <c r="G1000" s="20"/>
      <c r="H1000" s="20"/>
      <c r="I1000" s="20"/>
      <c r="J1000" s="124"/>
      <c r="K1000" s="127"/>
      <c r="L1000" s="20"/>
      <c r="M1000" s="20"/>
      <c r="N1000" s="20"/>
      <c r="O1000" s="124"/>
      <c r="P1000" s="127"/>
      <c r="Q1000" s="20"/>
      <c r="R1000" s="20"/>
      <c r="S1000" s="20"/>
      <c r="T1000" s="124"/>
      <c r="U1000" s="127"/>
      <c r="V1000" s="20"/>
      <c r="W1000" s="20"/>
      <c r="X1000" s="20"/>
      <c r="Y1000" s="20"/>
      <c r="Z1000" s="20"/>
      <c r="AA1000" s="20"/>
      <c r="AB1000" s="20"/>
      <c r="AC1000" s="20"/>
      <c r="AD1000" s="20"/>
    </row>
    <row r="1001" spans="1:30" ht="19.5">
      <c r="A1001" s="20"/>
      <c r="B1001" s="20"/>
      <c r="C1001" s="20"/>
      <c r="D1001" s="20"/>
      <c r="E1001" s="20"/>
      <c r="F1001" s="124"/>
      <c r="G1001" s="20"/>
      <c r="H1001" s="20"/>
      <c r="I1001" s="20"/>
      <c r="J1001" s="124"/>
      <c r="K1001" s="127"/>
      <c r="L1001" s="20"/>
      <c r="M1001" s="20"/>
      <c r="N1001" s="20"/>
      <c r="O1001" s="124"/>
      <c r="P1001" s="127"/>
      <c r="Q1001" s="20"/>
      <c r="R1001" s="20"/>
      <c r="S1001" s="20"/>
      <c r="T1001" s="124"/>
      <c r="U1001" s="127"/>
      <c r="V1001" s="20"/>
      <c r="W1001" s="20"/>
      <c r="X1001" s="20"/>
      <c r="Y1001" s="20"/>
      <c r="Z1001" s="20"/>
      <c r="AA1001" s="20"/>
      <c r="AB1001" s="20"/>
      <c r="AC1001" s="20"/>
      <c r="AD1001" s="20"/>
    </row>
    <row r="1002" spans="1:30" ht="19.5">
      <c r="A1002" s="20"/>
      <c r="B1002" s="20"/>
      <c r="C1002" s="20"/>
      <c r="D1002" s="20"/>
      <c r="E1002" s="20"/>
      <c r="F1002" s="124"/>
      <c r="G1002" s="20"/>
      <c r="H1002" s="20"/>
      <c r="I1002" s="20"/>
      <c r="J1002" s="124"/>
      <c r="K1002" s="127"/>
      <c r="L1002" s="20"/>
      <c r="M1002" s="20"/>
      <c r="N1002" s="20"/>
      <c r="O1002" s="124"/>
      <c r="P1002" s="127"/>
      <c r="Q1002" s="20"/>
      <c r="R1002" s="20"/>
      <c r="S1002" s="20"/>
      <c r="T1002" s="124"/>
      <c r="U1002" s="127"/>
      <c r="V1002" s="20"/>
      <c r="W1002" s="20"/>
      <c r="X1002" s="20"/>
      <c r="Y1002" s="20"/>
      <c r="Z1002" s="20"/>
      <c r="AA1002" s="20"/>
      <c r="AB1002" s="20"/>
      <c r="AC1002" s="20"/>
      <c r="AD1002" s="20"/>
    </row>
    <row r="1003" spans="1:30" ht="19.5">
      <c r="A1003" s="20"/>
      <c r="B1003" s="20"/>
      <c r="C1003" s="20"/>
      <c r="D1003" s="20"/>
      <c r="E1003" s="20"/>
      <c r="F1003" s="124"/>
      <c r="G1003" s="20"/>
      <c r="H1003" s="20"/>
      <c r="I1003" s="20"/>
      <c r="J1003" s="124"/>
      <c r="K1003" s="127"/>
      <c r="L1003" s="20"/>
      <c r="M1003" s="20"/>
      <c r="N1003" s="20"/>
      <c r="O1003" s="124"/>
      <c r="P1003" s="127"/>
      <c r="Q1003" s="20"/>
      <c r="R1003" s="20"/>
      <c r="S1003" s="20"/>
      <c r="T1003" s="124"/>
      <c r="U1003" s="127"/>
      <c r="V1003" s="20"/>
      <c r="W1003" s="20"/>
      <c r="X1003" s="20"/>
      <c r="Y1003" s="20"/>
      <c r="Z1003" s="20"/>
      <c r="AA1003" s="20"/>
      <c r="AB1003" s="20"/>
      <c r="AC1003" s="20"/>
      <c r="AD1003" s="20"/>
    </row>
    <row r="1004" spans="1:30" ht="19.5">
      <c r="A1004" s="20"/>
      <c r="B1004" s="20"/>
      <c r="C1004" s="20"/>
      <c r="D1004" s="20"/>
      <c r="E1004" s="20"/>
      <c r="F1004" s="124"/>
      <c r="G1004" s="20"/>
      <c r="H1004" s="20"/>
      <c r="I1004" s="20"/>
      <c r="J1004" s="124"/>
      <c r="K1004" s="127"/>
      <c r="L1004" s="20"/>
      <c r="M1004" s="20"/>
      <c r="N1004" s="20"/>
      <c r="O1004" s="124"/>
      <c r="P1004" s="127"/>
      <c r="Q1004" s="20"/>
      <c r="R1004" s="20"/>
      <c r="S1004" s="20"/>
      <c r="T1004" s="124"/>
      <c r="U1004" s="127"/>
      <c r="V1004" s="20"/>
      <c r="W1004" s="20"/>
      <c r="X1004" s="20"/>
      <c r="Y1004" s="20"/>
      <c r="Z1004" s="20"/>
      <c r="AA1004" s="20"/>
      <c r="AB1004" s="20"/>
      <c r="AC1004" s="20"/>
      <c r="AD1004" s="20"/>
    </row>
    <row r="1005" spans="1:30" ht="19.5">
      <c r="A1005" s="20"/>
      <c r="B1005" s="20"/>
      <c r="C1005" s="20"/>
      <c r="D1005" s="20"/>
      <c r="E1005" s="20"/>
      <c r="F1005" s="124"/>
      <c r="G1005" s="20"/>
      <c r="H1005" s="20"/>
      <c r="I1005" s="20"/>
      <c r="J1005" s="124"/>
      <c r="K1005" s="127"/>
      <c r="L1005" s="20"/>
      <c r="M1005" s="20"/>
      <c r="N1005" s="20"/>
      <c r="O1005" s="124"/>
      <c r="P1005" s="127"/>
      <c r="Q1005" s="20"/>
      <c r="R1005" s="20"/>
      <c r="S1005" s="20"/>
      <c r="T1005" s="124"/>
      <c r="U1005" s="127"/>
      <c r="V1005" s="20"/>
      <c r="W1005" s="20"/>
      <c r="X1005" s="20"/>
      <c r="Y1005" s="20"/>
      <c r="Z1005" s="20"/>
      <c r="AA1005" s="20"/>
      <c r="AB1005" s="20"/>
      <c r="AC1005" s="20"/>
      <c r="AD1005" s="20"/>
    </row>
    <row r="1006" spans="1:30" ht="19.5">
      <c r="A1006" s="20"/>
      <c r="B1006" s="20"/>
      <c r="C1006" s="20"/>
      <c r="D1006" s="20"/>
      <c r="E1006" s="20"/>
      <c r="F1006" s="124"/>
      <c r="G1006" s="20"/>
      <c r="H1006" s="20"/>
      <c r="I1006" s="20"/>
      <c r="J1006" s="124"/>
      <c r="K1006" s="127"/>
      <c r="L1006" s="20"/>
      <c r="M1006" s="20"/>
      <c r="N1006" s="20"/>
      <c r="O1006" s="124"/>
      <c r="P1006" s="127"/>
      <c r="Q1006" s="20"/>
      <c r="R1006" s="20"/>
      <c r="S1006" s="20"/>
      <c r="T1006" s="124"/>
      <c r="U1006" s="127"/>
      <c r="V1006" s="20"/>
      <c r="W1006" s="20"/>
      <c r="X1006" s="20"/>
      <c r="Y1006" s="20"/>
      <c r="Z1006" s="20"/>
      <c r="AA1006" s="20"/>
      <c r="AB1006" s="20"/>
      <c r="AC1006" s="20"/>
      <c r="AD1006" s="20"/>
    </row>
    <row r="1007" spans="1:30" ht="19.5">
      <c r="A1007" s="20"/>
      <c r="B1007" s="20"/>
      <c r="C1007" s="20"/>
      <c r="D1007" s="20"/>
      <c r="E1007" s="20"/>
      <c r="F1007" s="124"/>
      <c r="G1007" s="20"/>
      <c r="H1007" s="20"/>
      <c r="I1007" s="20"/>
      <c r="J1007" s="124"/>
      <c r="K1007" s="127"/>
      <c r="L1007" s="20"/>
      <c r="M1007" s="20"/>
      <c r="N1007" s="20"/>
      <c r="O1007" s="124"/>
      <c r="P1007" s="127"/>
      <c r="Q1007" s="20"/>
      <c r="R1007" s="20"/>
      <c r="S1007" s="20"/>
      <c r="T1007" s="124"/>
      <c r="U1007" s="127"/>
      <c r="V1007" s="20"/>
      <c r="W1007" s="20"/>
      <c r="X1007" s="20"/>
      <c r="Y1007" s="20"/>
      <c r="Z1007" s="20"/>
      <c r="AA1007" s="20"/>
      <c r="AB1007" s="20"/>
      <c r="AC1007" s="20"/>
      <c r="AD1007" s="20"/>
    </row>
    <row r="1008" spans="1:30" ht="19.5">
      <c r="A1008" s="20"/>
      <c r="B1008" s="20"/>
      <c r="C1008" s="20"/>
      <c r="D1008" s="20"/>
      <c r="E1008" s="20"/>
      <c r="F1008" s="124"/>
      <c r="G1008" s="20"/>
      <c r="H1008" s="20"/>
      <c r="I1008" s="20"/>
      <c r="J1008" s="124"/>
      <c r="K1008" s="127"/>
      <c r="L1008" s="20"/>
      <c r="M1008" s="20"/>
      <c r="N1008" s="20"/>
      <c r="O1008" s="124"/>
      <c r="P1008" s="127"/>
      <c r="Q1008" s="20"/>
      <c r="R1008" s="20"/>
      <c r="S1008" s="20"/>
      <c r="T1008" s="124"/>
      <c r="U1008" s="127"/>
      <c r="V1008" s="20"/>
      <c r="W1008" s="20"/>
      <c r="X1008" s="20"/>
      <c r="Y1008" s="20"/>
      <c r="Z1008" s="20"/>
      <c r="AA1008" s="20"/>
      <c r="AB1008" s="20"/>
      <c r="AC1008" s="20"/>
      <c r="AD1008" s="20"/>
    </row>
    <row r="1009" spans="1:30" ht="19.5">
      <c r="A1009" s="20"/>
      <c r="B1009" s="20"/>
      <c r="C1009" s="20"/>
      <c r="D1009" s="20"/>
      <c r="E1009" s="20"/>
      <c r="F1009" s="124"/>
      <c r="G1009" s="20"/>
      <c r="H1009" s="20"/>
      <c r="I1009" s="20"/>
      <c r="J1009" s="124"/>
      <c r="K1009" s="127"/>
      <c r="L1009" s="20"/>
      <c r="M1009" s="20"/>
      <c r="N1009" s="20"/>
      <c r="O1009" s="124"/>
      <c r="P1009" s="127"/>
      <c r="Q1009" s="20"/>
      <c r="R1009" s="20"/>
      <c r="S1009" s="20"/>
      <c r="T1009" s="124"/>
      <c r="U1009" s="127"/>
      <c r="V1009" s="20"/>
      <c r="W1009" s="20"/>
      <c r="X1009" s="20"/>
      <c r="Y1009" s="20"/>
      <c r="Z1009" s="20"/>
      <c r="AA1009" s="20"/>
      <c r="AB1009" s="20"/>
      <c r="AC1009" s="20"/>
      <c r="AD1009" s="20"/>
    </row>
    <row r="1010" spans="1:30" ht="19.5">
      <c r="A1010" s="20"/>
      <c r="B1010" s="20"/>
      <c r="C1010" s="20"/>
      <c r="D1010" s="20"/>
      <c r="E1010" s="20"/>
      <c r="F1010" s="124"/>
      <c r="G1010" s="20"/>
      <c r="H1010" s="20"/>
      <c r="I1010" s="20"/>
      <c r="J1010" s="124"/>
      <c r="K1010" s="127"/>
      <c r="L1010" s="20"/>
      <c r="M1010" s="20"/>
      <c r="N1010" s="20"/>
      <c r="O1010" s="124"/>
      <c r="P1010" s="127"/>
      <c r="Q1010" s="20"/>
      <c r="R1010" s="20"/>
      <c r="S1010" s="20"/>
      <c r="T1010" s="124"/>
      <c r="U1010" s="127"/>
      <c r="V1010" s="20"/>
      <c r="W1010" s="20"/>
      <c r="X1010" s="20"/>
      <c r="Y1010" s="20"/>
      <c r="Z1010" s="20"/>
      <c r="AA1010" s="20"/>
      <c r="AB1010" s="20"/>
      <c r="AC1010" s="20"/>
      <c r="AD1010" s="20"/>
    </row>
    <row r="1011" spans="1:30" ht="19.5">
      <c r="A1011" s="20"/>
      <c r="B1011" s="20"/>
      <c r="C1011" s="20"/>
      <c r="D1011" s="20"/>
      <c r="E1011" s="20"/>
      <c r="F1011" s="124"/>
      <c r="G1011" s="20"/>
      <c r="H1011" s="20"/>
      <c r="I1011" s="20"/>
      <c r="J1011" s="124"/>
      <c r="K1011" s="127"/>
      <c r="L1011" s="20"/>
      <c r="M1011" s="20"/>
      <c r="N1011" s="20"/>
      <c r="O1011" s="124"/>
      <c r="P1011" s="127"/>
      <c r="Q1011" s="20"/>
      <c r="R1011" s="20"/>
      <c r="S1011" s="20"/>
      <c r="T1011" s="124"/>
      <c r="U1011" s="127"/>
      <c r="V1011" s="20"/>
      <c r="W1011" s="20"/>
      <c r="X1011" s="20"/>
      <c r="Y1011" s="20"/>
      <c r="Z1011" s="20"/>
      <c r="AA1011" s="20"/>
      <c r="AB1011" s="20"/>
      <c r="AC1011" s="20"/>
      <c r="AD1011" s="20"/>
    </row>
    <row r="1012" spans="1:30" ht="19.5">
      <c r="A1012" s="20"/>
      <c r="B1012" s="20"/>
      <c r="C1012" s="20"/>
      <c r="D1012" s="20"/>
      <c r="E1012" s="20"/>
      <c r="F1012" s="124"/>
      <c r="G1012" s="20"/>
      <c r="H1012" s="20"/>
      <c r="I1012" s="20"/>
      <c r="J1012" s="124"/>
      <c r="K1012" s="127"/>
      <c r="L1012" s="20"/>
      <c r="M1012" s="20"/>
      <c r="N1012" s="20"/>
      <c r="O1012" s="124"/>
      <c r="P1012" s="127"/>
      <c r="Q1012" s="20"/>
      <c r="R1012" s="20"/>
      <c r="S1012" s="20"/>
      <c r="T1012" s="124"/>
      <c r="U1012" s="127"/>
      <c r="V1012" s="20"/>
      <c r="W1012" s="20"/>
      <c r="X1012" s="20"/>
      <c r="Y1012" s="20"/>
      <c r="Z1012" s="20"/>
      <c r="AA1012" s="20"/>
      <c r="AB1012" s="20"/>
      <c r="AC1012" s="20"/>
      <c r="AD1012" s="20"/>
    </row>
    <row r="1013" spans="1:30" ht="19.5">
      <c r="A1013" s="20"/>
      <c r="B1013" s="20"/>
      <c r="C1013" s="20"/>
      <c r="D1013" s="20"/>
      <c r="E1013" s="20"/>
      <c r="F1013" s="124"/>
      <c r="G1013" s="20"/>
      <c r="H1013" s="20"/>
      <c r="I1013" s="20"/>
      <c r="J1013" s="124"/>
      <c r="K1013" s="127"/>
      <c r="L1013" s="20"/>
      <c r="M1013" s="20"/>
      <c r="N1013" s="20"/>
      <c r="O1013" s="124"/>
      <c r="P1013" s="127"/>
      <c r="Q1013" s="20"/>
      <c r="R1013" s="20"/>
      <c r="S1013" s="20"/>
      <c r="T1013" s="124"/>
      <c r="U1013" s="127"/>
      <c r="V1013" s="20"/>
      <c r="W1013" s="20"/>
      <c r="X1013" s="20"/>
      <c r="Y1013" s="20"/>
      <c r="Z1013" s="20"/>
      <c r="AA1013" s="20"/>
      <c r="AB1013" s="20"/>
      <c r="AC1013" s="20"/>
      <c r="AD1013" s="20"/>
    </row>
    <row r="1014" spans="1:30" ht="19.5">
      <c r="A1014" s="20"/>
      <c r="B1014" s="20"/>
      <c r="C1014" s="20"/>
      <c r="D1014" s="20"/>
      <c r="E1014" s="20"/>
      <c r="F1014" s="124"/>
      <c r="G1014" s="20"/>
      <c r="H1014" s="20"/>
      <c r="I1014" s="20"/>
      <c r="J1014" s="124"/>
      <c r="K1014" s="127"/>
      <c r="L1014" s="20"/>
      <c r="M1014" s="20"/>
      <c r="N1014" s="20"/>
      <c r="O1014" s="124"/>
      <c r="P1014" s="127"/>
      <c r="Q1014" s="20"/>
      <c r="R1014" s="20"/>
      <c r="S1014" s="20"/>
      <c r="T1014" s="124"/>
      <c r="U1014" s="127"/>
      <c r="V1014" s="20"/>
      <c r="W1014" s="20"/>
      <c r="X1014" s="20"/>
      <c r="Y1014" s="20"/>
      <c r="Z1014" s="20"/>
      <c r="AA1014" s="20"/>
      <c r="AB1014" s="20"/>
      <c r="AC1014" s="20"/>
      <c r="AD1014" s="20"/>
    </row>
    <row r="1015" spans="1:30" ht="19.5">
      <c r="A1015" s="20"/>
      <c r="B1015" s="20"/>
      <c r="C1015" s="20"/>
      <c r="D1015" s="20"/>
      <c r="E1015" s="20"/>
      <c r="F1015" s="124"/>
      <c r="G1015" s="20"/>
      <c r="H1015" s="20"/>
      <c r="I1015" s="20"/>
      <c r="J1015" s="124"/>
      <c r="K1015" s="127"/>
      <c r="L1015" s="20"/>
      <c r="M1015" s="20"/>
      <c r="N1015" s="20"/>
      <c r="O1015" s="124"/>
      <c r="P1015" s="127"/>
      <c r="Q1015" s="20"/>
      <c r="R1015" s="20"/>
      <c r="S1015" s="20"/>
      <c r="T1015" s="124"/>
      <c r="U1015" s="127"/>
      <c r="V1015" s="20"/>
      <c r="W1015" s="20"/>
      <c r="X1015" s="20"/>
      <c r="Y1015" s="20"/>
      <c r="Z1015" s="20"/>
      <c r="AA1015" s="20"/>
      <c r="AB1015" s="20"/>
      <c r="AC1015" s="20"/>
      <c r="AD1015" s="20"/>
    </row>
    <row r="1016" spans="1:30" ht="19.5">
      <c r="A1016" s="20"/>
      <c r="B1016" s="20"/>
      <c r="C1016" s="20"/>
      <c r="D1016" s="20"/>
      <c r="E1016" s="20"/>
      <c r="F1016" s="124"/>
      <c r="G1016" s="20"/>
      <c r="H1016" s="20"/>
      <c r="I1016" s="20"/>
      <c r="J1016" s="124"/>
      <c r="K1016" s="127"/>
      <c r="L1016" s="20"/>
      <c r="M1016" s="20"/>
      <c r="N1016" s="20"/>
      <c r="O1016" s="124"/>
      <c r="P1016" s="127"/>
      <c r="Q1016" s="20"/>
      <c r="R1016" s="20"/>
      <c r="S1016" s="20"/>
      <c r="T1016" s="124"/>
      <c r="U1016" s="127"/>
      <c r="V1016" s="20"/>
      <c r="W1016" s="20"/>
      <c r="X1016" s="20"/>
      <c r="Y1016" s="20"/>
      <c r="Z1016" s="20"/>
      <c r="AA1016" s="20"/>
      <c r="AB1016" s="20"/>
      <c r="AC1016" s="20"/>
      <c r="AD1016" s="20"/>
    </row>
    <row r="1017" spans="1:30" ht="19.5">
      <c r="A1017" s="20"/>
      <c r="B1017" s="20"/>
      <c r="C1017" s="20"/>
      <c r="D1017" s="20"/>
      <c r="E1017" s="20"/>
      <c r="F1017" s="124"/>
      <c r="G1017" s="20"/>
      <c r="H1017" s="20"/>
      <c r="I1017" s="20"/>
      <c r="J1017" s="124"/>
      <c r="K1017" s="127"/>
      <c r="L1017" s="20"/>
      <c r="M1017" s="20"/>
      <c r="N1017" s="20"/>
      <c r="O1017" s="124"/>
      <c r="P1017" s="127"/>
      <c r="Q1017" s="20"/>
      <c r="R1017" s="20"/>
      <c r="S1017" s="20"/>
      <c r="T1017" s="124"/>
      <c r="U1017" s="127"/>
      <c r="V1017" s="20"/>
      <c r="W1017" s="20"/>
      <c r="X1017" s="20"/>
      <c r="Y1017" s="20"/>
      <c r="Z1017" s="20"/>
      <c r="AA1017" s="20"/>
      <c r="AB1017" s="20"/>
      <c r="AC1017" s="20"/>
      <c r="AD1017" s="20"/>
    </row>
    <row r="1018" spans="1:30" ht="19.5">
      <c r="A1018" s="20"/>
      <c r="B1018" s="20"/>
      <c r="C1018" s="20"/>
      <c r="D1018" s="20"/>
      <c r="E1018" s="20"/>
      <c r="F1018" s="124"/>
      <c r="G1018" s="20"/>
      <c r="H1018" s="20"/>
      <c r="I1018" s="20"/>
      <c r="J1018" s="124"/>
      <c r="K1018" s="127"/>
      <c r="L1018" s="20"/>
      <c r="M1018" s="20"/>
      <c r="N1018" s="20"/>
      <c r="O1018" s="124"/>
      <c r="P1018" s="127"/>
      <c r="Q1018" s="20"/>
      <c r="R1018" s="20"/>
      <c r="S1018" s="20"/>
      <c r="T1018" s="124"/>
      <c r="U1018" s="127"/>
      <c r="V1018" s="20"/>
      <c r="W1018" s="20"/>
      <c r="X1018" s="20"/>
      <c r="Y1018" s="20"/>
      <c r="Z1018" s="20"/>
      <c r="AA1018" s="20"/>
      <c r="AB1018" s="20"/>
      <c r="AC1018" s="20"/>
      <c r="AD1018" s="20"/>
    </row>
    <row r="1019" spans="1:30" ht="19.5">
      <c r="A1019" s="20"/>
      <c r="B1019" s="20"/>
      <c r="C1019" s="20"/>
      <c r="D1019" s="20"/>
      <c r="E1019" s="20"/>
      <c r="F1019" s="124"/>
      <c r="G1019" s="20"/>
      <c r="H1019" s="20"/>
      <c r="I1019" s="20"/>
      <c r="J1019" s="124"/>
      <c r="K1019" s="127"/>
      <c r="L1019" s="20"/>
      <c r="M1019" s="20"/>
      <c r="N1019" s="20"/>
      <c r="O1019" s="124"/>
      <c r="P1019" s="127"/>
      <c r="Q1019" s="20"/>
      <c r="R1019" s="20"/>
      <c r="S1019" s="20"/>
      <c r="T1019" s="124"/>
      <c r="U1019" s="127"/>
      <c r="V1019" s="20"/>
      <c r="W1019" s="20"/>
      <c r="X1019" s="20"/>
      <c r="Y1019" s="20"/>
      <c r="Z1019" s="20"/>
      <c r="AA1019" s="20"/>
      <c r="AB1019" s="20"/>
      <c r="AC1019" s="20"/>
      <c r="AD1019" s="20"/>
    </row>
    <row r="1020" spans="1:30" ht="19.5">
      <c r="A1020" s="20"/>
      <c r="B1020" s="20"/>
      <c r="C1020" s="20"/>
      <c r="D1020" s="20"/>
      <c r="E1020" s="20"/>
      <c r="F1020" s="124"/>
      <c r="G1020" s="20"/>
      <c r="H1020" s="20"/>
      <c r="I1020" s="20"/>
      <c r="J1020" s="124"/>
      <c r="K1020" s="127"/>
      <c r="L1020" s="20"/>
      <c r="M1020" s="20"/>
      <c r="N1020" s="20"/>
      <c r="O1020" s="124"/>
      <c r="P1020" s="127"/>
      <c r="Q1020" s="20"/>
      <c r="R1020" s="20"/>
      <c r="S1020" s="20"/>
      <c r="T1020" s="124"/>
      <c r="U1020" s="127"/>
      <c r="V1020" s="20"/>
      <c r="W1020" s="20"/>
      <c r="X1020" s="20"/>
      <c r="Y1020" s="20"/>
      <c r="Z1020" s="20"/>
      <c r="AA1020" s="20"/>
      <c r="AB1020" s="20"/>
      <c r="AC1020" s="20"/>
      <c r="AD1020" s="20"/>
    </row>
    <row r="1021" spans="1:30" ht="19.5">
      <c r="A1021" s="20"/>
      <c r="B1021" s="20"/>
      <c r="C1021" s="20"/>
      <c r="D1021" s="20"/>
      <c r="E1021" s="20"/>
      <c r="F1021" s="124"/>
      <c r="G1021" s="20"/>
      <c r="H1021" s="20"/>
      <c r="I1021" s="20"/>
      <c r="J1021" s="124"/>
      <c r="K1021" s="127"/>
      <c r="L1021" s="20"/>
      <c r="M1021" s="20"/>
      <c r="N1021" s="20"/>
      <c r="O1021" s="124"/>
      <c r="P1021" s="127"/>
      <c r="Q1021" s="20"/>
      <c r="R1021" s="20"/>
      <c r="S1021" s="20"/>
      <c r="T1021" s="124"/>
      <c r="U1021" s="127"/>
      <c r="V1021" s="20"/>
      <c r="W1021" s="20"/>
      <c r="X1021" s="20"/>
      <c r="Y1021" s="20"/>
      <c r="Z1021" s="20"/>
      <c r="AA1021" s="20"/>
      <c r="AB1021" s="20"/>
      <c r="AC1021" s="20"/>
      <c r="AD1021" s="20"/>
    </row>
    <row r="1022" spans="1:30" ht="19.5">
      <c r="A1022" s="20"/>
      <c r="B1022" s="20"/>
      <c r="C1022" s="20"/>
      <c r="D1022" s="20"/>
      <c r="E1022" s="20"/>
      <c r="F1022" s="124"/>
      <c r="G1022" s="20"/>
      <c r="H1022" s="20"/>
      <c r="I1022" s="20"/>
      <c r="J1022" s="124"/>
      <c r="K1022" s="127"/>
      <c r="L1022" s="20"/>
      <c r="M1022" s="20"/>
      <c r="N1022" s="20"/>
      <c r="O1022" s="124"/>
      <c r="P1022" s="127"/>
      <c r="Q1022" s="20"/>
      <c r="R1022" s="20"/>
      <c r="S1022" s="20"/>
      <c r="T1022" s="124"/>
      <c r="U1022" s="127"/>
      <c r="V1022" s="20"/>
      <c r="W1022" s="20"/>
      <c r="X1022" s="20"/>
      <c r="Y1022" s="20"/>
      <c r="Z1022" s="20"/>
      <c r="AA1022" s="20"/>
      <c r="AB1022" s="20"/>
      <c r="AC1022" s="20"/>
      <c r="AD1022" s="20"/>
    </row>
    <row r="1023" spans="1:30" ht="19.5">
      <c r="A1023" s="20"/>
      <c r="B1023" s="20"/>
      <c r="C1023" s="20"/>
      <c r="D1023" s="20"/>
      <c r="E1023" s="20"/>
      <c r="F1023" s="124"/>
      <c r="G1023" s="20"/>
      <c r="H1023" s="20"/>
      <c r="I1023" s="20"/>
      <c r="J1023" s="124"/>
      <c r="K1023" s="127"/>
      <c r="L1023" s="20"/>
      <c r="M1023" s="20"/>
      <c r="N1023" s="20"/>
      <c r="O1023" s="124"/>
      <c r="P1023" s="127"/>
      <c r="Q1023" s="20"/>
      <c r="R1023" s="20"/>
      <c r="S1023" s="20"/>
      <c r="T1023" s="124"/>
      <c r="U1023" s="127"/>
      <c r="V1023" s="20"/>
      <c r="W1023" s="20"/>
      <c r="X1023" s="20"/>
      <c r="Y1023" s="20"/>
      <c r="Z1023" s="20"/>
      <c r="AA1023" s="20"/>
      <c r="AB1023" s="20"/>
      <c r="AC1023" s="20"/>
      <c r="AD1023" s="20"/>
    </row>
    <row r="1024" spans="1:30" ht="19.5">
      <c r="A1024" s="20"/>
      <c r="B1024" s="20"/>
      <c r="C1024" s="20"/>
      <c r="D1024" s="20"/>
      <c r="E1024" s="20"/>
      <c r="F1024" s="124"/>
      <c r="G1024" s="20"/>
      <c r="H1024" s="20"/>
      <c r="I1024" s="20"/>
      <c r="J1024" s="124"/>
      <c r="K1024" s="127"/>
      <c r="L1024" s="20"/>
      <c r="M1024" s="20"/>
      <c r="N1024" s="20"/>
      <c r="O1024" s="124"/>
      <c r="P1024" s="127"/>
      <c r="Q1024" s="20"/>
      <c r="R1024" s="20"/>
      <c r="S1024" s="20"/>
      <c r="T1024" s="124"/>
      <c r="U1024" s="127"/>
      <c r="V1024" s="20"/>
      <c r="W1024" s="20"/>
      <c r="X1024" s="20"/>
      <c r="Y1024" s="20"/>
      <c r="Z1024" s="20"/>
      <c r="AA1024" s="20"/>
      <c r="AB1024" s="20"/>
      <c r="AC1024" s="20"/>
      <c r="AD1024" s="20"/>
    </row>
    <row r="1025" spans="1:30" ht="19.5">
      <c r="A1025" s="20"/>
      <c r="B1025" s="20"/>
      <c r="C1025" s="20"/>
      <c r="D1025" s="20"/>
      <c r="E1025" s="20"/>
      <c r="F1025" s="124"/>
      <c r="G1025" s="20"/>
      <c r="H1025" s="20"/>
      <c r="I1025" s="20"/>
      <c r="J1025" s="124"/>
      <c r="K1025" s="127"/>
      <c r="L1025" s="20"/>
      <c r="M1025" s="20"/>
      <c r="N1025" s="20"/>
      <c r="O1025" s="124"/>
      <c r="P1025" s="127"/>
      <c r="Q1025" s="20"/>
      <c r="R1025" s="20"/>
      <c r="S1025" s="20"/>
      <c r="T1025" s="124"/>
      <c r="U1025" s="127"/>
      <c r="V1025" s="20"/>
      <c r="W1025" s="20"/>
      <c r="X1025" s="20"/>
      <c r="Y1025" s="20"/>
      <c r="Z1025" s="20"/>
      <c r="AA1025" s="20"/>
      <c r="AB1025" s="20"/>
      <c r="AC1025" s="20"/>
      <c r="AD1025" s="20"/>
    </row>
    <row r="1026" spans="1:30" ht="19.5">
      <c r="A1026" s="20"/>
      <c r="B1026" s="20"/>
      <c r="C1026" s="20"/>
      <c r="D1026" s="20"/>
      <c r="E1026" s="20"/>
      <c r="F1026" s="124"/>
      <c r="G1026" s="20"/>
      <c r="H1026" s="20"/>
      <c r="I1026" s="20"/>
      <c r="J1026" s="124"/>
      <c r="K1026" s="127"/>
      <c r="L1026" s="20"/>
      <c r="M1026" s="20"/>
      <c r="N1026" s="20"/>
      <c r="O1026" s="124"/>
      <c r="P1026" s="127"/>
      <c r="Q1026" s="20"/>
      <c r="R1026" s="20"/>
      <c r="S1026" s="20"/>
      <c r="T1026" s="124"/>
      <c r="U1026" s="127"/>
      <c r="V1026" s="20"/>
      <c r="W1026" s="20"/>
      <c r="X1026" s="20"/>
      <c r="Y1026" s="20"/>
      <c r="Z1026" s="20"/>
      <c r="AA1026" s="20"/>
      <c r="AB1026" s="20"/>
      <c r="AC1026" s="20"/>
      <c r="AD1026" s="20"/>
    </row>
  </sheetData>
  <customSheetViews>
    <customSheetView guid="{D57A4A46-372C-4701-B41D-F1044D1CF77B}" filter="1" showAutoFilter="1">
      <pageMargins left="0.7" right="0.7" top="0.75" bottom="0.75" header="0.3" footer="0.3"/>
      <autoFilter ref="E7:X8" xr:uid="{3A9C5A52-4E74-4D55-B10C-7F1AC88AB376}"/>
      <extLst>
        <ext uri="GoogleSheetsCustomDataVersion1">
          <go:sheetsCustomData xmlns:go="http://customooxmlschemas.google.com/" filterViewId="130441803"/>
        </ext>
      </extLst>
    </customSheetView>
  </customSheetViews>
  <conditionalFormatting sqref="D9:W10">
    <cfRule type="colorScale" priority="1">
      <colorScale>
        <cfvo type="min"/>
        <cfvo type="formula" val="0"/>
        <cfvo type="max"/>
        <color rgb="FFE67C73"/>
        <color rgb="FFFFFFFF"/>
        <color rgb="FF57BB8A"/>
      </colorScale>
    </cfRule>
  </conditionalFormatting>
  <conditionalFormatting sqref="H32:V32">
    <cfRule type="colorScale" priority="4">
      <colorScale>
        <cfvo type="min"/>
        <cfvo type="formula" val="0"/>
        <cfvo type="max"/>
        <color rgb="FFE67C73"/>
        <color rgb="FFFFFFFF"/>
        <color rgb="FF57BB8A"/>
      </colorScale>
    </cfRule>
  </conditionalFormatting>
  <conditionalFormatting sqref="H15:AD15">
    <cfRule type="colorScale" priority="6">
      <colorScale>
        <cfvo type="min"/>
        <cfvo type="formula" val="0"/>
        <cfvo type="max"/>
        <color rgb="FFE67C73"/>
        <color rgb="FFFFFFFF"/>
        <color rgb="FF57BB8A"/>
      </colorScale>
    </cfRule>
  </conditionalFormatting>
  <conditionalFormatting sqref="Q25:Y26 H26:P26">
    <cfRule type="colorScale" priority="3">
      <colorScale>
        <cfvo type="min"/>
        <cfvo type="formula" val="0"/>
        <color rgb="FFFFFFFF"/>
        <color rgb="FFE67C73"/>
      </colorScale>
    </cfRule>
  </conditionalFormatting>
  <conditionalFormatting sqref="Q25:AD26 H26:P26">
    <cfRule type="colorScale" priority="2">
      <colorScale>
        <cfvo type="min"/>
        <cfvo type="formula" val="0"/>
        <cfvo type="max"/>
        <color rgb="FFE67C73"/>
        <color rgb="FFFFFFFF"/>
        <color rgb="FF57BB8A"/>
      </colorScale>
    </cfRule>
  </conditionalFormatting>
  <conditionalFormatting sqref="X9:AD10">
    <cfRule type="colorScale" priority="5">
      <colorScale>
        <cfvo type="min"/>
        <cfvo type="formula" val="0"/>
        <cfvo type="max"/>
        <color rgb="FFE67C73"/>
        <color rgb="FFFFFFFF"/>
        <color rgb="FF57BB8A"/>
      </colorScale>
    </cfRule>
  </conditionalFormatting>
  <hyperlinks>
    <hyperlink ref="A39" r:id="rId1" xr:uid="{00000000-0004-0000-0300-000000000000}"/>
    <hyperlink ref="A42" r:id="rId2" xr:uid="{00000000-0004-0000-0300-000001000000}"/>
  </hyperlinks>
  <pageMargins left="0.7" right="0.7" top="0.75" bottom="0.75" header="0.3" footer="0.3"/>
  <pageSetup orientation="portrait" r:id="rId3"/>
  <drawing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2060"/>
  </sheetPr>
  <dimension ref="A1:AA1058"/>
  <sheetViews>
    <sheetView zoomScale="73" workbookViewId="0">
      <pane xSplit="1" ySplit="1" topLeftCell="G2" activePane="bottomRight" state="frozen"/>
      <selection pane="topRight" activeCell="B1" sqref="B1"/>
      <selection pane="bottomLeft" activeCell="A2" sqref="A2"/>
      <selection pane="bottomRight" activeCell="I45" sqref="I45"/>
    </sheetView>
  </sheetViews>
  <sheetFormatPr defaultColWidth="14.42578125" defaultRowHeight="15" customHeight="1"/>
  <cols>
    <col min="1" max="1" width="52.42578125" style="358" bestFit="1" customWidth="1"/>
    <col min="2" max="2" width="60.5703125" style="358" bestFit="1" customWidth="1"/>
    <col min="3" max="3" width="22.42578125" style="358" bestFit="1" customWidth="1"/>
    <col min="4" max="4" width="19.5703125" style="358" bestFit="1" customWidth="1"/>
    <col min="5" max="5" width="19" style="358" bestFit="1" customWidth="1"/>
    <col min="6" max="7" width="19.5703125" style="358" bestFit="1" customWidth="1"/>
    <col min="8" max="9" width="20" style="358" bestFit="1" customWidth="1"/>
    <col min="10" max="14" width="21.140625" style="358" bestFit="1" customWidth="1"/>
    <col min="15" max="15" width="29.140625" style="358" bestFit="1" customWidth="1"/>
    <col min="16" max="17" width="19.5703125" style="358" customWidth="1"/>
    <col min="18" max="27" width="8.5703125" style="358" customWidth="1"/>
    <col min="28" max="16384" width="14.42578125" style="358"/>
  </cols>
  <sheetData>
    <row r="1" spans="1:27" ht="14.25" customHeight="1">
      <c r="A1" s="445"/>
      <c r="B1" s="445"/>
      <c r="C1" s="445" t="s">
        <v>1</v>
      </c>
      <c r="D1" s="445" t="s">
        <v>2</v>
      </c>
      <c r="E1" s="445" t="s">
        <v>3</v>
      </c>
      <c r="F1" s="445" t="s">
        <v>4</v>
      </c>
      <c r="G1" s="445" t="s">
        <v>5</v>
      </c>
      <c r="H1" s="445" t="s">
        <v>6</v>
      </c>
      <c r="I1" s="445" t="s">
        <v>7</v>
      </c>
      <c r="J1" s="445" t="s">
        <v>8</v>
      </c>
      <c r="K1" s="445" t="s">
        <v>9</v>
      </c>
      <c r="L1" s="445" t="s">
        <v>10</v>
      </c>
      <c r="M1" s="445" t="s">
        <v>11</v>
      </c>
      <c r="N1" s="445" t="s">
        <v>12</v>
      </c>
      <c r="O1" s="445" t="s">
        <v>13</v>
      </c>
      <c r="R1" s="446"/>
      <c r="S1" s="446"/>
      <c r="T1" s="446"/>
      <c r="U1" s="446"/>
      <c r="V1" s="446"/>
      <c r="W1" s="446"/>
      <c r="X1" s="446"/>
      <c r="Y1" s="446"/>
      <c r="Z1" s="446"/>
      <c r="AA1" s="446"/>
    </row>
    <row r="2" spans="1:27" ht="14.25" customHeight="1">
      <c r="A2" s="361" t="s">
        <v>14</v>
      </c>
      <c r="B2" s="361" t="s">
        <v>565</v>
      </c>
      <c r="C2" s="361">
        <v>33884892008435</v>
      </c>
      <c r="D2" s="361">
        <v>46854825722466</v>
      </c>
      <c r="E2" s="361">
        <v>56580423695083</v>
      </c>
      <c r="F2" s="361">
        <v>64677906575644</v>
      </c>
      <c r="G2" s="361">
        <v>91279041771826</v>
      </c>
      <c r="H2" s="361">
        <v>150865359967200</v>
      </c>
      <c r="I2" s="361">
        <v>142770810676858</v>
      </c>
      <c r="J2" s="361">
        <v>120355231616139</v>
      </c>
      <c r="K2" s="361">
        <f>SUM(K4,K6,K8)</f>
        <v>125159949654294.08</v>
      </c>
      <c r="L2" s="361">
        <f>SUM(L4,L6,L8)</f>
        <v>165805493370349.5</v>
      </c>
      <c r="M2" s="361">
        <f>SUM(M4,M6,M8)</f>
        <v>217348407914588.84</v>
      </c>
      <c r="N2" s="361">
        <f>SUM(N4,N6,N8)</f>
        <v>242737201870409.75</v>
      </c>
      <c r="O2" s="361">
        <f>SUM(O4,O6,O8)</f>
        <v>250293806180005.66</v>
      </c>
    </row>
    <row r="3" spans="1:27" s="451" customFormat="1" ht="18" customHeight="1">
      <c r="A3" s="447" t="s">
        <v>15</v>
      </c>
      <c r="B3" s="447" t="s">
        <v>15</v>
      </c>
      <c r="C3" s="447"/>
      <c r="D3" s="447">
        <f t="shared" ref="D3:J3" si="0">D2/C2-1</f>
        <v>0.38276449902223031</v>
      </c>
      <c r="E3" s="447">
        <f t="shared" si="0"/>
        <v>0.20756875781001494</v>
      </c>
      <c r="F3" s="447">
        <f t="shared" si="0"/>
        <v>0.14311456775578546</v>
      </c>
      <c r="G3" s="448">
        <f t="shared" si="0"/>
        <v>0.41128627385412764</v>
      </c>
      <c r="H3" s="449">
        <f t="shared" si="0"/>
        <v>0.65279298553905063</v>
      </c>
      <c r="I3" s="447">
        <f t="shared" si="0"/>
        <v>-5.3654127707658428E-2</v>
      </c>
      <c r="J3" s="448">
        <f t="shared" si="0"/>
        <v>-0.15700393486910691</v>
      </c>
      <c r="K3" s="447"/>
      <c r="L3" s="447"/>
      <c r="M3" s="447"/>
      <c r="N3" s="447"/>
      <c r="O3" s="447"/>
      <c r="P3" s="450"/>
      <c r="Q3" s="450"/>
    </row>
    <row r="4" spans="1:27" ht="14.25" customHeight="1">
      <c r="A4" s="357" t="s">
        <v>16</v>
      </c>
      <c r="B4" s="357" t="s">
        <v>539</v>
      </c>
      <c r="C4" s="357">
        <f t="shared" ref="C4:J4" si="1">C2*C5</f>
        <v>29818704967422.801</v>
      </c>
      <c r="D4" s="357">
        <f t="shared" si="1"/>
        <v>41232246635770.078</v>
      </c>
      <c r="E4" s="357">
        <f t="shared" si="1"/>
        <v>48659164377771.383</v>
      </c>
      <c r="F4" s="357">
        <f t="shared" si="1"/>
        <v>53682662457784.516</v>
      </c>
      <c r="G4" s="357">
        <f t="shared" si="1"/>
        <v>76674395088333.844</v>
      </c>
      <c r="H4" s="357">
        <f t="shared" si="1"/>
        <v>141813438369168</v>
      </c>
      <c r="I4" s="357">
        <f t="shared" si="1"/>
        <v>134204562036246.52</v>
      </c>
      <c r="J4" s="357">
        <f t="shared" si="1"/>
        <v>113133917719170.66</v>
      </c>
      <c r="K4" s="357">
        <f>('Base case đã fix'!Z4+'Base case đã fix'!Z11+'Base case đã fix'!Z16+'Base case đã fix'!Z28+'Base case đã fix'!Z33)*1000000</f>
        <v>117521506269387.52</v>
      </c>
      <c r="L4" s="357">
        <f>('Base case đã fix'!AA4+'Base case đã fix'!AA11+'Base case đã fix'!AA16+'Base case đã fix'!AA28+'Base case đã fix'!AA33)*1000000</f>
        <v>157959605189949.59</v>
      </c>
      <c r="M4" s="357">
        <f>('Base case đã fix'!AB4+'Base case đã fix'!AB11+'Base case đã fix'!AB16+'Base case đã fix'!AB28+'Base case đã fix'!AB33)*1000000</f>
        <v>209272377581213.41</v>
      </c>
      <c r="N4" s="357">
        <f>('Base case đã fix'!AC4+'Base case đã fix'!AC11+'Base case đã fix'!AC16+'Base case đã fix'!AC28+'Base case đã fix'!AC33)*1000000</f>
        <v>234355966784393.91</v>
      </c>
      <c r="O4" s="357">
        <f>('Base case đã fix'!AD4+'Base case đã fix'!AD11+'Base case đã fix'!AD16+'Base case đã fix'!AD28+'Base case đã fix'!AD33)*1000000</f>
        <v>241643862615495.19</v>
      </c>
    </row>
    <row r="5" spans="1:27" s="356" customFormat="1" ht="14.25" customHeight="1">
      <c r="A5" s="355"/>
      <c r="B5" s="355"/>
      <c r="C5" s="355">
        <v>0.88</v>
      </c>
      <c r="D5" s="355">
        <v>0.88</v>
      </c>
      <c r="E5" s="355">
        <v>0.86</v>
      </c>
      <c r="F5" s="355">
        <v>0.83</v>
      </c>
      <c r="G5" s="355">
        <v>0.84</v>
      </c>
      <c r="H5" s="355">
        <v>0.94</v>
      </c>
      <c r="I5" s="355">
        <v>0.94</v>
      </c>
      <c r="J5" s="355">
        <v>0.94</v>
      </c>
      <c r="K5" s="355">
        <f>K4/K2</f>
        <v>0.93897054604124719</v>
      </c>
      <c r="L5" s="355">
        <f t="shared" ref="L5:O5" si="2">L4/L2</f>
        <v>0.9526801674605857</v>
      </c>
      <c r="M5" s="355">
        <f t="shared" si="2"/>
        <v>0.96284292849962316</v>
      </c>
      <c r="N5" s="355">
        <f t="shared" si="2"/>
        <v>0.96547197948466779</v>
      </c>
      <c r="O5" s="355">
        <f t="shared" si="2"/>
        <v>0.96544084052048162</v>
      </c>
    </row>
    <row r="6" spans="1:27" ht="14.25" customHeight="1">
      <c r="A6" s="357" t="s">
        <v>17</v>
      </c>
      <c r="B6" s="357" t="s">
        <v>371</v>
      </c>
      <c r="C6" s="357">
        <f t="shared" ref="C6:I6" si="3">C2*C7</f>
        <v>1355395680337.4001</v>
      </c>
      <c r="D6" s="357">
        <f t="shared" si="3"/>
        <v>2811289543347.96</v>
      </c>
      <c r="E6" s="357">
        <f t="shared" si="3"/>
        <v>4526433895606.6396</v>
      </c>
      <c r="F6" s="357">
        <f t="shared" si="3"/>
        <v>7761348789077.2793</v>
      </c>
      <c r="G6" s="357">
        <f t="shared" si="3"/>
        <v>10953485012619.119</v>
      </c>
      <c r="H6" s="357">
        <f t="shared" si="3"/>
        <v>7543267998360</v>
      </c>
      <c r="I6" s="357">
        <f t="shared" si="3"/>
        <v>7138540533842.9004</v>
      </c>
      <c r="J6" s="357">
        <f>J2*J7</f>
        <v>6017761580806.9502</v>
      </c>
      <c r="K6" s="357">
        <f>J6*(1+K7)</f>
        <v>6258472044039.2285</v>
      </c>
      <c r="L6" s="357">
        <f t="shared" ref="L6:N6" si="4">K6*(1+L7)</f>
        <v>6508810925800.7979</v>
      </c>
      <c r="M6" s="357">
        <f t="shared" si="4"/>
        <v>6769163362832.8301</v>
      </c>
      <c r="N6" s="357">
        <f t="shared" si="4"/>
        <v>7039929897346.1436</v>
      </c>
      <c r="O6" s="357">
        <f>N6*(1+O7)</f>
        <v>7321527093239.9893</v>
      </c>
    </row>
    <row r="7" spans="1:27" s="356" customFormat="1" ht="14.25" customHeight="1">
      <c r="A7" s="355"/>
      <c r="B7" s="355"/>
      <c r="C7" s="355">
        <v>0.04</v>
      </c>
      <c r="D7" s="355">
        <v>0.06</v>
      </c>
      <c r="E7" s="355">
        <v>0.08</v>
      </c>
      <c r="F7" s="355">
        <v>0.12</v>
      </c>
      <c r="G7" s="355">
        <v>0.12</v>
      </c>
      <c r="H7" s="355">
        <v>0.05</v>
      </c>
      <c r="I7" s="355">
        <v>0.05</v>
      </c>
      <c r="J7" s="355">
        <v>0.05</v>
      </c>
      <c r="K7" s="355">
        <v>0.04</v>
      </c>
      <c r="L7" s="355">
        <v>0.04</v>
      </c>
      <c r="M7" s="355">
        <v>0.04</v>
      </c>
      <c r="N7" s="355">
        <v>0.04</v>
      </c>
      <c r="O7" s="355">
        <v>0.04</v>
      </c>
    </row>
    <row r="8" spans="1:27" ht="14.25" customHeight="1">
      <c r="A8" s="357" t="s">
        <v>18</v>
      </c>
      <c r="B8" s="357" t="s">
        <v>358</v>
      </c>
      <c r="C8" s="357">
        <f t="shared" ref="C8:J8" si="5">C2*C9</f>
        <v>2710791360674.8003</v>
      </c>
      <c r="D8" s="357">
        <f t="shared" si="5"/>
        <v>2811289543347.96</v>
      </c>
      <c r="E8" s="357">
        <f t="shared" si="5"/>
        <v>3394825421704.98</v>
      </c>
      <c r="F8" s="357">
        <f t="shared" si="5"/>
        <v>3233895328782.2002</v>
      </c>
      <c r="G8" s="357">
        <f t="shared" si="5"/>
        <v>3651161670873.04</v>
      </c>
      <c r="H8" s="357">
        <f t="shared" si="5"/>
        <v>1508653599672</v>
      </c>
      <c r="I8" s="357">
        <f t="shared" si="5"/>
        <v>1427708106768.5801</v>
      </c>
      <c r="J8" s="357">
        <f t="shared" si="5"/>
        <v>1203552316161.3901</v>
      </c>
      <c r="K8" s="357">
        <f t="shared" ref="K8:O8" si="6">AVERAGE(H8:J8)</f>
        <v>1379971340867.3235</v>
      </c>
      <c r="L8" s="357">
        <f t="shared" si="6"/>
        <v>1337077254599.0979</v>
      </c>
      <c r="M8" s="357">
        <f t="shared" si="6"/>
        <v>1306866970542.6038</v>
      </c>
      <c r="N8" s="357">
        <f t="shared" si="6"/>
        <v>1341305188669.675</v>
      </c>
      <c r="O8" s="357">
        <f t="shared" si="6"/>
        <v>1328416471270.459</v>
      </c>
    </row>
    <row r="9" spans="1:27" s="356" customFormat="1" ht="14.25" customHeight="1">
      <c r="A9" s="355"/>
      <c r="B9" s="355"/>
      <c r="C9" s="355">
        <v>0.08</v>
      </c>
      <c r="D9" s="355">
        <v>0.06</v>
      </c>
      <c r="E9" s="355">
        <v>0.06</v>
      </c>
      <c r="F9" s="355">
        <v>0.05</v>
      </c>
      <c r="G9" s="355">
        <v>0.04</v>
      </c>
      <c r="H9" s="355">
        <v>0.01</v>
      </c>
      <c r="I9" s="355">
        <v>0.01</v>
      </c>
      <c r="J9" s="355">
        <v>0.01</v>
      </c>
      <c r="K9" s="355">
        <f>K8/K2</f>
        <v>1.1025662319927102E-2</v>
      </c>
      <c r="L9" s="355">
        <f t="shared" ref="L9:O9" si="7">L8/L2</f>
        <v>8.064131214353381E-3</v>
      </c>
      <c r="M9" s="355">
        <f t="shared" si="7"/>
        <v>6.0127745267688449E-3</v>
      </c>
      <c r="N9" s="355">
        <f t="shared" si="7"/>
        <v>5.5257503931587645E-3</v>
      </c>
      <c r="O9" s="355">
        <f t="shared" si="7"/>
        <v>5.3074284639512484E-3</v>
      </c>
    </row>
    <row r="10" spans="1:27" s="452" customFormat="1" ht="14.25" customHeight="1">
      <c r="A10" s="359" t="s">
        <v>19</v>
      </c>
      <c r="B10" s="359" t="s">
        <v>566</v>
      </c>
      <c r="C10" s="359">
        <v>601681848448</v>
      </c>
      <c r="D10" s="359">
        <v>693134108162</v>
      </c>
      <c r="E10" s="359">
        <v>743965315324</v>
      </c>
      <c r="F10" s="359">
        <v>1019713901853</v>
      </c>
      <c r="G10" s="359">
        <v>1160538345109</v>
      </c>
      <c r="H10" s="359">
        <v>1185569987855</v>
      </c>
      <c r="I10" s="359">
        <v>1361536216226</v>
      </c>
      <c r="J10" s="359">
        <v>1402203722485</v>
      </c>
      <c r="K10" s="359">
        <f t="shared" ref="K10:O10" si="8">K2*K11</f>
        <v>1306660640204.2883</v>
      </c>
      <c r="L10" s="359">
        <f t="shared" si="8"/>
        <v>1636726094596.7393</v>
      </c>
      <c r="M10" s="359">
        <f t="shared" si="8"/>
        <v>2254899941544.1553</v>
      </c>
      <c r="N10" s="359">
        <f t="shared" si="8"/>
        <v>2569155894721.9219</v>
      </c>
      <c r="O10" s="359">
        <f t="shared" si="8"/>
        <v>2582405082931.3408</v>
      </c>
    </row>
    <row r="11" spans="1:27" s="466" customFormat="1" ht="14.25" customHeight="1">
      <c r="A11" s="464" t="s">
        <v>20</v>
      </c>
      <c r="B11" s="464" t="s">
        <v>20</v>
      </c>
      <c r="C11" s="464">
        <f t="shared" ref="C11:J11" si="9">C10/C2</f>
        <v>1.7756640578881665E-2</v>
      </c>
      <c r="D11" s="464">
        <f t="shared" si="9"/>
        <v>1.4793227751344624E-2</v>
      </c>
      <c r="E11" s="464">
        <f t="shared" si="9"/>
        <v>1.3148811315611493E-2</v>
      </c>
      <c r="F11" s="464">
        <f t="shared" si="9"/>
        <v>1.5766031336533662E-2</v>
      </c>
      <c r="G11" s="464">
        <f t="shared" si="9"/>
        <v>1.2714181947812793E-2</v>
      </c>
      <c r="H11" s="464">
        <f t="shared" si="9"/>
        <v>7.8584639185082482E-3</v>
      </c>
      <c r="I11" s="464">
        <f t="shared" si="9"/>
        <v>9.5365166715180253E-3</v>
      </c>
      <c r="J11" s="464">
        <f t="shared" si="9"/>
        <v>1.1650542345821649E-2</v>
      </c>
      <c r="K11" s="464">
        <f t="shared" ref="K11:O11" si="10">AVERAGE(G11:J11)</f>
        <v>1.0439926220915179E-2</v>
      </c>
      <c r="L11" s="464">
        <f t="shared" si="10"/>
        <v>9.8713622891907753E-3</v>
      </c>
      <c r="M11" s="464">
        <f t="shared" si="10"/>
        <v>1.0374586881861407E-2</v>
      </c>
      <c r="N11" s="464">
        <f t="shared" si="10"/>
        <v>1.0584104434447253E-2</v>
      </c>
      <c r="O11" s="464">
        <f t="shared" si="10"/>
        <v>1.0317494956603654E-2</v>
      </c>
      <c r="P11" s="465"/>
      <c r="Q11" s="465"/>
    </row>
    <row r="12" spans="1:27" ht="15" customHeight="1">
      <c r="A12" s="361" t="s">
        <v>544</v>
      </c>
      <c r="B12" s="361" t="s">
        <v>567</v>
      </c>
      <c r="C12" s="361">
        <v>33283210159987</v>
      </c>
      <c r="D12" s="361">
        <v>46161691614304</v>
      </c>
      <c r="E12" s="361">
        <v>55836458379759</v>
      </c>
      <c r="F12" s="361">
        <v>63658192673791</v>
      </c>
      <c r="G12" s="361">
        <v>90118503426717</v>
      </c>
      <c r="H12" s="361">
        <v>149679789979345</v>
      </c>
      <c r="I12" s="361">
        <v>141409274460632</v>
      </c>
      <c r="J12" s="361">
        <v>118953027893654</v>
      </c>
      <c r="K12" s="361">
        <f>K2-K10</f>
        <v>123853289014089.8</v>
      </c>
      <c r="L12" s="361">
        <f>L2-L10</f>
        <v>164168767275752.75</v>
      </c>
      <c r="M12" s="361">
        <f>M2-M10</f>
        <v>215093507973044.69</v>
      </c>
      <c r="N12" s="361">
        <f>N2-N10</f>
        <v>240168045975687.81</v>
      </c>
      <c r="O12" s="361">
        <f>O2-O10</f>
        <v>247711401097074.31</v>
      </c>
    </row>
    <row r="13" spans="1:27" ht="15" customHeight="1">
      <c r="A13" s="359"/>
      <c r="B13" s="359"/>
      <c r="C13" s="359"/>
      <c r="D13" s="359"/>
      <c r="E13" s="359"/>
      <c r="F13" s="359"/>
      <c r="G13" s="359"/>
      <c r="H13" s="359"/>
      <c r="I13" s="359"/>
      <c r="J13" s="359"/>
      <c r="K13" s="359"/>
      <c r="L13" s="359"/>
      <c r="M13" s="359"/>
      <c r="N13" s="359"/>
      <c r="O13" s="359"/>
    </row>
    <row r="14" spans="1:27" ht="15" customHeight="1">
      <c r="A14" s="361" t="s">
        <v>21</v>
      </c>
      <c r="B14" s="361" t="s">
        <v>568</v>
      </c>
      <c r="C14" s="361">
        <v>24532650438985</v>
      </c>
      <c r="D14" s="361">
        <v>35536120578221</v>
      </c>
      <c r="E14" s="361">
        <v>44165626148685</v>
      </c>
      <c r="F14" s="361">
        <v>52472820451654</v>
      </c>
      <c r="G14" s="361">
        <v>71214453522563</v>
      </c>
      <c r="H14" s="361">
        <v>108571380446353</v>
      </c>
      <c r="I14" s="361">
        <v>124645848221080</v>
      </c>
      <c r="J14" s="361">
        <v>106015187198082</v>
      </c>
      <c r="K14" s="361">
        <f>COGS!E7</f>
        <v>108144075649917.02</v>
      </c>
      <c r="L14" s="361">
        <f>COGS!F7</f>
        <v>140055412566365.45</v>
      </c>
      <c r="M14" s="361">
        <f>COGS!G7</f>
        <v>185609750508948.25</v>
      </c>
      <c r="N14" s="361">
        <f>COGS!H7</f>
        <v>211927998522363.75</v>
      </c>
      <c r="O14" s="361">
        <f>COGS!I7</f>
        <v>211925351534712.31</v>
      </c>
    </row>
    <row r="15" spans="1:27" s="466" customFormat="1" ht="15" customHeight="1">
      <c r="A15" s="464" t="s">
        <v>22</v>
      </c>
      <c r="B15" s="464" t="s">
        <v>22</v>
      </c>
      <c r="C15" s="464">
        <f t="shared" ref="C15:E15" si="11">C14/C2</f>
        <v>0.72399966430107143</v>
      </c>
      <c r="D15" s="464">
        <f t="shared" si="11"/>
        <v>0.75843032239008212</v>
      </c>
      <c r="E15" s="464">
        <f t="shared" si="11"/>
        <v>0.78058139660985115</v>
      </c>
      <c r="F15" s="464">
        <f t="shared" ref="F15:J15" si="12">F14/F12</f>
        <v>0.82429013843583121</v>
      </c>
      <c r="G15" s="464">
        <f t="shared" si="12"/>
        <v>0.79023120463239283</v>
      </c>
      <c r="H15" s="464">
        <f t="shared" si="12"/>
        <v>0.72535764822582438</v>
      </c>
      <c r="I15" s="464">
        <f t="shared" si="12"/>
        <v>0.88145454883711394</v>
      </c>
      <c r="J15" s="464">
        <f t="shared" si="12"/>
        <v>0.89123571778989397</v>
      </c>
      <c r="K15" s="464">
        <f>K14/K2</f>
        <v>0.86404697308222933</v>
      </c>
      <c r="L15" s="464">
        <f t="shared" ref="L15:M15" si="13">L14/L2</f>
        <v>0.84469705870077727</v>
      </c>
      <c r="M15" s="464">
        <f t="shared" si="13"/>
        <v>0.85397336143307345</v>
      </c>
      <c r="N15" s="464">
        <f>N14/N2</f>
        <v>0.87307588984858564</v>
      </c>
      <c r="O15" s="467">
        <f>O14/O2</f>
        <v>0.84670633592227362</v>
      </c>
      <c r="P15" s="465"/>
      <c r="Q15" s="465"/>
    </row>
    <row r="16" spans="1:27" s="451" customFormat="1" ht="15" customHeight="1">
      <c r="A16" s="447" t="s">
        <v>15</v>
      </c>
      <c r="B16" s="447" t="s">
        <v>15</v>
      </c>
      <c r="C16" s="447"/>
      <c r="D16" s="447">
        <f t="shared" ref="D16:J16" si="14">D14/C14-1</f>
        <v>0.44852349592648633</v>
      </c>
      <c r="E16" s="447">
        <f t="shared" si="14"/>
        <v>0.24283758131304745</v>
      </c>
      <c r="F16" s="447">
        <f t="shared" si="14"/>
        <v>0.18809184941706847</v>
      </c>
      <c r="G16" s="447">
        <f t="shared" si="14"/>
        <v>0.35716839517282395</v>
      </c>
      <c r="H16" s="447">
        <f t="shared" si="14"/>
        <v>0.5245694529124505</v>
      </c>
      <c r="I16" s="447">
        <f t="shared" si="14"/>
        <v>0.14805437407761124</v>
      </c>
      <c r="J16" s="447">
        <f t="shared" si="14"/>
        <v>-0.14946876521673991</v>
      </c>
      <c r="K16" s="447"/>
      <c r="L16" s="447"/>
      <c r="M16" s="447"/>
      <c r="N16" s="447"/>
      <c r="O16" s="447"/>
      <c r="P16" s="450"/>
      <c r="Q16" s="450"/>
    </row>
    <row r="17" spans="1:15" ht="15" customHeight="1">
      <c r="A17" s="361" t="s">
        <v>545</v>
      </c>
      <c r="B17" s="361" t="s">
        <v>569</v>
      </c>
      <c r="C17" s="361">
        <v>8750559721002</v>
      </c>
      <c r="D17" s="361">
        <v>10625571036083</v>
      </c>
      <c r="E17" s="361">
        <v>11670832231074</v>
      </c>
      <c r="F17" s="361">
        <v>11185372222137</v>
      </c>
      <c r="G17" s="361">
        <v>18904049904154</v>
      </c>
      <c r="H17" s="361">
        <v>41108409532992</v>
      </c>
      <c r="I17" s="361">
        <v>16763426239552</v>
      </c>
      <c r="J17" s="361">
        <v>12937840695572</v>
      </c>
      <c r="K17" s="361">
        <f>K12-K14</f>
        <v>15709213364172.781</v>
      </c>
      <c r="L17" s="361">
        <f>L12-L14</f>
        <v>24113354709387.297</v>
      </c>
      <c r="M17" s="361">
        <f>M12-M14</f>
        <v>29483757464096.438</v>
      </c>
      <c r="N17" s="361">
        <f>N12-N14</f>
        <v>28240047453324.063</v>
      </c>
      <c r="O17" s="361">
        <f>O12-O14</f>
        <v>35786049562362</v>
      </c>
    </row>
    <row r="18" spans="1:15" s="469" customFormat="1" ht="15" customHeight="1">
      <c r="A18" s="468"/>
      <c r="B18" s="468"/>
      <c r="C18" s="468">
        <f t="shared" ref="C18:O18" si="15">C17/C2</f>
        <v>0.25824369512004686</v>
      </c>
      <c r="D18" s="468">
        <f t="shared" si="15"/>
        <v>0.22677644985857326</v>
      </c>
      <c r="E18" s="468">
        <f t="shared" si="15"/>
        <v>0.20626979207453741</v>
      </c>
      <c r="F18" s="468">
        <f>F17/F2</f>
        <v>0.17293961438061012</v>
      </c>
      <c r="G18" s="468">
        <f t="shared" si="15"/>
        <v>0.20710175673632986</v>
      </c>
      <c r="H18" s="468">
        <f t="shared" si="15"/>
        <v>0.27248408476226404</v>
      </c>
      <c r="I18" s="468">
        <f t="shared" si="15"/>
        <v>0.11741494049153856</v>
      </c>
      <c r="J18" s="468">
        <f t="shared" si="15"/>
        <v>0.10749711933450432</v>
      </c>
      <c r="K18" s="468">
        <f t="shared" si="15"/>
        <v>0.12551310069685553</v>
      </c>
      <c r="L18" s="468">
        <f t="shared" si="15"/>
        <v>0.14543157901003187</v>
      </c>
      <c r="M18" s="468">
        <f t="shared" si="15"/>
        <v>0.13565205168506519</v>
      </c>
      <c r="N18" s="468">
        <f t="shared" si="15"/>
        <v>0.11634000571696708</v>
      </c>
      <c r="O18" s="468">
        <f t="shared" si="15"/>
        <v>0.14297616912112271</v>
      </c>
    </row>
    <row r="19" spans="1:15" ht="15" customHeight="1">
      <c r="A19" s="360" t="s">
        <v>23</v>
      </c>
      <c r="B19" s="360" t="s">
        <v>570</v>
      </c>
      <c r="C19" s="360">
        <v>197181167853</v>
      </c>
      <c r="D19" s="360">
        <v>186215464700</v>
      </c>
      <c r="E19" s="360">
        <v>294408270741</v>
      </c>
      <c r="F19" s="360">
        <v>471053832011</v>
      </c>
      <c r="G19" s="360">
        <v>1004789766270</v>
      </c>
      <c r="H19" s="360">
        <v>3071440640188</v>
      </c>
      <c r="I19" s="360">
        <v>3743650707331</v>
      </c>
      <c r="J19" s="360">
        <v>3173086404949</v>
      </c>
      <c r="K19" s="360">
        <f>SUM(K20,K22,K24,K26,K28,K32)</f>
        <v>3361883600731.1255</v>
      </c>
      <c r="L19" s="360">
        <f>SUM(L20,L22,L24,L26,L28,L32)</f>
        <v>1161164541979.6741</v>
      </c>
      <c r="M19" s="360">
        <f>SUM(M20,M22,M24,M26,M28,M32)</f>
        <v>938415377587.42419</v>
      </c>
      <c r="N19" s="360">
        <f>SUM(N20,N22,N24,N26,N28,N32)</f>
        <v>2066047909067.4973</v>
      </c>
      <c r="O19" s="360">
        <f>SUM(O20,O22,O24,O26,O28,O32)</f>
        <v>2356241537076.8135</v>
      </c>
    </row>
    <row r="20" spans="1:15" ht="15" customHeight="1">
      <c r="A20" s="357" t="s">
        <v>24</v>
      </c>
      <c r="B20" s="357" t="s">
        <v>730</v>
      </c>
      <c r="C20" s="357"/>
      <c r="D20" s="357"/>
      <c r="E20" s="357">
        <v>162434005510</v>
      </c>
      <c r="F20" s="357">
        <v>276783283933</v>
      </c>
      <c r="G20" s="357">
        <v>519078206990</v>
      </c>
      <c r="H20" s="357">
        <v>1194370878477</v>
      </c>
      <c r="I20" s="357">
        <v>1822022852374</v>
      </c>
      <c r="J20" s="357">
        <v>1953143453300</v>
      </c>
      <c r="K20" s="357">
        <v>3341715425464.6665</v>
      </c>
      <c r="L20" s="357">
        <v>1131118582812.6589</v>
      </c>
      <c r="M20" s="357">
        <v>894683279135.57336</v>
      </c>
      <c r="N20" s="357">
        <v>2029851942160.3523</v>
      </c>
      <c r="O20" s="357">
        <v>2320012681671.3711</v>
      </c>
    </row>
    <row r="21" spans="1:15" s="473" customFormat="1" ht="15" customHeight="1">
      <c r="A21" s="470"/>
      <c r="B21" s="470"/>
      <c r="C21" s="470"/>
      <c r="D21" s="470"/>
      <c r="E21" s="470">
        <f>E20/'BS HPG'!F3</f>
        <v>3.5739839489597025E-2</v>
      </c>
      <c r="F21" s="470">
        <f>F20/'BS HPG'!G3</f>
        <v>2.0208913348694121E-2</v>
      </c>
      <c r="G21" s="470">
        <f>G20/'BS HPG'!H3</f>
        <v>2.3099529690775993E-2</v>
      </c>
      <c r="H21" s="470">
        <f>H20/'BS HPG'!I3</f>
        <v>0.14347505803859337</v>
      </c>
      <c r="I21" s="470">
        <f>I20/'BS HPG'!J3</f>
        <v>0.14871226573100801</v>
      </c>
      <c r="J21" s="470">
        <f>J20/'BS HPG'!J3</f>
        <v>0.15941423998029378</v>
      </c>
      <c r="K21" s="470">
        <f t="shared" ref="K21:O21" si="16">AVERAGE(H21:J21)</f>
        <v>0.15053385458329838</v>
      </c>
      <c r="L21" s="470">
        <f t="shared" si="16"/>
        <v>0.15288678676486672</v>
      </c>
      <c r="M21" s="470">
        <f t="shared" si="16"/>
        <v>0.15427829377615296</v>
      </c>
      <c r="N21" s="470">
        <f t="shared" si="16"/>
        <v>0.152566311708106</v>
      </c>
      <c r="O21" s="470">
        <f t="shared" si="16"/>
        <v>0.1532437974163752</v>
      </c>
    </row>
    <row r="22" spans="1:15" ht="15" customHeight="1">
      <c r="A22" s="357" t="s">
        <v>25</v>
      </c>
      <c r="B22" s="357" t="s">
        <v>732</v>
      </c>
      <c r="C22" s="357"/>
      <c r="D22" s="357"/>
      <c r="E22" s="357">
        <v>115851955886</v>
      </c>
      <c r="F22" s="357">
        <v>177270502599</v>
      </c>
      <c r="G22" s="357">
        <v>483165239031</v>
      </c>
      <c r="H22" s="357">
        <v>1259713002137</v>
      </c>
      <c r="I22" s="357">
        <v>1886624826804</v>
      </c>
      <c r="J22" s="357">
        <v>1207078334480</v>
      </c>
      <c r="K22" s="357">
        <v>0</v>
      </c>
      <c r="L22" s="357">
        <v>0</v>
      </c>
      <c r="M22" s="357">
        <v>0</v>
      </c>
      <c r="N22" s="357">
        <v>0</v>
      </c>
      <c r="O22" s="357">
        <v>0</v>
      </c>
    </row>
    <row r="23" spans="1:15" ht="15" customHeight="1">
      <c r="A23" s="357"/>
      <c r="B23" s="357"/>
      <c r="C23" s="357"/>
      <c r="D23" s="357"/>
      <c r="E23" s="357">
        <f t="shared" ref="E23:J23" si="17">E22-E39</f>
        <v>-49343202663</v>
      </c>
      <c r="F23" s="357">
        <f t="shared" si="17"/>
        <v>-11283838109</v>
      </c>
      <c r="G23" s="357">
        <f t="shared" si="17"/>
        <v>-10711845929</v>
      </c>
      <c r="H23" s="357">
        <f t="shared" si="17"/>
        <v>267207185535</v>
      </c>
      <c r="I23" s="357">
        <f t="shared" si="17"/>
        <v>-1524672594633</v>
      </c>
      <c r="J23" s="357">
        <f t="shared" si="17"/>
        <v>152721591181</v>
      </c>
      <c r="K23" s="357"/>
      <c r="L23" s="357"/>
      <c r="M23" s="357"/>
      <c r="N23" s="357"/>
      <c r="O23" s="357"/>
    </row>
    <row r="24" spans="1:15" ht="15" customHeight="1">
      <c r="A24" s="357" t="s">
        <v>26</v>
      </c>
      <c r="B24" s="357" t="s">
        <v>731</v>
      </c>
      <c r="C24" s="357"/>
      <c r="D24" s="357"/>
      <c r="E24" s="357">
        <v>7311244552</v>
      </c>
      <c r="F24" s="357">
        <v>15303987880</v>
      </c>
      <c r="G24" s="357">
        <v>490877510</v>
      </c>
      <c r="H24" s="357">
        <v>46626960525</v>
      </c>
      <c r="I24" s="357">
        <v>11596235876</v>
      </c>
      <c r="J24" s="357">
        <v>3629798335</v>
      </c>
      <c r="K24" s="357">
        <v>0</v>
      </c>
      <c r="L24" s="357">
        <v>0</v>
      </c>
      <c r="M24" s="357">
        <v>0</v>
      </c>
      <c r="N24" s="357">
        <v>0</v>
      </c>
      <c r="O24" s="357">
        <v>0</v>
      </c>
    </row>
    <row r="25" spans="1:15" ht="15" customHeight="1">
      <c r="A25" s="357"/>
      <c r="B25" s="357"/>
      <c r="C25" s="357"/>
      <c r="D25" s="357"/>
      <c r="E25" s="357">
        <f t="shared" ref="E25:J25" si="18">E24-E41</f>
        <v>-29910869480</v>
      </c>
      <c r="F25" s="357">
        <f t="shared" si="18"/>
        <v>-24183514856</v>
      </c>
      <c r="G25" s="357">
        <f t="shared" si="18"/>
        <v>-52078870772</v>
      </c>
      <c r="H25" s="357">
        <f t="shared" si="18"/>
        <v>-41938831417</v>
      </c>
      <c r="I25" s="357">
        <f t="shared" si="18"/>
        <v>-333983153559</v>
      </c>
      <c r="J25" s="357">
        <f t="shared" si="18"/>
        <v>-291243752578</v>
      </c>
      <c r="K25" s="357"/>
      <c r="L25" s="357"/>
      <c r="M25" s="357"/>
      <c r="N25" s="357"/>
      <c r="O25" s="357"/>
    </row>
    <row r="26" spans="1:15" ht="15" customHeight="1">
      <c r="A26" s="357" t="s">
        <v>27</v>
      </c>
      <c r="B26" s="357" t="s">
        <v>571</v>
      </c>
      <c r="C26" s="357"/>
      <c r="D26" s="357"/>
      <c r="E26" s="357">
        <v>3963967200</v>
      </c>
      <c r="F26" s="357">
        <v>0</v>
      </c>
      <c r="G26" s="357"/>
      <c r="H26" s="357"/>
      <c r="I26" s="357"/>
      <c r="J26" s="357"/>
      <c r="K26" s="357">
        <v>0</v>
      </c>
      <c r="L26" s="357">
        <v>0</v>
      </c>
      <c r="M26" s="357">
        <v>0</v>
      </c>
      <c r="N26" s="357">
        <v>0</v>
      </c>
      <c r="O26" s="357">
        <v>0</v>
      </c>
    </row>
    <row r="27" spans="1:15" ht="15" customHeight="1">
      <c r="A27" s="357"/>
      <c r="B27" s="357"/>
      <c r="C27" s="357"/>
      <c r="D27" s="357"/>
      <c r="E27" s="357"/>
      <c r="F27" s="357"/>
      <c r="G27" s="357"/>
      <c r="H27" s="357"/>
      <c r="I27" s="357"/>
      <c r="J27" s="357"/>
      <c r="L27" s="357"/>
      <c r="M27" s="357"/>
      <c r="N27" s="357"/>
      <c r="O27" s="357"/>
    </row>
    <row r="28" spans="1:15" ht="15" customHeight="1">
      <c r="A28" s="357" t="s">
        <v>28</v>
      </c>
      <c r="B28" s="357" t="s">
        <v>572</v>
      </c>
      <c r="C28" s="357"/>
      <c r="D28" s="357"/>
      <c r="E28" s="357">
        <v>3847097593</v>
      </c>
      <c r="F28" s="357">
        <v>1696057599</v>
      </c>
      <c r="G28" s="357">
        <v>2055442739</v>
      </c>
      <c r="H28" s="357">
        <v>66508449795</v>
      </c>
      <c r="I28" s="357">
        <v>21677909468</v>
      </c>
      <c r="J28" s="357">
        <v>4690900408</v>
      </c>
      <c r="K28" s="357">
        <f>K29*K2</f>
        <v>17031774648.958954</v>
      </c>
      <c r="L28" s="357">
        <f>L29*L2</f>
        <v>26205799645.265095</v>
      </c>
      <c r="M28" s="357">
        <f>M29*M2</f>
        <v>40243818382.225853</v>
      </c>
      <c r="N28" s="357">
        <f>N29*N2</f>
        <v>32531747111.45763</v>
      </c>
      <c r="O28" s="357">
        <f>O29*O2</f>
        <v>32652605472.786354</v>
      </c>
    </row>
    <row r="29" spans="1:15" s="473" customFormat="1" ht="15" customHeight="1">
      <c r="A29" s="470"/>
      <c r="B29" s="470"/>
      <c r="C29" s="470">
        <f t="shared" ref="C29:J29" si="19">C28/C2</f>
        <v>0</v>
      </c>
      <c r="D29" s="470">
        <f t="shared" si="19"/>
        <v>0</v>
      </c>
      <c r="E29" s="470">
        <f t="shared" si="19"/>
        <v>6.7993439104174189E-5</v>
      </c>
      <c r="F29" s="470">
        <f t="shared" si="19"/>
        <v>2.6223136907135005E-5</v>
      </c>
      <c r="G29" s="470">
        <f t="shared" si="19"/>
        <v>2.2518233091645236E-5</v>
      </c>
      <c r="H29" s="470">
        <f t="shared" si="19"/>
        <v>4.4084639316447304E-4</v>
      </c>
      <c r="I29" s="470">
        <f t="shared" si="19"/>
        <v>1.5183712528651919E-4</v>
      </c>
      <c r="J29" s="474">
        <f t="shared" si="19"/>
        <v>3.8975459105601313E-5</v>
      </c>
      <c r="K29" s="474">
        <f t="shared" ref="K29:O29" si="20">AVERAGE(F29:J29)</f>
        <v>1.3608006951107475E-4</v>
      </c>
      <c r="L29" s="470">
        <f t="shared" si="20"/>
        <v>1.580514560318627E-4</v>
      </c>
      <c r="M29" s="470">
        <f t="shared" si="20"/>
        <v>1.8515810061990617E-4</v>
      </c>
      <c r="N29" s="470">
        <f t="shared" si="20"/>
        <v>1.3402044211099283E-4</v>
      </c>
      <c r="O29" s="470">
        <f t="shared" si="20"/>
        <v>1.3045710547588755E-4</v>
      </c>
    </row>
    <row r="30" spans="1:15" ht="15" customHeight="1">
      <c r="A30" s="357"/>
      <c r="B30" s="357"/>
      <c r="C30" s="357"/>
      <c r="D30" s="357"/>
      <c r="E30" s="357">
        <f t="shared" ref="E30:J30" si="21">SUM(E23,E25)</f>
        <v>-79254072143</v>
      </c>
      <c r="F30" s="357">
        <f t="shared" si="21"/>
        <v>-35467352965</v>
      </c>
      <c r="G30" s="357">
        <f t="shared" si="21"/>
        <v>-62790716701</v>
      </c>
      <c r="H30" s="357">
        <f t="shared" si="21"/>
        <v>225268354118</v>
      </c>
      <c r="I30" s="357">
        <f t="shared" si="21"/>
        <v>-1858655748192</v>
      </c>
      <c r="J30" s="357">
        <f t="shared" si="21"/>
        <v>-138522161397</v>
      </c>
      <c r="K30" s="357"/>
      <c r="L30" s="357"/>
      <c r="M30" s="357"/>
      <c r="N30" s="357"/>
      <c r="O30" s="357"/>
    </row>
    <row r="31" spans="1:15" ht="15" customHeight="1">
      <c r="A31" s="357"/>
      <c r="B31" s="357"/>
      <c r="C31" s="357"/>
      <c r="D31" s="357"/>
      <c r="E31" s="357"/>
      <c r="F31" s="357"/>
      <c r="G31" s="357"/>
      <c r="H31" s="357"/>
      <c r="I31" s="357"/>
      <c r="J31" s="357"/>
      <c r="K31" s="357"/>
      <c r="L31" s="357"/>
      <c r="M31" s="357"/>
      <c r="N31" s="357"/>
      <c r="O31" s="357"/>
    </row>
    <row r="32" spans="1:15" ht="15" customHeight="1">
      <c r="A32" s="357" t="s">
        <v>29</v>
      </c>
      <c r="B32" s="357" t="s">
        <v>573</v>
      </c>
      <c r="C32" s="357"/>
      <c r="D32" s="357"/>
      <c r="E32" s="357"/>
      <c r="F32" s="357"/>
      <c r="G32" s="357"/>
      <c r="H32" s="357">
        <v>504221349254</v>
      </c>
      <c r="I32" s="357">
        <v>1728882809</v>
      </c>
      <c r="J32" s="357">
        <v>4543918426</v>
      </c>
      <c r="K32" s="357">
        <f t="shared" ref="K32:O32" si="22">AVERAGE(I32:J32)</f>
        <v>3136400617.5</v>
      </c>
      <c r="L32" s="357">
        <f t="shared" si="22"/>
        <v>3840159521.75</v>
      </c>
      <c r="M32" s="357">
        <f t="shared" si="22"/>
        <v>3488280069.625</v>
      </c>
      <c r="N32" s="357">
        <f t="shared" si="22"/>
        <v>3664219795.6875</v>
      </c>
      <c r="O32" s="357">
        <f t="shared" si="22"/>
        <v>3576249932.65625</v>
      </c>
    </row>
    <row r="33" spans="1:17" ht="15" customHeight="1">
      <c r="A33" s="357"/>
      <c r="B33" s="357"/>
      <c r="C33" s="357"/>
      <c r="D33" s="357"/>
      <c r="E33" s="357"/>
      <c r="F33" s="357"/>
      <c r="G33" s="357"/>
      <c r="H33" s="357"/>
      <c r="I33" s="357"/>
      <c r="J33" s="357"/>
      <c r="K33" s="357"/>
      <c r="L33" s="357"/>
      <c r="M33" s="357"/>
      <c r="N33" s="357"/>
      <c r="O33" s="357"/>
    </row>
    <row r="34" spans="1:17" ht="15" customHeight="1">
      <c r="A34" s="360" t="s">
        <v>30</v>
      </c>
      <c r="B34" s="360" t="s">
        <v>574</v>
      </c>
      <c r="C34" s="360">
        <v>367986756135</v>
      </c>
      <c r="D34" s="360">
        <v>555756583746</v>
      </c>
      <c r="E34" s="360">
        <v>772317161901</v>
      </c>
      <c r="F34" s="360">
        <v>1181675710916</v>
      </c>
      <c r="G34" s="360">
        <v>2837406430588</v>
      </c>
      <c r="H34" s="360">
        <v>3731542257873</v>
      </c>
      <c r="I34" s="360">
        <v>7026723285241</v>
      </c>
      <c r="J34" s="360">
        <v>5191511844389</v>
      </c>
      <c r="K34" s="360">
        <f t="shared" ref="K34:O34" si="23">SUM(K35,K37,K39,K41,K43,K45)</f>
        <v>3935536184323.1929</v>
      </c>
      <c r="L34" s="360">
        <f t="shared" si="23"/>
        <v>3791654301739.5864</v>
      </c>
      <c r="M34" s="360">
        <f t="shared" si="23"/>
        <v>3113302247581.0801</v>
      </c>
      <c r="N34" s="360">
        <f t="shared" si="23"/>
        <v>3092238621977.417</v>
      </c>
      <c r="O34" s="360">
        <f t="shared" si="23"/>
        <v>2997494814348.5439</v>
      </c>
    </row>
    <row r="35" spans="1:17" ht="15" customHeight="1">
      <c r="A35" s="357" t="s">
        <v>31</v>
      </c>
      <c r="B35" s="357" t="s">
        <v>262</v>
      </c>
      <c r="C35" s="357"/>
      <c r="D35" s="357"/>
      <c r="E35" s="357">
        <v>539861243640</v>
      </c>
      <c r="F35" s="357">
        <v>936710218359</v>
      </c>
      <c r="G35" s="357">
        <v>2191680923417</v>
      </c>
      <c r="H35" s="357">
        <v>2525823258237</v>
      </c>
      <c r="I35" s="357">
        <v>3083638131818</v>
      </c>
      <c r="J35" s="357">
        <v>3585077683881</v>
      </c>
      <c r="K35" s="357">
        <f>'Debt waterfall'!F31</f>
        <v>1609025546528.1084</v>
      </c>
      <c r="L35" s="357">
        <f>'Debt waterfall'!G31</f>
        <v>1093979280481.645</v>
      </c>
      <c r="M35" s="357">
        <f>'Debt waterfall'!H31</f>
        <v>805791092243.33826</v>
      </c>
      <c r="N35" s="357">
        <f>'Debt waterfall'!I31</f>
        <v>574520018522.479</v>
      </c>
      <c r="O35" s="357">
        <f>'Debt waterfall'!J31</f>
        <v>447787203143.06256</v>
      </c>
    </row>
    <row r="36" spans="1:17" ht="15" customHeight="1">
      <c r="A36" s="357"/>
      <c r="B36" s="357"/>
      <c r="C36" s="357"/>
      <c r="D36" s="357"/>
      <c r="E36" s="357"/>
      <c r="F36" s="357"/>
      <c r="G36" s="357"/>
      <c r="H36" s="357"/>
      <c r="I36" s="357"/>
      <c r="J36" s="357"/>
      <c r="K36" s="357"/>
      <c r="L36" s="357"/>
      <c r="M36" s="357"/>
      <c r="N36" s="357"/>
      <c r="O36" s="357"/>
    </row>
    <row r="37" spans="1:17" ht="15" customHeight="1">
      <c r="A37" s="357" t="s">
        <v>32</v>
      </c>
      <c r="B37" s="357" t="s">
        <v>575</v>
      </c>
      <c r="C37" s="357"/>
      <c r="D37" s="357"/>
      <c r="E37" s="357">
        <v>13562300498</v>
      </c>
      <c r="F37" s="357">
        <v>12037994693</v>
      </c>
      <c r="G37" s="357">
        <v>10304712000</v>
      </c>
      <c r="H37" s="357">
        <v>0</v>
      </c>
      <c r="I37" s="357">
        <v>14473105</v>
      </c>
      <c r="J37" s="357">
        <v>431823526</v>
      </c>
      <c r="K37" s="357">
        <f>K10*K38</f>
        <v>208144898.94824845</v>
      </c>
      <c r="L37" s="357">
        <f>L10*L38</f>
        <v>195542080.94490603</v>
      </c>
      <c r="M37" s="357">
        <f>M10*M38</f>
        <v>336745277.92685437</v>
      </c>
      <c r="N37" s="357">
        <f>N10*N38</f>
        <v>472767549.74876213</v>
      </c>
      <c r="O37" s="357">
        <f>O10*O38</f>
        <v>395187259.98920858</v>
      </c>
    </row>
    <row r="38" spans="1:17" ht="15" customHeight="1">
      <c r="A38" s="357"/>
      <c r="B38" s="357"/>
      <c r="C38" s="357"/>
      <c r="D38" s="357"/>
      <c r="E38" s="357">
        <f t="shared" ref="E38:J38" si="24">E37/E10</f>
        <v>1.8229748374887021E-2</v>
      </c>
      <c r="F38" s="357">
        <f t="shared" si="24"/>
        <v>1.1805266821531844E-2</v>
      </c>
      <c r="G38" s="357">
        <f t="shared" si="24"/>
        <v>8.8792516364740726E-3</v>
      </c>
      <c r="H38" s="357">
        <f t="shared" si="24"/>
        <v>0</v>
      </c>
      <c r="I38" s="357">
        <f t="shared" si="24"/>
        <v>1.0629981654191727E-5</v>
      </c>
      <c r="J38" s="357">
        <f t="shared" si="24"/>
        <v>3.0796061875710748E-4</v>
      </c>
      <c r="K38" s="357">
        <f>AVERAGE(I38:J38)</f>
        <v>1.5929530020564962E-4</v>
      </c>
      <c r="L38" s="357">
        <f t="shared" ref="L38:O38" si="25">AVERAGE(H38:K38)</f>
        <v>1.1947147515423721E-4</v>
      </c>
      <c r="M38" s="357">
        <f t="shared" si="25"/>
        <v>1.4933934394279651E-4</v>
      </c>
      <c r="N38" s="357">
        <f t="shared" si="25"/>
        <v>1.8401668451494772E-4</v>
      </c>
      <c r="O38" s="357">
        <f t="shared" si="25"/>
        <v>1.5303070095440776E-4</v>
      </c>
    </row>
    <row r="39" spans="1:17" ht="15" customHeight="1">
      <c r="A39" s="357" t="s">
        <v>33</v>
      </c>
      <c r="B39" s="357" t="s">
        <v>733</v>
      </c>
      <c r="C39" s="357"/>
      <c r="D39" s="357"/>
      <c r="E39" s="357">
        <v>165195158549</v>
      </c>
      <c r="F39" s="357">
        <v>188554340708</v>
      </c>
      <c r="G39" s="357">
        <v>493877084960</v>
      </c>
      <c r="H39" s="357">
        <v>992505816602</v>
      </c>
      <c r="I39" s="357">
        <v>3411297421437</v>
      </c>
      <c r="J39" s="357">
        <v>1054356743299</v>
      </c>
      <c r="K39" s="357">
        <f t="shared" ref="K39:O39" si="26">AVERAGE(H39:J39)</f>
        <v>1819386660446</v>
      </c>
      <c r="L39" s="357">
        <f t="shared" si="26"/>
        <v>2095013608394</v>
      </c>
      <c r="M39" s="357">
        <f t="shared" si="26"/>
        <v>1656252337379.6667</v>
      </c>
      <c r="N39" s="357">
        <f t="shared" si="26"/>
        <v>1856884202073.2224</v>
      </c>
      <c r="O39" s="357">
        <f t="shared" si="26"/>
        <v>1869383382615.6299</v>
      </c>
    </row>
    <row r="40" spans="1:17" ht="15" customHeight="1">
      <c r="A40" s="357"/>
      <c r="B40" s="357"/>
      <c r="C40" s="357"/>
      <c r="D40" s="357"/>
      <c r="E40" s="357"/>
      <c r="F40" s="357"/>
      <c r="G40" s="357"/>
      <c r="H40" s="357"/>
      <c r="I40" s="357"/>
      <c r="J40" s="357"/>
      <c r="K40" s="357"/>
      <c r="L40" s="357"/>
      <c r="M40" s="357"/>
      <c r="N40" s="357"/>
      <c r="O40" s="357"/>
    </row>
    <row r="41" spans="1:17" ht="15" customHeight="1">
      <c r="A41" s="357" t="s">
        <v>34</v>
      </c>
      <c r="B41" s="357" t="s">
        <v>734</v>
      </c>
      <c r="C41" s="357"/>
      <c r="D41" s="357"/>
      <c r="E41" s="357">
        <v>37222114032</v>
      </c>
      <c r="F41" s="357">
        <v>39487502736</v>
      </c>
      <c r="G41" s="357">
        <v>52569748282</v>
      </c>
      <c r="H41" s="357">
        <v>88565791942</v>
      </c>
      <c r="I41" s="357">
        <v>345579389435</v>
      </c>
      <c r="J41" s="357">
        <v>294873550913</v>
      </c>
      <c r="K41" s="357">
        <f t="shared" ref="K41" si="27">AVERAGE(H41:J41)</f>
        <v>243006244096.66666</v>
      </c>
      <c r="L41" s="357">
        <f t="shared" ref="L41:O41" si="28">AVERAGE(I41:K41)</f>
        <v>294486394814.88885</v>
      </c>
      <c r="M41" s="357">
        <f t="shared" si="28"/>
        <v>277455396608.18512</v>
      </c>
      <c r="N41" s="357">
        <f t="shared" si="28"/>
        <v>271649345173.24692</v>
      </c>
      <c r="O41" s="357">
        <f t="shared" si="28"/>
        <v>281197045532.10699</v>
      </c>
    </row>
    <row r="42" spans="1:17" ht="15" customHeight="1">
      <c r="A42" s="357"/>
      <c r="B42" s="357"/>
      <c r="C42" s="357"/>
      <c r="D42" s="357"/>
      <c r="E42" s="357"/>
      <c r="F42" s="357"/>
      <c r="G42" s="357"/>
      <c r="H42" s="357"/>
      <c r="I42" s="357"/>
      <c r="J42" s="357"/>
      <c r="K42" s="357"/>
      <c r="L42" s="357"/>
      <c r="M42" s="357"/>
      <c r="N42" s="357"/>
      <c r="O42" s="357"/>
    </row>
    <row r="43" spans="1:17" ht="15" customHeight="1">
      <c r="A43" s="357" t="s">
        <v>35</v>
      </c>
      <c r="B43" s="357" t="s">
        <v>576</v>
      </c>
      <c r="C43" s="357"/>
      <c r="D43" s="357"/>
      <c r="E43" s="357">
        <v>16476345182</v>
      </c>
      <c r="F43" s="357">
        <v>4885654420</v>
      </c>
      <c r="G43" s="357">
        <v>88973961929</v>
      </c>
      <c r="H43" s="357">
        <v>124647391092</v>
      </c>
      <c r="I43" s="357">
        <v>186193869446</v>
      </c>
      <c r="J43" s="357">
        <v>121647098745</v>
      </c>
      <c r="K43" s="357">
        <f>K44*K2</f>
        <v>128784644328.46974</v>
      </c>
      <c r="L43" s="357">
        <f>L44*L2</f>
        <v>172854531943.10806</v>
      </c>
      <c r="M43" s="357">
        <f>M44*M2</f>
        <v>238341732046.96313</v>
      </c>
      <c r="N43" s="357">
        <f>N44*N2</f>
        <v>253587344633.71957</v>
      </c>
      <c r="O43" s="357">
        <f>O44*O2</f>
        <v>263607051772.75555</v>
      </c>
    </row>
    <row r="44" spans="1:17" ht="15" customHeight="1">
      <c r="A44" s="357"/>
      <c r="B44" s="357"/>
      <c r="C44" s="357"/>
      <c r="D44" s="357"/>
      <c r="E44" s="357">
        <f t="shared" ref="E44:J44" si="29">E43/E2</f>
        <v>2.9120222341904873E-4</v>
      </c>
      <c r="F44" s="357">
        <f t="shared" si="29"/>
        <v>7.5538227482455488E-5</v>
      </c>
      <c r="G44" s="357">
        <f t="shared" si="29"/>
        <v>9.7474688824420288E-4</v>
      </c>
      <c r="H44" s="357">
        <f t="shared" si="29"/>
        <v>8.2621611163158912E-4</v>
      </c>
      <c r="I44" s="357">
        <f t="shared" si="29"/>
        <v>1.3041452140201408E-3</v>
      </c>
      <c r="J44" s="357">
        <f t="shared" si="29"/>
        <v>1.0107337845768208E-3</v>
      </c>
      <c r="K44" s="357">
        <f t="shared" ref="K44:O44" si="30">AVERAGE(G44:J44)</f>
        <v>1.0289604996181884E-3</v>
      </c>
      <c r="L44" s="357">
        <f t="shared" si="30"/>
        <v>1.0425139024616847E-3</v>
      </c>
      <c r="M44" s="357">
        <f t="shared" si="30"/>
        <v>1.0965883501692086E-3</v>
      </c>
      <c r="N44" s="357">
        <f t="shared" si="30"/>
        <v>1.0446991342064756E-3</v>
      </c>
      <c r="O44" s="357">
        <f t="shared" si="30"/>
        <v>1.0531904716138893E-3</v>
      </c>
    </row>
    <row r="45" spans="1:17" ht="15" customHeight="1">
      <c r="A45" s="357" t="s">
        <v>36</v>
      </c>
      <c r="B45" s="357" t="s">
        <v>577</v>
      </c>
      <c r="C45" s="357"/>
      <c r="D45" s="357"/>
      <c r="E45" s="357"/>
      <c r="F45" s="357"/>
      <c r="G45" s="357"/>
      <c r="H45" s="357"/>
      <c r="I45" s="357">
        <v>0</v>
      </c>
      <c r="J45" s="357">
        <v>135124944025</v>
      </c>
      <c r="K45" s="357">
        <v>135124944025</v>
      </c>
      <c r="L45" s="357">
        <v>135124944025</v>
      </c>
      <c r="M45" s="357">
        <v>135124944025</v>
      </c>
      <c r="N45" s="357">
        <v>135124944025</v>
      </c>
      <c r="O45" s="357">
        <v>135124944025</v>
      </c>
    </row>
    <row r="46" spans="1:17" ht="15" customHeight="1">
      <c r="A46" s="357"/>
      <c r="B46" s="357"/>
      <c r="C46" s="357"/>
      <c r="D46" s="357"/>
      <c r="E46" s="357"/>
      <c r="F46" s="357"/>
      <c r="G46" s="357"/>
      <c r="H46" s="357"/>
      <c r="I46" s="357"/>
      <c r="J46" s="357"/>
      <c r="K46" s="357"/>
      <c r="L46" s="357"/>
      <c r="M46" s="357"/>
      <c r="N46" s="357"/>
      <c r="O46" s="357"/>
    </row>
    <row r="47" spans="1:17" s="451" customFormat="1" ht="15" customHeight="1">
      <c r="A47" s="447" t="s">
        <v>22</v>
      </c>
      <c r="B47" s="447" t="s">
        <v>22</v>
      </c>
      <c r="C47" s="447">
        <f t="shared" ref="C47:J47" si="31">C34/C2</f>
        <v>1.0859906416210407E-2</v>
      </c>
      <c r="D47" s="447">
        <f t="shared" si="31"/>
        <v>1.1861245350434101E-2</v>
      </c>
      <c r="E47" s="447">
        <f t="shared" si="31"/>
        <v>1.3649900645196415E-2</v>
      </c>
      <c r="F47" s="447">
        <f t="shared" si="31"/>
        <v>1.8270160144004847E-2</v>
      </c>
      <c r="G47" s="447">
        <f t="shared" si="31"/>
        <v>3.1084971703370663E-2</v>
      </c>
      <c r="H47" s="447">
        <f t="shared" si="31"/>
        <v>2.4734254826185968E-2</v>
      </c>
      <c r="I47" s="447">
        <f t="shared" si="31"/>
        <v>4.921680595584077E-2</v>
      </c>
      <c r="J47" s="447">
        <f t="shared" si="31"/>
        <v>4.3134908010869097E-2</v>
      </c>
      <c r="K47" s="447"/>
      <c r="L47" s="447"/>
      <c r="M47" s="447"/>
      <c r="N47" s="447"/>
      <c r="O47" s="447"/>
      <c r="P47" s="450"/>
      <c r="Q47" s="450"/>
    </row>
    <row r="48" spans="1:17" s="451" customFormat="1" ht="15" customHeight="1">
      <c r="A48" s="447" t="s">
        <v>15</v>
      </c>
      <c r="B48" s="447" t="s">
        <v>15</v>
      </c>
      <c r="C48" s="447"/>
      <c r="D48" s="447">
        <f t="shared" ref="D48:J48" si="32">D34/C34-1</f>
        <v>0.51026246048407931</v>
      </c>
      <c r="E48" s="447">
        <f t="shared" si="32"/>
        <v>0.38966803900963898</v>
      </c>
      <c r="F48" s="447">
        <f t="shared" si="32"/>
        <v>0.53003943096045547</v>
      </c>
      <c r="G48" s="447">
        <f t="shared" si="32"/>
        <v>1.4011718311350636</v>
      </c>
      <c r="H48" s="447">
        <f t="shared" si="32"/>
        <v>0.31512433948340179</v>
      </c>
      <c r="I48" s="447">
        <f t="shared" si="32"/>
        <v>0.88306142598697823</v>
      </c>
      <c r="J48" s="447">
        <f t="shared" si="32"/>
        <v>-0.26117599432251681</v>
      </c>
      <c r="K48" s="447"/>
      <c r="L48" s="447"/>
      <c r="M48" s="447"/>
      <c r="N48" s="447"/>
      <c r="O48" s="447"/>
      <c r="P48" s="450"/>
      <c r="Q48" s="450"/>
    </row>
    <row r="49" spans="1:17" ht="15" customHeight="1">
      <c r="A49" s="357" t="s">
        <v>37</v>
      </c>
      <c r="B49" s="357" t="s">
        <v>578</v>
      </c>
      <c r="C49" s="357">
        <v>279951879407</v>
      </c>
      <c r="D49" s="357">
        <v>479707569855</v>
      </c>
      <c r="E49" s="357">
        <v>539861243640</v>
      </c>
      <c r="F49" s="357">
        <v>936710218359</v>
      </c>
      <c r="G49" s="357">
        <v>2191680923417</v>
      </c>
      <c r="H49" s="357">
        <v>2525823258237</v>
      </c>
      <c r="I49" s="357">
        <v>3083638131818</v>
      </c>
      <c r="J49" s="357">
        <v>3585077683881</v>
      </c>
      <c r="K49" s="357"/>
      <c r="L49" s="357"/>
      <c r="M49" s="357"/>
      <c r="N49" s="357"/>
      <c r="O49" s="357"/>
    </row>
    <row r="50" spans="1:17" s="455" customFormat="1" ht="15" customHeight="1">
      <c r="A50" s="453" t="s">
        <v>38</v>
      </c>
      <c r="B50" s="453" t="s">
        <v>579</v>
      </c>
      <c r="C50" s="453">
        <v>-534948182</v>
      </c>
      <c r="D50" s="453">
        <v>-159611603</v>
      </c>
      <c r="E50" s="453"/>
      <c r="F50" s="453">
        <v>-1431313615</v>
      </c>
      <c r="G50" s="453">
        <v>1964631764</v>
      </c>
      <c r="H50" s="453">
        <v>4465302865</v>
      </c>
      <c r="I50" s="453">
        <v>-1072667584</v>
      </c>
      <c r="J50" s="453">
        <v>-1072667584</v>
      </c>
      <c r="K50" s="453">
        <f>K51*K2</f>
        <v>314544435.46648961</v>
      </c>
      <c r="L50" s="453">
        <f>L51*L2</f>
        <v>1233881614.2853811</v>
      </c>
      <c r="M50" s="453">
        <f>M51*M2</f>
        <v>1005327142.6333225</v>
      </c>
      <c r="N50" s="453">
        <f>N51*N2</f>
        <v>-89590803.942861319</v>
      </c>
      <c r="O50" s="453">
        <f>O51*O2</f>
        <v>265246356.08363304</v>
      </c>
      <c r="P50" s="454"/>
      <c r="Q50" s="454"/>
    </row>
    <row r="51" spans="1:17" s="473" customFormat="1" ht="15" customHeight="1">
      <c r="A51" s="470"/>
      <c r="B51" s="470"/>
      <c r="C51" s="470">
        <f t="shared" ref="C51:J51" si="33">C50/C2</f>
        <v>-1.5787218146271053E-5</v>
      </c>
      <c r="D51" s="470">
        <f t="shared" si="33"/>
        <v>-3.4065136416347671E-6</v>
      </c>
      <c r="E51" s="470">
        <f t="shared" si="33"/>
        <v>0</v>
      </c>
      <c r="F51" s="470">
        <f t="shared" si="33"/>
        <v>-2.2129869236352111E-5</v>
      </c>
      <c r="G51" s="470">
        <f t="shared" si="33"/>
        <v>2.1523360958488929E-5</v>
      </c>
      <c r="H51" s="470">
        <f t="shared" si="33"/>
        <v>2.9597933322605085E-5</v>
      </c>
      <c r="I51" s="470">
        <f t="shared" si="33"/>
        <v>-7.5132135127244938E-6</v>
      </c>
      <c r="J51" s="470">
        <f t="shared" si="33"/>
        <v>-8.9125131462599492E-6</v>
      </c>
      <c r="K51" s="470">
        <f t="shared" ref="K51:O51" si="34">AVERAGE(F51:J51)</f>
        <v>2.5131396771514922E-6</v>
      </c>
      <c r="L51" s="470">
        <f t="shared" si="34"/>
        <v>7.4417414598522125E-6</v>
      </c>
      <c r="M51" s="470">
        <f t="shared" si="34"/>
        <v>4.6254175601248696E-6</v>
      </c>
      <c r="N51" s="470">
        <f t="shared" si="34"/>
        <v>-3.6908559237117357E-7</v>
      </c>
      <c r="O51" s="470">
        <f t="shared" si="34"/>
        <v>1.0597399916994903E-6</v>
      </c>
    </row>
    <row r="52" spans="1:17" s="455" customFormat="1" ht="15" customHeight="1">
      <c r="A52" s="453" t="s">
        <v>39</v>
      </c>
      <c r="B52" s="453" t="s">
        <v>580</v>
      </c>
      <c r="C52" s="453">
        <v>489954015797</v>
      </c>
      <c r="D52" s="453">
        <v>594707868484</v>
      </c>
      <c r="E52" s="453">
        <v>676809221259</v>
      </c>
      <c r="F52" s="453">
        <v>873333584688</v>
      </c>
      <c r="G52" s="453">
        <v>1090795558423</v>
      </c>
      <c r="H52" s="453">
        <v>2120068223228</v>
      </c>
      <c r="I52" s="453">
        <v>2665806087302</v>
      </c>
      <c r="J52" s="453">
        <v>1961362129952</v>
      </c>
      <c r="K52" s="453">
        <f>K53*K2</f>
        <v>2045158896791.9717</v>
      </c>
      <c r="L52" s="453">
        <f>L53*L2</f>
        <v>2835756500954.835</v>
      </c>
      <c r="M52" s="453">
        <f>M53*M2</f>
        <v>3603615967356.7944</v>
      </c>
      <c r="N52" s="453">
        <f>N53*N2</f>
        <v>4047495384219.6475</v>
      </c>
      <c r="O52" s="453">
        <f>O53*O2</f>
        <v>4201365753365.8872</v>
      </c>
      <c r="P52" s="454"/>
      <c r="Q52" s="454"/>
    </row>
    <row r="53" spans="1:17" ht="15" customHeight="1">
      <c r="A53" s="357"/>
      <c r="B53" s="357"/>
      <c r="C53" s="357">
        <f t="shared" ref="C53:J53" si="35">C52/C2</f>
        <v>1.4459364830645919E-2</v>
      </c>
      <c r="D53" s="357">
        <f t="shared" si="35"/>
        <v>1.2692563878192996E-2</v>
      </c>
      <c r="E53" s="357">
        <f t="shared" si="35"/>
        <v>1.1961897367654684E-2</v>
      </c>
      <c r="F53" s="357">
        <f t="shared" si="35"/>
        <v>1.3502811561573864E-2</v>
      </c>
      <c r="G53" s="357">
        <f t="shared" si="35"/>
        <v>1.1950120610925197E-2</v>
      </c>
      <c r="H53" s="357">
        <f t="shared" si="35"/>
        <v>1.4052717096150694E-2</v>
      </c>
      <c r="I53" s="357">
        <f t="shared" si="35"/>
        <v>1.8671926528004968E-2</v>
      </c>
      <c r="J53" s="600">
        <f t="shared" si="35"/>
        <v>1.6296442652427183E-2</v>
      </c>
      <c r="K53" s="357">
        <f t="shared" ref="K53:O53" si="36">AVERAGE(H53:J53)</f>
        <v>1.6340362092194281E-2</v>
      </c>
      <c r="L53" s="357">
        <f t="shared" si="36"/>
        <v>1.7102910424208809E-2</v>
      </c>
      <c r="M53" s="357">
        <f t="shared" si="36"/>
        <v>1.6579905056276757E-2</v>
      </c>
      <c r="N53" s="357">
        <f t="shared" si="36"/>
        <v>1.6674392524226617E-2</v>
      </c>
      <c r="O53" s="357">
        <f t="shared" si="36"/>
        <v>1.6785736001570729E-2</v>
      </c>
    </row>
    <row r="54" spans="1:17" ht="15" customHeight="1">
      <c r="A54" s="453" t="s">
        <v>40</v>
      </c>
      <c r="B54" s="453" t="s">
        <v>581</v>
      </c>
      <c r="C54" s="453">
        <v>404587312609</v>
      </c>
      <c r="D54" s="453">
        <v>409038156382</v>
      </c>
      <c r="E54" s="453">
        <v>444024985823</v>
      </c>
      <c r="F54" s="453">
        <v>569005805722</v>
      </c>
      <c r="G54" s="453">
        <v>690298504185</v>
      </c>
      <c r="H54" s="453">
        <v>1324261548679</v>
      </c>
      <c r="I54" s="453">
        <v>1019444279447</v>
      </c>
      <c r="J54" s="453">
        <v>1307290336873</v>
      </c>
      <c r="K54" s="453">
        <f>K55*K2</f>
        <v>1117266483948.7625</v>
      </c>
      <c r="L54" s="453">
        <f>L55*L2</f>
        <v>1488329043210.1895</v>
      </c>
      <c r="M54" s="453">
        <f>M55*M2</f>
        <v>2084008744328.3679</v>
      </c>
      <c r="N54" s="453">
        <f>N55*N2</f>
        <v>2224394923884.3916</v>
      </c>
      <c r="O54" s="453">
        <f>O55*O2</f>
        <v>2313422821664.2676</v>
      </c>
    </row>
    <row r="55" spans="1:17" ht="15" customHeight="1">
      <c r="A55" s="357"/>
      <c r="B55" s="357"/>
      <c r="C55" s="357">
        <f t="shared" ref="C55:J55" si="37">C54/C2</f>
        <v>1.194005022970962E-2</v>
      </c>
      <c r="D55" s="357">
        <f t="shared" si="37"/>
        <v>8.7299045525181408E-3</v>
      </c>
      <c r="E55" s="357">
        <f t="shared" si="37"/>
        <v>7.8476786991891513E-3</v>
      </c>
      <c r="F55" s="357">
        <f t="shared" si="37"/>
        <v>8.7975297261131923E-3</v>
      </c>
      <c r="G55" s="357">
        <f t="shared" si="37"/>
        <v>7.5625082251692313E-3</v>
      </c>
      <c r="H55" s="357">
        <f t="shared" si="37"/>
        <v>8.7777707816221757E-3</v>
      </c>
      <c r="I55" s="357">
        <f t="shared" si="37"/>
        <v>7.1404250953955237E-3</v>
      </c>
      <c r="J55" s="600">
        <f t="shared" si="37"/>
        <v>1.0861931960236444E-2</v>
      </c>
      <c r="K55" s="357">
        <f t="shared" ref="K55:O55" si="38">AVERAGE(H55:J55)</f>
        <v>8.9267092790847134E-3</v>
      </c>
      <c r="L55" s="357">
        <f t="shared" si="38"/>
        <v>8.9763554449055604E-3</v>
      </c>
      <c r="M55" s="357">
        <f t="shared" si="38"/>
        <v>9.5883322280755721E-3</v>
      </c>
      <c r="N55" s="357">
        <f t="shared" si="38"/>
        <v>9.163798984021948E-3</v>
      </c>
      <c r="O55" s="357">
        <f t="shared" si="38"/>
        <v>9.2428288856676935E-3</v>
      </c>
    </row>
    <row r="56" spans="1:17" ht="15" customHeight="1">
      <c r="A56" s="361" t="s">
        <v>543</v>
      </c>
      <c r="B56" s="361" t="s">
        <v>582</v>
      </c>
      <c r="C56" s="361">
        <v>7684677856132</v>
      </c>
      <c r="D56" s="361">
        <v>9252124280568</v>
      </c>
      <c r="E56" s="361">
        <v>10072089132832</v>
      </c>
      <c r="F56" s="361">
        <v>9030979639207</v>
      </c>
      <c r="G56" s="361">
        <v>15292303808992</v>
      </c>
      <c r="H56" s="361">
        <v>37008443446265</v>
      </c>
      <c r="I56" s="361">
        <v>9794030627309</v>
      </c>
      <c r="J56" s="361">
        <v>7650762789307</v>
      </c>
      <c r="K56" s="456">
        <f>K17+K19-K34+K50-K52-K54</f>
        <v>11973449944275.445</v>
      </c>
      <c r="L56" s="456">
        <f>L17+L19-L34+L50-L52-L54</f>
        <v>17160013287076.646</v>
      </c>
      <c r="M56" s="456">
        <f>M17+M19-M34+M50-M52-M54</f>
        <v>21622251209560.254</v>
      </c>
      <c r="N56" s="456">
        <f>N17+N19-N34+N50-N52-N54</f>
        <v>20941876841506.16</v>
      </c>
      <c r="O56" s="456">
        <f>O17+O19-O34+O50-O52-O54</f>
        <v>28630272956416.195</v>
      </c>
    </row>
    <row r="57" spans="1:17" s="451" customFormat="1" ht="15" customHeight="1">
      <c r="A57" s="447" t="s">
        <v>15</v>
      </c>
      <c r="B57" s="447" t="s">
        <v>15</v>
      </c>
      <c r="C57" s="447"/>
      <c r="D57" s="447">
        <f t="shared" ref="D57:J57" si="39">D56/C56-1</f>
        <v>0.2039703490218856</v>
      </c>
      <c r="E57" s="447">
        <f t="shared" si="39"/>
        <v>8.8624496104764861E-2</v>
      </c>
      <c r="F57" s="447">
        <f t="shared" si="39"/>
        <v>-0.10336579431483528</v>
      </c>
      <c r="G57" s="448">
        <f t="shared" si="39"/>
        <v>0.69331616501516113</v>
      </c>
      <c r="H57" s="448">
        <f t="shared" si="39"/>
        <v>1.4200698539943821</v>
      </c>
      <c r="I57" s="448">
        <f t="shared" si="39"/>
        <v>-0.73535686142732271</v>
      </c>
      <c r="J57" s="448">
        <f t="shared" si="39"/>
        <v>-0.21883409594675551</v>
      </c>
      <c r="K57" s="447"/>
      <c r="L57" s="447"/>
      <c r="M57" s="447"/>
      <c r="N57" s="447"/>
      <c r="O57" s="447"/>
      <c r="P57" s="450"/>
      <c r="Q57" s="450"/>
    </row>
    <row r="58" spans="1:17" ht="15" customHeight="1">
      <c r="A58" s="359"/>
      <c r="B58" s="359"/>
      <c r="C58" s="359"/>
      <c r="D58" s="359"/>
      <c r="E58" s="359"/>
      <c r="F58" s="359"/>
      <c r="G58" s="457"/>
      <c r="H58" s="457"/>
      <c r="I58" s="457"/>
      <c r="J58" s="457"/>
      <c r="K58" s="357"/>
      <c r="L58" s="357"/>
      <c r="M58" s="357"/>
      <c r="N58" s="357"/>
      <c r="O58" s="357"/>
    </row>
    <row r="59" spans="1:17" s="452" customFormat="1" ht="15" customHeight="1">
      <c r="A59" s="359" t="s">
        <v>41</v>
      </c>
      <c r="B59" s="359" t="s">
        <v>583</v>
      </c>
      <c r="C59" s="359">
        <v>434468369665</v>
      </c>
      <c r="D59" s="359">
        <v>432791811829</v>
      </c>
      <c r="E59" s="359">
        <v>488856588036</v>
      </c>
      <c r="F59" s="359">
        <v>657680931477</v>
      </c>
      <c r="G59" s="359">
        <v>654081334225</v>
      </c>
      <c r="H59" s="359">
        <v>796666105925</v>
      </c>
      <c r="I59" s="359">
        <v>872024724926</v>
      </c>
      <c r="J59" s="359">
        <v>771973465495</v>
      </c>
      <c r="K59" s="359">
        <f>K2*K60</f>
        <v>781259855663.09741</v>
      </c>
      <c r="L59" s="359">
        <f>L2*L60</f>
        <v>996686806545.35413</v>
      </c>
      <c r="M59" s="359">
        <f>M2*M60</f>
        <v>1346215897450.5256</v>
      </c>
      <c r="N59" s="359">
        <f>N2*N60</f>
        <v>1508685280824.7825</v>
      </c>
      <c r="O59" s="359">
        <f>O2*O60</f>
        <v>1543210911717.457</v>
      </c>
    </row>
    <row r="60" spans="1:17" s="473" customFormat="1" ht="15" customHeight="1">
      <c r="A60" s="470"/>
      <c r="B60" s="470"/>
      <c r="C60" s="470">
        <f t="shared" ref="C60:J60" si="40">C59/C2</f>
        <v>1.2821890344429822E-2</v>
      </c>
      <c r="D60" s="470">
        <f t="shared" si="40"/>
        <v>9.2368673910462242E-3</v>
      </c>
      <c r="E60" s="470">
        <f t="shared" si="40"/>
        <v>8.6400305284119495E-3</v>
      </c>
      <c r="F60" s="470">
        <f t="shared" si="40"/>
        <v>1.0168556255107139E-2</v>
      </c>
      <c r="G60" s="470">
        <f t="shared" si="40"/>
        <v>7.1657340121956386E-3</v>
      </c>
      <c r="H60" s="470">
        <f t="shared" si="40"/>
        <v>5.280642992521312E-3</v>
      </c>
      <c r="I60" s="470">
        <f t="shared" si="40"/>
        <v>6.10786421112161E-3</v>
      </c>
      <c r="J60" s="470">
        <f t="shared" si="40"/>
        <v>6.4141247133912074E-3</v>
      </c>
      <c r="K60" s="470">
        <f t="shared" ref="K60:O60" si="41">AVERAGE(G60:J60)</f>
        <v>6.2420914823074422E-3</v>
      </c>
      <c r="L60" s="470">
        <f t="shared" si="41"/>
        <v>6.0111808498353927E-3</v>
      </c>
      <c r="M60" s="470">
        <f t="shared" si="41"/>
        <v>6.1938153141639137E-3</v>
      </c>
      <c r="N60" s="470">
        <f t="shared" si="41"/>
        <v>6.2153030899244899E-3</v>
      </c>
      <c r="O60" s="470">
        <f t="shared" si="41"/>
        <v>6.1655976840578096E-3</v>
      </c>
    </row>
    <row r="61" spans="1:17" s="452" customFormat="1" ht="15" customHeight="1">
      <c r="A61" s="359" t="s">
        <v>42</v>
      </c>
      <c r="B61" s="359" t="s">
        <v>584</v>
      </c>
      <c r="C61" s="359">
        <v>417322272122</v>
      </c>
      <c r="D61" s="359">
        <v>396546349700</v>
      </c>
      <c r="E61" s="359">
        <v>489872848566</v>
      </c>
      <c r="F61" s="359">
        <v>591998447298</v>
      </c>
      <c r="G61" s="359">
        <v>589418351516</v>
      </c>
      <c r="H61" s="359">
        <v>748331838000</v>
      </c>
      <c r="I61" s="359">
        <v>743114224951</v>
      </c>
      <c r="J61" s="359">
        <v>630007511629</v>
      </c>
      <c r="K61" s="359">
        <f>K62*K2</f>
        <v>683908347486.44885</v>
      </c>
      <c r="L61" s="359">
        <f>L62*L2</f>
        <v>864843505154.22009</v>
      </c>
      <c r="M61" s="359">
        <f>M62*M2</f>
        <v>1147588674075.5586</v>
      </c>
      <c r="N61" s="359">
        <f>N62*N2</f>
        <v>1286191838666.6628</v>
      </c>
      <c r="O61" s="359">
        <f>O62*O2</f>
        <v>1330245112980.0049</v>
      </c>
    </row>
    <row r="62" spans="1:17" s="473" customFormat="1" ht="15" customHeight="1">
      <c r="A62" s="470"/>
      <c r="B62" s="470"/>
      <c r="C62" s="470">
        <f t="shared" ref="C62:J62" si="42">C61/C2</f>
        <v>1.2315880245925398E-2</v>
      </c>
      <c r="D62" s="470">
        <f t="shared" si="42"/>
        <v>8.4632979332556462E-3</v>
      </c>
      <c r="E62" s="470">
        <f t="shared" si="42"/>
        <v>8.6579918737613015E-3</v>
      </c>
      <c r="F62" s="470">
        <f t="shared" si="42"/>
        <v>9.1530242495654786E-3</v>
      </c>
      <c r="G62" s="470">
        <f t="shared" si="42"/>
        <v>6.4573240480481102E-3</v>
      </c>
      <c r="H62" s="470">
        <f t="shared" si="42"/>
        <v>4.9602628341104717E-3</v>
      </c>
      <c r="I62" s="470">
        <f t="shared" si="42"/>
        <v>5.2049450544406888E-3</v>
      </c>
      <c r="J62" s="470">
        <f t="shared" si="42"/>
        <v>5.2345668997451321E-3</v>
      </c>
      <c r="K62" s="470">
        <f t="shared" ref="K62:O62" si="43">AVERAGE(G62:J62)</f>
        <v>5.4642747090861013E-3</v>
      </c>
      <c r="L62" s="470">
        <f t="shared" si="43"/>
        <v>5.2160123743455987E-3</v>
      </c>
      <c r="M62" s="470">
        <f t="shared" si="43"/>
        <v>5.2799497594043805E-3</v>
      </c>
      <c r="N62" s="470">
        <f t="shared" si="43"/>
        <v>5.2987009356453025E-3</v>
      </c>
      <c r="O62" s="470">
        <f t="shared" si="43"/>
        <v>5.3147344446203455E-3</v>
      </c>
    </row>
    <row r="63" spans="1:17" ht="15" customHeight="1">
      <c r="A63" s="361" t="s">
        <v>43</v>
      </c>
      <c r="B63" s="361" t="s">
        <v>585</v>
      </c>
      <c r="C63" s="361">
        <v>17146097543</v>
      </c>
      <c r="D63" s="361">
        <v>36245462129</v>
      </c>
      <c r="E63" s="361">
        <v>-1016260530</v>
      </c>
      <c r="F63" s="361">
        <v>65682484179</v>
      </c>
      <c r="G63" s="361">
        <v>64662982709</v>
      </c>
      <c r="H63" s="361">
        <v>48334267925</v>
      </c>
      <c r="I63" s="361">
        <v>128910499975</v>
      </c>
      <c r="J63" s="361">
        <v>141965953866</v>
      </c>
      <c r="K63" s="361">
        <f t="shared" ref="K63:O63" si="44">K59-K61</f>
        <v>97351508176.64856</v>
      </c>
      <c r="L63" s="361">
        <f t="shared" si="44"/>
        <v>131843301391.13403</v>
      </c>
      <c r="M63" s="361">
        <f t="shared" si="44"/>
        <v>198627223374.96704</v>
      </c>
      <c r="N63" s="361">
        <f t="shared" si="44"/>
        <v>222493442158.11963</v>
      </c>
      <c r="O63" s="361">
        <f t="shared" si="44"/>
        <v>212965798737.45215</v>
      </c>
    </row>
    <row r="64" spans="1:17" ht="15" customHeight="1">
      <c r="A64" s="359"/>
      <c r="B64" s="359"/>
      <c r="C64" s="359"/>
      <c r="D64" s="359"/>
      <c r="E64" s="359"/>
      <c r="F64" s="359"/>
      <c r="G64" s="359"/>
      <c r="H64" s="359"/>
      <c r="I64" s="359"/>
      <c r="J64" s="359"/>
      <c r="K64" s="359"/>
      <c r="L64" s="359"/>
      <c r="M64" s="359"/>
      <c r="N64" s="359"/>
      <c r="O64" s="359"/>
    </row>
    <row r="65" spans="1:27" ht="15" customHeight="1">
      <c r="A65" s="361" t="s">
        <v>44</v>
      </c>
      <c r="B65" s="361" t="s">
        <v>586</v>
      </c>
      <c r="C65" s="361">
        <v>7701823953675</v>
      </c>
      <c r="D65" s="361">
        <v>9288369742697</v>
      </c>
      <c r="E65" s="361">
        <v>10071072872302</v>
      </c>
      <c r="F65" s="361">
        <v>9096662123386</v>
      </c>
      <c r="G65" s="361">
        <v>15356966791701</v>
      </c>
      <c r="H65" s="361">
        <v>37056777714190</v>
      </c>
      <c r="I65" s="361">
        <v>9922941127284</v>
      </c>
      <c r="J65" s="361">
        <v>7792728743173</v>
      </c>
      <c r="K65" s="361">
        <f t="shared" ref="K65:O65" si="45">K56+K63</f>
        <v>12070801452452.094</v>
      </c>
      <c r="L65" s="361">
        <f t="shared" si="45"/>
        <v>17291856588467.781</v>
      </c>
      <c r="M65" s="361">
        <f t="shared" si="45"/>
        <v>21820878432935.223</v>
      </c>
      <c r="N65" s="361">
        <f t="shared" si="45"/>
        <v>21164370283664.281</v>
      </c>
      <c r="O65" s="361">
        <f t="shared" si="45"/>
        <v>28843238755153.648</v>
      </c>
    </row>
    <row r="66" spans="1:27" ht="15" customHeight="1">
      <c r="A66" s="359"/>
      <c r="B66" s="359"/>
      <c r="C66" s="359"/>
      <c r="D66" s="359"/>
      <c r="E66" s="359"/>
      <c r="F66" s="359"/>
      <c r="G66" s="359"/>
      <c r="H66" s="359"/>
      <c r="I66" s="359"/>
      <c r="J66" s="359"/>
      <c r="K66" s="359"/>
      <c r="L66" s="359"/>
      <c r="M66" s="359"/>
      <c r="N66" s="359"/>
      <c r="O66" s="359"/>
    </row>
    <row r="67" spans="1:27" s="452" customFormat="1" ht="15" customHeight="1">
      <c r="A67" s="359" t="s">
        <v>45</v>
      </c>
      <c r="B67" s="359" t="s">
        <v>736</v>
      </c>
      <c r="C67" s="359">
        <v>1138489987447</v>
      </c>
      <c r="D67" s="359">
        <v>1317628785035</v>
      </c>
      <c r="E67" s="359">
        <v>1506320087551</v>
      </c>
      <c r="F67" s="359">
        <v>1603307926680</v>
      </c>
      <c r="G67" s="359">
        <v>1784567843866</v>
      </c>
      <c r="H67" s="359">
        <v>2855306347167</v>
      </c>
      <c r="I67" s="359">
        <v>1001020240086</v>
      </c>
      <c r="J67" s="359">
        <v>1073551888059</v>
      </c>
      <c r="K67" s="359">
        <f t="shared" ref="K67:O67" si="46">K65*K68</f>
        <v>1569204188818.7722</v>
      </c>
      <c r="L67" s="359">
        <f t="shared" si="46"/>
        <v>1902104224731.4561</v>
      </c>
      <c r="M67" s="359">
        <f t="shared" si="46"/>
        <v>1963879058964.1699</v>
      </c>
      <c r="N67" s="359">
        <f t="shared" si="46"/>
        <v>2751368136876.3564</v>
      </c>
      <c r="O67" s="359">
        <f t="shared" si="46"/>
        <v>3749621038169.9746</v>
      </c>
    </row>
    <row r="68" spans="1:27" s="473" customFormat="1" ht="15" customHeight="1">
      <c r="A68" s="470"/>
      <c r="B68" s="470"/>
      <c r="C68" s="470">
        <f t="shared" ref="C68:J68" si="47">C67/C65</f>
        <v>0.14782082715663197</v>
      </c>
      <c r="D68" s="470">
        <f t="shared" si="47"/>
        <v>0.14185791710875725</v>
      </c>
      <c r="E68" s="470">
        <f t="shared" si="47"/>
        <v>0.14956897906019145</v>
      </c>
      <c r="F68" s="470">
        <f t="shared" si="47"/>
        <v>0.17625233354091088</v>
      </c>
      <c r="G68" s="470">
        <f t="shared" si="47"/>
        <v>0.11620575000724698</v>
      </c>
      <c r="H68" s="470">
        <f t="shared" si="47"/>
        <v>7.7052202681768239E-2</v>
      </c>
      <c r="I68" s="470">
        <f t="shared" si="47"/>
        <v>0.1008793892098792</v>
      </c>
      <c r="J68" s="470">
        <f t="shared" si="47"/>
        <v>0.13776328208517585</v>
      </c>
      <c r="K68" s="470">
        <v>0.13</v>
      </c>
      <c r="L68" s="472">
        <v>0.11</v>
      </c>
      <c r="M68" s="472">
        <v>0.09</v>
      </c>
      <c r="N68" s="470">
        <v>0.13</v>
      </c>
      <c r="O68" s="470">
        <v>0.13</v>
      </c>
    </row>
    <row r="69" spans="1:27" s="452" customFormat="1" ht="15" customHeight="1">
      <c r="A69" s="359" t="s">
        <v>46</v>
      </c>
      <c r="B69" s="359" t="s">
        <v>735</v>
      </c>
      <c r="C69" s="359">
        <v>-42868760701</v>
      </c>
      <c r="D69" s="359">
        <v>-44015628386</v>
      </c>
      <c r="E69" s="359">
        <v>-35797921476</v>
      </c>
      <c r="F69" s="359">
        <v>-84894039523</v>
      </c>
      <c r="G69" s="359">
        <v>66234890928</v>
      </c>
      <c r="H69" s="359">
        <v>-319483564275</v>
      </c>
      <c r="I69" s="359">
        <v>477491832682</v>
      </c>
      <c r="J69" s="359">
        <v>-81211459967</v>
      </c>
      <c r="K69" s="359">
        <f t="shared" ref="K69:O69" si="48">K70*K65</f>
        <v>100761340840.45813</v>
      </c>
      <c r="L69" s="359">
        <f t="shared" si="48"/>
        <v>161785272450.99411</v>
      </c>
      <c r="M69" s="359">
        <f t="shared" si="48"/>
        <v>302231335791.92719</v>
      </c>
      <c r="N69" s="359">
        <f t="shared" si="48"/>
        <v>111815590541.25334</v>
      </c>
      <c r="O69" s="359">
        <f t="shared" si="48"/>
        <v>265627755869.93454</v>
      </c>
    </row>
    <row r="70" spans="1:27" s="473" customFormat="1" ht="15" customHeight="1">
      <c r="A70" s="470"/>
      <c r="B70" s="470"/>
      <c r="C70" s="470">
        <f t="shared" ref="C70:J70" si="49">C69/C65</f>
        <v>-5.566053049102058E-3</v>
      </c>
      <c r="D70" s="470">
        <f t="shared" si="49"/>
        <v>-4.7387894329473023E-3</v>
      </c>
      <c r="E70" s="470">
        <f t="shared" si="49"/>
        <v>-3.5545290884006356E-3</v>
      </c>
      <c r="F70" s="470">
        <f t="shared" si="49"/>
        <v>-9.3324384671550666E-3</v>
      </c>
      <c r="G70" s="470">
        <f t="shared" si="49"/>
        <v>4.3130190894072745E-3</v>
      </c>
      <c r="H70" s="470">
        <f t="shared" si="49"/>
        <v>-8.6214610115077934E-3</v>
      </c>
      <c r="I70" s="470">
        <f t="shared" si="49"/>
        <v>4.8119990490429712E-2</v>
      </c>
      <c r="J70" s="470">
        <f t="shared" si="49"/>
        <v>-1.0421440633121892E-2</v>
      </c>
      <c r="K70" s="470">
        <f t="shared" ref="K70:O70" si="50">AVERAGE(G70:J70)</f>
        <v>8.3475269838018257E-3</v>
      </c>
      <c r="L70" s="470">
        <f t="shared" si="50"/>
        <v>9.3561539574004635E-3</v>
      </c>
      <c r="M70" s="470">
        <f t="shared" si="50"/>
        <v>1.3850557699627527E-2</v>
      </c>
      <c r="N70" s="470">
        <f t="shared" si="50"/>
        <v>5.2831995019269815E-3</v>
      </c>
      <c r="O70" s="470">
        <f t="shared" si="50"/>
        <v>9.2093595356891999E-3</v>
      </c>
    </row>
    <row r="71" spans="1:27" ht="15" customHeight="1">
      <c r="A71" s="361" t="s">
        <v>47</v>
      </c>
      <c r="B71" s="361" t="s">
        <v>587</v>
      </c>
      <c r="C71" s="361">
        <v>6606202726929</v>
      </c>
      <c r="D71" s="361">
        <v>8014756586048</v>
      </c>
      <c r="E71" s="361">
        <v>8600550706227</v>
      </c>
      <c r="F71" s="361">
        <v>7578248236229</v>
      </c>
      <c r="G71" s="361">
        <v>13506164056907</v>
      </c>
      <c r="H71" s="361">
        <v>34520954931298</v>
      </c>
      <c r="I71" s="361">
        <v>8444429054516</v>
      </c>
      <c r="J71" s="361">
        <v>6800388315081</v>
      </c>
      <c r="K71" s="361">
        <f>K65-K67</f>
        <v>10501597263633.322</v>
      </c>
      <c r="L71" s="361">
        <f t="shared" ref="L71:O71" si="51">L65-L67</f>
        <v>15389752363736.324</v>
      </c>
      <c r="M71" s="361">
        <f t="shared" si="51"/>
        <v>19856999373971.055</v>
      </c>
      <c r="N71" s="361">
        <f t="shared" si="51"/>
        <v>18413002146787.926</v>
      </c>
      <c r="O71" s="361">
        <f t="shared" si="51"/>
        <v>25093617716983.672</v>
      </c>
      <c r="R71" s="452"/>
      <c r="S71" s="452"/>
      <c r="T71" s="452"/>
      <c r="U71" s="452"/>
      <c r="V71" s="452"/>
      <c r="W71" s="452"/>
      <c r="X71" s="452"/>
      <c r="Y71" s="452"/>
      <c r="Z71" s="452"/>
      <c r="AA71" s="452"/>
    </row>
    <row r="72" spans="1:27" s="451" customFormat="1" ht="14.25" customHeight="1">
      <c r="A72" s="447" t="s">
        <v>15</v>
      </c>
      <c r="B72" s="447" t="s">
        <v>15</v>
      </c>
      <c r="C72" s="447"/>
      <c r="D72" s="447">
        <f t="shared" ref="D72:J72" si="52">D71/C71-1</f>
        <v>0.21321686865243827</v>
      </c>
      <c r="E72" s="447">
        <f t="shared" si="52"/>
        <v>7.3089446184646967E-2</v>
      </c>
      <c r="F72" s="448">
        <f t="shared" si="52"/>
        <v>-0.11886476865461992</v>
      </c>
      <c r="G72" s="448">
        <f t="shared" si="52"/>
        <v>0.78222771752694409</v>
      </c>
      <c r="H72" s="448">
        <f t="shared" si="52"/>
        <v>1.5559407383063824</v>
      </c>
      <c r="I72" s="448">
        <f t="shared" si="52"/>
        <v>-0.75538251849284843</v>
      </c>
      <c r="J72" s="448">
        <f t="shared" si="52"/>
        <v>-0.19468938975285521</v>
      </c>
      <c r="K72" s="447"/>
      <c r="L72" s="447"/>
      <c r="M72" s="447"/>
      <c r="N72" s="447"/>
      <c r="O72" s="447"/>
      <c r="P72" s="450"/>
      <c r="Q72" s="450"/>
    </row>
    <row r="73" spans="1:27" s="451" customFormat="1" ht="14.25" customHeight="1">
      <c r="A73" s="464" t="s">
        <v>52</v>
      </c>
      <c r="B73" s="464" t="s">
        <v>588</v>
      </c>
      <c r="C73" s="464">
        <f>C71/C12</f>
        <v>0.1984845420611189</v>
      </c>
      <c r="D73" s="464">
        <f>D71/D12</f>
        <v>0.17362354596997673</v>
      </c>
      <c r="E73" s="464">
        <f>E71/E12</f>
        <v>0.15403109287004391</v>
      </c>
      <c r="F73" s="464">
        <f>F71/F12</f>
        <v>0.11904592194539439</v>
      </c>
      <c r="G73" s="464">
        <f>G71/G12</f>
        <v>0.14987115346284027</v>
      </c>
      <c r="H73" s="464">
        <f t="shared" ref="H73:O73" si="53">H71/H2</f>
        <v>0.22881962392694574</v>
      </c>
      <c r="I73" s="464">
        <f t="shared" si="53"/>
        <v>5.9146747255143059E-2</v>
      </c>
      <c r="J73" s="464">
        <f t="shared" si="53"/>
        <v>5.6502639924869737E-2</v>
      </c>
      <c r="K73" s="464">
        <f t="shared" si="53"/>
        <v>8.3905412974676963E-2</v>
      </c>
      <c r="L73" s="464">
        <f t="shared" si="53"/>
        <v>9.2818109043957819E-2</v>
      </c>
      <c r="M73" s="464">
        <f t="shared" si="53"/>
        <v>9.1360224648041763E-2</v>
      </c>
      <c r="N73" s="464">
        <f t="shared" si="53"/>
        <v>7.585570734484319E-2</v>
      </c>
      <c r="O73" s="464">
        <f t="shared" si="53"/>
        <v>0.10025664677829425</v>
      </c>
      <c r="P73" s="450"/>
      <c r="Q73" s="450"/>
    </row>
    <row r="74" spans="1:27" s="451" customFormat="1" ht="14.25" customHeight="1">
      <c r="A74" s="447"/>
      <c r="B74" s="447"/>
      <c r="C74" s="447"/>
      <c r="D74" s="447"/>
      <c r="E74" s="447"/>
      <c r="F74" s="447"/>
      <c r="G74" s="447"/>
      <c r="H74" s="447"/>
      <c r="I74" s="471">
        <f t="shared" ref="I74:J74" si="54">I71/6800000000</f>
        <v>1241.827802134706</v>
      </c>
      <c r="J74" s="471">
        <f t="shared" si="54"/>
        <v>1000.0571051589706</v>
      </c>
      <c r="K74" s="471">
        <f>K71/6800000000</f>
        <v>1544.3525387696063</v>
      </c>
      <c r="L74" s="471">
        <f t="shared" ref="L74:O74" si="55">L71/6800000000</f>
        <v>2263.1988770200478</v>
      </c>
      <c r="M74" s="471">
        <f t="shared" si="55"/>
        <v>2920.1469667604492</v>
      </c>
      <c r="N74" s="471">
        <f t="shared" si="55"/>
        <v>2707.7944333511655</v>
      </c>
      <c r="O74" s="471">
        <f t="shared" si="55"/>
        <v>3690.2378995564222</v>
      </c>
      <c r="P74" s="450"/>
      <c r="Q74" s="450"/>
    </row>
    <row r="75" spans="1:27" ht="14.25" customHeight="1">
      <c r="A75" s="357" t="s">
        <v>48</v>
      </c>
      <c r="B75" s="357" t="s">
        <v>589</v>
      </c>
      <c r="C75" s="357">
        <v>6602102000272</v>
      </c>
      <c r="D75" s="357">
        <v>8006672113847</v>
      </c>
      <c r="E75" s="357">
        <v>8573014210414</v>
      </c>
      <c r="F75" s="357">
        <v>7527442867874</v>
      </c>
      <c r="G75" s="357">
        <v>13450300052812</v>
      </c>
      <c r="H75" s="357">
        <v>34478143197460</v>
      </c>
      <c r="I75" s="357">
        <v>8483510554031</v>
      </c>
      <c r="J75" s="357">
        <v>6835064334356</v>
      </c>
      <c r="K75" s="357"/>
      <c r="L75" s="357"/>
      <c r="M75" s="357"/>
      <c r="N75" s="357"/>
      <c r="O75" s="357"/>
    </row>
    <row r="76" spans="1:27" ht="14.25" customHeight="1">
      <c r="A76" s="357"/>
      <c r="B76" s="357"/>
      <c r="C76" s="357">
        <f t="shared" ref="C76:J76" si="56">C75/C71</f>
        <v>0.99937926115402365</v>
      </c>
      <c r="D76" s="357">
        <f t="shared" si="56"/>
        <v>0.99899130159298</v>
      </c>
      <c r="E76" s="357">
        <f t="shared" si="56"/>
        <v>0.99679828690585326</v>
      </c>
      <c r="F76" s="357">
        <f t="shared" si="56"/>
        <v>0.99329589546669672</v>
      </c>
      <c r="G76" s="357">
        <f t="shared" si="56"/>
        <v>0.99586381419182957</v>
      </c>
      <c r="H76" s="357">
        <f t="shared" si="56"/>
        <v>0.99875983344252206</v>
      </c>
      <c r="I76" s="357">
        <f t="shared" si="56"/>
        <v>1.0046280807456247</v>
      </c>
      <c r="J76" s="357">
        <f t="shared" si="56"/>
        <v>1.0050991234130116</v>
      </c>
      <c r="K76" s="357"/>
      <c r="L76" s="357"/>
      <c r="M76" s="357"/>
      <c r="N76" s="357"/>
      <c r="O76" s="357"/>
    </row>
    <row r="77" spans="1:27" ht="14.25" customHeight="1">
      <c r="A77" s="357" t="s">
        <v>49</v>
      </c>
      <c r="B77" s="357" t="s">
        <v>590</v>
      </c>
      <c r="C77" s="357">
        <v>4100726657</v>
      </c>
      <c r="D77" s="357">
        <v>8084472201</v>
      </c>
      <c r="E77" s="357">
        <v>27536495813</v>
      </c>
      <c r="F77" s="357">
        <v>50805368355</v>
      </c>
      <c r="G77" s="357">
        <v>55864004095</v>
      </c>
      <c r="H77" s="357">
        <v>42811733838</v>
      </c>
      <c r="I77" s="357">
        <v>-39081499515</v>
      </c>
      <c r="J77" s="357">
        <v>-34676019275</v>
      </c>
      <c r="K77" s="357"/>
      <c r="L77" s="357"/>
      <c r="M77" s="357"/>
      <c r="N77" s="357"/>
      <c r="O77" s="357"/>
    </row>
    <row r="78" spans="1:27" ht="14.25" customHeight="1">
      <c r="A78" s="357" t="s">
        <v>50</v>
      </c>
      <c r="B78" s="357" t="s">
        <v>50</v>
      </c>
      <c r="C78" s="357">
        <v>7162</v>
      </c>
      <c r="D78" s="357">
        <v>5895</v>
      </c>
      <c r="E78" s="357">
        <v>4037</v>
      </c>
      <c r="F78" s="357">
        <v>2726</v>
      </c>
      <c r="G78" s="357">
        <v>3846</v>
      </c>
      <c r="H78" s="357">
        <v>7166</v>
      </c>
      <c r="I78" s="357">
        <v>1452</v>
      </c>
      <c r="J78" s="357">
        <v>1117</v>
      </c>
      <c r="K78" s="357"/>
      <c r="L78" s="357"/>
      <c r="M78" s="357"/>
      <c r="N78" s="357"/>
      <c r="O78" s="357"/>
    </row>
    <row r="79" spans="1:27" ht="14.25" customHeight="1">
      <c r="A79" s="357" t="s">
        <v>51</v>
      </c>
      <c r="B79" s="357" t="s">
        <v>591</v>
      </c>
      <c r="C79" s="357"/>
      <c r="D79" s="357"/>
      <c r="E79" s="357"/>
      <c r="F79" s="357"/>
      <c r="G79" s="357"/>
      <c r="H79" s="357"/>
      <c r="I79" s="357"/>
      <c r="J79" s="357"/>
      <c r="K79" s="357"/>
      <c r="L79" s="357"/>
      <c r="M79" s="357"/>
      <c r="N79" s="357"/>
      <c r="O79" s="357"/>
    </row>
    <row r="81" spans="1:17" ht="14.25" customHeight="1"/>
    <row r="82" spans="1:17" ht="14.25" customHeight="1">
      <c r="A82" s="358" t="s">
        <v>53</v>
      </c>
      <c r="B82" s="358" t="s">
        <v>592</v>
      </c>
      <c r="C82" s="358">
        <v>10247175680697</v>
      </c>
      <c r="D82" s="358">
        <v>11748873281675</v>
      </c>
      <c r="E82" s="358">
        <v>14115139048908</v>
      </c>
      <c r="F82" s="358">
        <v>19411922748095</v>
      </c>
      <c r="G82" s="358">
        <v>26286822229202</v>
      </c>
      <c r="H82" s="358">
        <v>42134493932210</v>
      </c>
      <c r="I82" s="358">
        <v>34491111096123</v>
      </c>
      <c r="J82" s="358">
        <v>34504487406261</v>
      </c>
    </row>
    <row r="83" spans="1:17" s="451" customFormat="1" ht="14.25" customHeight="1">
      <c r="A83" s="451" t="s">
        <v>546</v>
      </c>
      <c r="B83" s="451" t="s">
        <v>546</v>
      </c>
      <c r="C83" s="451">
        <f t="shared" ref="C83:J83" si="57">C82/C2</f>
        <v>0.30241134243975637</v>
      </c>
      <c r="D83" s="451">
        <f t="shared" si="57"/>
        <v>0.2507505491807141</v>
      </c>
      <c r="E83" s="451">
        <f t="shared" si="57"/>
        <v>0.24947036672923759</v>
      </c>
      <c r="F83" s="451">
        <f t="shared" si="57"/>
        <v>0.30013220550655578</v>
      </c>
      <c r="G83" s="451">
        <f t="shared" si="57"/>
        <v>0.28798310892562018</v>
      </c>
      <c r="H83" s="451">
        <f t="shared" si="57"/>
        <v>0.27928541012576091</v>
      </c>
      <c r="I83" s="451">
        <f t="shared" si="57"/>
        <v>0.24158377284968188</v>
      </c>
      <c r="J83" s="451">
        <f t="shared" si="57"/>
        <v>0.28668872090504233</v>
      </c>
      <c r="P83" s="450"/>
      <c r="Q83" s="450"/>
    </row>
    <row r="84" spans="1:17" ht="14.25" customHeight="1"/>
    <row r="85" spans="1:17" ht="14.25" customHeight="1">
      <c r="A85" s="358" t="s">
        <v>54</v>
      </c>
      <c r="B85" s="358" t="s">
        <v>593</v>
      </c>
      <c r="G85" s="358">
        <v>31553932128138</v>
      </c>
      <c r="H85" s="358">
        <v>37547008389956</v>
      </c>
      <c r="I85" s="358">
        <v>39103657252968</v>
      </c>
      <c r="J85" s="358">
        <v>47305924871207</v>
      </c>
      <c r="K85" s="358">
        <f>COGS!E2*K86/1000000</f>
        <v>38708423.39444375</v>
      </c>
      <c r="L85" s="358">
        <f>COGS!F2*L86/1000000</f>
        <v>45431252.833306812</v>
      </c>
      <c r="M85" s="358">
        <f>COGS!G2*M86/1000000</f>
        <v>59434921.520957597</v>
      </c>
      <c r="N85" s="358">
        <f>COGS!H2*N86/1000000</f>
        <v>67683590.515009299</v>
      </c>
      <c r="O85" s="358">
        <f>COGS!I2*O86/1000000</f>
        <v>68058436.591758251</v>
      </c>
    </row>
    <row r="86" spans="1:17" ht="14.25" customHeight="1">
      <c r="H86" s="358">
        <f>H85/COGS!B10</f>
        <v>0.40679720256046492</v>
      </c>
      <c r="I86" s="358">
        <f>I85/COGS!C10</f>
        <v>0.39636592440085694</v>
      </c>
      <c r="J86" s="358">
        <f>J85/COGS!D10</f>
        <v>0.57317261431282396</v>
      </c>
      <c r="K86" s="358">
        <f>AVERAGE(H86:J86)</f>
        <v>0.45877858042471525</v>
      </c>
      <c r="L86" s="358">
        <f>AVERAGE(H86:I86,K86)</f>
        <v>0.42064723579534569</v>
      </c>
      <c r="M86" s="358">
        <f>AVERAGE(L86,H86:I86)</f>
        <v>0.4079367875855559</v>
      </c>
      <c r="N86" s="358">
        <f>AVERAGE(M86,H86:I86)</f>
        <v>0.40369997151562592</v>
      </c>
      <c r="O86" s="358">
        <f>AVERAGE(L86:N86)</f>
        <v>0.41076133163217587</v>
      </c>
    </row>
    <row r="87" spans="1:17" ht="14.25" customHeight="1">
      <c r="I87" s="358">
        <v>7645013147503</v>
      </c>
      <c r="J87" s="358">
        <v>7675958309429</v>
      </c>
      <c r="K87" s="358">
        <f t="shared" ref="K87:O87" si="58">K85*$J$89</f>
        <v>1354794.8188055314</v>
      </c>
      <c r="L87" s="358">
        <f t="shared" si="58"/>
        <v>1590093.8491657386</v>
      </c>
      <c r="M87" s="358">
        <f t="shared" si="58"/>
        <v>2080222.2532335161</v>
      </c>
      <c r="N87" s="358">
        <f t="shared" si="58"/>
        <v>2368925.6680253255</v>
      </c>
      <c r="O87" s="358">
        <f t="shared" si="58"/>
        <v>2382045.2807115391</v>
      </c>
    </row>
    <row r="88" spans="1:17" ht="14.25" customHeight="1">
      <c r="J88" s="358">
        <f>J87/J85</f>
        <v>0.16226209148911519</v>
      </c>
    </row>
    <row r="89" spans="1:17" ht="14.25" customHeight="1">
      <c r="J89" s="358">
        <v>3.5000000000000003E-2</v>
      </c>
    </row>
    <row r="90" spans="1:17" ht="14.25" customHeight="1">
      <c r="A90" s="358" t="s">
        <v>55</v>
      </c>
      <c r="B90" s="358" t="s">
        <v>594</v>
      </c>
      <c r="K90" s="358">
        <f>'Debt waterfall'!F29</f>
        <v>1340365650903.2747</v>
      </c>
      <c r="L90" s="358">
        <f>'Debt waterfall'!G29</f>
        <v>1056470387273.8483</v>
      </c>
      <c r="M90" s="358">
        <f>'Debt waterfall'!H29</f>
        <v>800552438010.87952</v>
      </c>
      <c r="N90" s="358">
        <f>'Debt waterfall'!I29</f>
        <v>573786287025.00244</v>
      </c>
      <c r="O90" s="358">
        <f>'Debt waterfall'!J29</f>
        <v>447682385676.16412</v>
      </c>
    </row>
    <row r="91" spans="1:17" ht="14.25" customHeight="1"/>
    <row r="92" spans="1:17" ht="14.25" customHeight="1">
      <c r="K92" s="358">
        <f t="shared" ref="K92:O92" si="59">SUM(K87,K90)</f>
        <v>1340367005698.0935</v>
      </c>
      <c r="L92" s="358">
        <f t="shared" si="59"/>
        <v>1056471977367.6974</v>
      </c>
      <c r="M92" s="358">
        <f t="shared" si="59"/>
        <v>800554518233.13269</v>
      </c>
      <c r="N92" s="358">
        <f t="shared" si="59"/>
        <v>573788655950.67041</v>
      </c>
      <c r="O92" s="358">
        <f t="shared" si="59"/>
        <v>447684767721.44482</v>
      </c>
    </row>
    <row r="93" spans="1:17" ht="14.25" customHeight="1"/>
    <row r="94" spans="1:17" ht="14.25" customHeight="1" thickBot="1"/>
    <row r="95" spans="1:17" ht="14.25" customHeight="1" thickBot="1">
      <c r="A95" s="477" t="s">
        <v>817</v>
      </c>
      <c r="C95" s="478" t="s">
        <v>830</v>
      </c>
      <c r="D95" s="478" t="s">
        <v>831</v>
      </c>
      <c r="E95" s="478" t="s">
        <v>832</v>
      </c>
      <c r="F95" s="479" t="s">
        <v>833</v>
      </c>
      <c r="G95" s="479" t="s">
        <v>834</v>
      </c>
      <c r="H95" s="479" t="s">
        <v>835</v>
      </c>
      <c r="I95" s="479" t="s">
        <v>836</v>
      </c>
      <c r="J95" s="479" t="s">
        <v>837</v>
      </c>
      <c r="K95" s="480" t="s">
        <v>542</v>
      </c>
      <c r="L95" s="480" t="s">
        <v>559</v>
      </c>
      <c r="M95" s="480" t="s">
        <v>560</v>
      </c>
      <c r="N95" s="480" t="s">
        <v>561</v>
      </c>
      <c r="O95" s="480" t="s">
        <v>562</v>
      </c>
    </row>
    <row r="96" spans="1:17" ht="14.25" customHeight="1" thickBot="1">
      <c r="A96" s="481" t="s">
        <v>838</v>
      </c>
      <c r="C96" s="491">
        <f>C65+C35</f>
        <v>7701823953675</v>
      </c>
      <c r="D96" s="491">
        <f t="shared" ref="D96:O96" si="60">D65+D35</f>
        <v>9288369742697</v>
      </c>
      <c r="E96" s="491">
        <f t="shared" si="60"/>
        <v>10610934115942</v>
      </c>
      <c r="F96" s="491">
        <f t="shared" si="60"/>
        <v>10033372341745</v>
      </c>
      <c r="G96" s="491">
        <f t="shared" si="60"/>
        <v>17548647715118</v>
      </c>
      <c r="H96" s="491">
        <f t="shared" si="60"/>
        <v>39582600972427</v>
      </c>
      <c r="I96" s="491">
        <f t="shared" si="60"/>
        <v>13006579259102</v>
      </c>
      <c r="J96" s="491">
        <f t="shared" si="60"/>
        <v>11377806427054</v>
      </c>
      <c r="K96" s="491">
        <f t="shared" si="60"/>
        <v>13679826998980.203</v>
      </c>
      <c r="L96" s="491">
        <f t="shared" si="60"/>
        <v>18385835868949.426</v>
      </c>
      <c r="M96" s="491">
        <f t="shared" si="60"/>
        <v>22626669525178.563</v>
      </c>
      <c r="N96" s="491">
        <f t="shared" si="60"/>
        <v>21738890302186.762</v>
      </c>
      <c r="O96" s="491">
        <f t="shared" si="60"/>
        <v>29291025958296.711</v>
      </c>
    </row>
    <row r="97" spans="1:21" ht="14.25" customHeight="1" thickBot="1">
      <c r="A97" s="481" t="s">
        <v>839</v>
      </c>
      <c r="C97" s="492">
        <f>-C96*(C68+C70)</f>
        <v>-1095621226746</v>
      </c>
      <c r="D97" s="492">
        <f t="shared" ref="D97:O97" si="61">-D96*(D68+D70)</f>
        <v>-1273613156649</v>
      </c>
      <c r="E97" s="492">
        <f t="shared" si="61"/>
        <v>-1549349708626.1814</v>
      </c>
      <c r="F97" s="492">
        <f t="shared" si="61"/>
        <v>-1674769458519.999</v>
      </c>
      <c r="G97" s="492">
        <f t="shared" si="61"/>
        <v>-2114941421936.8354</v>
      </c>
      <c r="H97" s="492">
        <f t="shared" si="61"/>
        <v>-2708666741781.1519</v>
      </c>
      <c r="I97" s="492">
        <f t="shared" si="61"/>
        <v>-1937972241629.1013</v>
      </c>
      <c r="J97" s="492">
        <f t="shared" si="61"/>
        <v>-1448870822106.071</v>
      </c>
      <c r="K97" s="492">
        <f t="shared" si="61"/>
        <v>-1892570234875.1543</v>
      </c>
      <c r="L97" s="492">
        <f t="shared" si="61"/>
        <v>-2194462656609.8232</v>
      </c>
      <c r="M97" s="492">
        <f t="shared" si="61"/>
        <v>-2349792249074.96</v>
      </c>
      <c r="N97" s="492">
        <f t="shared" si="61"/>
        <v>-2940906633701.2378</v>
      </c>
      <c r="O97" s="492">
        <f t="shared" si="61"/>
        <v>-4077584963797.7319</v>
      </c>
    </row>
    <row r="98" spans="1:21" ht="14.25" customHeight="1" thickBot="1">
      <c r="A98" s="481" t="s">
        <v>840</v>
      </c>
      <c r="C98" s="482"/>
      <c r="D98" s="482"/>
      <c r="E98" s="482"/>
      <c r="F98" s="486"/>
      <c r="G98" s="482"/>
      <c r="H98" s="483">
        <f>Capex!B3</f>
        <v>6076516295417</v>
      </c>
      <c r="I98" s="483">
        <f>Capex!C3</f>
        <v>6759462100582</v>
      </c>
      <c r="J98" s="483">
        <f>Capex!D3</f>
        <v>6761933539397</v>
      </c>
      <c r="K98" s="483">
        <f>Capex!E3</f>
        <v>6999864228155.917</v>
      </c>
      <c r="L98" s="483">
        <f>Capex!F3</f>
        <v>9834263864010.6113</v>
      </c>
      <c r="M98" s="483">
        <f>Capex!G3</f>
        <v>10788663499865.307</v>
      </c>
      <c r="N98" s="483">
        <f>Capex!H3</f>
        <v>11743063135720.002</v>
      </c>
      <c r="O98" s="483">
        <f>Capex!I3</f>
        <v>12697462771574.697</v>
      </c>
    </row>
    <row r="99" spans="1:21" ht="14.25" customHeight="1" thickBot="1">
      <c r="A99" s="481" t="s">
        <v>841</v>
      </c>
      <c r="C99" s="482"/>
      <c r="D99" s="482"/>
      <c r="E99" s="482"/>
      <c r="F99" s="487"/>
      <c r="G99" s="487"/>
      <c r="H99" s="485"/>
      <c r="I99" s="485">
        <f>-Capex!C5</f>
        <v>-8311535974443</v>
      </c>
      <c r="J99" s="485">
        <f>-Capex!D5</f>
        <v>-7927388619403</v>
      </c>
      <c r="K99" s="485">
        <f>-Capex!E5</f>
        <v>-18119462296923</v>
      </c>
      <c r="L99" s="485">
        <f>-Capex!F5</f>
        <v>-35452795630256.328</v>
      </c>
      <c r="M99" s="485">
        <f>-Capex!G5</f>
        <v>-11452795630256.334</v>
      </c>
      <c r="N99" s="485">
        <f>-Capex!H5</f>
        <v>-11452795630256.334</v>
      </c>
      <c r="O99" s="485">
        <f>-Capex!I5</f>
        <v>-11452795630256.334</v>
      </c>
    </row>
    <row r="100" spans="1:21" s="458" customFormat="1" ht="14.25" customHeight="1" thickBot="1">
      <c r="A100" s="481" t="s">
        <v>842</v>
      </c>
      <c r="C100" s="482"/>
      <c r="D100" s="492">
        <f>('BS HPG'!D2-'BS HPG'!D80)-('BS HPG'!C2-'BS HPG'!C80)</f>
        <v>8350571258168</v>
      </c>
      <c r="E100" s="492">
        <f>('BS HPG'!E2-'BS HPG'!E80)-('BS HPG'!D2-'BS HPG'!D80)</f>
        <v>-11875762036830</v>
      </c>
      <c r="F100" s="492">
        <f>('BS HPG'!F2-'BS HPG'!F80)-('BS HPG'!E2-'BS HPG'!E80)</f>
        <v>780163026435</v>
      </c>
      <c r="G100" s="492">
        <f>('BS HPG'!G2-'BS HPG'!G80)-('BS HPG'!F2-'BS HPG'!F80)</f>
        <v>1319302027595</v>
      </c>
      <c r="H100" s="492">
        <f>('BS HPG'!H2-'BS HPG'!H80)-('BS HPG'!G2-'BS HPG'!G80)</f>
        <v>15923503022351</v>
      </c>
      <c r="I100" s="492">
        <f>('BS HPG'!I2-'BS HPG'!I80)-('BS HPG'!H2-'BS HPG'!H80)</f>
        <v>-2566225727092</v>
      </c>
      <c r="J100" s="492">
        <f>('BS HPG'!J2-'BS HPG'!J80)-('BS HPG'!I2-'BS HPG'!I80)</f>
        <v>-6926371776461</v>
      </c>
      <c r="K100" s="492">
        <f>('BS HPG'!K2-'BS HPG'!K80)-('BS HPG'!J2-'BS HPG'!J80)</f>
        <v>10447218537580.859</v>
      </c>
      <c r="L100" s="492">
        <f>('BS HPG'!L2-'BS HPG'!L80)-('BS HPG'!K2-'BS HPG'!K80)</f>
        <v>-13977164594211.859</v>
      </c>
      <c r="M100" s="492">
        <f>('BS HPG'!M2-'BS HPG'!M80)-('BS HPG'!L2-'BS HPG'!L80)</f>
        <v>13742489256069.719</v>
      </c>
      <c r="N100" s="492">
        <f>('BS HPG'!N2-'BS HPG'!N80)-('BS HPG'!M2-'BS HPG'!M80)</f>
        <v>25026843867455.188</v>
      </c>
      <c r="O100" s="492">
        <f>('BS HPG'!O2-'BS HPG'!O80)-('BS HPG'!N2-'BS HPG'!N80)</f>
        <v>11780325053446.609</v>
      </c>
      <c r="P100" s="428"/>
      <c r="Q100" s="428"/>
      <c r="R100" s="428"/>
    </row>
    <row r="101" spans="1:21" s="458" customFormat="1" ht="14.25" customHeight="1" thickBot="1">
      <c r="A101" s="481" t="s">
        <v>843</v>
      </c>
      <c r="C101" s="482"/>
      <c r="E101" s="482"/>
      <c r="F101" s="483">
        <f>SUM(F96:F100)</f>
        <v>9138765909660</v>
      </c>
      <c r="G101" s="483">
        <f t="shared" ref="G101:O101" si="62">SUM(G96:G100)</f>
        <v>16753008320776.164</v>
      </c>
      <c r="H101" s="483">
        <f t="shared" si="62"/>
        <v>58873953548413.852</v>
      </c>
      <c r="I101" s="483">
        <f t="shared" si="62"/>
        <v>6950307416519.8984</v>
      </c>
      <c r="J101" s="483">
        <f t="shared" si="62"/>
        <v>1837108748480.9297</v>
      </c>
      <c r="K101" s="483">
        <f t="shared" si="62"/>
        <v>11114877232918.824</v>
      </c>
      <c r="L101" s="483">
        <f t="shared" si="62"/>
        <v>-23404323148117.977</v>
      </c>
      <c r="M101" s="483">
        <f t="shared" si="62"/>
        <v>33355234401782.289</v>
      </c>
      <c r="N101" s="483">
        <f t="shared" si="62"/>
        <v>44115095041404.375</v>
      </c>
      <c r="O101" s="483">
        <f t="shared" si="62"/>
        <v>38238433189263.953</v>
      </c>
      <c r="P101" s="428"/>
      <c r="Q101" s="428"/>
      <c r="R101" s="428"/>
    </row>
    <row r="102" spans="1:21" s="458" customFormat="1" ht="14.25" customHeight="1" thickBot="1">
      <c r="A102" s="481" t="s">
        <v>844</v>
      </c>
      <c r="C102" s="482"/>
      <c r="D102" s="482"/>
      <c r="E102" s="482"/>
      <c r="F102" s="487"/>
      <c r="G102" s="488">
        <v>-0.05</v>
      </c>
      <c r="H102" s="488">
        <v>2.99</v>
      </c>
      <c r="I102" s="488">
        <v>0.14000000000000001</v>
      </c>
      <c r="J102" s="488">
        <v>-0.73</v>
      </c>
      <c r="K102" s="489">
        <f>(K101-J101)/J101</f>
        <v>5.0502010249036724</v>
      </c>
      <c r="L102" s="489">
        <f t="shared" ref="L102:O102" si="63">(L101-K101)/K101</f>
        <v>-3.1056753626393299</v>
      </c>
      <c r="M102" s="489">
        <f t="shared" si="63"/>
        <v>-2.4251740668033164</v>
      </c>
      <c r="N102" s="489">
        <f t="shared" si="63"/>
        <v>0.3225838712453224</v>
      </c>
      <c r="O102" s="489">
        <f t="shared" si="63"/>
        <v>-0.13321204106269885</v>
      </c>
      <c r="P102" s="428"/>
      <c r="Q102" s="428"/>
      <c r="R102" s="428"/>
    </row>
    <row r="103" spans="1:21" s="458" customFormat="1" ht="14.25" customHeight="1" thickBot="1">
      <c r="A103" s="481" t="s">
        <v>845</v>
      </c>
      <c r="C103" s="482"/>
      <c r="D103" s="482"/>
      <c r="E103" s="482"/>
      <c r="F103" s="487"/>
      <c r="G103" s="487"/>
      <c r="H103" s="487"/>
      <c r="I103" s="487"/>
      <c r="J103" s="487"/>
      <c r="K103" s="490">
        <v>0.5</v>
      </c>
      <c r="L103" s="490">
        <v>1.5</v>
      </c>
      <c r="M103" s="490">
        <v>2.5</v>
      </c>
      <c r="N103" s="490">
        <v>3.5</v>
      </c>
      <c r="O103" s="490">
        <v>4.5</v>
      </c>
      <c r="P103" s="428"/>
      <c r="Q103" s="428"/>
      <c r="R103" s="428"/>
    </row>
    <row r="104" spans="1:21" s="458" customFormat="1" ht="14.25" customHeight="1" thickBot="1">
      <c r="A104" s="481" t="s">
        <v>846</v>
      </c>
      <c r="C104" s="482"/>
      <c r="D104" s="482"/>
      <c r="E104" s="482"/>
      <c r="F104" s="487"/>
      <c r="G104" s="487"/>
      <c r="H104" s="487"/>
      <c r="I104" s="487"/>
      <c r="J104" s="487"/>
      <c r="K104" s="489">
        <f>1/(1+10.88%)^J103</f>
        <v>1</v>
      </c>
      <c r="L104" s="489">
        <f t="shared" ref="L104:O104" si="64">1/(1+10.88%)^K103</f>
        <v>0.94967147049698286</v>
      </c>
      <c r="M104" s="489">
        <f t="shared" si="64"/>
        <v>0.85648581394028034</v>
      </c>
      <c r="N104" s="489">
        <f t="shared" si="64"/>
        <v>0.77244391589130623</v>
      </c>
      <c r="O104" s="489">
        <f t="shared" si="64"/>
        <v>0.69664855329302511</v>
      </c>
      <c r="P104" s="428"/>
      <c r="Q104" s="428"/>
      <c r="R104" s="428"/>
    </row>
    <row r="105" spans="1:21" s="458" customFormat="1" ht="14.25" customHeight="1" thickBot="1">
      <c r="A105" s="481" t="s">
        <v>847</v>
      </c>
      <c r="C105" s="482"/>
      <c r="D105" s="482"/>
      <c r="E105" s="482"/>
      <c r="F105" s="487"/>
      <c r="G105" s="487"/>
      <c r="H105" s="487"/>
      <c r="I105" s="487"/>
      <c r="J105" s="487"/>
      <c r="K105" s="485">
        <f>K101*K104</f>
        <v>11114877232918.824</v>
      </c>
      <c r="L105" s="485">
        <f t="shared" ref="L105:N105" si="65">L101*L104</f>
        <v>-22226417980059.773</v>
      </c>
      <c r="M105" s="485">
        <f t="shared" si="65"/>
        <v>28568285085779.344</v>
      </c>
      <c r="N105" s="485">
        <f t="shared" si="65"/>
        <v>34076436763699.543</v>
      </c>
      <c r="O105" s="485">
        <f>O101*O104</f>
        <v>26638749161492.73</v>
      </c>
      <c r="P105" s="428"/>
      <c r="Q105" s="428"/>
      <c r="R105" s="428"/>
    </row>
    <row r="106" spans="1:21" s="458" customFormat="1" ht="14.25" customHeight="1">
      <c r="B106" s="8"/>
      <c r="C106" s="8"/>
      <c r="D106" s="8"/>
      <c r="E106" s="8"/>
      <c r="F106" s="430"/>
      <c r="G106" s="430"/>
      <c r="H106" s="430"/>
      <c r="I106" s="430"/>
      <c r="J106" s="8"/>
      <c r="K106" s="8"/>
      <c r="L106" s="8"/>
      <c r="M106" s="8"/>
      <c r="N106" s="428"/>
      <c r="O106" s="428"/>
      <c r="P106" s="428"/>
      <c r="Q106" s="428"/>
      <c r="R106" s="428"/>
    </row>
    <row r="107" spans="1:21" s="458" customFormat="1" ht="14.25" customHeight="1">
      <c r="A107" s="8" t="s">
        <v>866</v>
      </c>
      <c r="B107" s="8"/>
      <c r="C107" s="8"/>
      <c r="D107" s="8"/>
      <c r="E107" s="8"/>
      <c r="F107" s="8">
        <f>F96+('BS HPG'!F47+'BS HPG'!F54)</f>
        <v>12449894374429</v>
      </c>
      <c r="G107" s="8">
        <f>G96+('BS HPG'!G47+'BS HPG'!G54)</f>
        <v>22051569744739</v>
      </c>
      <c r="H107" s="8">
        <f>H96+('BS HPG'!H47+'BS HPG'!H54)</f>
        <v>44548247659483</v>
      </c>
      <c r="I107" s="8">
        <f>I96+('BS HPG'!I47+'BS HPG'!I54)</f>
        <v>19530984928979</v>
      </c>
      <c r="J107" s="8">
        <f>J96+('BS HPG'!J47+'BS HPG'!J54)</f>
        <v>17771607970410</v>
      </c>
      <c r="K107" s="8">
        <f>K96+K98</f>
        <v>20679691227136.121</v>
      </c>
      <c r="L107" s="8">
        <f t="shared" ref="L107:O107" si="66">L96+L98</f>
        <v>28220099732960.039</v>
      </c>
      <c r="M107" s="8">
        <f t="shared" si="66"/>
        <v>33415333025043.867</v>
      </c>
      <c r="N107" s="8">
        <f t="shared" si="66"/>
        <v>33481953437906.766</v>
      </c>
      <c r="O107" s="8">
        <f t="shared" si="66"/>
        <v>41988488729871.406</v>
      </c>
      <c r="P107" s="428"/>
      <c r="Q107" s="428"/>
      <c r="R107" s="428"/>
    </row>
    <row r="108" spans="1:21" s="458" customFormat="1" ht="14.25" customHeight="1">
      <c r="B108" s="8"/>
      <c r="C108" s="8"/>
      <c r="D108" s="8"/>
      <c r="E108" s="8"/>
      <c r="F108" s="430"/>
      <c r="G108" s="430"/>
      <c r="H108" s="430"/>
      <c r="I108" s="430"/>
      <c r="J108" s="8"/>
      <c r="K108" s="8"/>
      <c r="L108" s="8"/>
      <c r="M108" s="8"/>
      <c r="N108" s="428"/>
      <c r="O108" s="428"/>
      <c r="P108" s="428"/>
      <c r="Q108" s="428"/>
      <c r="R108" s="428"/>
    </row>
    <row r="109" spans="1:21" s="458" customFormat="1" ht="14.25" customHeight="1" thickBot="1">
      <c r="B109" s="8"/>
      <c r="C109" s="8"/>
      <c r="D109" s="8"/>
      <c r="E109" s="8"/>
      <c r="F109" s="430"/>
      <c r="G109" s="430"/>
      <c r="H109" s="430"/>
      <c r="K109" s="8"/>
      <c r="L109" s="8"/>
      <c r="M109" s="8"/>
      <c r="N109" s="428"/>
      <c r="O109" s="428"/>
      <c r="P109" s="428"/>
      <c r="Q109" s="428"/>
      <c r="R109" s="428"/>
    </row>
    <row r="110" spans="1:21" s="458" customFormat="1" ht="14.25" customHeight="1" thickBot="1">
      <c r="F110" s="429"/>
      <c r="G110" s="429"/>
      <c r="H110" s="429"/>
      <c r="K110" s="428"/>
      <c r="L110" s="428"/>
      <c r="M110" s="493" t="s">
        <v>774</v>
      </c>
      <c r="N110" s="494">
        <f>WACC!D17</f>
        <v>0.10042695580560715</v>
      </c>
      <c r="O110" s="428"/>
      <c r="P110" s="576" t="s">
        <v>990</v>
      </c>
      <c r="Q110" s="428"/>
      <c r="R110" s="428"/>
    </row>
    <row r="111" spans="1:21" s="458" customFormat="1" ht="14.25" customHeight="1" thickBot="1">
      <c r="A111" s="428"/>
      <c r="C111" s="428"/>
      <c r="D111" s="428"/>
      <c r="E111" s="428"/>
      <c r="F111" s="429"/>
      <c r="G111" s="429"/>
      <c r="H111" s="429"/>
      <c r="K111" s="428"/>
      <c r="L111" s="428"/>
      <c r="M111" s="493" t="s">
        <v>775</v>
      </c>
      <c r="N111" s="498">
        <f>NPV(N110,K105:O105)</f>
        <v>52931694692740.492</v>
      </c>
      <c r="O111" s="428"/>
      <c r="Q111" s="428"/>
      <c r="R111" s="428" t="s">
        <v>776</v>
      </c>
    </row>
    <row r="112" spans="1:21" s="458" customFormat="1" ht="14.45" customHeight="1" thickBot="1">
      <c r="C112" s="428"/>
      <c r="D112" s="428"/>
      <c r="E112" s="428"/>
      <c r="F112" s="429"/>
      <c r="G112" s="429"/>
      <c r="H112" s="429"/>
      <c r="K112" s="428"/>
      <c r="L112" s="428"/>
      <c r="M112" s="493"/>
      <c r="N112" s="493"/>
      <c r="O112" s="428"/>
      <c r="P112" s="428">
        <f>B147</f>
        <v>36657.81032545567</v>
      </c>
      <c r="Q112" s="590">
        <f>R112-0.5%</f>
        <v>1.9999999999999997E-2</v>
      </c>
      <c r="R112" s="590">
        <f>S112-0.5%</f>
        <v>2.4999999999999998E-2</v>
      </c>
      <c r="S112" s="526">
        <v>0.03</v>
      </c>
      <c r="T112" s="526">
        <f>S112+0.5%</f>
        <v>3.4999999999999996E-2</v>
      </c>
      <c r="U112" s="526">
        <f>T112+0.5%</f>
        <v>3.9999999999999994E-2</v>
      </c>
    </row>
    <row r="113" spans="1:21" s="458" customFormat="1" ht="14.25" customHeight="1" thickBot="1">
      <c r="F113" s="429"/>
      <c r="G113" s="429"/>
      <c r="H113" s="429"/>
      <c r="K113" s="428"/>
      <c r="L113" s="428"/>
      <c r="M113" s="617" t="s">
        <v>777</v>
      </c>
      <c r="N113" s="618"/>
      <c r="O113" s="428" t="s">
        <v>774</v>
      </c>
      <c r="P113" s="590">
        <f>P114-0.5%</f>
        <v>9.042695580560714E-2</v>
      </c>
      <c r="Q113" s="591">
        <f t="dataTable" ref="Q113:U117" dt2D="1" dtr="1" r1="N114" r2="N110"/>
        <v>37502.612536502871</v>
      </c>
      <c r="R113" s="591">
        <v>39100.868919621149</v>
      </c>
      <c r="S113" s="592">
        <v>40963.61924618081</v>
      </c>
      <c r="T113" s="592">
        <v>43162.442571786756</v>
      </c>
      <c r="U113" s="592">
        <v>45797.307155580551</v>
      </c>
    </row>
    <row r="114" spans="1:21" s="458" customFormat="1" ht="14.25" customHeight="1" thickBot="1">
      <c r="F114" s="429"/>
      <c r="G114" s="429"/>
      <c r="H114" s="429"/>
      <c r="K114" s="428"/>
      <c r="L114" s="428"/>
      <c r="M114" s="493" t="s">
        <v>776</v>
      </c>
      <c r="N114" s="495">
        <v>0.03</v>
      </c>
      <c r="O114" s="428"/>
      <c r="P114" s="590">
        <f>P115-0.5%</f>
        <v>9.5426955805607144E-2</v>
      </c>
      <c r="Q114" s="428">
        <v>35714.186318378706</v>
      </c>
      <c r="R114" s="591">
        <v>37075.409079137746</v>
      </c>
      <c r="S114" s="592">
        <v>38644.684124157633</v>
      </c>
      <c r="T114" s="592">
        <v>40473.657018274564</v>
      </c>
      <c r="U114" s="592">
        <v>42632.608867131785</v>
      </c>
    </row>
    <row r="115" spans="1:21" s="458" customFormat="1" ht="14.25" customHeight="1" thickBot="1">
      <c r="F115" s="429"/>
      <c r="G115" s="429"/>
      <c r="H115" s="429"/>
      <c r="K115" s="428"/>
      <c r="L115" s="428"/>
      <c r="M115" s="493" t="s">
        <v>778</v>
      </c>
      <c r="N115" s="496">
        <f>O105*(1+N114)/(N110-N114)</f>
        <v>389593889477088.56</v>
      </c>
      <c r="O115" s="428"/>
      <c r="P115" s="590">
        <f>WACC!D17</f>
        <v>0.10042695580560715</v>
      </c>
      <c r="Q115" s="428">
        <v>34150.702796913763</v>
      </c>
      <c r="R115" s="428">
        <v>35321.159361325452</v>
      </c>
      <c r="S115" s="593">
        <v>36657.81032545567</v>
      </c>
      <c r="T115" s="592">
        <v>38198.757966341203</v>
      </c>
      <c r="U115" s="592">
        <v>39994.715580895238</v>
      </c>
    </row>
    <row r="116" spans="1:21" s="458" customFormat="1" ht="14.25" customHeight="1" thickBot="1">
      <c r="F116" s="429"/>
      <c r="G116" s="429"/>
      <c r="H116" s="540"/>
      <c r="K116" s="541"/>
      <c r="L116" s="541"/>
      <c r="M116" s="493" t="s">
        <v>779</v>
      </c>
      <c r="N116" s="496">
        <f>N115/(1+N110)^5</f>
        <v>241438228281296</v>
      </c>
      <c r="O116" s="541"/>
      <c r="P116" s="590">
        <f>P115+0.5%</f>
        <v>0.10542695580560715</v>
      </c>
      <c r="Q116" s="428">
        <v>32772.630888820211</v>
      </c>
      <c r="R116" s="428">
        <v>33787.503727875985</v>
      </c>
      <c r="S116" s="458">
        <v>34936.926984380843</v>
      </c>
      <c r="T116" s="592">
        <v>36249.558098353999</v>
      </c>
      <c r="U116" s="592">
        <v>37762.814642291094</v>
      </c>
    </row>
    <row r="117" spans="1:21" s="458" customFormat="1" ht="14.25" customHeight="1">
      <c r="F117" s="429"/>
      <c r="G117" s="429"/>
      <c r="H117" s="540"/>
      <c r="K117" s="541"/>
      <c r="L117" s="541"/>
      <c r="M117" s="532" t="s">
        <v>780</v>
      </c>
      <c r="N117" s="533">
        <f>N111+N116</f>
        <v>294369922974036.5</v>
      </c>
      <c r="O117" s="541"/>
      <c r="P117" s="590">
        <f>P116+0.5%</f>
        <v>0.11042695580560716</v>
      </c>
      <c r="Q117" s="428">
        <v>31549.183097412544</v>
      </c>
      <c r="R117" s="428">
        <v>32435.676624886401</v>
      </c>
      <c r="S117" s="458">
        <v>33432.393586604929</v>
      </c>
      <c r="T117" s="458">
        <v>34561.253885022248</v>
      </c>
      <c r="U117" s="592">
        <v>35850.402284139709</v>
      </c>
    </row>
    <row r="118" spans="1:21" s="458" customFormat="1" ht="14.25" customHeight="1">
      <c r="A118" s="527"/>
      <c r="B118" s="528"/>
      <c r="C118" s="528"/>
      <c r="D118" s="528"/>
      <c r="E118" s="527"/>
      <c r="F118" s="527"/>
      <c r="G118" s="527"/>
      <c r="H118" s="527"/>
      <c r="K118" s="542"/>
      <c r="L118" s="542"/>
      <c r="M118" s="534" t="s">
        <v>781</v>
      </c>
      <c r="N118" s="535">
        <f>'BS HPG'!J3</f>
        <v>12252001160884</v>
      </c>
      <c r="O118" s="541"/>
      <c r="P118" s="428"/>
      <c r="Q118" s="428"/>
      <c r="R118" s="428"/>
    </row>
    <row r="119" spans="1:21" s="458" customFormat="1" ht="14.25" customHeight="1">
      <c r="A119" s="527"/>
      <c r="B119" s="528"/>
      <c r="C119" s="445" t="s">
        <v>1</v>
      </c>
      <c r="D119" s="445" t="s">
        <v>2</v>
      </c>
      <c r="E119" s="445" t="s">
        <v>3</v>
      </c>
      <c r="F119" s="445" t="s">
        <v>4</v>
      </c>
      <c r="G119" s="445" t="s">
        <v>5</v>
      </c>
      <c r="H119" s="445" t="s">
        <v>6</v>
      </c>
      <c r="I119" s="445" t="s">
        <v>7</v>
      </c>
      <c r="J119" s="445" t="s">
        <v>8</v>
      </c>
      <c r="K119" s="573" t="s">
        <v>983</v>
      </c>
      <c r="L119" s="529"/>
      <c r="M119" s="534" t="s">
        <v>782</v>
      </c>
      <c r="N119" s="535">
        <f>'BS HPG'!J93+'BS HPG'!J109</f>
        <v>65381002473117</v>
      </c>
      <c r="O119" s="541"/>
      <c r="P119" s="428"/>
      <c r="Q119" s="428"/>
      <c r="R119" s="428"/>
    </row>
    <row r="120" spans="1:21" s="458" customFormat="1" ht="14.25" customHeight="1">
      <c r="A120" s="530" t="s">
        <v>982</v>
      </c>
      <c r="B120" s="528"/>
      <c r="C120" s="528"/>
      <c r="D120" s="528"/>
      <c r="E120" s="531"/>
      <c r="F120" s="574">
        <v>7.77</v>
      </c>
      <c r="G120" s="574">
        <v>9.1999999999999993</v>
      </c>
      <c r="H120" s="574">
        <v>5.38</v>
      </c>
      <c r="I120" s="574">
        <v>11</v>
      </c>
      <c r="J120" s="574">
        <v>23.78</v>
      </c>
      <c r="K120" s="575">
        <f>AVERAGE(F120:J120)</f>
        <v>11.425999999999998</v>
      </c>
      <c r="L120" s="529"/>
      <c r="M120" s="534" t="s">
        <v>784</v>
      </c>
      <c r="N120" s="534"/>
      <c r="O120" s="428"/>
      <c r="P120" s="428"/>
      <c r="Q120" s="428"/>
      <c r="R120" s="428"/>
    </row>
    <row r="121" spans="1:21" s="458" customFormat="1" ht="14.25" customHeight="1">
      <c r="A121" s="527" t="s">
        <v>905</v>
      </c>
      <c r="B121" s="528"/>
      <c r="C121" s="543">
        <v>7.2</v>
      </c>
      <c r="D121" s="543">
        <v>10.199999999999999</v>
      </c>
      <c r="E121" s="544">
        <v>7.1</v>
      </c>
      <c r="F121" s="544">
        <v>8.8000000000000007</v>
      </c>
      <c r="G121" s="544">
        <v>13.6</v>
      </c>
      <c r="H121" s="544">
        <v>6.8</v>
      </c>
      <c r="I121" s="545">
        <v>6.5</v>
      </c>
      <c r="J121" s="545">
        <v>88.9</v>
      </c>
      <c r="K121" s="529"/>
      <c r="L121" s="529"/>
      <c r="M121" s="534" t="s">
        <v>783</v>
      </c>
      <c r="N121" s="535">
        <f>'BS HPG'!J136</f>
        <v>65769846491</v>
      </c>
      <c r="O121" s="428"/>
      <c r="P121" s="428"/>
      <c r="Q121" s="428"/>
      <c r="R121" s="428"/>
    </row>
    <row r="122" spans="1:21" s="458" customFormat="1" ht="14.25" customHeight="1">
      <c r="A122" s="530" t="s">
        <v>981</v>
      </c>
      <c r="B122" s="528"/>
      <c r="C122" s="528"/>
      <c r="D122" s="528"/>
      <c r="E122" s="529"/>
      <c r="F122" s="572">
        <f>'Close price'!B237/('IS HPG (base)'!F71/$B$131)</f>
        <v>8.2673341359422299</v>
      </c>
      <c r="G122" s="572">
        <f>'Close price'!B185/('IS HPG (base)'!G71/$B$131)</f>
        <v>9.7810387408349566</v>
      </c>
      <c r="H122" s="572">
        <f>'Close price'!B133/('IS HPG (base)'!H71/$B$131)</f>
        <v>5.8704909522345048</v>
      </c>
      <c r="I122" s="572">
        <f>'Close price'!B81/('IS HPG (base)'!I71/$B$131)</f>
        <v>12.394642562216305</v>
      </c>
      <c r="J122" s="572">
        <f>'Close price'!B28/('IS HPG (base)'!J71/$B$131)</f>
        <v>23.770776746829725</v>
      </c>
      <c r="K122" s="537"/>
      <c r="L122" s="537"/>
      <c r="M122" s="534" t="s">
        <v>785</v>
      </c>
      <c r="N122" s="535">
        <f>N117+N118-N119-N121-N120</f>
        <v>241175151815312.5</v>
      </c>
      <c r="O122" s="428"/>
      <c r="P122" s="428"/>
      <c r="Q122" s="428"/>
      <c r="R122" s="428"/>
    </row>
    <row r="123" spans="1:21" s="458" customFormat="1" ht="14.25" customHeight="1">
      <c r="A123" s="527"/>
      <c r="B123" s="528"/>
      <c r="C123" s="528"/>
      <c r="D123" s="528"/>
      <c r="E123" s="529"/>
      <c r="F123" s="529"/>
      <c r="G123" s="529"/>
      <c r="H123" s="529"/>
      <c r="K123" s="529"/>
      <c r="L123" s="529"/>
      <c r="M123" s="534" t="s">
        <v>786</v>
      </c>
      <c r="N123" s="536">
        <v>6396250200</v>
      </c>
      <c r="O123" s="428"/>
      <c r="P123" s="428"/>
      <c r="Q123" s="428"/>
      <c r="R123" s="428"/>
    </row>
    <row r="124" spans="1:21" s="458" customFormat="1" ht="14.25" customHeight="1">
      <c r="A124" s="527"/>
      <c r="B124" s="528"/>
      <c r="C124" s="528"/>
      <c r="D124" s="528"/>
      <c r="E124" s="529"/>
      <c r="F124" s="529"/>
      <c r="G124" s="529"/>
      <c r="H124" s="529"/>
      <c r="I124" s="529"/>
      <c r="J124" s="529"/>
      <c r="K124" s="529"/>
      <c r="L124" s="529"/>
      <c r="M124" s="538" t="s">
        <v>848</v>
      </c>
      <c r="N124" s="539">
        <f>N122/N123</f>
        <v>37705.709481988757</v>
      </c>
      <c r="O124" s="428"/>
      <c r="P124" s="428"/>
      <c r="Q124" s="428"/>
      <c r="R124" s="428"/>
    </row>
    <row r="125" spans="1:21" s="458" customFormat="1" ht="14.25" customHeight="1">
      <c r="A125" s="527"/>
      <c r="B125" s="528"/>
      <c r="C125" s="528"/>
      <c r="D125" s="528"/>
      <c r="E125" s="529"/>
      <c r="F125" s="529"/>
      <c r="G125" s="529"/>
      <c r="H125" s="529"/>
      <c r="I125" s="529"/>
      <c r="J125" s="529"/>
      <c r="K125" s="529"/>
      <c r="L125" s="529"/>
      <c r="M125" s="573" t="s">
        <v>996</v>
      </c>
      <c r="N125" s="588">
        <f>N124/28700-1</f>
        <v>0.31378778682887654</v>
      </c>
      <c r="O125" s="428"/>
      <c r="P125" s="428"/>
      <c r="Q125" s="428"/>
      <c r="R125" s="428"/>
    </row>
    <row r="126" spans="1:21" s="458" customFormat="1" ht="14.25" customHeight="1">
      <c r="A126" s="527"/>
      <c r="B126" s="528"/>
      <c r="C126" s="528"/>
      <c r="D126" s="528"/>
      <c r="E126" s="529"/>
      <c r="F126" s="529"/>
      <c r="G126" s="529"/>
      <c r="H126" s="529"/>
      <c r="I126" s="537"/>
      <c r="J126" s="537"/>
      <c r="K126" s="537"/>
      <c r="L126" s="537"/>
      <c r="M126" s="537"/>
      <c r="N126" s="537"/>
      <c r="O126" s="428"/>
      <c r="P126" s="428"/>
      <c r="Q126" s="428"/>
      <c r="R126" s="428"/>
    </row>
    <row r="127" spans="1:21" s="458" customFormat="1" ht="14.25" customHeight="1">
      <c r="A127" s="527"/>
      <c r="B127" s="528"/>
      <c r="C127" s="528"/>
      <c r="D127" s="528"/>
      <c r="E127" s="529"/>
      <c r="F127" s="529"/>
      <c r="G127" s="529"/>
      <c r="H127" s="529"/>
      <c r="I127" s="537"/>
      <c r="J127" s="537"/>
      <c r="K127" s="537"/>
      <c r="L127" s="537"/>
      <c r="M127" s="537"/>
      <c r="N127" s="537"/>
      <c r="O127" s="428"/>
      <c r="P127" s="428"/>
      <c r="Q127" s="428"/>
      <c r="R127" s="428"/>
    </row>
    <row r="128" spans="1:21" s="458" customFormat="1" ht="14.25" customHeight="1">
      <c r="A128" s="527"/>
      <c r="B128" s="528"/>
      <c r="C128" s="528"/>
      <c r="D128" s="528"/>
      <c r="E128" s="529"/>
      <c r="F128" s="529"/>
      <c r="G128" s="529"/>
      <c r="H128" s="529"/>
      <c r="I128" s="537"/>
      <c r="J128" s="537"/>
      <c r="K128" s="537"/>
      <c r="L128" s="537"/>
      <c r="M128" s="537"/>
      <c r="N128" s="537"/>
      <c r="O128" s="428"/>
      <c r="P128" s="428"/>
      <c r="Q128" s="428"/>
      <c r="R128" s="428"/>
    </row>
    <row r="129" spans="1:18" s="458" customFormat="1" ht="14.25" customHeight="1">
      <c r="A129" s="501" t="s">
        <v>849</v>
      </c>
      <c r="F129" s="429"/>
      <c r="G129" s="429"/>
      <c r="H129" s="429"/>
      <c r="I129" s="429"/>
      <c r="J129" s="428"/>
      <c r="K129" s="428"/>
      <c r="L129" s="428"/>
      <c r="M129" s="428"/>
      <c r="N129" s="428"/>
      <c r="O129" s="428"/>
      <c r="P129" s="428"/>
      <c r="Q129" s="428"/>
      <c r="R129" s="428"/>
    </row>
    <row r="130" spans="1:18" s="458" customFormat="1" ht="14.25" customHeight="1">
      <c r="A130" s="501" t="s">
        <v>856</v>
      </c>
      <c r="B130" s="458">
        <v>28700</v>
      </c>
      <c r="C130" s="501"/>
      <c r="F130" s="429"/>
      <c r="G130" s="429"/>
      <c r="H130" s="429"/>
      <c r="I130" s="429"/>
      <c r="J130" s="428"/>
      <c r="K130" s="428"/>
      <c r="L130" s="428"/>
      <c r="M130" s="428"/>
      <c r="N130" s="428"/>
      <c r="O130" s="428"/>
      <c r="P130" s="428"/>
      <c r="Q130" s="428"/>
      <c r="R130" s="428"/>
    </row>
    <row r="131" spans="1:18" s="458" customFormat="1" ht="14.25" customHeight="1">
      <c r="A131" s="501" t="s">
        <v>855</v>
      </c>
      <c r="B131" s="458">
        <v>6396250200</v>
      </c>
      <c r="F131" s="429"/>
      <c r="G131" s="429"/>
      <c r="H131" s="429"/>
      <c r="I131" s="429"/>
      <c r="J131" s="428"/>
      <c r="K131" s="428"/>
      <c r="L131" s="428"/>
      <c r="M131" s="428"/>
      <c r="N131" s="428"/>
      <c r="O131" s="428"/>
      <c r="P131" s="428"/>
      <c r="Q131" s="428"/>
      <c r="R131" s="428"/>
    </row>
    <row r="132" spans="1:18" s="458" customFormat="1" ht="14.25" customHeight="1">
      <c r="A132" s="502" t="s">
        <v>850</v>
      </c>
      <c r="F132" s="429"/>
      <c r="G132" s="429"/>
      <c r="H132" s="429"/>
      <c r="I132" s="429"/>
      <c r="J132" s="428"/>
      <c r="K132" s="428"/>
      <c r="L132" s="428"/>
      <c r="M132" s="428"/>
      <c r="N132" s="428"/>
      <c r="O132" s="428"/>
      <c r="P132" s="428"/>
      <c r="Q132" s="428"/>
      <c r="R132" s="428"/>
    </row>
    <row r="133" spans="1:18" s="458" customFormat="1" ht="14.25" customHeight="1">
      <c r="A133" s="501" t="s">
        <v>861</v>
      </c>
      <c r="B133" s="458">
        <v>1447824839793</v>
      </c>
      <c r="F133" s="429"/>
      <c r="G133" s="429"/>
      <c r="H133" s="429"/>
      <c r="I133" s="429"/>
      <c r="J133" s="428"/>
      <c r="K133" s="428"/>
      <c r="L133" s="428"/>
      <c r="M133" s="428"/>
      <c r="N133" s="428"/>
      <c r="O133" s="428"/>
      <c r="P133" s="428"/>
      <c r="Q133" s="428"/>
      <c r="R133" s="428"/>
    </row>
    <row r="134" spans="1:18" s="458" customFormat="1" ht="14.25" customHeight="1">
      <c r="A134" s="501" t="s">
        <v>858</v>
      </c>
      <c r="B134" s="458">
        <v>2000363084332</v>
      </c>
      <c r="F134" s="429"/>
      <c r="G134" s="429"/>
      <c r="H134" s="429"/>
      <c r="I134" s="429"/>
      <c r="J134" s="428"/>
      <c r="K134" s="428"/>
      <c r="L134" s="428"/>
      <c r="M134" s="428"/>
      <c r="N134" s="428"/>
      <c r="O134" s="428"/>
      <c r="P134" s="428"/>
      <c r="Q134" s="428"/>
      <c r="R134" s="428"/>
    </row>
    <row r="135" spans="1:18" s="458" customFormat="1" ht="14.25" customHeight="1">
      <c r="A135" s="501" t="s">
        <v>859</v>
      </c>
      <c r="B135" s="458">
        <v>2968970782885</v>
      </c>
      <c r="E135" s="524" t="s">
        <v>899</v>
      </c>
      <c r="F135" s="429"/>
      <c r="G135" s="429"/>
      <c r="H135" s="429"/>
      <c r="I135" s="429"/>
      <c r="J135" s="428"/>
      <c r="K135" s="428"/>
      <c r="L135" s="428"/>
      <c r="M135" s="428"/>
      <c r="N135" s="428"/>
      <c r="O135" s="428"/>
      <c r="P135" s="428"/>
      <c r="Q135" s="428"/>
      <c r="R135" s="428"/>
    </row>
    <row r="136" spans="1:18" s="458" customFormat="1" ht="14.25" customHeight="1">
      <c r="A136" s="501" t="s">
        <v>860</v>
      </c>
      <c r="B136" s="458">
        <v>2869182602427</v>
      </c>
      <c r="E136" s="525" t="s">
        <v>900</v>
      </c>
      <c r="F136" s="429"/>
      <c r="G136" s="429"/>
      <c r="H136" s="429"/>
      <c r="I136" s="429"/>
      <c r="J136" s="428"/>
      <c r="K136" s="428"/>
      <c r="L136" s="428"/>
      <c r="M136" s="428"/>
      <c r="N136" s="428"/>
      <c r="O136" s="428"/>
      <c r="P136" s="428"/>
      <c r="Q136" s="428"/>
      <c r="R136" s="428"/>
    </row>
    <row r="137" spans="1:18" s="458" customFormat="1" ht="14.25" customHeight="1">
      <c r="A137" s="565" t="s">
        <v>862</v>
      </c>
      <c r="B137" s="386">
        <f>SUM(B133:B136)/B131</f>
        <v>1451.8414725923324</v>
      </c>
      <c r="E137" s="566" t="s">
        <v>901</v>
      </c>
      <c r="F137" s="429"/>
      <c r="G137" s="429"/>
      <c r="H137" s="429"/>
      <c r="I137" s="429"/>
      <c r="J137" s="428"/>
      <c r="K137" s="428"/>
      <c r="L137" s="428"/>
      <c r="M137" s="428"/>
      <c r="N137" s="428"/>
      <c r="O137" s="428"/>
      <c r="P137" s="428"/>
      <c r="Q137" s="428"/>
      <c r="R137" s="428"/>
    </row>
    <row r="138" spans="1:18" s="458" customFormat="1" ht="14.25" customHeight="1">
      <c r="A138" s="8" t="s">
        <v>857</v>
      </c>
      <c r="B138" s="521">
        <f>B130/B137</f>
        <v>19.767998463878275</v>
      </c>
      <c r="E138" s="566" t="s">
        <v>902</v>
      </c>
      <c r="F138" s="429"/>
      <c r="G138" s="429"/>
      <c r="H138" s="429"/>
      <c r="I138" s="429"/>
      <c r="J138" s="428"/>
      <c r="K138" s="428"/>
      <c r="L138" s="428"/>
      <c r="M138" s="428"/>
      <c r="N138" s="428"/>
      <c r="O138" s="428"/>
      <c r="P138" s="428"/>
      <c r="Q138" s="428"/>
      <c r="R138" s="428"/>
    </row>
    <row r="139" spans="1:18" s="458" customFormat="1" ht="14.25" hidden="1" customHeight="1">
      <c r="A139" s="8" t="s">
        <v>853</v>
      </c>
      <c r="B139" s="386">
        <f>K71/B131</f>
        <v>1641.8365347298832</v>
      </c>
      <c r="E139" s="566" t="s">
        <v>903</v>
      </c>
      <c r="F139" s="429"/>
      <c r="G139" s="429"/>
      <c r="H139" s="429"/>
      <c r="I139" s="429"/>
      <c r="J139" s="428"/>
      <c r="K139" s="428"/>
      <c r="L139" s="428"/>
      <c r="M139" s="428"/>
      <c r="N139" s="428"/>
      <c r="O139" s="428"/>
      <c r="P139" s="428"/>
      <c r="Q139" s="428"/>
      <c r="R139" s="428"/>
    </row>
    <row r="140" spans="1:18" s="458" customFormat="1" ht="14.25" customHeight="1">
      <c r="A140" s="522" t="s">
        <v>906</v>
      </c>
      <c r="B140" s="523">
        <f>((K71/2)+(L71/2))/B131</f>
        <v>2023.9475331475971</v>
      </c>
      <c r="E140" s="566" t="s">
        <v>904</v>
      </c>
      <c r="F140" s="429"/>
      <c r="G140" s="429"/>
      <c r="H140" s="429"/>
      <c r="I140" s="429"/>
      <c r="J140" s="428"/>
      <c r="K140" s="428"/>
      <c r="L140" s="428"/>
      <c r="M140" s="428"/>
      <c r="N140" s="428"/>
      <c r="O140" s="428"/>
      <c r="P140" s="428"/>
      <c r="Q140" s="428"/>
      <c r="R140" s="428"/>
    </row>
    <row r="141" spans="1:18" s="458" customFormat="1" ht="14.25" customHeight="1">
      <c r="A141" s="565" t="s">
        <v>852</v>
      </c>
      <c r="B141" s="520">
        <f>B130/B139</f>
        <v>17.480424751738003</v>
      </c>
      <c r="D141" s="565"/>
      <c r="E141" s="565"/>
      <c r="F141" s="429"/>
      <c r="G141" s="429"/>
      <c r="H141" s="429"/>
      <c r="I141" s="429"/>
      <c r="J141" s="428"/>
      <c r="K141" s="428"/>
      <c r="L141" s="428"/>
      <c r="M141" s="428"/>
      <c r="N141" s="428"/>
      <c r="O141" s="428"/>
      <c r="P141" s="428"/>
      <c r="Q141" s="428"/>
      <c r="R141" s="428"/>
    </row>
    <row r="142" spans="1:18" s="458" customFormat="1" ht="14.25" customHeight="1">
      <c r="A142" s="8" t="s">
        <v>851</v>
      </c>
      <c r="B142" s="523">
        <f>B130/B140</f>
        <v>14.180209481698576</v>
      </c>
      <c r="C142" s="526"/>
      <c r="D142" s="565"/>
      <c r="F142" s="429"/>
      <c r="G142" s="429"/>
      <c r="H142" s="429"/>
      <c r="I142" s="429"/>
      <c r="J142" s="428"/>
      <c r="K142" s="428"/>
      <c r="L142" s="428"/>
      <c r="M142" s="428"/>
      <c r="N142" s="428"/>
      <c r="O142" s="428"/>
      <c r="P142" s="428"/>
      <c r="Q142" s="428"/>
      <c r="R142" s="428"/>
    </row>
    <row r="143" spans="1:18" s="458" customFormat="1" ht="14.25" customHeight="1">
      <c r="A143" s="8" t="s">
        <v>985</v>
      </c>
      <c r="B143" s="523">
        <f>K120</f>
        <v>11.425999999999998</v>
      </c>
      <c r="C143" s="526"/>
      <c r="D143" s="565"/>
      <c r="F143" s="429"/>
      <c r="G143" s="429"/>
      <c r="H143" s="429"/>
      <c r="I143" s="429"/>
      <c r="J143" s="428"/>
      <c r="K143" s="428"/>
      <c r="L143" s="428"/>
      <c r="M143" s="428"/>
      <c r="N143" s="428"/>
      <c r="O143" s="428"/>
      <c r="P143" s="428"/>
      <c r="Q143" s="428"/>
      <c r="R143" s="428"/>
    </row>
    <row r="144" spans="1:18" s="458" customFormat="1" ht="14.25" customHeight="1">
      <c r="A144" s="576" t="s">
        <v>984</v>
      </c>
      <c r="B144" s="523">
        <f>B140*B143</f>
        <v>23125.624513744442</v>
      </c>
      <c r="C144" s="526"/>
      <c r="D144" s="565"/>
      <c r="F144" s="429"/>
      <c r="G144" s="429"/>
      <c r="H144" s="429"/>
      <c r="I144" s="429"/>
      <c r="J144" s="428"/>
      <c r="K144" s="428"/>
      <c r="L144" s="428"/>
      <c r="M144" s="428"/>
      <c r="N144" s="428"/>
      <c r="O144" s="428"/>
      <c r="P144" s="428"/>
      <c r="Q144" s="428"/>
      <c r="R144" s="428"/>
    </row>
    <row r="145" spans="1:18" s="458" customFormat="1" ht="14.25" customHeight="1">
      <c r="A145" s="565" t="s">
        <v>907</v>
      </c>
      <c r="B145" s="8">
        <f>B140*B138</f>
        <v>40009.391726231923</v>
      </c>
      <c r="F145" s="429"/>
      <c r="G145" s="429"/>
      <c r="H145" s="429"/>
      <c r="I145" s="429"/>
      <c r="J145" s="428"/>
      <c r="K145" s="428"/>
      <c r="L145" s="428"/>
      <c r="M145" s="428"/>
      <c r="N145" s="428"/>
      <c r="O145" s="428"/>
      <c r="P145" s="428"/>
      <c r="Q145" s="428"/>
      <c r="R145" s="428"/>
    </row>
    <row r="146" spans="1:18" s="458" customFormat="1" ht="30">
      <c r="A146" s="589" t="s">
        <v>997</v>
      </c>
      <c r="B146" s="522">
        <f>B140*$B$170</f>
        <v>35609.911168922583</v>
      </c>
      <c r="C146" s="567">
        <v>17.5</v>
      </c>
      <c r="D146" s="458">
        <f>B140*C146</f>
        <v>35419.081830082949</v>
      </c>
      <c r="E146" s="565" t="s">
        <v>942</v>
      </c>
      <c r="F146" s="429"/>
      <c r="G146" s="429"/>
      <c r="H146" s="429"/>
      <c r="I146" s="429"/>
      <c r="J146" s="428"/>
      <c r="K146" s="428"/>
      <c r="L146" s="428"/>
      <c r="M146" s="428"/>
      <c r="N146" s="428"/>
      <c r="O146" s="428"/>
      <c r="P146" s="428"/>
      <c r="Q146" s="428"/>
      <c r="R146" s="428"/>
    </row>
    <row r="147" spans="1:18" s="458" customFormat="1" ht="14.25" customHeight="1">
      <c r="A147" s="8" t="s">
        <v>989</v>
      </c>
      <c r="B147" s="581">
        <f>B146*0.5+N124*0.5</f>
        <v>36657.81032545567</v>
      </c>
      <c r="D147" s="458">
        <v>28700</v>
      </c>
      <c r="E147" s="475">
        <f>B147/D147-1</f>
        <v>0.27727562109601633</v>
      </c>
      <c r="F147" s="429"/>
      <c r="G147" s="429"/>
      <c r="H147" s="429"/>
      <c r="I147" s="429"/>
      <c r="J147" s="428"/>
      <c r="K147" s="428"/>
      <c r="L147" s="428"/>
      <c r="M147" s="428"/>
      <c r="N147" s="428"/>
      <c r="O147" s="428"/>
      <c r="P147" s="428"/>
      <c r="Q147" s="428"/>
      <c r="R147" s="428"/>
    </row>
    <row r="148" spans="1:18" s="458" customFormat="1" ht="14.25" customHeight="1">
      <c r="A148" s="502" t="s">
        <v>827</v>
      </c>
      <c r="F148" s="429"/>
      <c r="G148" s="429"/>
      <c r="H148" s="429"/>
      <c r="I148" s="429"/>
      <c r="J148" s="428"/>
      <c r="K148" s="428"/>
      <c r="L148" s="428"/>
      <c r="M148" s="428"/>
      <c r="N148" s="428"/>
      <c r="O148" s="428"/>
      <c r="P148" s="428"/>
      <c r="Q148" s="428"/>
      <c r="R148" s="428"/>
    </row>
    <row r="149" spans="1:18" ht="14.25" customHeight="1">
      <c r="A149" s="358" t="s">
        <v>864</v>
      </c>
      <c r="B149" s="358">
        <f>B130*B131</f>
        <v>183572380740000</v>
      </c>
    </row>
    <row r="150" spans="1:18" ht="14.25" customHeight="1">
      <c r="A150" s="358" t="s">
        <v>909</v>
      </c>
      <c r="B150" s="546">
        <v>12.1</v>
      </c>
      <c r="C150" s="358" t="s">
        <v>910</v>
      </c>
      <c r="D150" s="473"/>
    </row>
    <row r="151" spans="1:18" ht="14.25" customHeight="1">
      <c r="A151" s="358" t="s">
        <v>863</v>
      </c>
      <c r="B151" s="548">
        <f>B149-'BS HPG'!K3+('BS HPG'!K93+'BS HPG'!K109)</f>
        <v>224990397066344.81</v>
      </c>
    </row>
    <row r="152" spans="1:18" ht="14.25" customHeight="1">
      <c r="A152" s="358" t="s">
        <v>865</v>
      </c>
      <c r="B152" s="548">
        <f>K107</f>
        <v>20679691227136.121</v>
      </c>
    </row>
    <row r="153" spans="1:18" ht="19.5" customHeight="1">
      <c r="A153" s="358" t="s">
        <v>867</v>
      </c>
      <c r="B153" s="547">
        <f>B151/B152</f>
        <v>10.87977545675875</v>
      </c>
      <c r="C153" s="358" t="s">
        <v>912</v>
      </c>
      <c r="G153" s="610">
        <f>G172/2</f>
        <v>7.4999999999999997E-3</v>
      </c>
    </row>
    <row r="154" spans="1:18" ht="19.5" customHeight="1">
      <c r="A154" s="358" t="s">
        <v>911</v>
      </c>
      <c r="B154" s="548">
        <f>B149-'BS HPG'!L6+('BS HPG'!L96+'BS HPG'!L112)</f>
        <v>164185610230413.13</v>
      </c>
      <c r="G154" s="610">
        <f t="shared" ref="G154:G163" si="67">G173/2</f>
        <v>5.0000000000000001E-3</v>
      </c>
    </row>
    <row r="155" spans="1:18" ht="19.5" customHeight="1">
      <c r="A155" s="358" t="s">
        <v>868</v>
      </c>
      <c r="B155" s="358">
        <f>L107</f>
        <v>28220099732960.039</v>
      </c>
      <c r="G155" s="610">
        <f t="shared" si="67"/>
        <v>1.25E-3</v>
      </c>
    </row>
    <row r="156" spans="1:18" ht="19.5" customHeight="1">
      <c r="A156" s="358" t="s">
        <v>869</v>
      </c>
      <c r="B156" s="547">
        <f>B154/B155</f>
        <v>5.8180379156722246</v>
      </c>
      <c r="G156" s="610">
        <f t="shared" si="67"/>
        <v>0</v>
      </c>
    </row>
    <row r="157" spans="1:18" ht="19.5" customHeight="1">
      <c r="G157" s="610">
        <f t="shared" si="67"/>
        <v>-1.25E-3</v>
      </c>
    </row>
    <row r="158" spans="1:18" ht="14.25" customHeight="1">
      <c r="G158" s="610">
        <f t="shared" si="67"/>
        <v>-5.0000000000000001E-3</v>
      </c>
    </row>
    <row r="159" spans="1:18" ht="14.25" customHeight="1">
      <c r="A159" s="358" t="s">
        <v>908</v>
      </c>
      <c r="G159" s="610">
        <f t="shared" si="67"/>
        <v>-7.4999999999999997E-3</v>
      </c>
    </row>
    <row r="160" spans="1:18" ht="14.25" customHeight="1">
      <c r="G160" s="610">
        <f t="shared" si="67"/>
        <v>0</v>
      </c>
    </row>
    <row r="161" spans="1:14" ht="14.25" customHeight="1">
      <c r="A161" s="358" t="s">
        <v>986</v>
      </c>
      <c r="G161" s="610">
        <f t="shared" si="67"/>
        <v>0</v>
      </c>
    </row>
    <row r="162" spans="1:14" ht="14.25" customHeight="1">
      <c r="A162" s="577" t="s">
        <v>792</v>
      </c>
      <c r="B162" s="547">
        <f>B138</f>
        <v>19.767998463878275</v>
      </c>
      <c r="G162" s="610">
        <f t="shared" si="67"/>
        <v>0</v>
      </c>
    </row>
    <row r="163" spans="1:14" ht="14.25" customHeight="1">
      <c r="A163" s="578" t="s">
        <v>987</v>
      </c>
      <c r="B163" s="547">
        <v>17.57</v>
      </c>
      <c r="G163" s="610">
        <f t="shared" si="67"/>
        <v>0</v>
      </c>
      <c r="H163" s="610">
        <f>H171/2</f>
        <v>-7.4999999999999997E-3</v>
      </c>
      <c r="I163" s="610">
        <f t="shared" ref="I163:N163" si="68">I171/2</f>
        <v>-5.0000000000000001E-3</v>
      </c>
      <c r="J163" s="610">
        <f t="shared" si="68"/>
        <v>-2.5000000000000001E-3</v>
      </c>
      <c r="K163" s="610">
        <f t="shared" si="68"/>
        <v>0</v>
      </c>
      <c r="L163" s="610">
        <f t="shared" si="68"/>
        <v>2.5000000000000001E-3</v>
      </c>
      <c r="M163" s="610">
        <f t="shared" si="68"/>
        <v>5.0000000000000001E-3</v>
      </c>
      <c r="N163" s="610">
        <f t="shared" si="68"/>
        <v>7.4999999999999997E-3</v>
      </c>
    </row>
    <row r="164" spans="1:14" ht="14.25" customHeight="1" thickBot="1">
      <c r="A164" s="579" t="s">
        <v>988</v>
      </c>
      <c r="B164" s="547">
        <v>20.5</v>
      </c>
    </row>
    <row r="165" spans="1:14" ht="14.25" customHeight="1" thickBot="1">
      <c r="A165" s="584" t="s">
        <v>991</v>
      </c>
      <c r="B165" s="582">
        <v>11.33</v>
      </c>
    </row>
    <row r="166" spans="1:14" ht="14.25" customHeight="1" thickBot="1">
      <c r="A166" s="585" t="s">
        <v>992</v>
      </c>
      <c r="B166" s="583">
        <v>15.09</v>
      </c>
    </row>
    <row r="167" spans="1:14" ht="14.25" customHeight="1" thickBot="1">
      <c r="A167" s="585" t="s">
        <v>993</v>
      </c>
      <c r="B167" s="583">
        <v>21.59</v>
      </c>
      <c r="F167" s="20" t="s">
        <v>1005</v>
      </c>
      <c r="G167" s="473">
        <v>0</v>
      </c>
    </row>
    <row r="168" spans="1:14" ht="14.25" customHeight="1" thickBot="1">
      <c r="A168" s="585" t="s">
        <v>994</v>
      </c>
      <c r="B168" s="583">
        <v>27.01</v>
      </c>
      <c r="F168" s="20" t="s">
        <v>1006</v>
      </c>
      <c r="G168" s="473">
        <v>0</v>
      </c>
    </row>
    <row r="169" spans="1:14" ht="14.25" customHeight="1">
      <c r="A169" s="586" t="s">
        <v>995</v>
      </c>
      <c r="B169" s="587">
        <v>10.07</v>
      </c>
    </row>
    <row r="170" spans="1:14" ht="14.25" customHeight="1">
      <c r="B170" s="580">
        <f>AVERAGE(B163:B169)</f>
        <v>17.594285714285714</v>
      </c>
      <c r="H170" s="620" t="s">
        <v>1003</v>
      </c>
      <c r="I170" s="620"/>
      <c r="J170" s="620"/>
      <c r="K170" s="620"/>
      <c r="L170" s="620"/>
      <c r="M170" s="620"/>
      <c r="N170" s="620"/>
    </row>
    <row r="171" spans="1:14" ht="14.25" customHeight="1">
      <c r="G171" s="358">
        <f>N124</f>
        <v>37705.709481988757</v>
      </c>
      <c r="H171" s="473">
        <v>-1.4999999999999999E-2</v>
      </c>
      <c r="I171" s="473">
        <v>-0.01</v>
      </c>
      <c r="J171" s="473">
        <v>-5.0000000000000001E-3</v>
      </c>
      <c r="K171" s="473">
        <v>0</v>
      </c>
      <c r="L171" s="473">
        <v>5.0000000000000001E-3</v>
      </c>
      <c r="M171" s="473">
        <v>0.01</v>
      </c>
      <c r="N171" s="473">
        <v>1.4999999999999999E-2</v>
      </c>
    </row>
    <row r="172" spans="1:14" ht="14.25" customHeight="1">
      <c r="F172" s="621" t="s">
        <v>1007</v>
      </c>
      <c r="G172" s="610">
        <v>1.4999999999999999E-2</v>
      </c>
      <c r="H172" s="609">
        <f t="dataTable" ref="H172:N178" dt2D="1" dtr="1" r1="G167" r2="G168" ca="1"/>
        <v>6013.6856601007512</v>
      </c>
      <c r="I172" s="609">
        <v>12170.735333243852</v>
      </c>
      <c r="J172" s="609">
        <v>18405.735089754427</v>
      </c>
      <c r="K172" s="609">
        <v>24719.608665939308</v>
      </c>
      <c r="L172" s="609">
        <v>31113.279179066954</v>
      </c>
      <c r="M172" s="609">
        <v>37587.669297693727</v>
      </c>
      <c r="N172" s="611">
        <v>44143.70140466818</v>
      </c>
    </row>
    <row r="173" spans="1:14" ht="14.25" customHeight="1">
      <c r="F173" s="621"/>
      <c r="G173" s="610">
        <v>0.01</v>
      </c>
      <c r="H173" s="609">
        <v>10398.735717798409</v>
      </c>
      <c r="I173" s="609">
        <v>16552.689233238616</v>
      </c>
      <c r="J173" s="609">
        <v>22784.666914556517</v>
      </c>
      <c r="K173" s="609">
        <v>29095.590356685043</v>
      </c>
      <c r="L173" s="609">
        <v>35486.380607729727</v>
      </c>
      <c r="M173" s="611">
        <v>41957.958336517942</v>
      </c>
      <c r="N173" s="609">
        <v>48511.243992947304</v>
      </c>
    </row>
    <row r="174" spans="1:14" ht="14.25" customHeight="1">
      <c r="F174" s="621"/>
      <c r="G174" s="610">
        <v>2.5000000000000001E-3</v>
      </c>
      <c r="H174" s="609">
        <v>16887.382460423676</v>
      </c>
      <c r="I174" s="609">
        <v>23036.75561562548</v>
      </c>
      <c r="J174" s="609">
        <v>29264.262508981748</v>
      </c>
      <c r="K174" s="609">
        <v>35570.821568557112</v>
      </c>
      <c r="L174" s="611">
        <v>41957.35078237368</v>
      </c>
      <c r="M174" s="609">
        <v>48424.767861854678</v>
      </c>
      <c r="N174" s="609">
        <v>54973.990398244634</v>
      </c>
    </row>
    <row r="175" spans="1:14" ht="14.25" customHeight="1">
      <c r="F175" s="621"/>
      <c r="G175" s="610">
        <v>0</v>
      </c>
      <c r="H175" s="609">
        <v>19026.692649755198</v>
      </c>
      <c r="I175" s="609">
        <v>25174.555947975514</v>
      </c>
      <c r="J175" s="609">
        <v>31400.589097247146</v>
      </c>
      <c r="K175" s="611">
        <v>37705.709481988757</v>
      </c>
      <c r="L175" s="609">
        <v>44090.834081766239</v>
      </c>
      <c r="M175" s="609">
        <v>50556.87963338261</v>
      </c>
      <c r="N175" s="609">
        <v>57104.762786004321</v>
      </c>
    </row>
    <row r="176" spans="1:14" ht="14.25" customHeight="1">
      <c r="F176" s="621"/>
      <c r="G176" s="610">
        <v>-2.5000000000000001E-3</v>
      </c>
      <c r="H176" s="609">
        <v>21154.276018198459</v>
      </c>
      <c r="I176" s="609">
        <v>27300.637881038732</v>
      </c>
      <c r="J176" s="611">
        <v>33525.205503284546</v>
      </c>
      <c r="K176" s="609">
        <v>39828.895231667084</v>
      </c>
      <c r="L176" s="609">
        <v>46212.623043051361</v>
      </c>
      <c r="M176" s="609">
        <v>52677.304705182374</v>
      </c>
      <c r="N176" s="609">
        <v>59223.855930523503</v>
      </c>
    </row>
    <row r="177" spans="6:14" ht="14.25" customHeight="1">
      <c r="F177" s="621"/>
      <c r="G177" s="610">
        <v>-0.01</v>
      </c>
      <c r="H177" s="609">
        <v>27467.020253248986</v>
      </c>
      <c r="I177" s="611">
        <v>33608.928079998303</v>
      </c>
      <c r="J177" s="609">
        <v>39829.148170293745</v>
      </c>
      <c r="K177" s="609">
        <v>46128.593793364023</v>
      </c>
      <c r="L177" s="609">
        <v>52508.177952329221</v>
      </c>
      <c r="M177" s="609">
        <v>58968.813540958108</v>
      </c>
      <c r="N177" s="609">
        <v>65511.41349368979</v>
      </c>
    </row>
    <row r="178" spans="6:14" ht="14.25" customHeight="1">
      <c r="F178" s="621"/>
      <c r="G178" s="610">
        <v>-1.4999999999999999E-2</v>
      </c>
      <c r="H178" s="612">
        <v>31617.533067566055</v>
      </c>
      <c r="I178" s="609">
        <v>37756.513169186161</v>
      </c>
      <c r="J178" s="609">
        <v>43973.875526004515</v>
      </c>
      <c r="K178" s="609">
        <v>50270.53138503118</v>
      </c>
      <c r="L178" s="609">
        <v>56647.391795341551</v>
      </c>
      <c r="M178" s="609">
        <v>63105.36776221302</v>
      </c>
      <c r="N178" s="609">
        <v>69645.370394639234</v>
      </c>
    </row>
    <row r="179" spans="6:14" ht="14.25" customHeight="1"/>
    <row r="180" spans="6:14" ht="14.25" customHeight="1"/>
    <row r="181" spans="6:14" ht="14.25" customHeight="1"/>
    <row r="182" spans="6:14" ht="14.25" customHeight="1">
      <c r="H182" s="620" t="s">
        <v>1010</v>
      </c>
      <c r="I182" s="620"/>
      <c r="J182" s="620"/>
      <c r="K182" s="620"/>
      <c r="L182" s="620"/>
      <c r="M182" s="620"/>
      <c r="N182" s="620"/>
    </row>
    <row r="183" spans="6:14" ht="14.25" customHeight="1">
      <c r="H183" s="613">
        <f t="shared" ref="H183:J183" si="69">H171+$H$195</f>
        <v>-5.6663149407269742E-5</v>
      </c>
      <c r="I183" s="613">
        <f t="shared" si="69"/>
        <v>4.9433368505927295E-3</v>
      </c>
      <c r="J183" s="613">
        <f t="shared" si="69"/>
        <v>9.9433368505927287E-3</v>
      </c>
      <c r="K183" s="613">
        <f>K171+$H$195</f>
        <v>1.494333685059273E-2</v>
      </c>
      <c r="L183" s="613">
        <f t="shared" ref="L183:N183" si="70">L171+$H$195</f>
        <v>1.9943336850592731E-2</v>
      </c>
      <c r="M183" s="613">
        <f t="shared" si="70"/>
        <v>2.4943336850592732E-2</v>
      </c>
      <c r="N183" s="613">
        <f t="shared" si="70"/>
        <v>2.9943336850592729E-2</v>
      </c>
    </row>
    <row r="184" spans="6:14" ht="14.25" customHeight="1">
      <c r="F184" s="619" t="s">
        <v>1011</v>
      </c>
      <c r="G184" s="613">
        <f t="shared" ref="G184:G186" si="71">G172+0.7%</f>
        <v>2.1999999999999999E-2</v>
      </c>
      <c r="H184" s="609"/>
      <c r="I184" s="609"/>
      <c r="J184" s="609"/>
      <c r="K184" s="609"/>
      <c r="L184" s="609"/>
      <c r="M184" s="609"/>
      <c r="N184" s="611">
        <v>44143.70140466818</v>
      </c>
    </row>
    <row r="185" spans="6:14" ht="14.25" customHeight="1">
      <c r="F185" s="619"/>
      <c r="G185" s="613">
        <f t="shared" si="71"/>
        <v>1.7000000000000001E-2</v>
      </c>
      <c r="H185" s="609"/>
      <c r="I185" s="609"/>
      <c r="J185" s="609"/>
      <c r="K185" s="609"/>
      <c r="L185" s="609"/>
      <c r="M185" s="611">
        <v>41957.958336517942</v>
      </c>
      <c r="N185" s="609">
        <v>48511.243992947304</v>
      </c>
    </row>
    <row r="186" spans="6:14" ht="14.25" customHeight="1">
      <c r="F186" s="619"/>
      <c r="G186" s="613">
        <f t="shared" si="71"/>
        <v>9.4999999999999998E-3</v>
      </c>
      <c r="H186" s="609"/>
      <c r="I186" s="609"/>
      <c r="J186" s="609"/>
      <c r="K186" s="609"/>
      <c r="L186" s="611">
        <v>41957.35078237368</v>
      </c>
      <c r="M186" s="609">
        <v>48424.767861854678</v>
      </c>
      <c r="N186" s="609">
        <v>54973.990398244634</v>
      </c>
    </row>
    <row r="187" spans="6:14" ht="14.25" customHeight="1">
      <c r="F187" s="619"/>
      <c r="G187" s="613">
        <f>G175+0.7%</f>
        <v>6.9999999999999993E-3</v>
      </c>
      <c r="H187" s="609"/>
      <c r="I187" s="609"/>
      <c r="J187" s="609"/>
      <c r="K187" s="611">
        <v>37705.709481988757</v>
      </c>
      <c r="L187" s="609">
        <v>44090.834081766239</v>
      </c>
      <c r="M187" s="609">
        <v>50556.87963338261</v>
      </c>
      <c r="N187" s="609">
        <v>57104.762786004321</v>
      </c>
    </row>
    <row r="188" spans="6:14" ht="14.25" customHeight="1">
      <c r="F188" s="619"/>
      <c r="G188" s="613">
        <f t="shared" ref="G188:G190" si="72">G176+0.7%</f>
        <v>4.4999999999999988E-3</v>
      </c>
      <c r="H188" s="609"/>
      <c r="I188" s="609"/>
      <c r="J188" s="611">
        <v>33525.205503284546</v>
      </c>
      <c r="K188" s="609">
        <v>39828.895231667084</v>
      </c>
      <c r="L188" s="609">
        <v>46212.623043051361</v>
      </c>
      <c r="M188" s="609">
        <v>52677.304705182374</v>
      </c>
      <c r="N188" s="609">
        <v>59223.855930523503</v>
      </c>
    </row>
    <row r="189" spans="6:14" ht="14.25" customHeight="1">
      <c r="F189" s="619"/>
      <c r="G189" s="613">
        <f t="shared" si="72"/>
        <v>-3.0000000000000009E-3</v>
      </c>
      <c r="H189" s="609"/>
      <c r="I189" s="611">
        <v>33608.928079998303</v>
      </c>
      <c r="J189" s="609">
        <v>39829.148170293745</v>
      </c>
      <c r="K189" s="609">
        <v>46128.593793364023</v>
      </c>
      <c r="L189" s="609">
        <v>52508.177952329221</v>
      </c>
      <c r="M189" s="609">
        <v>58968.813540958108</v>
      </c>
      <c r="N189" s="609">
        <v>65511.41349368979</v>
      </c>
    </row>
    <row r="190" spans="6:14" ht="14.25" customHeight="1">
      <c r="F190" s="619"/>
      <c r="G190" s="613">
        <f t="shared" si="72"/>
        <v>-8.0000000000000002E-3</v>
      </c>
      <c r="H190" s="612">
        <v>31617.533067566055</v>
      </c>
      <c r="I190" s="609">
        <v>37756.513169186161</v>
      </c>
      <c r="J190" s="609">
        <v>43973.875526004515</v>
      </c>
      <c r="K190" s="609">
        <v>50270.53138503118</v>
      </c>
      <c r="L190" s="609">
        <v>56647.391795341551</v>
      </c>
      <c r="M190" s="609">
        <v>63105.36776221302</v>
      </c>
      <c r="N190" s="609">
        <v>69645.370394639234</v>
      </c>
    </row>
    <row r="191" spans="6:14" ht="14.25" customHeight="1"/>
    <row r="192" spans="6:14" ht="14.25" customHeight="1"/>
    <row r="193" spans="7:8" ht="14.25" customHeight="1"/>
    <row r="194" spans="7:8" ht="14.25" customHeight="1"/>
    <row r="195" spans="7:8" ht="14.25" customHeight="1">
      <c r="G195" s="358" t="s">
        <v>1008</v>
      </c>
      <c r="H195" s="610">
        <v>1.494333685059273E-2</v>
      </c>
    </row>
    <row r="196" spans="7:8" ht="14.25" customHeight="1">
      <c r="G196" s="358" t="s">
        <v>1009</v>
      </c>
      <c r="H196" s="610">
        <v>2.4375000000000001E-2</v>
      </c>
    </row>
    <row r="197" spans="7:8" ht="14.25" customHeight="1"/>
    <row r="198" spans="7:8" ht="14.25" customHeight="1"/>
    <row r="199" spans="7:8" ht="14.25" customHeight="1"/>
    <row r="200" spans="7:8" ht="14.25" customHeight="1"/>
    <row r="201" spans="7:8" ht="14.25" customHeight="1"/>
    <row r="202" spans="7:8" ht="14.25" customHeight="1"/>
    <row r="203" spans="7:8" ht="14.25" customHeight="1"/>
    <row r="204" spans="7:8" ht="14.25" customHeight="1"/>
    <row r="205" spans="7:8" ht="14.25" customHeight="1"/>
    <row r="206" spans="7:8" ht="14.25" customHeight="1"/>
    <row r="207" spans="7:8" ht="14.25" customHeight="1"/>
    <row r="208" spans="7: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row r="1001" ht="14.25" customHeight="1"/>
    <row r="1002" ht="14.25" customHeight="1"/>
    <row r="1003" ht="14.25" customHeight="1"/>
    <row r="1004" ht="14.25" customHeight="1"/>
    <row r="1005" ht="14.25" customHeight="1"/>
    <row r="1006" ht="14.25" customHeight="1"/>
    <row r="1007" ht="14.25" customHeight="1"/>
    <row r="1008" ht="14.25" customHeight="1"/>
    <row r="1009" ht="14.25" customHeight="1"/>
    <row r="1010" ht="14.25" customHeight="1"/>
    <row r="1011" ht="14.25" customHeight="1"/>
    <row r="1012" ht="14.25" customHeight="1"/>
    <row r="1013" ht="14.25" customHeight="1"/>
    <row r="1014" ht="14.25" customHeight="1"/>
    <row r="1015" ht="14.25" customHeight="1"/>
    <row r="1016" ht="14.25" customHeight="1"/>
    <row r="1017" ht="14.25" customHeight="1"/>
    <row r="1018" ht="14.25" customHeight="1"/>
    <row r="1019" ht="14.25" customHeight="1"/>
    <row r="1020" ht="14.25" customHeight="1"/>
    <row r="1021" ht="14.25" customHeight="1"/>
    <row r="1022" ht="14.25" customHeight="1"/>
    <row r="1023" ht="14.25" customHeight="1"/>
    <row r="1024" ht="14.25" customHeight="1"/>
    <row r="1025" ht="14.25" customHeight="1"/>
    <row r="1026" ht="14.25" customHeight="1"/>
    <row r="1027" ht="14.25" customHeight="1"/>
    <row r="1028" ht="14.25" customHeight="1"/>
    <row r="1029" ht="14.25" customHeight="1"/>
    <row r="1030" ht="14.25" customHeight="1"/>
    <row r="1031" ht="14.25" customHeight="1"/>
    <row r="1032" ht="14.25" customHeight="1"/>
    <row r="1033" ht="14.25" customHeight="1"/>
    <row r="1034" ht="14.25" customHeight="1"/>
    <row r="1035" ht="14.25" customHeight="1"/>
    <row r="1036" ht="14.25" customHeight="1"/>
    <row r="1037" ht="14.25" customHeight="1"/>
    <row r="1038" ht="14.25" customHeight="1"/>
    <row r="1039" ht="14.25" customHeight="1"/>
    <row r="1040" ht="14.25" customHeight="1"/>
    <row r="1041" ht="14.25" customHeight="1"/>
    <row r="1042" ht="14.25" customHeight="1"/>
    <row r="1043" ht="14.25" customHeight="1"/>
    <row r="1044" ht="14.25" customHeight="1"/>
    <row r="1045" ht="14.25" customHeight="1"/>
    <row r="1046" ht="14.25" customHeight="1"/>
    <row r="1047" ht="14.25" customHeight="1"/>
    <row r="1048" ht="14.25" customHeight="1"/>
    <row r="1049" ht="14.25" customHeight="1"/>
    <row r="1050" ht="14.25" customHeight="1"/>
    <row r="1051" ht="14.25" customHeight="1"/>
    <row r="1052" ht="14.25" customHeight="1"/>
    <row r="1053" ht="14.25" customHeight="1"/>
    <row r="1054" ht="14.25" customHeight="1"/>
    <row r="1055" ht="14.25" customHeight="1"/>
    <row r="1056" ht="14.25" customHeight="1"/>
    <row r="1057" ht="14.25" customHeight="1"/>
    <row r="1058" ht="14.25" customHeight="1"/>
  </sheetData>
  <mergeCells count="5">
    <mergeCell ref="F184:F190"/>
    <mergeCell ref="M113:N113"/>
    <mergeCell ref="H170:N170"/>
    <mergeCell ref="F172:F178"/>
    <mergeCell ref="H182:N182"/>
  </mergeCells>
  <pageMargins left="0.7" right="0.7" top="0.75" bottom="0.75" header="0" footer="0"/>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2060"/>
  </sheetPr>
  <dimension ref="A1:Y1003"/>
  <sheetViews>
    <sheetView zoomScale="92" workbookViewId="0">
      <pane xSplit="1" ySplit="6" topLeftCell="J7" activePane="bottomRight" state="frozen"/>
      <selection pane="topRight" activeCell="B1" sqref="B1"/>
      <selection pane="bottomLeft" activeCell="A7" sqref="A7"/>
      <selection pane="bottomRight" activeCell="A7" sqref="A7:XFD7"/>
    </sheetView>
  </sheetViews>
  <sheetFormatPr defaultColWidth="14.42578125" defaultRowHeight="15" customHeight="1"/>
  <cols>
    <col min="1" max="2" width="48.5703125" style="319" customWidth="1"/>
    <col min="3" max="4" width="18.5703125" style="322" bestFit="1" customWidth="1"/>
    <col min="5" max="5" width="19.42578125" style="322" bestFit="1" customWidth="1"/>
    <col min="6" max="10" width="19.85546875" style="322" customWidth="1"/>
    <col min="11" max="15" width="23.28515625" style="322" customWidth="1"/>
    <col min="16" max="25" width="8.5703125" style="319" customWidth="1"/>
    <col min="26" max="16384" width="14.42578125" style="319"/>
  </cols>
  <sheetData>
    <row r="1" spans="1:25" ht="14.25" customHeight="1">
      <c r="A1" s="317"/>
      <c r="B1" s="317"/>
      <c r="C1" s="318">
        <v>2016</v>
      </c>
      <c r="D1" s="318">
        <v>2017</v>
      </c>
      <c r="E1" s="318">
        <v>2018</v>
      </c>
      <c r="F1" s="318">
        <v>2019</v>
      </c>
      <c r="G1" s="318">
        <v>2020</v>
      </c>
      <c r="H1" s="318">
        <v>2021</v>
      </c>
      <c r="I1" s="318">
        <v>2022</v>
      </c>
      <c r="J1" s="318">
        <v>2023</v>
      </c>
      <c r="K1" s="318">
        <v>2024</v>
      </c>
      <c r="L1" s="318">
        <v>2025</v>
      </c>
      <c r="M1" s="318">
        <v>2026</v>
      </c>
      <c r="N1" s="318">
        <v>2027</v>
      </c>
      <c r="O1" s="318">
        <v>2028</v>
      </c>
    </row>
    <row r="2" spans="1:25" ht="14.25" customHeight="1">
      <c r="A2" s="335" t="s">
        <v>57</v>
      </c>
      <c r="B2" s="335" t="s">
        <v>595</v>
      </c>
      <c r="C2" s="336">
        <v>18182786709294</v>
      </c>
      <c r="D2" s="336">
        <v>33068060366641</v>
      </c>
      <c r="E2" s="336">
        <v>25308725187618</v>
      </c>
      <c r="F2" s="336">
        <v>30436936909894</v>
      </c>
      <c r="G2" s="336">
        <v>56747258197010</v>
      </c>
      <c r="H2" s="336">
        <v>94154859648304</v>
      </c>
      <c r="I2" s="336">
        <v>80514708725456</v>
      </c>
      <c r="J2" s="336">
        <v>82716439173043</v>
      </c>
      <c r="K2" s="337">
        <f>SUM(K3,K6,K10,K22,K27)</f>
        <v>87104044611091.734</v>
      </c>
      <c r="L2" s="337">
        <f>SUM(L3,L6,L10,L22,L27)</f>
        <v>87839173396536.953</v>
      </c>
      <c r="M2" s="337">
        <f>SUM(M3,M6,M10,M22,M27)</f>
        <v>108127831808011.16</v>
      </c>
      <c r="N2" s="337">
        <f>SUM(N3,N6,N10,N22,N27)</f>
        <v>124164914131536.81</v>
      </c>
      <c r="O2" s="337">
        <f>SUM(O3,O6,O10,O22,O27)</f>
        <v>131520293400717.94</v>
      </c>
      <c r="P2" s="320"/>
      <c r="Q2" s="320"/>
      <c r="R2" s="320"/>
      <c r="S2" s="320"/>
      <c r="T2" s="320"/>
      <c r="U2" s="320"/>
      <c r="V2" s="320"/>
      <c r="W2" s="320"/>
      <c r="X2" s="320"/>
      <c r="Y2" s="320"/>
    </row>
    <row r="3" spans="1:25" s="320" customFormat="1" ht="12.75">
      <c r="A3" s="320" t="s">
        <v>58</v>
      </c>
      <c r="B3" s="320" t="s">
        <v>596</v>
      </c>
      <c r="C3" s="323">
        <v>4558660713745</v>
      </c>
      <c r="D3" s="323">
        <v>4264641954689</v>
      </c>
      <c r="E3" s="323">
        <v>2515617135457</v>
      </c>
      <c r="F3" s="323">
        <v>4544900252204</v>
      </c>
      <c r="G3" s="323">
        <v>13696099298228</v>
      </c>
      <c r="H3" s="323">
        <v>22471375562130</v>
      </c>
      <c r="I3" s="323">
        <v>8324588920227</v>
      </c>
      <c r="J3" s="323">
        <v>12252001160884</v>
      </c>
      <c r="K3" s="364">
        <f>'CFS HPG'!K51</f>
        <v>21433597360061.305</v>
      </c>
      <c r="L3" s="364">
        <f>'CFS HPG'!L51</f>
        <v>6192609839209.0586</v>
      </c>
      <c r="M3" s="364">
        <f>'CFS HPG'!M51</f>
        <v>3355455094384.4536</v>
      </c>
      <c r="N3" s="364">
        <f>'CFS HPG'!N51</f>
        <v>8743839362750.4805</v>
      </c>
      <c r="O3" s="364">
        <f>'CFS HPG'!O51</f>
        <v>9240539687491.3398</v>
      </c>
    </row>
    <row r="4" spans="1:25" s="320" customFormat="1" ht="12.75">
      <c r="A4" s="320" t="s">
        <v>59</v>
      </c>
      <c r="B4" s="320" t="s">
        <v>737</v>
      </c>
      <c r="C4" s="323">
        <v>556922713967</v>
      </c>
      <c r="D4" s="323">
        <v>764396954689</v>
      </c>
      <c r="E4" s="323">
        <v>1822302135457</v>
      </c>
      <c r="F4" s="323">
        <v>1678314252204</v>
      </c>
      <c r="G4" s="323">
        <v>2094314298228</v>
      </c>
      <c r="H4" s="323">
        <v>6316299666510</v>
      </c>
      <c r="I4" s="323">
        <v>3458049733104</v>
      </c>
      <c r="J4" s="323">
        <v>3771595160884</v>
      </c>
      <c r="K4" s="321"/>
      <c r="L4" s="321"/>
      <c r="M4" s="321"/>
      <c r="N4" s="321"/>
      <c r="O4" s="321"/>
    </row>
    <row r="5" spans="1:25" s="320" customFormat="1" ht="13.5" thickBot="1">
      <c r="A5" s="320" t="s">
        <v>60</v>
      </c>
      <c r="B5" s="320" t="s">
        <v>597</v>
      </c>
      <c r="C5" s="323">
        <v>4001737999778</v>
      </c>
      <c r="D5" s="323">
        <v>3500245000000</v>
      </c>
      <c r="E5" s="323">
        <v>693315000000</v>
      </c>
      <c r="F5" s="323">
        <v>2866586000000</v>
      </c>
      <c r="G5" s="323">
        <v>11601785000000</v>
      </c>
      <c r="H5" s="323">
        <v>16155075895620</v>
      </c>
      <c r="I5" s="323">
        <v>4866539187123</v>
      </c>
      <c r="J5" s="323">
        <v>8480406000000</v>
      </c>
      <c r="K5" s="321"/>
      <c r="L5" s="321"/>
      <c r="M5" s="321"/>
      <c r="N5" s="321"/>
      <c r="O5" s="321"/>
    </row>
    <row r="6" spans="1:25" s="320" customFormat="1" ht="15.75" thickBot="1">
      <c r="A6" s="320" t="s">
        <v>61</v>
      </c>
      <c r="B6" s="320" t="s">
        <v>598</v>
      </c>
      <c r="C6" s="323">
        <v>693498769815</v>
      </c>
      <c r="D6" s="323">
        <v>9936707080033</v>
      </c>
      <c r="E6" s="323">
        <v>3724562710535</v>
      </c>
      <c r="F6" s="323">
        <v>1374340352910</v>
      </c>
      <c r="G6" s="323">
        <v>8126992675380</v>
      </c>
      <c r="H6" s="323">
        <v>18236152616078</v>
      </c>
      <c r="I6" s="323">
        <v>26268246676354</v>
      </c>
      <c r="J6" s="323">
        <v>22177303502481</v>
      </c>
      <c r="K6" s="601">
        <v>18194866029282</v>
      </c>
      <c r="L6" s="601">
        <v>20997247872421</v>
      </c>
      <c r="M6" s="601">
        <v>24124141867733</v>
      </c>
      <c r="N6" s="601">
        <v>26349999494498</v>
      </c>
      <c r="O6" s="601">
        <v>28274069860492</v>
      </c>
    </row>
    <row r="7" spans="1:25" ht="12.75">
      <c r="A7" s="319" t="s">
        <v>62</v>
      </c>
      <c r="B7" s="319" t="s">
        <v>738</v>
      </c>
      <c r="C7" s="325"/>
      <c r="D7" s="325"/>
      <c r="E7" s="325"/>
      <c r="F7" s="325"/>
      <c r="G7" s="325"/>
      <c r="H7" s="325"/>
      <c r="I7" s="325"/>
      <c r="J7" s="325"/>
    </row>
    <row r="8" spans="1:25" ht="12.75">
      <c r="A8" s="319" t="s">
        <v>63</v>
      </c>
      <c r="B8" s="319" t="s">
        <v>739</v>
      </c>
      <c r="C8" s="325"/>
      <c r="D8" s="325"/>
      <c r="E8" s="325"/>
      <c r="F8" s="325"/>
      <c r="G8" s="325"/>
      <c r="H8" s="325"/>
      <c r="I8" s="325"/>
      <c r="J8" s="325"/>
    </row>
    <row r="9" spans="1:25" ht="12.75">
      <c r="A9" s="319" t="s">
        <v>64</v>
      </c>
      <c r="B9" s="319" t="s">
        <v>599</v>
      </c>
      <c r="C9" s="325">
        <v>693498769815</v>
      </c>
      <c r="D9" s="325">
        <v>9936707080033</v>
      </c>
      <c r="E9" s="325">
        <v>3724562710535</v>
      </c>
      <c r="F9" s="325">
        <v>1374340352910</v>
      </c>
      <c r="G9" s="325">
        <v>8126992675380</v>
      </c>
      <c r="H9" s="325">
        <v>18236152616078</v>
      </c>
      <c r="I9" s="325">
        <v>26268246676354</v>
      </c>
      <c r="J9" s="325">
        <v>22177303502481</v>
      </c>
    </row>
    <row r="10" spans="1:25" s="320" customFormat="1" ht="12.75">
      <c r="A10" s="320" t="s">
        <v>65</v>
      </c>
      <c r="B10" s="320" t="s">
        <v>600</v>
      </c>
      <c r="C10" s="323">
        <v>2394830525734</v>
      </c>
      <c r="D10" s="323">
        <v>6555418799648</v>
      </c>
      <c r="E10" s="323">
        <v>3210278608751</v>
      </c>
      <c r="F10" s="323">
        <v>3561397190688</v>
      </c>
      <c r="G10" s="323">
        <v>6124790460291</v>
      </c>
      <c r="H10" s="323">
        <v>7662680796645</v>
      </c>
      <c r="I10" s="323">
        <v>9892867373309</v>
      </c>
      <c r="J10" s="323">
        <v>10702136439996</v>
      </c>
      <c r="K10" s="342">
        <f>SUM(K12,K14:K18,K20,K21)</f>
        <v>11224021149372.848</v>
      </c>
      <c r="L10" s="342">
        <f t="shared" ref="L10:O10" si="0">SUM(L12,L14:L18,L20,L21)</f>
        <v>13181337161062.318</v>
      </c>
      <c r="M10" s="342">
        <f t="shared" si="0"/>
        <v>16670579664833.496</v>
      </c>
      <c r="N10" s="342">
        <f t="shared" si="0"/>
        <v>18656068605541.516</v>
      </c>
      <c r="O10" s="342">
        <f t="shared" si="0"/>
        <v>21359799976220.277</v>
      </c>
    </row>
    <row r="11" spans="1:25" ht="14.25" customHeight="1">
      <c r="A11" s="319" t="s">
        <v>22</v>
      </c>
      <c r="B11" s="319" t="s">
        <v>22</v>
      </c>
      <c r="C11" s="327">
        <f>C10/'IS HPG (base)'!C2</f>
        <v>7.0675465783920824E-2</v>
      </c>
      <c r="D11" s="327">
        <f>D10/'IS HPG (base)'!D2</f>
        <v>0.13990914913391303</v>
      </c>
      <c r="E11" s="327">
        <f>E10/'IS HPG (base)'!E2</f>
        <v>5.6738327483220712E-2</v>
      </c>
      <c r="F11" s="327">
        <f>F10/'IS HPG (base)'!F2</f>
        <v>5.506358166559968E-2</v>
      </c>
      <c r="G11" s="327">
        <f>G10/'IS HPG (base)'!G2</f>
        <v>6.7099635813458611E-2</v>
      </c>
      <c r="H11" s="327">
        <f>H10/'IS HPG (base)'!H2</f>
        <v>5.0791518996215979E-2</v>
      </c>
      <c r="I11" s="327">
        <f>I10/'IS HPG (base)'!I2</f>
        <v>6.9291946486877753E-2</v>
      </c>
      <c r="J11" s="327">
        <f>J10/'IS HPG (base)'!J2</f>
        <v>8.8921240034910962E-2</v>
      </c>
      <c r="K11" s="327">
        <f t="shared" ref="K11:O11" si="1">AVERAGE(H11:J11)</f>
        <v>6.9668235172668236E-2</v>
      </c>
      <c r="L11" s="327">
        <f t="shared" si="1"/>
        <v>7.5960473898152317E-2</v>
      </c>
      <c r="M11" s="327">
        <f t="shared" si="1"/>
        <v>7.8183316368577171E-2</v>
      </c>
      <c r="N11" s="327">
        <f t="shared" si="1"/>
        <v>7.4604008479799241E-2</v>
      </c>
      <c r="O11" s="327">
        <f t="shared" si="1"/>
        <v>7.6249266248842915E-2</v>
      </c>
    </row>
    <row r="12" spans="1:25" ht="14.25" customHeight="1">
      <c r="A12" s="319" t="s">
        <v>66</v>
      </c>
      <c r="B12" s="319" t="s">
        <v>601</v>
      </c>
      <c r="C12" s="325">
        <v>1546607430306</v>
      </c>
      <c r="D12" s="325">
        <v>1999843596977</v>
      </c>
      <c r="E12" s="325">
        <v>2281760501157</v>
      </c>
      <c r="F12" s="325">
        <v>2699937350329</v>
      </c>
      <c r="G12" s="325">
        <v>3949486943250</v>
      </c>
      <c r="H12" s="325">
        <v>4973095672343</v>
      </c>
      <c r="I12" s="325">
        <v>2958587125337</v>
      </c>
      <c r="J12" s="325">
        <v>5999539831497</v>
      </c>
      <c r="K12" s="326">
        <f>K13*'IS HPG (base)'!K2+1000000000000</f>
        <v>5319479887306.7705</v>
      </c>
      <c r="L12" s="326">
        <f>L13*'IS HPG (base)'!L2</f>
        <v>5807774657090.3379</v>
      </c>
      <c r="M12" s="326">
        <f>M13*'IS HPG (base)'!M2</f>
        <v>8649591116475.584</v>
      </c>
      <c r="N12" s="326">
        <f>N13*'IS HPG (base)'!N2</f>
        <v>8846580544637.1191</v>
      </c>
      <c r="O12" s="326">
        <f>O13*'IS HPG (base)'!O2</f>
        <v>9283289196525.8242</v>
      </c>
    </row>
    <row r="13" spans="1:25" s="345" customFormat="1" ht="14.25" customHeight="1">
      <c r="A13" s="345" t="s">
        <v>22</v>
      </c>
      <c r="B13" s="345" t="s">
        <v>22</v>
      </c>
      <c r="C13" s="347">
        <f>C12/'IS HPG (base)'!C2</f>
        <v>4.5642979470644364E-2</v>
      </c>
      <c r="D13" s="347">
        <f>D12/'IS HPG (base)'!D2</f>
        <v>4.2681699614520452E-2</v>
      </c>
      <c r="E13" s="347">
        <f>E12/'IS HPG (base)'!E2</f>
        <v>4.0327737972653099E-2</v>
      </c>
      <c r="F13" s="347">
        <f>F12/'IS HPG (base)'!F2</f>
        <v>4.1744352797988139E-2</v>
      </c>
      <c r="G13" s="347">
        <f>G12/'IS HPG (base)'!G2</f>
        <v>4.3268277871745149E-2</v>
      </c>
      <c r="H13" s="347">
        <f>H12/'IS HPG (base)'!H2</f>
        <v>3.2963800791806767E-2</v>
      </c>
      <c r="I13" s="347">
        <f>I12/'IS HPG (base)'!I2</f>
        <v>2.072263308802913E-2</v>
      </c>
      <c r="J13" s="347">
        <f>J12/'IS HPG (base)'!J2</f>
        <v>4.9848600272167094E-2</v>
      </c>
      <c r="K13" s="347">
        <f t="shared" ref="K13:O13" si="2">AVERAGE(H13:J13)</f>
        <v>3.4511678050667662E-2</v>
      </c>
      <c r="L13" s="347">
        <f t="shared" si="2"/>
        <v>3.5027637136954622E-2</v>
      </c>
      <c r="M13" s="347">
        <f t="shared" si="2"/>
        <v>3.9795971819929797E-2</v>
      </c>
      <c r="N13" s="347">
        <f t="shared" si="2"/>
        <v>3.6445095669184024E-2</v>
      </c>
      <c r="O13" s="347">
        <f t="shared" si="2"/>
        <v>3.7089568208689479E-2</v>
      </c>
    </row>
    <row r="14" spans="1:25" ht="14.25" customHeight="1">
      <c r="A14" s="319" t="s">
        <v>67</v>
      </c>
      <c r="B14" s="319" t="s">
        <v>602</v>
      </c>
      <c r="C14" s="325">
        <v>705742217537</v>
      </c>
      <c r="D14" s="325">
        <v>4007002903693</v>
      </c>
      <c r="E14" s="325">
        <v>810319171039</v>
      </c>
      <c r="F14" s="325">
        <v>757832561191</v>
      </c>
      <c r="G14" s="325">
        <v>1303037835829</v>
      </c>
      <c r="H14" s="325">
        <v>1722371823278</v>
      </c>
      <c r="I14" s="325">
        <v>5366251939739</v>
      </c>
      <c r="J14" s="325">
        <v>2583940446585</v>
      </c>
      <c r="K14" s="325">
        <f t="shared" ref="K14:O14" si="3">AVERAGE(H14:J14)</f>
        <v>3224188069867.3335</v>
      </c>
      <c r="L14" s="325">
        <f t="shared" si="3"/>
        <v>3724793485397.1113</v>
      </c>
      <c r="M14" s="325">
        <f t="shared" si="3"/>
        <v>3177640667283.1484</v>
      </c>
      <c r="N14" s="325">
        <f t="shared" si="3"/>
        <v>3375540740849.1978</v>
      </c>
      <c r="O14" s="325">
        <f t="shared" si="3"/>
        <v>3425991631176.4858</v>
      </c>
    </row>
    <row r="15" spans="1:25" ht="14.25" customHeight="1">
      <c r="A15" s="319" t="s">
        <v>68</v>
      </c>
      <c r="B15" s="319" t="s">
        <v>603</v>
      </c>
      <c r="C15" s="325"/>
      <c r="D15" s="325"/>
      <c r="E15" s="325"/>
      <c r="F15" s="325"/>
      <c r="G15" s="325"/>
      <c r="H15" s="325"/>
      <c r="I15" s="325"/>
      <c r="J15" s="325"/>
    </row>
    <row r="16" spans="1:25" ht="14.25" customHeight="1">
      <c r="A16" s="319" t="s">
        <v>69</v>
      </c>
      <c r="B16" s="319" t="s">
        <v>604</v>
      </c>
      <c r="C16" s="325"/>
      <c r="D16" s="325"/>
      <c r="E16" s="325"/>
      <c r="F16" s="325"/>
      <c r="G16" s="325"/>
      <c r="H16" s="325"/>
      <c r="I16" s="325"/>
      <c r="J16" s="325"/>
    </row>
    <row r="17" spans="1:15" ht="14.25" customHeight="1">
      <c r="A17" s="319" t="s">
        <v>70</v>
      </c>
      <c r="B17" s="319" t="s">
        <v>605</v>
      </c>
      <c r="C17" s="325"/>
      <c r="D17" s="325"/>
      <c r="E17" s="325"/>
      <c r="F17" s="325"/>
      <c r="G17" s="325"/>
      <c r="H17" s="325">
        <v>23521740500</v>
      </c>
      <c r="I17" s="325">
        <v>124200000000</v>
      </c>
      <c r="J17" s="325">
        <v>203600000000</v>
      </c>
      <c r="K17" s="325">
        <f>AVERAGE(I17:J17)</f>
        <v>163900000000</v>
      </c>
      <c r="L17" s="325">
        <f t="shared" ref="L17:O17" si="4">AVERAGE(I17:K17)</f>
        <v>163900000000</v>
      </c>
      <c r="M17" s="325">
        <f t="shared" si="4"/>
        <v>177133333333.33334</v>
      </c>
      <c r="N17" s="325">
        <f t="shared" si="4"/>
        <v>168311111111.11111</v>
      </c>
      <c r="O17" s="325">
        <f t="shared" si="4"/>
        <v>169781481481.48148</v>
      </c>
    </row>
    <row r="18" spans="1:15" ht="14.25" customHeight="1">
      <c r="A18" s="319" t="s">
        <v>71</v>
      </c>
      <c r="B18" s="319" t="s">
        <v>606</v>
      </c>
      <c r="C18" s="325">
        <v>182962827055</v>
      </c>
      <c r="D18" s="325">
        <v>583180931761</v>
      </c>
      <c r="E18" s="325">
        <v>150952350749</v>
      </c>
      <c r="F18" s="325">
        <v>139273246353</v>
      </c>
      <c r="G18" s="325">
        <v>910365502671</v>
      </c>
      <c r="H18" s="325">
        <v>981799066828</v>
      </c>
      <c r="I18" s="325">
        <v>1482978249031</v>
      </c>
      <c r="J18" s="325">
        <v>1961601875298</v>
      </c>
      <c r="K18" s="328">
        <f t="shared" ref="K18:O18" si="5">J18*(1+K19)</f>
        <v>2557720912360.7451</v>
      </c>
      <c r="L18" s="328">
        <f t="shared" si="5"/>
        <v>3527190143356.2036</v>
      </c>
      <c r="M18" s="328">
        <f t="shared" si="5"/>
        <v>4709592733850.541</v>
      </c>
      <c r="N18" s="328">
        <f t="shared" si="5"/>
        <v>6307958552628.2373</v>
      </c>
      <c r="O18" s="328">
        <f t="shared" si="5"/>
        <v>8523411551894.6855</v>
      </c>
    </row>
    <row r="19" spans="1:15" ht="14.25" customHeight="1">
      <c r="A19" s="319" t="s">
        <v>15</v>
      </c>
      <c r="B19" s="319" t="s">
        <v>15</v>
      </c>
      <c r="C19" s="325"/>
      <c r="D19" s="327">
        <f>(D18-C18)/C18</f>
        <v>2.1874285129278825</v>
      </c>
      <c r="E19" s="327">
        <f t="shared" ref="E19:J19" si="6">(E18-D18)/D18</f>
        <v>-0.74115691627094638</v>
      </c>
      <c r="F19" s="327">
        <f t="shared" si="6"/>
        <v>-7.73694767789323E-2</v>
      </c>
      <c r="G19" s="327">
        <f t="shared" si="6"/>
        <v>5.5365425629815537</v>
      </c>
      <c r="H19" s="327">
        <f t="shared" si="6"/>
        <v>7.8466905816855864E-2</v>
      </c>
      <c r="I19" s="327">
        <f t="shared" si="6"/>
        <v>0.51047021649980939</v>
      </c>
      <c r="J19" s="327">
        <f t="shared" si="6"/>
        <v>0.32274487274492381</v>
      </c>
      <c r="K19" s="327">
        <f t="shared" ref="K19:O19" si="7">AVERAGE(H19:J19)</f>
        <v>0.30389399835386305</v>
      </c>
      <c r="L19" s="327">
        <f t="shared" si="7"/>
        <v>0.37903636253286543</v>
      </c>
      <c r="M19" s="327">
        <f t="shared" si="7"/>
        <v>0.33522507787721745</v>
      </c>
      <c r="N19" s="327">
        <f t="shared" si="7"/>
        <v>0.33938514625464866</v>
      </c>
      <c r="O19" s="327">
        <f t="shared" si="7"/>
        <v>0.35121552888824387</v>
      </c>
    </row>
    <row r="20" spans="1:15" ht="14.25" customHeight="1">
      <c r="A20" s="319" t="s">
        <v>72</v>
      </c>
      <c r="B20" s="319" t="s">
        <v>607</v>
      </c>
      <c r="C20" s="325">
        <v>-41339337971</v>
      </c>
      <c r="D20" s="325">
        <v>-35984891839</v>
      </c>
      <c r="E20" s="325">
        <v>-37693842866</v>
      </c>
      <c r="F20" s="325">
        <v>-37145790132</v>
      </c>
      <c r="G20" s="325">
        <v>-39336197606</v>
      </c>
      <c r="H20" s="325">
        <v>-39275168162</v>
      </c>
      <c r="I20" s="325">
        <v>-41074336139</v>
      </c>
      <c r="J20" s="325">
        <v>-46628415158</v>
      </c>
      <c r="K20" s="325">
        <f t="shared" ref="K20:O20" si="8">AVERAGE(H20:J20)</f>
        <v>-42325973153</v>
      </c>
      <c r="L20" s="325">
        <f t="shared" si="8"/>
        <v>-43342908150</v>
      </c>
      <c r="M20" s="325">
        <f t="shared" si="8"/>
        <v>-44099098820.333336</v>
      </c>
      <c r="N20" s="325">
        <f t="shared" si="8"/>
        <v>-43255993374.44445</v>
      </c>
      <c r="O20" s="325">
        <f t="shared" si="8"/>
        <v>-43566000114.925934</v>
      </c>
    </row>
    <row r="21" spans="1:15" ht="14.25" customHeight="1">
      <c r="A21" s="319" t="s">
        <v>73</v>
      </c>
      <c r="B21" s="319" t="s">
        <v>608</v>
      </c>
      <c r="C21" s="325">
        <v>857388807</v>
      </c>
      <c r="D21" s="325">
        <v>1376259056</v>
      </c>
      <c r="E21" s="325">
        <v>4940428672</v>
      </c>
      <c r="F21" s="325">
        <v>1499822947</v>
      </c>
      <c r="G21" s="325">
        <v>1236376147</v>
      </c>
      <c r="H21" s="325">
        <v>1167661858</v>
      </c>
      <c r="I21" s="325">
        <v>1924395341</v>
      </c>
      <c r="J21" s="325">
        <v>82701774</v>
      </c>
      <c r="K21" s="325">
        <f t="shared" ref="K21:O21" si="9">AVERAGE(H21:J21)</f>
        <v>1058252991</v>
      </c>
      <c r="L21" s="325">
        <f t="shared" si="9"/>
        <v>1021783368.6666666</v>
      </c>
      <c r="M21" s="325">
        <f t="shared" si="9"/>
        <v>720912711.22222221</v>
      </c>
      <c r="N21" s="325">
        <f t="shared" si="9"/>
        <v>933649690.29629624</v>
      </c>
      <c r="O21" s="325">
        <f t="shared" si="9"/>
        <v>892115256.72839499</v>
      </c>
    </row>
    <row r="22" spans="1:15" s="320" customFormat="1" ht="12.75">
      <c r="A22" s="320" t="s">
        <v>53</v>
      </c>
      <c r="B22" s="320" t="s">
        <v>592</v>
      </c>
      <c r="C22" s="323">
        <v>10247175680697</v>
      </c>
      <c r="D22" s="323">
        <v>11748873281675</v>
      </c>
      <c r="E22" s="323">
        <v>14115139048908</v>
      </c>
      <c r="F22" s="323">
        <v>19411922748095</v>
      </c>
      <c r="G22" s="323">
        <v>26286822229202</v>
      </c>
      <c r="H22" s="323">
        <v>42134493932210</v>
      </c>
      <c r="I22" s="323">
        <v>34491111096123</v>
      </c>
      <c r="J22" s="323">
        <v>34504487406261</v>
      </c>
      <c r="K22" s="342">
        <f>K24*'IS HPG (base)'!K2</f>
        <v>33691302197536.266</v>
      </c>
      <c r="L22" s="342">
        <f>L24*'IS HPG (base)'!L2</f>
        <v>44074331228998.875</v>
      </c>
      <c r="M22" s="342">
        <f>M24*'IS HPG (base)'!M2</f>
        <v>59531306989595.125</v>
      </c>
      <c r="N22" s="342">
        <f>N24*'IS HPG (base)'!N2</f>
        <v>65450325182378.914</v>
      </c>
      <c r="O22" s="342">
        <f>O24*'IS HPG (base)'!O2</f>
        <v>67525268425808.633</v>
      </c>
    </row>
    <row r="23" spans="1:15" s="350" customFormat="1" ht="14.25" customHeight="1">
      <c r="A23" s="348" t="s">
        <v>74</v>
      </c>
      <c r="B23" s="348" t="s">
        <v>609</v>
      </c>
      <c r="C23" s="349">
        <f t="shared" ref="C23:J23" si="10">C22/C76</f>
        <v>0.30840321868667692</v>
      </c>
      <c r="D23" s="349">
        <f t="shared" si="10"/>
        <v>0.22158410353724678</v>
      </c>
      <c r="E23" s="349">
        <f t="shared" si="10"/>
        <v>0.18044740887858379</v>
      </c>
      <c r="F23" s="349">
        <f t="shared" si="10"/>
        <v>0.19073177376874392</v>
      </c>
      <c r="G23" s="349">
        <f t="shared" si="10"/>
        <v>0.19988240833477888</v>
      </c>
      <c r="H23" s="349">
        <f t="shared" si="10"/>
        <v>0.2363966543691117</v>
      </c>
      <c r="I23" s="349">
        <f t="shared" si="10"/>
        <v>0.20248924707965185</v>
      </c>
      <c r="J23" s="349">
        <f t="shared" si="10"/>
        <v>0.18374700251845641</v>
      </c>
      <c r="K23" s="349">
        <f t="shared" ref="K23:O23" si="11">AVERAGE(H23:J23)</f>
        <v>0.20754430132240664</v>
      </c>
      <c r="L23" s="349">
        <f t="shared" si="11"/>
        <v>0.19792685030683832</v>
      </c>
      <c r="M23" s="349">
        <f t="shared" si="11"/>
        <v>0.19640605138256714</v>
      </c>
      <c r="N23" s="349">
        <f t="shared" si="11"/>
        <v>0.20062573433727071</v>
      </c>
      <c r="O23" s="349">
        <f t="shared" si="11"/>
        <v>0.1983195453422254</v>
      </c>
    </row>
    <row r="24" spans="1:15" s="350" customFormat="1" ht="12.75">
      <c r="A24" s="348" t="s">
        <v>22</v>
      </c>
      <c r="B24" s="348" t="s">
        <v>22</v>
      </c>
      <c r="C24" s="349">
        <f>C22/'IS HPG (base)'!C2</f>
        <v>0.30241134243975637</v>
      </c>
      <c r="D24" s="349">
        <f>D22/'IS HPG (base)'!D2</f>
        <v>0.2507505491807141</v>
      </c>
      <c r="E24" s="349">
        <f>E22/'IS HPG (base)'!E2</f>
        <v>0.24947036672923759</v>
      </c>
      <c r="F24" s="349">
        <f>F22/'IS HPG (base)'!F2</f>
        <v>0.30013220550655578</v>
      </c>
      <c r="G24" s="349">
        <f>G22/'IS HPG (base)'!G2</f>
        <v>0.28798310892562018</v>
      </c>
      <c r="H24" s="349">
        <f>H22/'IS HPG (base)'!H2</f>
        <v>0.27928541012576091</v>
      </c>
      <c r="I24" s="349">
        <f>I22/'IS HPG (base)'!I2</f>
        <v>0.24158377284968188</v>
      </c>
      <c r="J24" s="349">
        <f>J22/'IS HPG (base)'!J2</f>
        <v>0.28668872090504233</v>
      </c>
      <c r="K24" s="349">
        <f t="shared" ref="K24:O24" si="12">AVERAGE(H24:J24)</f>
        <v>0.26918596796016175</v>
      </c>
      <c r="L24" s="349">
        <f t="shared" si="12"/>
        <v>0.26581948723829529</v>
      </c>
      <c r="M24" s="349">
        <f t="shared" si="12"/>
        <v>0.27389805870116646</v>
      </c>
      <c r="N24" s="349">
        <f t="shared" si="12"/>
        <v>0.26963450463320787</v>
      </c>
      <c r="O24" s="349">
        <f t="shared" si="12"/>
        <v>0.26978401685755654</v>
      </c>
    </row>
    <row r="25" spans="1:15" ht="12.75">
      <c r="A25" s="319" t="s">
        <v>75</v>
      </c>
      <c r="B25" s="319" t="s">
        <v>610</v>
      </c>
      <c r="C25" s="325">
        <v>10391475894874</v>
      </c>
      <c r="D25" s="325">
        <v>11893184186263</v>
      </c>
      <c r="E25" s="325">
        <v>14188336169734</v>
      </c>
      <c r="F25" s="325">
        <v>19480666530260</v>
      </c>
      <c r="G25" s="325">
        <v>26373360826788</v>
      </c>
      <c r="H25" s="325">
        <v>42370012405544</v>
      </c>
      <c r="I25" s="325">
        <v>35727277739296</v>
      </c>
      <c r="J25" s="325">
        <v>34628367844950</v>
      </c>
    </row>
    <row r="26" spans="1:15" ht="12.75">
      <c r="A26" s="319" t="s">
        <v>76</v>
      </c>
      <c r="B26" s="319" t="s">
        <v>740</v>
      </c>
      <c r="C26" s="325">
        <v>-144300214177</v>
      </c>
      <c r="D26" s="325">
        <v>-144310904588</v>
      </c>
      <c r="E26" s="325">
        <v>-73197120826</v>
      </c>
      <c r="F26" s="325">
        <v>-68743782165</v>
      </c>
      <c r="G26" s="325">
        <v>-86538597586</v>
      </c>
      <c r="H26" s="325">
        <v>-235518473334</v>
      </c>
      <c r="I26" s="325">
        <v>-1236166643173</v>
      </c>
      <c r="J26" s="325">
        <v>-123880438689</v>
      </c>
    </row>
    <row r="27" spans="1:15" s="320" customFormat="1" ht="12.75">
      <c r="A27" s="320" t="s">
        <v>77</v>
      </c>
      <c r="B27" s="320" t="s">
        <v>611</v>
      </c>
      <c r="C27" s="323">
        <v>288621019303</v>
      </c>
      <c r="D27" s="323">
        <v>562419250596</v>
      </c>
      <c r="E27" s="323">
        <v>1743127683967</v>
      </c>
      <c r="F27" s="323">
        <v>1544376365997</v>
      </c>
      <c r="G27" s="323">
        <v>2512553533909</v>
      </c>
      <c r="H27" s="323">
        <v>3650156741241</v>
      </c>
      <c r="I27" s="323">
        <v>1537894659443</v>
      </c>
      <c r="J27" s="323">
        <v>3080510663421</v>
      </c>
      <c r="K27" s="364">
        <f>K28*'IS HPG (base)'!K12</f>
        <v>2560257874839.3149</v>
      </c>
      <c r="L27" s="364">
        <f>L28*'IS HPG (base)'!L12</f>
        <v>3393647294845.7021</v>
      </c>
      <c r="M27" s="364">
        <f>M28*'IS HPG (base)'!M12</f>
        <v>4446348191465.085</v>
      </c>
      <c r="N27" s="364">
        <f>N28*'IS HPG (base)'!N12</f>
        <v>4964681486367.9072</v>
      </c>
      <c r="O27" s="364">
        <f>O28*'IS HPG (base)'!O12</f>
        <v>5120615450705.6826</v>
      </c>
    </row>
    <row r="28" spans="1:15" s="350" customFormat="1" ht="12.75">
      <c r="A28" s="348" t="s">
        <v>547</v>
      </c>
      <c r="B28" s="348" t="s">
        <v>547</v>
      </c>
      <c r="C28" s="349">
        <f>C27/'IS HPG (base)'!C12</f>
        <v>8.6716701278405986E-3</v>
      </c>
      <c r="D28" s="349">
        <f>D27/'IS HPG (base)'!D12</f>
        <v>1.2183679387124641E-2</v>
      </c>
      <c r="E28" s="349">
        <f>E27/'IS HPG (base)'!E12</f>
        <v>3.1218449997517977E-2</v>
      </c>
      <c r="F28" s="349">
        <f>F27/'IS HPG (base)'!F12</f>
        <v>2.4260449458736236E-2</v>
      </c>
      <c r="G28" s="349">
        <f>G27/'IS HPG (base)'!G12</f>
        <v>2.7880551034141068E-2</v>
      </c>
      <c r="H28" s="349">
        <f>H27/'IS HPG (base)'!H12</f>
        <v>2.4386436817854313E-2</v>
      </c>
      <c r="I28" s="349">
        <f>I27/'IS HPG (base)'!I12</f>
        <v>1.0875486528793032E-2</v>
      </c>
      <c r="J28" s="349">
        <f>J27/'IS HPG (base)'!J12</f>
        <v>2.5896866334289767E-2</v>
      </c>
      <c r="K28" s="349">
        <f>AVERAGE(C28:J28)</f>
        <v>2.0671698710787202E-2</v>
      </c>
      <c r="L28" s="349">
        <f>K28</f>
        <v>2.0671698710787202E-2</v>
      </c>
      <c r="M28" s="349">
        <f t="shared" ref="M28:O28" si="13">L28</f>
        <v>2.0671698710787202E-2</v>
      </c>
      <c r="N28" s="349">
        <f t="shared" si="13"/>
        <v>2.0671698710787202E-2</v>
      </c>
      <c r="O28" s="349">
        <f t="shared" si="13"/>
        <v>2.0671698710787202E-2</v>
      </c>
    </row>
    <row r="29" spans="1:15" ht="12.75">
      <c r="A29" s="319" t="s">
        <v>78</v>
      </c>
      <c r="B29" s="319" t="s">
        <v>612</v>
      </c>
      <c r="C29" s="325">
        <v>24180135532</v>
      </c>
      <c r="D29" s="325">
        <v>118434339660</v>
      </c>
      <c r="E29" s="325">
        <v>122420331320</v>
      </c>
      <c r="F29" s="325">
        <v>118551289085</v>
      </c>
      <c r="G29" s="325">
        <v>141398046799</v>
      </c>
      <c r="H29" s="325">
        <v>296697348350</v>
      </c>
      <c r="I29" s="325">
        <v>320077470557</v>
      </c>
      <c r="J29" s="325">
        <v>330834978197</v>
      </c>
    </row>
    <row r="30" spans="1:15" ht="12.75">
      <c r="A30" s="319" t="s">
        <v>79</v>
      </c>
      <c r="B30" s="319" t="s">
        <v>741</v>
      </c>
      <c r="C30" s="325">
        <v>255637124321</v>
      </c>
      <c r="D30" s="325">
        <v>421916425069</v>
      </c>
      <c r="E30" s="325">
        <v>1601957215751</v>
      </c>
      <c r="F30" s="325">
        <v>1400159900793</v>
      </c>
      <c r="G30" s="325">
        <v>2357338685110</v>
      </c>
      <c r="H30" s="325">
        <v>3335690250424</v>
      </c>
      <c r="I30" s="325">
        <v>1117646951943</v>
      </c>
      <c r="J30" s="325">
        <v>2737971196700</v>
      </c>
    </row>
    <row r="31" spans="1:15" ht="12.75">
      <c r="A31" s="319" t="s">
        <v>80</v>
      </c>
      <c r="B31" s="319" t="s">
        <v>742</v>
      </c>
      <c r="C31" s="325">
        <v>8803759450</v>
      </c>
      <c r="D31" s="325">
        <v>22068485867</v>
      </c>
      <c r="E31" s="325">
        <v>18750136896</v>
      </c>
      <c r="F31" s="325">
        <v>25665176119</v>
      </c>
      <c r="G31" s="325">
        <v>13816802000</v>
      </c>
      <c r="H31" s="325">
        <v>17769142467</v>
      </c>
      <c r="I31" s="325">
        <v>100170236943</v>
      </c>
      <c r="J31" s="325">
        <v>11704488524</v>
      </c>
    </row>
    <row r="32" spans="1:15" ht="12.75">
      <c r="A32" s="319" t="s">
        <v>81</v>
      </c>
      <c r="B32" s="319" t="s">
        <v>613</v>
      </c>
      <c r="C32" s="325"/>
      <c r="D32" s="325"/>
      <c r="E32" s="325"/>
      <c r="F32" s="325"/>
      <c r="G32" s="325"/>
      <c r="I32" s="325"/>
      <c r="J32" s="325"/>
    </row>
    <row r="33" spans="1:25" ht="12.75">
      <c r="A33" s="319" t="s">
        <v>82</v>
      </c>
      <c r="B33" s="319" t="s">
        <v>614</v>
      </c>
      <c r="C33" s="325"/>
      <c r="D33" s="325"/>
      <c r="E33" s="325"/>
      <c r="F33" s="325"/>
      <c r="G33" s="325"/>
      <c r="H33" s="325"/>
      <c r="I33" s="325"/>
      <c r="J33" s="325"/>
    </row>
    <row r="34" spans="1:25" ht="14.25" customHeight="1">
      <c r="A34" s="335" t="s">
        <v>83</v>
      </c>
      <c r="B34" s="335" t="s">
        <v>615</v>
      </c>
      <c r="C34" s="336">
        <v>15043765608591</v>
      </c>
      <c r="D34" s="336">
        <v>19954124411610</v>
      </c>
      <c r="E34" s="336">
        <v>52914282483307</v>
      </c>
      <c r="F34" s="336">
        <v>71339093190006</v>
      </c>
      <c r="G34" s="336">
        <v>74764176191827</v>
      </c>
      <c r="H34" s="336">
        <v>84081562709945</v>
      </c>
      <c r="I34" s="336">
        <v>89820810782676</v>
      </c>
      <c r="J34" s="336">
        <v>105066147390758</v>
      </c>
      <c r="K34" s="337">
        <f>SUM(K35,K43,K56,K61,K64,K70)</f>
        <v>110445230716359.7</v>
      </c>
      <c r="L34" s="337">
        <f>SUM(L35,L43,L56,L61,L64,L70)</f>
        <v>136482609522521.95</v>
      </c>
      <c r="M34" s="337">
        <f>SUM(M35,M43,M56,M61,M64,M70)</f>
        <v>137604327442819.92</v>
      </c>
      <c r="N34" s="337">
        <f>SUM(N35,N43,N56,N61,N64,N70)</f>
        <v>122798993998860.03</v>
      </c>
      <c r="O34" s="337">
        <f>SUM(O35,O43,O56,O61,O64,O70)</f>
        <v>122086998220430.44</v>
      </c>
      <c r="P34" s="320"/>
      <c r="Q34" s="320"/>
      <c r="R34" s="320"/>
      <c r="S34" s="320"/>
      <c r="T34" s="320"/>
      <c r="U34" s="320"/>
      <c r="V34" s="320"/>
      <c r="W34" s="320"/>
      <c r="X34" s="320"/>
      <c r="Y34" s="320"/>
    </row>
    <row r="35" spans="1:25" s="320" customFormat="1" ht="14.25" customHeight="1">
      <c r="A35" s="320" t="s">
        <v>84</v>
      </c>
      <c r="B35" s="320" t="s">
        <v>616</v>
      </c>
      <c r="C35" s="323">
        <v>18173189031</v>
      </c>
      <c r="D35" s="323">
        <v>21810530536</v>
      </c>
      <c r="E35" s="323">
        <v>22301804672</v>
      </c>
      <c r="F35" s="323">
        <v>27717594984</v>
      </c>
      <c r="G35" s="323">
        <v>305165547431</v>
      </c>
      <c r="H35" s="323">
        <v>809234947969</v>
      </c>
      <c r="I35" s="323">
        <v>894484456379</v>
      </c>
      <c r="J35" s="323">
        <v>1880922130348</v>
      </c>
      <c r="K35" s="324">
        <f t="shared" ref="K35:O35" si="14">J35*(1+5%)</f>
        <v>1974968236865.4001</v>
      </c>
      <c r="L35" s="324">
        <f t="shared" si="14"/>
        <v>2073716648708.6702</v>
      </c>
      <c r="M35" s="324">
        <f t="shared" si="14"/>
        <v>2177402481144.1038</v>
      </c>
      <c r="N35" s="324">
        <f t="shared" si="14"/>
        <v>2286272605201.3091</v>
      </c>
      <c r="O35" s="324">
        <f t="shared" si="14"/>
        <v>2400586235461.3745</v>
      </c>
    </row>
    <row r="36" spans="1:25" ht="14.25" customHeight="1">
      <c r="A36" s="319" t="s">
        <v>85</v>
      </c>
      <c r="B36" s="319" t="s">
        <v>617</v>
      </c>
      <c r="C36" s="325"/>
      <c r="D36" s="325"/>
      <c r="E36" s="325"/>
      <c r="F36" s="325"/>
      <c r="G36" s="325"/>
      <c r="H36" s="325"/>
      <c r="I36" s="325"/>
      <c r="J36" s="325"/>
    </row>
    <row r="37" spans="1:25" ht="14.25" customHeight="1">
      <c r="A37" s="319" t="s">
        <v>86</v>
      </c>
      <c r="B37" s="319" t="s">
        <v>618</v>
      </c>
      <c r="C37" s="325"/>
      <c r="D37" s="325"/>
      <c r="E37" s="325"/>
      <c r="F37" s="325"/>
      <c r="G37" s="325"/>
      <c r="H37" s="325"/>
      <c r="I37" s="325"/>
      <c r="J37" s="325">
        <v>1004491555731</v>
      </c>
    </row>
    <row r="38" spans="1:25" ht="14.25" customHeight="1">
      <c r="A38" s="319" t="s">
        <v>87</v>
      </c>
      <c r="B38" s="319" t="s">
        <v>619</v>
      </c>
      <c r="C38" s="325"/>
      <c r="D38" s="325"/>
      <c r="E38" s="325"/>
      <c r="F38" s="325"/>
      <c r="G38" s="325"/>
      <c r="H38" s="325"/>
      <c r="I38" s="325"/>
      <c r="J38" s="325"/>
    </row>
    <row r="39" spans="1:25" ht="14.25" customHeight="1">
      <c r="A39" s="319" t="s">
        <v>88</v>
      </c>
      <c r="B39" s="319" t="s">
        <v>620</v>
      </c>
      <c r="C39" s="325"/>
      <c r="D39" s="325"/>
      <c r="E39" s="325"/>
      <c r="F39" s="325"/>
      <c r="G39" s="325"/>
      <c r="H39" s="325"/>
      <c r="I39" s="325"/>
      <c r="J39" s="325"/>
    </row>
    <row r="40" spans="1:25" ht="14.25" customHeight="1">
      <c r="A40" s="319" t="s">
        <v>89</v>
      </c>
      <c r="B40" s="319" t="s">
        <v>621</v>
      </c>
      <c r="C40" s="325">
        <v>2500000000</v>
      </c>
      <c r="D40" s="325"/>
      <c r="E40" s="325"/>
      <c r="F40" s="325">
        <v>4910346000</v>
      </c>
      <c r="G40" s="325">
        <v>96007238800</v>
      </c>
      <c r="H40" s="325">
        <v>118401369280</v>
      </c>
      <c r="I40" s="325">
        <v>101693561714</v>
      </c>
      <c r="J40" s="325">
        <v>95351026613</v>
      </c>
    </row>
    <row r="41" spans="1:25" ht="14.25" customHeight="1">
      <c r="A41" s="319" t="s">
        <v>90</v>
      </c>
      <c r="B41" s="319" t="s">
        <v>622</v>
      </c>
      <c r="C41" s="325">
        <v>15673189031</v>
      </c>
      <c r="D41" s="325">
        <v>21810530536</v>
      </c>
      <c r="E41" s="325">
        <v>22301804672</v>
      </c>
      <c r="F41" s="325">
        <v>22807248984</v>
      </c>
      <c r="G41" s="325">
        <v>209158308631</v>
      </c>
      <c r="H41" s="325">
        <v>690833578689</v>
      </c>
      <c r="I41" s="325">
        <v>792790894665</v>
      </c>
      <c r="J41" s="325">
        <v>781079548004</v>
      </c>
    </row>
    <row r="42" spans="1:25" ht="14.25" customHeight="1">
      <c r="A42" s="319" t="s">
        <v>91</v>
      </c>
      <c r="B42" s="319" t="s">
        <v>743</v>
      </c>
      <c r="C42" s="325"/>
      <c r="D42" s="325"/>
      <c r="E42" s="325"/>
      <c r="F42" s="325"/>
      <c r="G42" s="325"/>
      <c r="H42" s="325"/>
      <c r="I42" s="325"/>
      <c r="J42" s="325"/>
    </row>
    <row r="43" spans="1:25" s="320" customFormat="1" ht="14.25" customHeight="1">
      <c r="A43" s="320" t="s">
        <v>92</v>
      </c>
      <c r="B43" s="320" t="s">
        <v>623</v>
      </c>
      <c r="C43" s="323">
        <v>12670459873438</v>
      </c>
      <c r="D43" s="323">
        <v>13197796695351</v>
      </c>
      <c r="E43" s="323">
        <v>12782560625001</v>
      </c>
      <c r="F43" s="323">
        <v>31249493917960</v>
      </c>
      <c r="G43" s="323">
        <v>65561657180137</v>
      </c>
      <c r="H43" s="323">
        <v>69280841784004</v>
      </c>
      <c r="I43" s="323">
        <v>70832915657865</v>
      </c>
      <c r="J43" s="323">
        <v>71998370737871</v>
      </c>
      <c r="K43" s="324">
        <f>SUM(K44,K48,K51)</f>
        <v>83098646493936.172</v>
      </c>
      <c r="L43" s="324">
        <f>SUM(L44,L48,L51)</f>
        <v>108697855947479.95</v>
      </c>
      <c r="M43" s="324">
        <f>SUM(M44,M48,M51)</f>
        <v>109342665765169.08</v>
      </c>
      <c r="N43" s="324">
        <f>SUM(N44,N48,N51)</f>
        <v>109033075947003.5</v>
      </c>
      <c r="O43" s="324">
        <f>SUM(O44,O48,O51)</f>
        <v>107769086492983.23</v>
      </c>
    </row>
    <row r="44" spans="1:25" s="365" customFormat="1" ht="14.25" customHeight="1">
      <c r="A44" s="365" t="s">
        <v>93</v>
      </c>
      <c r="B44" s="365" t="s">
        <v>624</v>
      </c>
      <c r="C44" s="366">
        <v>12487811189623</v>
      </c>
      <c r="D44" s="366">
        <v>13012259134112</v>
      </c>
      <c r="E44" s="366">
        <v>12565363529879</v>
      </c>
      <c r="F44" s="366">
        <v>30980122434704</v>
      </c>
      <c r="G44" s="366">
        <v>65307819877543</v>
      </c>
      <c r="H44" s="366">
        <v>68744125939109</v>
      </c>
      <c r="I44" s="366">
        <v>70199153681536</v>
      </c>
      <c r="J44" s="366">
        <v>71787251586301</v>
      </c>
      <c r="K44" s="366">
        <f>SUM(K45,K46)</f>
        <v>82906849655068.094</v>
      </c>
      <c r="L44" s="366">
        <f t="shared" ref="L44:O44" si="15">SUM(L45,L46)</f>
        <v>108525381421313.78</v>
      </c>
      <c r="M44" s="366">
        <f t="shared" si="15"/>
        <v>109189513551704.83</v>
      </c>
      <c r="N44" s="366">
        <f t="shared" si="15"/>
        <v>108899246046241.17</v>
      </c>
      <c r="O44" s="366">
        <f t="shared" si="15"/>
        <v>107654578904922.81</v>
      </c>
    </row>
    <row r="45" spans="1:25" ht="14.25" customHeight="1">
      <c r="A45" s="369" t="s">
        <v>94</v>
      </c>
      <c r="B45" s="369" t="s">
        <v>625</v>
      </c>
      <c r="C45" s="325">
        <v>18855209473822</v>
      </c>
      <c r="D45" s="325">
        <v>21244526727212</v>
      </c>
      <c r="E45" s="325">
        <v>22992663946845</v>
      </c>
      <c r="F45" s="325">
        <v>43804940121895</v>
      </c>
      <c r="G45" s="325">
        <v>82616601097978</v>
      </c>
      <c r="H45" s="325">
        <v>91026106008677</v>
      </c>
      <c r="I45" s="325">
        <v>98976369133844</v>
      </c>
      <c r="J45" s="325">
        <v>106923132503430</v>
      </c>
      <c r="K45" s="325">
        <f>J45+Capex!E5</f>
        <v>125042594800353</v>
      </c>
      <c r="L45" s="325">
        <f>K45+Capex!F5</f>
        <v>160495390430609.31</v>
      </c>
      <c r="M45" s="325">
        <f>L45+Capex!G5</f>
        <v>171948186060865.66</v>
      </c>
      <c r="N45" s="325">
        <f>M45+Capex!H5</f>
        <v>183400981691122</v>
      </c>
      <c r="O45" s="325">
        <f>N45+Capex!I5</f>
        <v>194853777321378.34</v>
      </c>
    </row>
    <row r="46" spans="1:25" ht="14.25" customHeight="1">
      <c r="A46" s="369" t="s">
        <v>95</v>
      </c>
      <c r="B46" s="369" t="s">
        <v>626</v>
      </c>
      <c r="C46" s="325">
        <v>-6367398284199</v>
      </c>
      <c r="D46" s="325">
        <v>-8232267593100</v>
      </c>
      <c r="E46" s="325">
        <v>-10427300416966</v>
      </c>
      <c r="F46" s="325">
        <v>-12824817687191</v>
      </c>
      <c r="G46" s="325">
        <v>-17308781220435</v>
      </c>
      <c r="H46" s="325">
        <v>-22281980069568</v>
      </c>
      <c r="I46" s="325">
        <v>-28777215452308</v>
      </c>
      <c r="J46" s="325">
        <v>-35135880917129</v>
      </c>
      <c r="K46" s="325">
        <f>J46-Capex!E3</f>
        <v>-42135745145284.914</v>
      </c>
      <c r="L46" s="325">
        <f>K46-Capex!F3</f>
        <v>-51970009009295.523</v>
      </c>
      <c r="M46" s="325">
        <f>L46-Capex!G3</f>
        <v>-62758672509160.828</v>
      </c>
      <c r="N46" s="325">
        <f>M46-Capex!H3</f>
        <v>-74501735644880.828</v>
      </c>
      <c r="O46" s="325">
        <f>N46-Capex!I3</f>
        <v>-87199198416455.531</v>
      </c>
    </row>
    <row r="47" spans="1:25" ht="14.25" customHeight="1">
      <c r="A47" s="369" t="s">
        <v>548</v>
      </c>
      <c r="B47" s="369" t="s">
        <v>627</v>
      </c>
      <c r="C47" s="325"/>
      <c r="D47" s="325">
        <f>C46-D46</f>
        <v>1864869308901</v>
      </c>
      <c r="E47" s="325">
        <f t="shared" ref="E47:J47" si="16">D46-E46</f>
        <v>2195032823866</v>
      </c>
      <c r="F47" s="325">
        <f t="shared" si="16"/>
        <v>2397517270225</v>
      </c>
      <c r="G47" s="325">
        <f t="shared" si="16"/>
        <v>4483963533244</v>
      </c>
      <c r="H47" s="325">
        <f t="shared" si="16"/>
        <v>4973198849133</v>
      </c>
      <c r="I47" s="325">
        <f t="shared" si="16"/>
        <v>6495235382740</v>
      </c>
      <c r="J47" s="325">
        <f t="shared" si="16"/>
        <v>6358665464821</v>
      </c>
      <c r="K47" s="325">
        <f t="shared" ref="K47" si="17">J46-K46</f>
        <v>6999864228155.9141</v>
      </c>
      <c r="L47" s="325">
        <f t="shared" ref="L47" si="18">K46-L46</f>
        <v>9834263864010.6094</v>
      </c>
      <c r="M47" s="325">
        <f t="shared" ref="M47" si="19">L46-M46</f>
        <v>10788663499865.305</v>
      </c>
      <c r="N47" s="325">
        <f t="shared" ref="N47" si="20">M46-N46</f>
        <v>11743063135720</v>
      </c>
      <c r="O47" s="325">
        <f t="shared" ref="O47" si="21">N46-O46</f>
        <v>12697462771574.703</v>
      </c>
    </row>
    <row r="48" spans="1:25" s="365" customFormat="1" ht="14.25" customHeight="1">
      <c r="A48" s="365" t="s">
        <v>96</v>
      </c>
      <c r="B48" s="365" t="s">
        <v>628</v>
      </c>
      <c r="C48" s="366"/>
      <c r="D48" s="366"/>
      <c r="E48" s="366"/>
      <c r="F48" s="366"/>
      <c r="G48" s="366"/>
      <c r="H48" s="366"/>
      <c r="I48" s="366"/>
      <c r="J48" s="366"/>
      <c r="K48" s="367"/>
      <c r="L48" s="367"/>
      <c r="M48" s="367"/>
      <c r="N48" s="367"/>
      <c r="O48" s="367"/>
    </row>
    <row r="49" spans="1:15" ht="14.25" customHeight="1">
      <c r="A49" s="319" t="s">
        <v>94</v>
      </c>
      <c r="B49" s="319" t="s">
        <v>625</v>
      </c>
      <c r="C49" s="325"/>
      <c r="D49" s="325"/>
      <c r="E49" s="325"/>
      <c r="F49" s="325"/>
      <c r="G49" s="325"/>
      <c r="H49" s="325"/>
      <c r="I49" s="325"/>
      <c r="J49" s="325"/>
    </row>
    <row r="50" spans="1:15" ht="14.25" customHeight="1">
      <c r="A50" s="319" t="s">
        <v>95</v>
      </c>
      <c r="B50" s="319" t="s">
        <v>626</v>
      </c>
      <c r="C50" s="325"/>
      <c r="D50" s="325"/>
      <c r="E50" s="325"/>
      <c r="F50" s="325"/>
      <c r="G50" s="325"/>
      <c r="H50" s="325"/>
      <c r="I50" s="325"/>
      <c r="J50" s="325"/>
    </row>
    <row r="51" spans="1:15" s="365" customFormat="1" ht="14.25" customHeight="1">
      <c r="A51" s="365" t="s">
        <v>97</v>
      </c>
      <c r="B51" s="365" t="s">
        <v>629</v>
      </c>
      <c r="C51" s="366">
        <v>182648683815</v>
      </c>
      <c r="D51" s="366">
        <v>185537561239</v>
      </c>
      <c r="E51" s="366">
        <v>217197095122</v>
      </c>
      <c r="F51" s="366">
        <v>269371483256</v>
      </c>
      <c r="G51" s="366">
        <v>253837302594</v>
      </c>
      <c r="H51" s="366">
        <v>536715844895</v>
      </c>
      <c r="I51" s="366">
        <v>633761976329</v>
      </c>
      <c r="J51" s="366">
        <v>211119151570</v>
      </c>
      <c r="K51" s="368">
        <f>K52+K53</f>
        <v>191796838868.0831</v>
      </c>
      <c r="L51" s="368">
        <f t="shared" ref="L51:O51" si="22">L52+L53</f>
        <v>172474526166.1662</v>
      </c>
      <c r="M51" s="368">
        <f t="shared" si="22"/>
        <v>153152213464.2493</v>
      </c>
      <c r="N51" s="368">
        <f t="shared" si="22"/>
        <v>133829900762.3324</v>
      </c>
      <c r="O51" s="368">
        <f t="shared" si="22"/>
        <v>114507588060.4155</v>
      </c>
    </row>
    <row r="52" spans="1:15" ht="14.25" customHeight="1">
      <c r="A52" s="369" t="s">
        <v>94</v>
      </c>
      <c r="B52" s="369" t="s">
        <v>625</v>
      </c>
      <c r="C52" s="325">
        <v>215970717186</v>
      </c>
      <c r="D52" s="325">
        <v>225393363897</v>
      </c>
      <c r="E52" s="325">
        <v>268391812870</v>
      </c>
      <c r="F52" s="325">
        <v>339570963463</v>
      </c>
      <c r="G52" s="325">
        <v>342995279178</v>
      </c>
      <c r="H52" s="325">
        <v>618321659402</v>
      </c>
      <c r="I52" s="325">
        <v>744538077973</v>
      </c>
      <c r="J52" s="325">
        <v>357031331749</v>
      </c>
      <c r="K52" s="325">
        <f>J52</f>
        <v>357031331749</v>
      </c>
      <c r="L52" s="325">
        <f t="shared" ref="L52:O52" si="23">K52</f>
        <v>357031331749</v>
      </c>
      <c r="M52" s="325">
        <f t="shared" si="23"/>
        <v>357031331749</v>
      </c>
      <c r="N52" s="325">
        <f t="shared" si="23"/>
        <v>357031331749</v>
      </c>
      <c r="O52" s="325">
        <f t="shared" si="23"/>
        <v>357031331749</v>
      </c>
    </row>
    <row r="53" spans="1:15" ht="14.25" customHeight="1">
      <c r="A53" s="369" t="s">
        <v>95</v>
      </c>
      <c r="B53" s="369" t="s">
        <v>626</v>
      </c>
      <c r="C53" s="325">
        <v>-33322033371</v>
      </c>
      <c r="D53" s="325">
        <v>-39855802658</v>
      </c>
      <c r="E53" s="325">
        <v>-51194717748</v>
      </c>
      <c r="F53" s="325">
        <v>-70199480207</v>
      </c>
      <c r="G53" s="325">
        <v>-89157976584</v>
      </c>
      <c r="H53" s="325">
        <v>-81605814507</v>
      </c>
      <c r="I53" s="325">
        <v>-110776101644</v>
      </c>
      <c r="J53" s="325">
        <v>-145912180179</v>
      </c>
      <c r="K53" s="325">
        <f>J53-K54</f>
        <v>-165234492880.9169</v>
      </c>
      <c r="L53" s="325">
        <f t="shared" ref="L53:O53" si="24">K53-L54</f>
        <v>-184556805582.8338</v>
      </c>
      <c r="M53" s="325">
        <f t="shared" si="24"/>
        <v>-203879118284.7507</v>
      </c>
      <c r="N53" s="325">
        <f t="shared" si="24"/>
        <v>-223201430986.6676</v>
      </c>
      <c r="O53" s="325">
        <f t="shared" si="24"/>
        <v>-242523743688.5845</v>
      </c>
    </row>
    <row r="54" spans="1:15" ht="14.25" customHeight="1">
      <c r="A54" s="369" t="s">
        <v>548</v>
      </c>
      <c r="B54" s="369" t="s">
        <v>627</v>
      </c>
      <c r="C54" s="325"/>
      <c r="D54" s="325">
        <f>C53-D53</f>
        <v>6533769287</v>
      </c>
      <c r="E54" s="325">
        <f t="shared" ref="E54:J54" si="25">D53-E53</f>
        <v>11338915090</v>
      </c>
      <c r="F54" s="325">
        <f t="shared" si="25"/>
        <v>19004762459</v>
      </c>
      <c r="G54" s="325">
        <f t="shared" si="25"/>
        <v>18958496377</v>
      </c>
      <c r="H54" s="325">
        <f t="shared" si="25"/>
        <v>-7552162077</v>
      </c>
      <c r="I54" s="325">
        <f t="shared" si="25"/>
        <v>29170287137</v>
      </c>
      <c r="J54" s="325">
        <f t="shared" si="25"/>
        <v>35136078535</v>
      </c>
      <c r="K54" s="325">
        <f>K55*AVERAGE(J52:K52)</f>
        <v>19322312701.916904</v>
      </c>
      <c r="L54" s="325">
        <f t="shared" ref="L54:O54" si="26">L55*AVERAGE(K52:L52)</f>
        <v>19322312701.916904</v>
      </c>
      <c r="M54" s="325">
        <f t="shared" si="26"/>
        <v>19322312701.916904</v>
      </c>
      <c r="N54" s="325">
        <f t="shared" si="26"/>
        <v>19322312701.916904</v>
      </c>
      <c r="O54" s="325">
        <f t="shared" si="26"/>
        <v>19322312701.916904</v>
      </c>
    </row>
    <row r="55" spans="1:15" s="345" customFormat="1" ht="14.25" customHeight="1">
      <c r="A55" s="370" t="s">
        <v>549</v>
      </c>
      <c r="B55" s="370" t="s">
        <v>630</v>
      </c>
      <c r="C55" s="362"/>
      <c r="D55" s="349">
        <f>D54/AVERAGE(C52:D52)</f>
        <v>2.9607163641262882E-2</v>
      </c>
      <c r="E55" s="349">
        <f t="shared" ref="E55:I55" si="27">E54/AVERAGE(D52:E52)</f>
        <v>4.592651065080651E-2</v>
      </c>
      <c r="F55" s="349">
        <f t="shared" si="27"/>
        <v>6.2519493623045444E-2</v>
      </c>
      <c r="G55" s="349">
        <f t="shared" si="27"/>
        <v>5.5550641659761486E-2</v>
      </c>
      <c r="H55" s="349">
        <f t="shared" si="27"/>
        <v>-1.5712116938573044E-2</v>
      </c>
      <c r="I55" s="349">
        <f t="shared" si="27"/>
        <v>4.280746776360831E-2</v>
      </c>
      <c r="J55" s="349">
        <f>J54/AVERAGE(I52:J52)</f>
        <v>6.3792763714938666E-2</v>
      </c>
      <c r="K55" s="371">
        <f>AVERAGE(I55:J55,E55:G55)</f>
        <v>5.4119375482432078E-2</v>
      </c>
      <c r="L55" s="371">
        <f>K55</f>
        <v>5.4119375482432078E-2</v>
      </c>
      <c r="M55" s="371">
        <f t="shared" ref="M55:O55" si="28">L55</f>
        <v>5.4119375482432078E-2</v>
      </c>
      <c r="N55" s="371">
        <f t="shared" si="28"/>
        <v>5.4119375482432078E-2</v>
      </c>
      <c r="O55" s="371">
        <f t="shared" si="28"/>
        <v>5.4119375482432078E-2</v>
      </c>
    </row>
    <row r="56" spans="1:15" s="320" customFormat="1" ht="14.25" customHeight="1">
      <c r="A56" s="320" t="s">
        <v>98</v>
      </c>
      <c r="B56" s="320" t="s">
        <v>631</v>
      </c>
      <c r="C56" s="323">
        <v>202756917580</v>
      </c>
      <c r="D56" s="323">
        <v>191191085236</v>
      </c>
      <c r="E56" s="323">
        <v>179740530488</v>
      </c>
      <c r="F56" s="323">
        <v>576616510917</v>
      </c>
      <c r="G56" s="323">
        <v>564296973801</v>
      </c>
      <c r="H56" s="323">
        <v>548210755123</v>
      </c>
      <c r="I56" s="323">
        <v>629111776960</v>
      </c>
      <c r="J56" s="323">
        <v>593920277320</v>
      </c>
      <c r="K56" s="324">
        <f>K57+K58</f>
        <v>545485409883.68646</v>
      </c>
      <c r="L56" s="324">
        <f t="shared" ref="L56" si="29">L57+L58</f>
        <v>497050542447.37292</v>
      </c>
      <c r="M56" s="324">
        <f t="shared" ref="M56" si="30">M57+M58</f>
        <v>448615675011.05939</v>
      </c>
      <c r="N56" s="324">
        <f t="shared" ref="N56" si="31">N57+N58</f>
        <v>400180807574.74585</v>
      </c>
      <c r="O56" s="324">
        <f t="shared" ref="O56" si="32">O57+O58</f>
        <v>351745940138.43231</v>
      </c>
    </row>
    <row r="57" spans="1:15" ht="14.25" customHeight="1">
      <c r="A57" s="369" t="s">
        <v>94</v>
      </c>
      <c r="B57" s="369" t="s">
        <v>625</v>
      </c>
      <c r="C57" s="325">
        <v>245628493960</v>
      </c>
      <c r="D57" s="325">
        <v>246141517543</v>
      </c>
      <c r="E57" s="325">
        <v>246767060543</v>
      </c>
      <c r="F57" s="325">
        <v>663239742390</v>
      </c>
      <c r="G57" s="325">
        <v>681931844756</v>
      </c>
      <c r="H57" s="325">
        <v>698820145314</v>
      </c>
      <c r="I57" s="325">
        <v>859667015615</v>
      </c>
      <c r="J57" s="325">
        <v>859667015615</v>
      </c>
      <c r="K57" s="325">
        <f>J57</f>
        <v>859667015615</v>
      </c>
      <c r="L57" s="325">
        <f t="shared" ref="L57:O57" si="33">K57</f>
        <v>859667015615</v>
      </c>
      <c r="M57" s="325">
        <f t="shared" si="33"/>
        <v>859667015615</v>
      </c>
      <c r="N57" s="325">
        <f t="shared" si="33"/>
        <v>859667015615</v>
      </c>
      <c r="O57" s="325">
        <f t="shared" si="33"/>
        <v>859667015615</v>
      </c>
    </row>
    <row r="58" spans="1:15" ht="14.25" customHeight="1">
      <c r="A58" s="369" t="s">
        <v>95</v>
      </c>
      <c r="B58" s="369" t="s">
        <v>626</v>
      </c>
      <c r="C58" s="325">
        <v>-42871576380</v>
      </c>
      <c r="D58" s="325">
        <v>-54950432307</v>
      </c>
      <c r="E58" s="325">
        <v>-67026530055</v>
      </c>
      <c r="F58" s="325">
        <v>-86623231473</v>
      </c>
      <c r="G58" s="325">
        <v>-117634870955</v>
      </c>
      <c r="H58" s="325">
        <v>-150609390191</v>
      </c>
      <c r="I58" s="325">
        <v>-230555238655</v>
      </c>
      <c r="J58" s="325">
        <v>-265746738295</v>
      </c>
      <c r="K58" s="325">
        <f>J58-K59</f>
        <v>-314181605731.31354</v>
      </c>
      <c r="L58" s="325">
        <f t="shared" ref="L58" si="34">K58-L59</f>
        <v>-362616473167.62708</v>
      </c>
      <c r="M58" s="325">
        <f t="shared" ref="M58" si="35">L58-M59</f>
        <v>-411051340603.94061</v>
      </c>
      <c r="N58" s="325">
        <f t="shared" ref="N58" si="36">M58-N59</f>
        <v>-459486208040.25415</v>
      </c>
      <c r="O58" s="325">
        <f t="shared" ref="O58" si="37">N58-O59</f>
        <v>-507921075476.56769</v>
      </c>
    </row>
    <row r="59" spans="1:15" ht="14.25" customHeight="1">
      <c r="A59" s="369" t="s">
        <v>548</v>
      </c>
      <c r="B59" s="369" t="s">
        <v>627</v>
      </c>
      <c r="C59" s="325"/>
      <c r="D59" s="325">
        <f>C58-D58</f>
        <v>12078855927</v>
      </c>
      <c r="E59" s="325">
        <f t="shared" ref="E59:J59" si="38">D58-E58</f>
        <v>12076097748</v>
      </c>
      <c r="F59" s="325">
        <f t="shared" si="38"/>
        <v>19596701418</v>
      </c>
      <c r="G59" s="325">
        <f t="shared" si="38"/>
        <v>31011639482</v>
      </c>
      <c r="H59" s="325">
        <f t="shared" si="38"/>
        <v>32974519236</v>
      </c>
      <c r="I59" s="325">
        <f t="shared" si="38"/>
        <v>79945848464</v>
      </c>
      <c r="J59" s="325">
        <f t="shared" si="38"/>
        <v>35191499640</v>
      </c>
      <c r="K59" s="325">
        <f>K60*AVERAGE(J57:K57)</f>
        <v>48434867436.31353</v>
      </c>
      <c r="L59" s="325">
        <f t="shared" ref="L59" si="39">L60*AVERAGE(K57:L57)</f>
        <v>48434867436.31353</v>
      </c>
      <c r="M59" s="325">
        <f t="shared" ref="M59" si="40">M60*AVERAGE(L57:M57)</f>
        <v>48434867436.31353</v>
      </c>
      <c r="N59" s="325">
        <f t="shared" ref="N59" si="41">N60*AVERAGE(M57:N57)</f>
        <v>48434867436.31353</v>
      </c>
      <c r="O59" s="325">
        <f t="shared" ref="O59" si="42">O60*AVERAGE(N57:O57)</f>
        <v>48434867436.31353</v>
      </c>
    </row>
    <row r="60" spans="1:15" ht="14.25" customHeight="1">
      <c r="A60" s="370" t="s">
        <v>549</v>
      </c>
      <c r="B60" s="370" t="s">
        <v>630</v>
      </c>
      <c r="C60" s="325"/>
      <c r="D60" s="349">
        <f>D59/AVERAGE(C57:D57)</f>
        <v>4.9124003678399628E-2</v>
      </c>
      <c r="E60" s="349">
        <f t="shared" ref="E60" si="43">E59/AVERAGE(D57:E57)</f>
        <v>4.8999340992978327E-2</v>
      </c>
      <c r="F60" s="349">
        <f t="shared" ref="F60" si="44">F59/AVERAGE(E57:F57)</f>
        <v>4.3069351470425926E-2</v>
      </c>
      <c r="G60" s="349">
        <f t="shared" ref="G60" si="45">G59/AVERAGE(F57:G57)</f>
        <v>4.6108079858862068E-2</v>
      </c>
      <c r="H60" s="349">
        <f t="shared" ref="H60" si="46">H59/AVERAGE(G57:H57)</f>
        <v>4.7763131211316652E-2</v>
      </c>
      <c r="I60" s="349">
        <f t="shared" ref="I60" si="47">I59/AVERAGE(H57:I57)</f>
        <v>0.10259417012629736</v>
      </c>
      <c r="J60" s="349">
        <f>J59/AVERAGE(I57:J57)</f>
        <v>4.0936198552208307E-2</v>
      </c>
      <c r="K60" s="371">
        <f>AVERAGE(I60:J60,E60:G60)</f>
        <v>5.6341428200154399E-2</v>
      </c>
      <c r="L60" s="371">
        <f>K60</f>
        <v>5.6341428200154399E-2</v>
      </c>
      <c r="M60" s="371">
        <f t="shared" ref="M60:O60" si="48">L60</f>
        <v>5.6341428200154399E-2</v>
      </c>
      <c r="N60" s="371">
        <f t="shared" si="48"/>
        <v>5.6341428200154399E-2</v>
      </c>
      <c r="O60" s="371">
        <f t="shared" si="48"/>
        <v>5.6341428200154399E-2</v>
      </c>
    </row>
    <row r="61" spans="1:15" s="320" customFormat="1" ht="12.75">
      <c r="A61" s="332" t="s">
        <v>99</v>
      </c>
      <c r="B61" s="332" t="s">
        <v>632</v>
      </c>
      <c r="C61" s="323">
        <v>1154980172259</v>
      </c>
      <c r="D61" s="323">
        <v>5468751412626</v>
      </c>
      <c r="E61" s="323">
        <v>38107320507117</v>
      </c>
      <c r="F61" s="323">
        <v>37435320467014</v>
      </c>
      <c r="G61" s="323">
        <v>6247213506994</v>
      </c>
      <c r="H61" s="323">
        <v>9698699397713</v>
      </c>
      <c r="I61" s="323">
        <v>13363274912355</v>
      </c>
      <c r="J61" s="323">
        <v>26098929377501</v>
      </c>
      <c r="K61" s="324">
        <v>20000000000000</v>
      </c>
      <c r="L61" s="324">
        <v>20000000000000</v>
      </c>
      <c r="M61" s="324">
        <v>20000000000000</v>
      </c>
      <c r="N61" s="324">
        <v>5000000000000</v>
      </c>
      <c r="O61" s="324">
        <v>5000000000000</v>
      </c>
    </row>
    <row r="62" spans="1:15" s="320" customFormat="1" ht="12.75">
      <c r="A62" s="343" t="s">
        <v>100</v>
      </c>
      <c r="B62" s="343" t="s">
        <v>681</v>
      </c>
      <c r="C62" s="323">
        <v>47019409284</v>
      </c>
      <c r="D62" s="323">
        <v>742673512829</v>
      </c>
      <c r="E62" s="323">
        <v>910420483699</v>
      </c>
      <c r="F62" s="323">
        <v>750146398723</v>
      </c>
      <c r="G62" s="323">
        <v>918470731946</v>
      </c>
      <c r="H62" s="323">
        <v>1409414047105</v>
      </c>
      <c r="I62" s="323">
        <v>28953988212</v>
      </c>
      <c r="J62" s="323">
        <v>46356652469</v>
      </c>
      <c r="K62" s="321"/>
      <c r="L62" s="321"/>
      <c r="M62" s="321"/>
      <c r="N62" s="321"/>
      <c r="O62" s="321"/>
    </row>
    <row r="63" spans="1:15" s="320" customFormat="1" ht="14.25" customHeight="1">
      <c r="A63" s="343" t="s">
        <v>101</v>
      </c>
      <c r="B63" s="343" t="s">
        <v>682</v>
      </c>
      <c r="C63" s="323">
        <v>1107960762975</v>
      </c>
      <c r="D63" s="323">
        <v>4726077899797</v>
      </c>
      <c r="E63" s="323">
        <v>37196900023418</v>
      </c>
      <c r="F63" s="323">
        <v>36685174068291</v>
      </c>
      <c r="G63" s="323">
        <v>5328742775048</v>
      </c>
      <c r="H63" s="323">
        <v>8289285350608</v>
      </c>
      <c r="I63" s="323">
        <v>13334320924143</v>
      </c>
      <c r="J63" s="323">
        <v>26052572725032</v>
      </c>
      <c r="K63" s="321"/>
      <c r="L63" s="321"/>
      <c r="M63" s="321"/>
      <c r="N63" s="321"/>
      <c r="O63" s="321"/>
    </row>
    <row r="64" spans="1:15" s="320" customFormat="1" ht="14.25" customHeight="1">
      <c r="A64" s="320" t="s">
        <v>102</v>
      </c>
      <c r="B64" s="320" t="s">
        <v>633</v>
      </c>
      <c r="C64" s="323">
        <v>78864136876</v>
      </c>
      <c r="D64" s="323">
        <v>16951738400</v>
      </c>
      <c r="E64" s="323">
        <v>66584926457</v>
      </c>
      <c r="F64" s="323">
        <v>45794216642</v>
      </c>
      <c r="G64" s="323">
        <v>171085206311</v>
      </c>
      <c r="H64" s="323">
        <v>6715955617</v>
      </c>
      <c r="I64" s="323">
        <v>700000000</v>
      </c>
      <c r="J64" s="344">
        <v>40000000000</v>
      </c>
      <c r="K64" s="323">
        <f t="shared" ref="K64:O64" si="49">AVERAGE(H64:J64)</f>
        <v>15805318539</v>
      </c>
      <c r="L64" s="323">
        <f t="shared" si="49"/>
        <v>18835106179.666668</v>
      </c>
      <c r="M64" s="323">
        <f t="shared" si="49"/>
        <v>24880141572.888889</v>
      </c>
      <c r="N64" s="323">
        <f t="shared" si="49"/>
        <v>19840188763.851852</v>
      </c>
      <c r="O64" s="323">
        <f t="shared" si="49"/>
        <v>21185145505.469135</v>
      </c>
    </row>
    <row r="65" spans="1:25" ht="14.25" customHeight="1">
      <c r="A65" s="319" t="s">
        <v>103</v>
      </c>
      <c r="B65" s="319" t="s">
        <v>634</v>
      </c>
      <c r="C65" s="325"/>
      <c r="D65" s="325"/>
      <c r="E65" s="325"/>
      <c r="F65" s="325"/>
      <c r="G65" s="325"/>
      <c r="H65" s="325"/>
      <c r="I65" s="325"/>
      <c r="J65" s="325"/>
    </row>
    <row r="66" spans="1:25" ht="14.25" customHeight="1">
      <c r="A66" s="319" t="s">
        <v>104</v>
      </c>
      <c r="B66" s="319" t="s">
        <v>635</v>
      </c>
      <c r="C66" s="325">
        <v>3271387743</v>
      </c>
      <c r="D66" s="325"/>
      <c r="E66" s="325"/>
      <c r="F66" s="325">
        <v>-1431313615</v>
      </c>
      <c r="G66" s="325">
        <v>385206311</v>
      </c>
      <c r="H66" s="325">
        <v>6015955617</v>
      </c>
      <c r="I66" s="325"/>
      <c r="J66" s="325"/>
    </row>
    <row r="67" spans="1:25" ht="14.25" customHeight="1">
      <c r="A67" s="319" t="s">
        <v>105</v>
      </c>
      <c r="B67" s="319" t="s">
        <v>636</v>
      </c>
      <c r="C67" s="325">
        <v>15702128365</v>
      </c>
      <c r="D67" s="325">
        <v>15700000000</v>
      </c>
      <c r="E67" s="325">
        <v>700000000</v>
      </c>
      <c r="F67" s="325">
        <v>700000000</v>
      </c>
      <c r="G67" s="325">
        <v>700000000</v>
      </c>
      <c r="H67" s="325">
        <v>700000000</v>
      </c>
      <c r="I67" s="325">
        <v>700000000</v>
      </c>
      <c r="J67" s="325"/>
    </row>
    <row r="68" spans="1:25" ht="14.25" customHeight="1">
      <c r="A68" s="319" t="s">
        <v>106</v>
      </c>
      <c r="B68" s="319" t="s">
        <v>637</v>
      </c>
      <c r="C68" s="325"/>
      <c r="D68" s="325"/>
      <c r="E68" s="325"/>
      <c r="F68" s="325"/>
      <c r="G68" s="325"/>
      <c r="H68" s="325"/>
      <c r="I68" s="325"/>
      <c r="J68" s="325"/>
    </row>
    <row r="69" spans="1:25" ht="14.25" customHeight="1">
      <c r="A69" s="319" t="s">
        <v>107</v>
      </c>
      <c r="B69" s="319" t="s">
        <v>638</v>
      </c>
      <c r="C69" s="325">
        <v>59890620768</v>
      </c>
      <c r="D69" s="325">
        <v>1251738400</v>
      </c>
      <c r="E69" s="325">
        <v>65884926457</v>
      </c>
      <c r="F69" s="325">
        <v>46525530257</v>
      </c>
      <c r="G69" s="325">
        <v>170000000000</v>
      </c>
      <c r="H69" s="325"/>
      <c r="I69" s="325"/>
      <c r="J69" s="325">
        <v>40000000000</v>
      </c>
    </row>
    <row r="70" spans="1:25" s="320" customFormat="1" ht="14.25" customHeight="1">
      <c r="A70" s="320" t="s">
        <v>108</v>
      </c>
      <c r="B70" s="320" t="s">
        <v>639</v>
      </c>
      <c r="C70" s="323">
        <v>918531319407</v>
      </c>
      <c r="D70" s="323">
        <v>1057622949461</v>
      </c>
      <c r="E70" s="323">
        <v>1755774089572</v>
      </c>
      <c r="F70" s="323">
        <v>2004150482489</v>
      </c>
      <c r="G70" s="323">
        <v>1914757777153</v>
      </c>
      <c r="H70" s="323">
        <v>3737859869519</v>
      </c>
      <c r="I70" s="323">
        <v>4100323979117</v>
      </c>
      <c r="J70" s="323">
        <v>4454004867718</v>
      </c>
      <c r="K70" s="324">
        <f t="shared" ref="K70:O70" si="50">J70*(1+8%)</f>
        <v>4810325257135.4404</v>
      </c>
      <c r="L70" s="324">
        <f t="shared" si="50"/>
        <v>5195151277706.2764</v>
      </c>
      <c r="M70" s="324">
        <f t="shared" si="50"/>
        <v>5610763379922.7793</v>
      </c>
      <c r="N70" s="324">
        <f t="shared" si="50"/>
        <v>6059624450316.6016</v>
      </c>
      <c r="O70" s="324">
        <f t="shared" si="50"/>
        <v>6544394406341.9297</v>
      </c>
    </row>
    <row r="71" spans="1:25" ht="14.25" customHeight="1">
      <c r="A71" s="319" t="s">
        <v>109</v>
      </c>
      <c r="B71" s="319" t="s">
        <v>640</v>
      </c>
      <c r="C71" s="325">
        <v>716374249275</v>
      </c>
      <c r="D71" s="325">
        <v>832464153214</v>
      </c>
      <c r="E71" s="325">
        <v>1461311868435</v>
      </c>
      <c r="F71" s="325">
        <v>1650738623090</v>
      </c>
      <c r="G71" s="325">
        <v>1646094518464</v>
      </c>
      <c r="H71" s="325">
        <v>3171382188206</v>
      </c>
      <c r="I71" s="325">
        <v>3929243956403</v>
      </c>
      <c r="J71" s="325">
        <v>4215007972679</v>
      </c>
    </row>
    <row r="72" spans="1:25" ht="14.25" customHeight="1">
      <c r="A72" s="319" t="s">
        <v>110</v>
      </c>
      <c r="B72" s="319" t="s">
        <v>641</v>
      </c>
      <c r="C72" s="325">
        <v>127323104169</v>
      </c>
      <c r="D72" s="325">
        <v>170753319290</v>
      </c>
      <c r="E72" s="325">
        <v>206227896900</v>
      </c>
      <c r="F72" s="325">
        <v>292226687882</v>
      </c>
      <c r="G72" s="325">
        <v>225553308024</v>
      </c>
      <c r="H72" s="325">
        <v>529355730648</v>
      </c>
      <c r="I72" s="325">
        <v>83071062718</v>
      </c>
      <c r="J72" s="325">
        <v>163087876347</v>
      </c>
    </row>
    <row r="73" spans="1:25" ht="14.25" customHeight="1">
      <c r="A73" s="319" t="s">
        <v>111</v>
      </c>
      <c r="B73" s="319" t="s">
        <v>642</v>
      </c>
      <c r="C73" s="325"/>
      <c r="D73" s="325"/>
      <c r="E73" s="325"/>
      <c r="F73" s="325"/>
      <c r="G73" s="325"/>
      <c r="H73" s="325"/>
      <c r="I73" s="325"/>
      <c r="J73" s="325"/>
    </row>
    <row r="74" spans="1:25" ht="14.25" customHeight="1">
      <c r="A74" s="319" t="s">
        <v>112</v>
      </c>
      <c r="B74" s="319" t="s">
        <v>643</v>
      </c>
      <c r="C74" s="325"/>
      <c r="D74" s="325"/>
      <c r="E74" s="325"/>
      <c r="F74" s="325"/>
      <c r="G74" s="325"/>
      <c r="H74" s="325"/>
      <c r="I74" s="325"/>
      <c r="J74" s="325"/>
    </row>
    <row r="75" spans="1:25" ht="14.25" customHeight="1">
      <c r="A75" s="319" t="s">
        <v>113</v>
      </c>
      <c r="B75" s="319" t="s">
        <v>644</v>
      </c>
      <c r="C75" s="325">
        <v>74833965963</v>
      </c>
      <c r="D75" s="325">
        <v>54405476957</v>
      </c>
      <c r="E75" s="325">
        <v>88234324237</v>
      </c>
      <c r="F75" s="325">
        <v>61185171517</v>
      </c>
      <c r="G75" s="325">
        <v>43109950665</v>
      </c>
      <c r="H75" s="325">
        <v>37121950665</v>
      </c>
      <c r="I75" s="325">
        <v>88008959996</v>
      </c>
      <c r="J75" s="325">
        <v>75909018692</v>
      </c>
    </row>
    <row r="76" spans="1:25" ht="14.25" customHeight="1">
      <c r="A76" s="338" t="s">
        <v>114</v>
      </c>
      <c r="B76" s="338" t="s">
        <v>645</v>
      </c>
      <c r="C76" s="339">
        <v>33226552317885</v>
      </c>
      <c r="D76" s="339">
        <v>53022184778251</v>
      </c>
      <c r="E76" s="339">
        <v>78223007670925</v>
      </c>
      <c r="F76" s="339">
        <v>101776030099900</v>
      </c>
      <c r="G76" s="339">
        <v>131511434388837</v>
      </c>
      <c r="H76" s="339">
        <v>178236422358249</v>
      </c>
      <c r="I76" s="339">
        <v>170335519508132</v>
      </c>
      <c r="J76" s="339">
        <v>187782586563801</v>
      </c>
      <c r="K76" s="340">
        <f>K2+K34</f>
        <v>197549275327451.44</v>
      </c>
      <c r="L76" s="340">
        <f>L2+L34</f>
        <v>224321782919058.91</v>
      </c>
      <c r="M76" s="340">
        <f>M2+M34</f>
        <v>245732159250831.06</v>
      </c>
      <c r="N76" s="340">
        <f>N2+N34</f>
        <v>246963908130396.84</v>
      </c>
      <c r="O76" s="340">
        <f>O2+O34</f>
        <v>253607291621148.38</v>
      </c>
      <c r="P76" s="320"/>
      <c r="Q76" s="320"/>
      <c r="R76" s="320"/>
      <c r="S76" s="320"/>
      <c r="T76" s="320"/>
      <c r="U76" s="320"/>
      <c r="V76" s="320"/>
      <c r="W76" s="320"/>
      <c r="X76" s="320"/>
      <c r="Y76" s="320"/>
    </row>
    <row r="77" spans="1:25" ht="14.25" customHeight="1">
      <c r="A77" s="320"/>
      <c r="B77" s="320"/>
      <c r="C77" s="323"/>
      <c r="D77" s="329"/>
      <c r="E77" s="329"/>
      <c r="F77" s="329"/>
      <c r="G77" s="329"/>
      <c r="H77" s="329"/>
      <c r="I77" s="331"/>
      <c r="J77" s="329"/>
    </row>
    <row r="78" spans="1:25" ht="14.25" customHeight="1">
      <c r="A78" s="335" t="s">
        <v>116</v>
      </c>
      <c r="B78" s="335" t="s">
        <v>646</v>
      </c>
      <c r="C78" s="336">
        <v>13376291239921</v>
      </c>
      <c r="D78" s="336">
        <v>20624604566341</v>
      </c>
      <c r="E78" s="336">
        <v>37600057830115</v>
      </c>
      <c r="F78" s="336">
        <v>53989393956205</v>
      </c>
      <c r="G78" s="336">
        <v>72291648082726</v>
      </c>
      <c r="H78" s="336">
        <v>87455796846810</v>
      </c>
      <c r="I78" s="336">
        <v>74222579892349</v>
      </c>
      <c r="J78" s="336">
        <v>84946167324422</v>
      </c>
      <c r="K78" s="337">
        <f t="shared" ref="K78:O78" si="51">K80+K99</f>
        <v>84170615120969.125</v>
      </c>
      <c r="L78" s="337">
        <f t="shared" si="51"/>
        <v>95574938777736.25</v>
      </c>
      <c r="M78" s="337">
        <f t="shared" si="51"/>
        <v>99113184621493.813</v>
      </c>
      <c r="N78" s="337">
        <f t="shared" si="51"/>
        <v>87449196556303.125</v>
      </c>
      <c r="O78" s="337">
        <f t="shared" si="51"/>
        <v>81550471833712.984</v>
      </c>
      <c r="P78" s="320"/>
      <c r="Q78" s="320"/>
      <c r="R78" s="320"/>
      <c r="S78" s="320"/>
      <c r="T78" s="320"/>
      <c r="U78" s="320"/>
      <c r="V78" s="320"/>
      <c r="W78" s="320"/>
      <c r="X78" s="320"/>
      <c r="Y78" s="320"/>
    </row>
    <row r="79" spans="1:25" ht="14.25" customHeight="1">
      <c r="A79" s="320" t="s">
        <v>15</v>
      </c>
      <c r="B79" s="320" t="s">
        <v>15</v>
      </c>
      <c r="C79" s="323"/>
      <c r="D79" s="329">
        <f>D78/C78-1</f>
        <v>0.54187765475587901</v>
      </c>
      <c r="E79" s="331">
        <f t="shared" ref="E79:J79" si="52">E78/D78-1</f>
        <v>0.82306805976186559</v>
      </c>
      <c r="F79" s="329">
        <f t="shared" si="52"/>
        <v>0.4358859286903356</v>
      </c>
      <c r="G79" s="329">
        <f t="shared" si="52"/>
        <v>0.33899721381142722</v>
      </c>
      <c r="H79" s="329">
        <f t="shared" si="52"/>
        <v>0.20976349504068725</v>
      </c>
      <c r="I79" s="329">
        <f t="shared" si="52"/>
        <v>-0.15131320543154703</v>
      </c>
      <c r="J79" s="329">
        <f t="shared" si="52"/>
        <v>0.14447877516015062</v>
      </c>
      <c r="K79" s="328"/>
      <c r="L79" s="328"/>
      <c r="M79" s="328"/>
      <c r="N79" s="328"/>
      <c r="O79" s="328"/>
    </row>
    <row r="80" spans="1:25" ht="14.25" customHeight="1">
      <c r="A80" s="351" t="s">
        <v>117</v>
      </c>
      <c r="B80" s="351" t="s">
        <v>647</v>
      </c>
      <c r="C80" s="352">
        <v>11985020235150</v>
      </c>
      <c r="D80" s="352">
        <v>18519722634329</v>
      </c>
      <c r="E80" s="352">
        <v>22636149492136</v>
      </c>
      <c r="F80" s="352">
        <v>26984198187977</v>
      </c>
      <c r="G80" s="352">
        <v>51975217447498</v>
      </c>
      <c r="H80" s="352">
        <v>73459315876441</v>
      </c>
      <c r="I80" s="352">
        <v>62385390680685</v>
      </c>
      <c r="J80" s="352">
        <v>71513492904733</v>
      </c>
      <c r="K80" s="353">
        <f t="shared" ref="K80:O80" si="53">SUM(K81,K83:K87,K91:K93,K95,K96)</f>
        <v>65453879805200.875</v>
      </c>
      <c r="L80" s="353">
        <f t="shared" si="53"/>
        <v>80166173184857.953</v>
      </c>
      <c r="M80" s="353">
        <f t="shared" si="53"/>
        <v>86712342340262.438</v>
      </c>
      <c r="N80" s="353">
        <f t="shared" si="53"/>
        <v>77722580796332.906</v>
      </c>
      <c r="O80" s="353">
        <f t="shared" si="53"/>
        <v>73297635012067.422</v>
      </c>
      <c r="P80" s="320"/>
      <c r="Q80" s="320"/>
      <c r="R80" s="320"/>
      <c r="S80" s="320"/>
      <c r="T80" s="320"/>
      <c r="U80" s="320"/>
      <c r="V80" s="320"/>
      <c r="W80" s="320"/>
      <c r="X80" s="320"/>
      <c r="Y80" s="320"/>
    </row>
    <row r="81" spans="1:25" ht="14.25" customHeight="1">
      <c r="A81" s="319" t="s">
        <v>118</v>
      </c>
      <c r="B81" s="319" t="s">
        <v>648</v>
      </c>
      <c r="C81" s="325">
        <v>3733634506722</v>
      </c>
      <c r="D81" s="325">
        <v>4226437580299</v>
      </c>
      <c r="E81" s="325">
        <v>8706913341857</v>
      </c>
      <c r="F81" s="325">
        <v>7507198913115</v>
      </c>
      <c r="G81" s="325">
        <v>10915752723952</v>
      </c>
      <c r="H81" s="325">
        <v>23729142569420</v>
      </c>
      <c r="I81" s="325">
        <v>11107160795326</v>
      </c>
      <c r="J81" s="325">
        <v>12387496434147</v>
      </c>
      <c r="K81" s="328">
        <f t="shared" ref="K81:O81" si="54">J81*(1+10%)</f>
        <v>13626246077561.701</v>
      </c>
      <c r="L81" s="328">
        <f t="shared" si="54"/>
        <v>14988870685317.873</v>
      </c>
      <c r="M81" s="328">
        <f t="shared" si="54"/>
        <v>16487757753849.662</v>
      </c>
      <c r="N81" s="328">
        <f t="shared" si="54"/>
        <v>18136533529234.629</v>
      </c>
      <c r="O81" s="328">
        <f t="shared" si="54"/>
        <v>19950186882158.094</v>
      </c>
    </row>
    <row r="82" spans="1:25" s="348" customFormat="1" ht="14.25" customHeight="1">
      <c r="A82" s="348" t="s">
        <v>119</v>
      </c>
      <c r="B82" s="348" t="s">
        <v>649</v>
      </c>
      <c r="C82" s="349">
        <f t="shared" ref="C82:O82" si="55">C81/C78</f>
        <v>0.27912329656662371</v>
      </c>
      <c r="D82" s="349">
        <f t="shared" si="55"/>
        <v>0.20492211458911913</v>
      </c>
      <c r="E82" s="349">
        <f t="shared" si="55"/>
        <v>0.23156648804096719</v>
      </c>
      <c r="F82" s="349">
        <f t="shared" si="55"/>
        <v>0.13904951256175746</v>
      </c>
      <c r="G82" s="349">
        <f t="shared" si="55"/>
        <v>0.15099604191428451</v>
      </c>
      <c r="H82" s="349">
        <f t="shared" si="55"/>
        <v>0.27132726960323311</v>
      </c>
      <c r="I82" s="349">
        <f t="shared" si="55"/>
        <v>0.14964665485133516</v>
      </c>
      <c r="J82" s="349">
        <f t="shared" si="55"/>
        <v>0.14582760852337592</v>
      </c>
      <c r="K82" s="349">
        <f t="shared" si="55"/>
        <v>0.16188839843903011</v>
      </c>
      <c r="L82" s="349">
        <f t="shared" si="55"/>
        <v>0.15682846232499459</v>
      </c>
      <c r="M82" s="349">
        <f t="shared" si="55"/>
        <v>0.16635281992819859</v>
      </c>
      <c r="N82" s="349">
        <f t="shared" si="55"/>
        <v>0.2073950847285102</v>
      </c>
      <c r="O82" s="349">
        <f t="shared" si="55"/>
        <v>0.24463606933921725</v>
      </c>
    </row>
    <row r="83" spans="1:25" ht="14.25" customHeight="1">
      <c r="A83" s="330" t="s">
        <v>120</v>
      </c>
      <c r="B83" s="330" t="s">
        <v>744</v>
      </c>
      <c r="C83" s="325">
        <v>1036123955455</v>
      </c>
      <c r="D83" s="325">
        <v>824276288448</v>
      </c>
      <c r="E83" s="325">
        <v>361444408581</v>
      </c>
      <c r="F83" s="325">
        <v>408691837688</v>
      </c>
      <c r="G83" s="325">
        <v>1257272765123</v>
      </c>
      <c r="H83" s="325">
        <v>788002603134</v>
      </c>
      <c r="I83" s="325">
        <v>860793139245</v>
      </c>
      <c r="J83" s="325">
        <v>741733890580</v>
      </c>
      <c r="K83" s="328">
        <f t="shared" ref="K83:O83" si="56">AVERAGE(H83:J83)</f>
        <v>796843210986.33337</v>
      </c>
      <c r="L83" s="328">
        <f t="shared" si="56"/>
        <v>799790080270.44446</v>
      </c>
      <c r="M83" s="328">
        <f t="shared" si="56"/>
        <v>779455727278.9259</v>
      </c>
      <c r="N83" s="328">
        <f t="shared" si="56"/>
        <v>792029672845.2345</v>
      </c>
      <c r="O83" s="328">
        <f t="shared" si="56"/>
        <v>790425160131.53503</v>
      </c>
    </row>
    <row r="84" spans="1:25" ht="14.25" customHeight="1">
      <c r="A84" s="330" t="s">
        <v>121</v>
      </c>
      <c r="B84" s="330" t="s">
        <v>650</v>
      </c>
      <c r="C84" s="325">
        <v>744422755457</v>
      </c>
      <c r="D84" s="325">
        <v>378251543847</v>
      </c>
      <c r="E84" s="325">
        <v>481510200714</v>
      </c>
      <c r="F84" s="325">
        <v>478426384718</v>
      </c>
      <c r="G84" s="325">
        <v>548579261453</v>
      </c>
      <c r="H84" s="325">
        <v>796022241121</v>
      </c>
      <c r="I84" s="325">
        <v>648407591981</v>
      </c>
      <c r="J84" s="325">
        <v>945404457633</v>
      </c>
      <c r="K84" s="328">
        <f>K85*'IS HPG (base)'!K2</f>
        <v>737321026201.19897</v>
      </c>
      <c r="L84" s="328">
        <f>L85*'IS HPG (base)'!L2</f>
        <v>1010736198183.7833</v>
      </c>
      <c r="M84" s="328">
        <f>M85*'IS HPG (base)'!M2</f>
        <v>1437546887313.0386</v>
      </c>
      <c r="N84" s="328">
        <f>N85*'IS HPG (base)'!N2</f>
        <v>1505048802645.7844</v>
      </c>
      <c r="O84" s="328">
        <f>O85*'IS HPG (base)'!O2</f>
        <v>1577706797361.2378</v>
      </c>
    </row>
    <row r="85" spans="1:25" ht="14.25" customHeight="1">
      <c r="A85" s="330" t="s">
        <v>22</v>
      </c>
      <c r="B85" s="330" t="s">
        <v>22</v>
      </c>
      <c r="C85" s="327">
        <f>C84/'IS HPG (base)'!C2</f>
        <v>2.1969164171209105E-2</v>
      </c>
      <c r="D85" s="327">
        <f>D84/'IS HPG (base)'!D2</f>
        <v>8.0728406949475764E-3</v>
      </c>
      <c r="E85" s="327">
        <f>E84/'IS HPG (base)'!E2</f>
        <v>8.5101907915872427E-3</v>
      </c>
      <c r="F85" s="327">
        <f>F84/'IS HPG (base)'!F2</f>
        <v>7.397060449976945E-3</v>
      </c>
      <c r="G85" s="327">
        <f>G84/'IS HPG (base)'!G2</f>
        <v>6.0099147712823972E-3</v>
      </c>
      <c r="H85" s="327">
        <f>H84/'IS HPG (base)'!H2</f>
        <v>5.276375181778409E-3</v>
      </c>
      <c r="I85" s="327">
        <f>I84/'IS HPG (base)'!I2</f>
        <v>4.541597746114792E-3</v>
      </c>
      <c r="J85" s="327">
        <f>J84/'IS HPG (base)'!J2</f>
        <v>7.8551172636040709E-3</v>
      </c>
      <c r="K85" s="327">
        <f t="shared" ref="K85:O85" si="57">AVERAGE(H85:J85)</f>
        <v>5.8910300638324239E-3</v>
      </c>
      <c r="L85" s="327">
        <f t="shared" si="57"/>
        <v>6.0959150245170962E-3</v>
      </c>
      <c r="M85" s="327">
        <f t="shared" si="57"/>
        <v>6.6140207839845309E-3</v>
      </c>
      <c r="N85" s="327">
        <f t="shared" si="57"/>
        <v>6.2003219574446843E-3</v>
      </c>
      <c r="O85" s="327">
        <f t="shared" si="57"/>
        <v>6.3034192553154374E-3</v>
      </c>
    </row>
    <row r="86" spans="1:25" ht="14.25" customHeight="1">
      <c r="A86" s="330" t="s">
        <v>122</v>
      </c>
      <c r="B86" s="330" t="s">
        <v>651</v>
      </c>
      <c r="C86" s="325">
        <v>262345657297</v>
      </c>
      <c r="D86" s="325">
        <v>294643257677</v>
      </c>
      <c r="E86" s="325">
        <v>252288255386</v>
      </c>
      <c r="F86" s="325">
        <v>247936926136</v>
      </c>
      <c r="G86" s="325">
        <v>313099678402</v>
      </c>
      <c r="H86" s="325">
        <v>816457005628</v>
      </c>
      <c r="I86" s="325">
        <v>306208839467</v>
      </c>
      <c r="J86" s="325">
        <v>403391467732</v>
      </c>
      <c r="K86" s="328">
        <f t="shared" ref="K86:O86" si="58">J86*(1+20%)</f>
        <v>484069761278.39996</v>
      </c>
      <c r="L86" s="328">
        <f t="shared" si="58"/>
        <v>580883713534.07996</v>
      </c>
      <c r="M86" s="328">
        <f t="shared" si="58"/>
        <v>697060456240.89587</v>
      </c>
      <c r="N86" s="328">
        <f t="shared" si="58"/>
        <v>836472547489.07507</v>
      </c>
      <c r="O86" s="328">
        <f t="shared" si="58"/>
        <v>1003767056986.89</v>
      </c>
    </row>
    <row r="87" spans="1:25" ht="14.25" customHeight="1">
      <c r="A87" s="330" t="s">
        <v>123</v>
      </c>
      <c r="B87" s="330" t="s">
        <v>652</v>
      </c>
      <c r="C87" s="325">
        <v>159606432529</v>
      </c>
      <c r="D87" s="325">
        <v>308755056470</v>
      </c>
      <c r="E87" s="325">
        <v>261634131158</v>
      </c>
      <c r="F87" s="325">
        <v>429777297411</v>
      </c>
      <c r="G87" s="325">
        <v>640129684182</v>
      </c>
      <c r="H87" s="325">
        <v>772615123352</v>
      </c>
      <c r="I87" s="325">
        <v>460508546638</v>
      </c>
      <c r="J87" s="325">
        <v>477102216071</v>
      </c>
      <c r="K87" s="328">
        <f>K88*'IS HPG (base)'!K2</f>
        <v>513608408145.70172</v>
      </c>
      <c r="L87" s="328">
        <f>L88*'IS HPG (base)'!L2</f>
        <v>624160539429.9408</v>
      </c>
      <c r="M87" s="328">
        <f>M88*'IS HPG (base)'!M2</f>
        <v>857232797918.16858</v>
      </c>
      <c r="N87" s="328">
        <f>N88*'IS HPG (base)'!N2</f>
        <v>955743710927.46985</v>
      </c>
      <c r="O87" s="328">
        <f>O88*'IS HPG (base)'!O2</f>
        <v>971625795007.76123</v>
      </c>
    </row>
    <row r="88" spans="1:25" s="345" customFormat="1" ht="14.25" customHeight="1">
      <c r="A88" s="372" t="s">
        <v>22</v>
      </c>
      <c r="B88" s="372" t="s">
        <v>22</v>
      </c>
      <c r="C88" s="347">
        <f>C87/'IS HPG (base)'!C2</f>
        <v>4.7102535398155917E-3</v>
      </c>
      <c r="D88" s="347">
        <f>D87/'IS HPG (base)'!D2</f>
        <v>6.5896106048679171E-3</v>
      </c>
      <c r="E88" s="347">
        <f>E87/'IS HPG (base)'!E2</f>
        <v>4.6241104974393604E-3</v>
      </c>
      <c r="F88" s="347">
        <f>F87/'IS HPG (base)'!F2</f>
        <v>6.6448857139238772E-3</v>
      </c>
      <c r="G88" s="347">
        <f>G87/'IS HPG (base)'!G2</f>
        <v>7.012887862935269E-3</v>
      </c>
      <c r="H88" s="347">
        <f>H87/'IS HPG (base)'!H2</f>
        <v>5.1212228143026079E-3</v>
      </c>
      <c r="I88" s="347">
        <f>I87/'IS HPG (base)'!I2</f>
        <v>3.2255090830877009E-3</v>
      </c>
      <c r="J88" s="347">
        <f>J87/'IS HPG (base)'!J2</f>
        <v>3.9641169699433584E-3</v>
      </c>
      <c r="K88" s="347">
        <f t="shared" ref="K88:O88" si="59">AVERAGE(H88:J88)</f>
        <v>4.1036162891112228E-3</v>
      </c>
      <c r="L88" s="347">
        <f t="shared" si="59"/>
        <v>3.7644141140474271E-3</v>
      </c>
      <c r="M88" s="347">
        <f t="shared" si="59"/>
        <v>3.9440491243673357E-3</v>
      </c>
      <c r="N88" s="347">
        <f t="shared" si="59"/>
        <v>3.9373598425086623E-3</v>
      </c>
      <c r="O88" s="347">
        <f t="shared" si="59"/>
        <v>3.8819410269744746E-3</v>
      </c>
    </row>
    <row r="89" spans="1:25" ht="12.75">
      <c r="A89" s="330" t="s">
        <v>124</v>
      </c>
      <c r="B89" s="330" t="s">
        <v>745</v>
      </c>
      <c r="C89" s="325"/>
      <c r="D89" s="325"/>
      <c r="E89" s="325"/>
      <c r="F89" s="325"/>
      <c r="G89" s="325"/>
      <c r="H89" s="325"/>
      <c r="I89" s="325"/>
      <c r="J89" s="325"/>
      <c r="K89" s="328"/>
      <c r="L89" s="328"/>
      <c r="M89" s="328"/>
      <c r="N89" s="328"/>
      <c r="O89" s="328"/>
    </row>
    <row r="90" spans="1:25" ht="12.75">
      <c r="A90" s="330" t="s">
        <v>125</v>
      </c>
      <c r="B90" s="330" t="s">
        <v>746</v>
      </c>
      <c r="C90" s="325"/>
      <c r="D90" s="325"/>
      <c r="E90" s="325"/>
      <c r="F90" s="325"/>
      <c r="G90" s="325"/>
      <c r="H90" s="325"/>
      <c r="I90" s="325"/>
      <c r="J90" s="325"/>
      <c r="K90" s="328"/>
      <c r="L90" s="328"/>
      <c r="M90" s="328"/>
      <c r="N90" s="328"/>
      <c r="O90" s="328"/>
    </row>
    <row r="91" spans="1:25" ht="14.25" customHeight="1">
      <c r="A91" s="330" t="s">
        <v>126</v>
      </c>
      <c r="B91" s="330" t="s">
        <v>653</v>
      </c>
      <c r="C91" s="325">
        <v>5433344113</v>
      </c>
      <c r="D91" s="325">
        <v>2863469241</v>
      </c>
      <c r="E91" s="325">
        <v>9929720982</v>
      </c>
      <c r="F91" s="325">
        <v>27406111996</v>
      </c>
      <c r="G91" s="325">
        <v>34564307818</v>
      </c>
      <c r="H91" s="325">
        <v>16951911160</v>
      </c>
      <c r="I91" s="325">
        <v>16974936888</v>
      </c>
      <c r="J91" s="325">
        <v>9979596501</v>
      </c>
      <c r="K91" s="328">
        <f t="shared" ref="K91:O91" si="60">AVERAGE(H91:J91)</f>
        <v>14635481516.333334</v>
      </c>
      <c r="L91" s="328">
        <f t="shared" si="60"/>
        <v>13863338301.777779</v>
      </c>
      <c r="M91" s="328">
        <f t="shared" si="60"/>
        <v>12826138773.037039</v>
      </c>
      <c r="N91" s="328">
        <f t="shared" si="60"/>
        <v>13774986197.049385</v>
      </c>
      <c r="O91" s="328">
        <f t="shared" si="60"/>
        <v>13488154423.954735</v>
      </c>
    </row>
    <row r="92" spans="1:25" ht="14.25" customHeight="1">
      <c r="A92" s="330" t="s">
        <v>127</v>
      </c>
      <c r="B92" s="330" t="s">
        <v>654</v>
      </c>
      <c r="C92" s="325">
        <v>140603236406</v>
      </c>
      <c r="D92" s="325">
        <v>442135349194</v>
      </c>
      <c r="E92" s="325">
        <v>300069780261</v>
      </c>
      <c r="F92" s="325">
        <v>237391747239</v>
      </c>
      <c r="G92" s="325">
        <v>328061400351</v>
      </c>
      <c r="H92" s="325">
        <v>1047158508079</v>
      </c>
      <c r="I92" s="325">
        <v>418512269668</v>
      </c>
      <c r="J92" s="325">
        <v>182970590524</v>
      </c>
      <c r="K92" s="328">
        <f t="shared" ref="K92:O92" si="61">AVERAGE(H92:J92)</f>
        <v>549547122757</v>
      </c>
      <c r="L92" s="328">
        <f t="shared" si="61"/>
        <v>383676660983</v>
      </c>
      <c r="M92" s="328">
        <f t="shared" si="61"/>
        <v>372064791421.33331</v>
      </c>
      <c r="N92" s="328">
        <f t="shared" si="61"/>
        <v>435096191720.4444</v>
      </c>
      <c r="O92" s="328">
        <f t="shared" si="61"/>
        <v>396945881374.92584</v>
      </c>
    </row>
    <row r="93" spans="1:25" ht="14.25" customHeight="1">
      <c r="A93" s="375" t="s">
        <v>128</v>
      </c>
      <c r="B93" s="375" t="s">
        <v>655</v>
      </c>
      <c r="C93" s="376">
        <v>5488170638894</v>
      </c>
      <c r="D93" s="376">
        <v>11328518776500</v>
      </c>
      <c r="E93" s="376">
        <v>11494717393327</v>
      </c>
      <c r="F93" s="376">
        <v>16837653470387</v>
      </c>
      <c r="G93" s="376">
        <v>36798465672104</v>
      </c>
      <c r="H93" s="376">
        <v>43747643082356</v>
      </c>
      <c r="I93" s="376">
        <v>46748670400471</v>
      </c>
      <c r="J93" s="376">
        <v>54981883180636</v>
      </c>
      <c r="K93" s="377">
        <f>K94*SUM(K10,K22,K27)</f>
        <v>47082606028720.523</v>
      </c>
      <c r="L93" s="377">
        <f t="shared" ref="L93:O93" si="62">L94*SUM(L10,L22,L27)</f>
        <v>60147295995522.5</v>
      </c>
      <c r="M93" s="377">
        <f t="shared" si="62"/>
        <v>64518587876714.969</v>
      </c>
      <c r="N93" s="377">
        <f t="shared" si="62"/>
        <v>53442645164573.008</v>
      </c>
      <c r="O93" s="377">
        <f t="shared" si="62"/>
        <v>47002841926367.297</v>
      </c>
      <c r="P93" s="320"/>
      <c r="Q93" s="320"/>
      <c r="R93" s="320"/>
      <c r="S93" s="320"/>
      <c r="T93" s="320"/>
      <c r="U93" s="320"/>
      <c r="V93" s="320"/>
      <c r="W93" s="320"/>
      <c r="X93" s="320"/>
      <c r="Y93" s="320"/>
    </row>
    <row r="94" spans="1:25" s="350" customFormat="1" ht="14.25" customHeight="1">
      <c r="A94" s="373" t="s">
        <v>550</v>
      </c>
      <c r="B94" s="373" t="s">
        <v>656</v>
      </c>
      <c r="C94" s="349">
        <f>C93/SUM(C10,C22,C27)</f>
        <v>0.42443189669652448</v>
      </c>
      <c r="D94" s="349">
        <f t="shared" ref="D94:I94" si="63">D93/SUM(D10,D22,D27)</f>
        <v>0.60045010374088004</v>
      </c>
      <c r="E94" s="349">
        <f t="shared" si="63"/>
        <v>0.60281039730043873</v>
      </c>
      <c r="F94" s="349">
        <f t="shared" si="63"/>
        <v>0.6867551201009171</v>
      </c>
      <c r="G94" s="349">
        <f t="shared" si="63"/>
        <v>1.053667693502331</v>
      </c>
      <c r="H94" s="349">
        <f t="shared" si="63"/>
        <v>0.81851875255611184</v>
      </c>
      <c r="I94" s="349">
        <f t="shared" si="63"/>
        <v>1.0180044326431477</v>
      </c>
      <c r="J94" s="349">
        <f>J93/SUM(J10,J22,J27)</f>
        <v>1.1386445631727473</v>
      </c>
      <c r="K94" s="349">
        <f>AVERAGE(H94:J94)</f>
        <v>0.99172258279066894</v>
      </c>
      <c r="L94" s="349">
        <f>K94</f>
        <v>0.99172258279066894</v>
      </c>
      <c r="M94" s="349">
        <v>0.8</v>
      </c>
      <c r="N94" s="349">
        <v>0.6</v>
      </c>
      <c r="O94" s="349">
        <v>0.5</v>
      </c>
    </row>
    <row r="95" spans="1:25" ht="14.25" customHeight="1">
      <c r="A95" s="330" t="s">
        <v>129</v>
      </c>
      <c r="B95" s="330" t="s">
        <v>657</v>
      </c>
      <c r="C95" s="325">
        <v>14918462172</v>
      </c>
      <c r="D95" s="325">
        <v>8150637096</v>
      </c>
      <c r="E95" s="325">
        <v>6238723132</v>
      </c>
      <c r="F95" s="325">
        <v>3111122885</v>
      </c>
      <c r="G95" s="325">
        <v>5846534626</v>
      </c>
      <c r="H95" s="325">
        <v>4755735476</v>
      </c>
      <c r="I95" s="325">
        <v>5198833687</v>
      </c>
      <c r="J95" s="325">
        <v>8054106025</v>
      </c>
      <c r="K95" s="328">
        <f t="shared" ref="K95:O95" si="64">AVERAGE(H95:J95)</f>
        <v>6002891729.333333</v>
      </c>
      <c r="L95" s="328">
        <f t="shared" si="64"/>
        <v>6418610480.4444437</v>
      </c>
      <c r="M95" s="328">
        <f t="shared" si="64"/>
        <v>6825202744.9259253</v>
      </c>
      <c r="N95" s="328">
        <f t="shared" si="64"/>
        <v>6415568318.2345667</v>
      </c>
      <c r="O95" s="328">
        <f t="shared" si="64"/>
        <v>6553127181.2016449</v>
      </c>
    </row>
    <row r="96" spans="1:25" ht="12.75">
      <c r="A96" s="330" t="s">
        <v>130</v>
      </c>
      <c r="B96" s="330" t="s">
        <v>658</v>
      </c>
      <c r="C96" s="325">
        <v>399761246105</v>
      </c>
      <c r="D96" s="325">
        <v>705690675557</v>
      </c>
      <c r="E96" s="325">
        <v>761403536738</v>
      </c>
      <c r="F96" s="325">
        <v>806604376402</v>
      </c>
      <c r="G96" s="325">
        <v>1133445419487</v>
      </c>
      <c r="H96" s="325">
        <v>1740567096715</v>
      </c>
      <c r="I96" s="325">
        <v>1812955327314</v>
      </c>
      <c r="J96" s="325">
        <v>1375476964884</v>
      </c>
      <c r="K96" s="325">
        <f t="shared" ref="K96:O96" si="65">AVERAGE(H96:J96)</f>
        <v>1642999796304.3333</v>
      </c>
      <c r="L96" s="325">
        <f t="shared" si="65"/>
        <v>1610477362834.1111</v>
      </c>
      <c r="M96" s="325">
        <f t="shared" si="65"/>
        <v>1542984708007.4814</v>
      </c>
      <c r="N96" s="325">
        <f t="shared" si="65"/>
        <v>1598820622381.9753</v>
      </c>
      <c r="O96" s="325">
        <f t="shared" si="65"/>
        <v>1584094231074.5227</v>
      </c>
    </row>
    <row r="97" spans="1:25" ht="12.75">
      <c r="A97" s="330" t="s">
        <v>131</v>
      </c>
      <c r="B97" s="330" t="s">
        <v>747</v>
      </c>
      <c r="C97" s="325"/>
      <c r="D97" s="325"/>
      <c r="E97" s="325"/>
      <c r="F97" s="325"/>
      <c r="G97" s="325"/>
      <c r="H97" s="325"/>
      <c r="I97" s="325"/>
      <c r="J97" s="325"/>
    </row>
    <row r="98" spans="1:25" ht="12.75">
      <c r="A98" s="330" t="s">
        <v>132</v>
      </c>
      <c r="B98" s="330" t="s">
        <v>748</v>
      </c>
      <c r="C98" s="325"/>
      <c r="D98" s="325"/>
      <c r="E98" s="325"/>
      <c r="F98" s="325"/>
      <c r="G98" s="325"/>
      <c r="H98" s="325"/>
      <c r="I98" s="325"/>
      <c r="J98" s="325"/>
    </row>
    <row r="99" spans="1:25" ht="14.25" customHeight="1">
      <c r="A99" s="354" t="s">
        <v>133</v>
      </c>
      <c r="B99" s="354" t="s">
        <v>659</v>
      </c>
      <c r="C99" s="352">
        <v>1391271004771</v>
      </c>
      <c r="D99" s="352">
        <v>2104881932012</v>
      </c>
      <c r="E99" s="352">
        <v>14963908337979</v>
      </c>
      <c r="F99" s="352">
        <v>27005195768228</v>
      </c>
      <c r="G99" s="352">
        <v>20316430635228</v>
      </c>
      <c r="H99" s="352">
        <v>13996480970369</v>
      </c>
      <c r="I99" s="352">
        <v>11837189211664</v>
      </c>
      <c r="J99" s="352">
        <v>13432674419689</v>
      </c>
      <c r="K99" s="353">
        <f t="shared" ref="K99:O99" si="66">SUM(K100:K102,K105:K113)</f>
        <v>18716735315768.246</v>
      </c>
      <c r="L99" s="353">
        <f t="shared" si="66"/>
        <v>15408765592878.297</v>
      </c>
      <c r="M99" s="353">
        <f t="shared" si="66"/>
        <v>12400842281231.381</v>
      </c>
      <c r="N99" s="353">
        <f t="shared" si="66"/>
        <v>9726615759970.2188</v>
      </c>
      <c r="O99" s="353">
        <f t="shared" si="66"/>
        <v>8252836821645.5684</v>
      </c>
      <c r="P99" s="320"/>
      <c r="Q99" s="320"/>
      <c r="R99" s="320"/>
      <c r="S99" s="320"/>
      <c r="T99" s="320"/>
      <c r="U99" s="320"/>
      <c r="V99" s="320"/>
      <c r="W99" s="320"/>
      <c r="X99" s="320"/>
      <c r="Y99" s="320"/>
    </row>
    <row r="100" spans="1:25" ht="14.25" customHeight="1">
      <c r="A100" s="330" t="s">
        <v>134</v>
      </c>
      <c r="B100" s="330" t="s">
        <v>660</v>
      </c>
      <c r="C100" s="325"/>
      <c r="D100" s="325"/>
      <c r="E100" s="325">
        <v>1647091707192</v>
      </c>
      <c r="F100" s="325">
        <v>6652492138554</v>
      </c>
      <c r="G100" s="325">
        <v>2637987658239</v>
      </c>
      <c r="H100" s="325"/>
      <c r="I100" s="325"/>
      <c r="J100" s="325">
        <v>2324285289468</v>
      </c>
      <c r="K100" s="325">
        <v>2324285289468</v>
      </c>
      <c r="L100" s="325">
        <v>2324285289468</v>
      </c>
      <c r="M100" s="325">
        <v>2324285289468</v>
      </c>
      <c r="N100" s="325">
        <v>2324285289468</v>
      </c>
      <c r="O100" s="325">
        <v>2324285289468</v>
      </c>
    </row>
    <row r="101" spans="1:25" ht="14.25" customHeight="1">
      <c r="A101" s="330" t="s">
        <v>135</v>
      </c>
      <c r="B101" s="330" t="s">
        <v>661</v>
      </c>
      <c r="C101" s="325"/>
      <c r="D101" s="325"/>
      <c r="E101" s="325"/>
      <c r="F101" s="325"/>
      <c r="G101" s="325"/>
      <c r="H101" s="325"/>
      <c r="I101" s="325"/>
      <c r="J101" s="325"/>
    </row>
    <row r="102" spans="1:25" ht="14.25" customHeight="1">
      <c r="A102" s="330" t="s">
        <v>136</v>
      </c>
      <c r="B102" s="330" t="s">
        <v>662</v>
      </c>
      <c r="C102" s="325">
        <v>280768142325</v>
      </c>
      <c r="D102" s="325">
        <v>386454362041</v>
      </c>
      <c r="E102" s="325">
        <v>451100573027</v>
      </c>
      <c r="F102" s="325">
        <v>427328992030</v>
      </c>
      <c r="G102" s="325">
        <v>223664493846</v>
      </c>
      <c r="H102" s="325">
        <v>410407940262</v>
      </c>
      <c r="I102" s="325">
        <v>531620146455</v>
      </c>
      <c r="J102" s="325">
        <v>610552512045</v>
      </c>
      <c r="K102" s="325">
        <f t="shared" ref="K102:O102" si="67">AVERAGE(H102:J102)</f>
        <v>517526866254</v>
      </c>
      <c r="L102" s="325">
        <f t="shared" si="67"/>
        <v>553233174918</v>
      </c>
      <c r="M102" s="325">
        <f t="shared" si="67"/>
        <v>560437517739</v>
      </c>
      <c r="N102" s="325">
        <f t="shared" si="67"/>
        <v>543732519637</v>
      </c>
      <c r="O102" s="325">
        <f t="shared" si="67"/>
        <v>552467737431.33337</v>
      </c>
    </row>
    <row r="103" spans="1:25" ht="14.25" customHeight="1">
      <c r="A103" s="332" t="s">
        <v>119</v>
      </c>
      <c r="B103" s="332" t="s">
        <v>649</v>
      </c>
      <c r="C103" s="329">
        <f t="shared" ref="C103:J103" si="68">C102/C78</f>
        <v>2.0989984240703346E-2</v>
      </c>
      <c r="D103" s="329">
        <f t="shared" si="68"/>
        <v>1.8737540436129713E-2</v>
      </c>
      <c r="E103" s="329">
        <f t="shared" si="68"/>
        <v>1.199733721328748E-2</v>
      </c>
      <c r="F103" s="329">
        <f t="shared" si="68"/>
        <v>7.9150544341475629E-3</v>
      </c>
      <c r="G103" s="329">
        <f t="shared" si="68"/>
        <v>3.0939188658426001E-3</v>
      </c>
      <c r="H103" s="329">
        <f t="shared" si="68"/>
        <v>4.6927471369437286E-3</v>
      </c>
      <c r="I103" s="329">
        <f t="shared" si="68"/>
        <v>7.1625123678811979E-3</v>
      </c>
      <c r="J103" s="329">
        <f t="shared" si="68"/>
        <v>7.1875227720776319E-3</v>
      </c>
      <c r="K103" s="321"/>
      <c r="L103" s="321"/>
      <c r="M103" s="321"/>
      <c r="N103" s="321"/>
      <c r="O103" s="321"/>
      <c r="P103" s="320"/>
      <c r="Q103" s="320"/>
      <c r="R103" s="320"/>
      <c r="S103" s="320"/>
      <c r="T103" s="320"/>
      <c r="U103" s="320"/>
      <c r="V103" s="320"/>
      <c r="W103" s="320"/>
      <c r="X103" s="320"/>
      <c r="Y103" s="320"/>
    </row>
    <row r="104" spans="1:25" ht="14.25" customHeight="1">
      <c r="A104" s="332" t="s">
        <v>15</v>
      </c>
      <c r="B104" s="332" t="s">
        <v>15</v>
      </c>
      <c r="C104" s="323"/>
      <c r="D104" s="329">
        <f>D102/C102-1</f>
        <v>0.37641813220270581</v>
      </c>
      <c r="E104" s="329">
        <f t="shared" ref="E104:J104" si="69">E102/D102-1</f>
        <v>0.16728032423953199</v>
      </c>
      <c r="F104" s="329">
        <f t="shared" si="69"/>
        <v>-5.2696853913278385E-2</v>
      </c>
      <c r="G104" s="329">
        <f t="shared" si="69"/>
        <v>-0.47659883130443448</v>
      </c>
      <c r="H104" s="329">
        <f t="shared" si="69"/>
        <v>0.8349266493079528</v>
      </c>
      <c r="I104" s="329">
        <f t="shared" si="69"/>
        <v>0.29534566537776885</v>
      </c>
      <c r="J104" s="329">
        <f t="shared" si="69"/>
        <v>0.14847512103584548</v>
      </c>
      <c r="K104" s="321"/>
      <c r="L104" s="321"/>
      <c r="M104" s="321"/>
      <c r="N104" s="321"/>
      <c r="O104" s="321"/>
      <c r="P104" s="320"/>
      <c r="Q104" s="320"/>
      <c r="R104" s="320"/>
      <c r="S104" s="320"/>
      <c r="T104" s="320"/>
      <c r="U104" s="320"/>
      <c r="V104" s="320"/>
      <c r="W104" s="320"/>
      <c r="X104" s="320"/>
      <c r="Y104" s="320"/>
    </row>
    <row r="105" spans="1:25" ht="14.25" customHeight="1">
      <c r="A105" s="330" t="s">
        <v>137</v>
      </c>
      <c r="B105" s="330" t="s">
        <v>663</v>
      </c>
      <c r="C105" s="325"/>
      <c r="D105" s="325"/>
      <c r="E105" s="325"/>
      <c r="F105" s="325"/>
      <c r="G105" s="325"/>
      <c r="H105" s="325"/>
      <c r="I105" s="325"/>
      <c r="J105" s="325"/>
    </row>
    <row r="106" spans="1:25" ht="12" customHeight="1">
      <c r="A106" s="330" t="s">
        <v>138</v>
      </c>
      <c r="B106" s="330" t="s">
        <v>664</v>
      </c>
      <c r="C106" s="325"/>
      <c r="D106" s="325"/>
      <c r="E106" s="325"/>
      <c r="F106" s="325"/>
      <c r="G106" s="325"/>
      <c r="H106" s="325"/>
      <c r="I106" s="325"/>
      <c r="J106" s="325"/>
    </row>
    <row r="107" spans="1:25" ht="14.25" customHeight="1">
      <c r="A107" s="330" t="s">
        <v>139</v>
      </c>
      <c r="B107" s="330" t="s">
        <v>665</v>
      </c>
      <c r="C107" s="325"/>
      <c r="D107" s="325"/>
      <c r="E107" s="325"/>
      <c r="F107" s="325">
        <v>3369818100</v>
      </c>
      <c r="G107" s="325">
        <v>16127650192</v>
      </c>
      <c r="H107" s="325">
        <v>8803217550</v>
      </c>
      <c r="I107" s="325">
        <v>4109316288</v>
      </c>
      <c r="J107" s="325">
        <v>174647128</v>
      </c>
      <c r="K107" s="328">
        <f t="shared" ref="K107:O107" si="70">AVERAGE(H104:J107)</f>
        <v>2181196827.8797913</v>
      </c>
      <c r="L107" s="328">
        <f t="shared" si="70"/>
        <v>1293032048.8647225</v>
      </c>
      <c r="M107" s="328">
        <f t="shared" si="70"/>
        <v>912219001.22324729</v>
      </c>
      <c r="N107" s="328">
        <f t="shared" si="70"/>
        <v>1462149292.6559203</v>
      </c>
      <c r="O107" s="328">
        <f t="shared" si="70"/>
        <v>1222466780.9146299</v>
      </c>
    </row>
    <row r="108" spans="1:25" ht="14.25" customHeight="1">
      <c r="A108" s="330" t="s">
        <v>140</v>
      </c>
      <c r="B108" s="330" t="s">
        <v>666</v>
      </c>
      <c r="C108" s="325">
        <v>118559169199</v>
      </c>
      <c r="D108" s="325">
        <v>46659980472</v>
      </c>
      <c r="E108" s="325">
        <v>36480820999</v>
      </c>
      <c r="F108" s="325">
        <v>58387110781</v>
      </c>
      <c r="G108" s="325">
        <v>68736086170</v>
      </c>
      <c r="H108" s="325">
        <v>63027061241</v>
      </c>
      <c r="I108" s="325">
        <v>61033120562</v>
      </c>
      <c r="J108" s="325">
        <v>13361520783</v>
      </c>
      <c r="K108" s="325">
        <f t="shared" ref="K108:O108" si="71">AVERAGE(H108:J108)</f>
        <v>45807234195.333336</v>
      </c>
      <c r="L108" s="325">
        <f t="shared" si="71"/>
        <v>40067291846.777779</v>
      </c>
      <c r="M108" s="325">
        <f t="shared" si="71"/>
        <v>33078682275.037037</v>
      </c>
      <c r="N108" s="325">
        <f t="shared" si="71"/>
        <v>39651069439.049385</v>
      </c>
      <c r="O108" s="325">
        <f t="shared" si="71"/>
        <v>37599014520.288063</v>
      </c>
    </row>
    <row r="109" spans="1:25" s="320" customFormat="1" ht="14.25">
      <c r="A109" s="375" t="s">
        <v>141</v>
      </c>
      <c r="B109" s="384" t="s">
        <v>667</v>
      </c>
      <c r="C109" s="376">
        <v>972200000000</v>
      </c>
      <c r="D109" s="376">
        <v>1651494675275</v>
      </c>
      <c r="E109" s="376">
        <v>12810996979972</v>
      </c>
      <c r="F109" s="376">
        <v>19842099219720</v>
      </c>
      <c r="G109" s="376">
        <v>17343247551512</v>
      </c>
      <c r="H109" s="376">
        <v>13464931998700</v>
      </c>
      <c r="I109" s="376">
        <v>11151651204402</v>
      </c>
      <c r="J109" s="376">
        <v>10399119292481</v>
      </c>
      <c r="K109" s="376">
        <f>'Debt waterfall'!F27</f>
        <v>15769007657685.582</v>
      </c>
      <c r="L109" s="376">
        <f>'Debt waterfall'!G27</f>
        <v>12429063379692.332</v>
      </c>
      <c r="M109" s="376">
        <f>'Debt waterfall'!H27</f>
        <v>9418263976598.582</v>
      </c>
      <c r="N109" s="376">
        <f>'Debt waterfall'!I27</f>
        <v>6750426906176.499</v>
      </c>
      <c r="O109" s="376">
        <f>'Debt waterfall'!J27</f>
        <v>5266851596190.166</v>
      </c>
    </row>
    <row r="110" spans="1:25" ht="14.25">
      <c r="A110" s="330" t="s">
        <v>142</v>
      </c>
      <c r="B110" s="384" t="s">
        <v>749</v>
      </c>
      <c r="C110" s="325"/>
      <c r="D110" s="325"/>
      <c r="E110" s="325"/>
      <c r="F110" s="325"/>
      <c r="G110" s="325"/>
      <c r="H110" s="325"/>
      <c r="I110" s="325"/>
      <c r="J110" s="325"/>
    </row>
    <row r="111" spans="1:25" ht="14.25">
      <c r="A111" s="330" t="s">
        <v>143</v>
      </c>
      <c r="B111" s="384" t="s">
        <v>750</v>
      </c>
      <c r="C111" s="325"/>
      <c r="D111" s="325"/>
      <c r="E111" s="325"/>
      <c r="F111" s="325"/>
      <c r="G111" s="325"/>
      <c r="H111" s="325"/>
      <c r="I111" s="325"/>
      <c r="J111" s="325"/>
    </row>
    <row r="112" spans="1:25" ht="14.25" customHeight="1">
      <c r="A112" s="330" t="s">
        <v>144</v>
      </c>
      <c r="B112" s="384" t="s">
        <v>668</v>
      </c>
      <c r="C112" s="325">
        <v>908757131</v>
      </c>
      <c r="D112" s="325">
        <v>323343866</v>
      </c>
      <c r="E112" s="325"/>
      <c r="F112" s="325">
        <v>1104751459</v>
      </c>
      <c r="G112" s="325">
        <v>666262529</v>
      </c>
      <c r="H112" s="325"/>
      <c r="I112" s="325">
        <v>31207164756</v>
      </c>
      <c r="J112" s="325">
        <v>30012518415</v>
      </c>
      <c r="K112" s="325"/>
      <c r="L112" s="325"/>
      <c r="M112" s="325"/>
      <c r="N112" s="325"/>
      <c r="O112" s="325"/>
    </row>
    <row r="113" spans="1:25" ht="14.25" customHeight="1">
      <c r="A113" s="330" t="s">
        <v>145</v>
      </c>
      <c r="B113" s="384" t="s">
        <v>669</v>
      </c>
      <c r="C113" s="325">
        <v>18834936116</v>
      </c>
      <c r="D113" s="325">
        <v>19949570358</v>
      </c>
      <c r="E113" s="325">
        <v>18238256789</v>
      </c>
      <c r="F113" s="325">
        <v>20413737584</v>
      </c>
      <c r="G113" s="325">
        <v>26000932740</v>
      </c>
      <c r="H113" s="325">
        <v>49310752616</v>
      </c>
      <c r="I113" s="325">
        <v>57568259201</v>
      </c>
      <c r="J113" s="325">
        <v>55168639369</v>
      </c>
      <c r="K113" s="328">
        <f t="shared" ref="K113:O113" si="72">J113*(1+5%)</f>
        <v>57927071337.450005</v>
      </c>
      <c r="L113" s="328">
        <f t="shared" si="72"/>
        <v>60823424904.32251</v>
      </c>
      <c r="M113" s="328">
        <f t="shared" si="72"/>
        <v>63864596149.538635</v>
      </c>
      <c r="N113" s="328">
        <f t="shared" si="72"/>
        <v>67057825957.015572</v>
      </c>
      <c r="O113" s="328">
        <f t="shared" si="72"/>
        <v>70410717254.866348</v>
      </c>
    </row>
    <row r="114" spans="1:25" ht="14.25">
      <c r="A114" s="330" t="s">
        <v>146</v>
      </c>
      <c r="B114" s="385" t="s">
        <v>759</v>
      </c>
      <c r="C114" s="325"/>
      <c r="D114" s="325"/>
      <c r="E114" s="325"/>
      <c r="F114" s="325"/>
      <c r="G114" s="325"/>
      <c r="H114" s="325"/>
      <c r="I114" s="325"/>
      <c r="J114" s="325"/>
    </row>
    <row r="115" spans="1:25" ht="14.25" customHeight="1">
      <c r="A115" s="341" t="s">
        <v>147</v>
      </c>
      <c r="B115" s="384" t="s">
        <v>760</v>
      </c>
      <c r="C115" s="336">
        <v>19850261077964</v>
      </c>
      <c r="D115" s="336">
        <v>32397580211910</v>
      </c>
      <c r="E115" s="336">
        <v>40622949840810</v>
      </c>
      <c r="F115" s="336">
        <v>47786636143695</v>
      </c>
      <c r="G115" s="336">
        <v>59219786306111</v>
      </c>
      <c r="H115" s="336">
        <v>90780625511439</v>
      </c>
      <c r="I115" s="336">
        <v>96112939615783</v>
      </c>
      <c r="J115" s="336">
        <v>102836419239379</v>
      </c>
      <c r="K115" s="337">
        <f t="shared" ref="K115:O115" si="73">SUM(K116,K137)</f>
        <v>113378660206482.31</v>
      </c>
      <c r="L115" s="337">
        <f t="shared" si="73"/>
        <v>128746844141322.64</v>
      </c>
      <c r="M115" s="337">
        <f t="shared" si="73"/>
        <v>146618974629337.25</v>
      </c>
      <c r="N115" s="337">
        <f t="shared" si="73"/>
        <v>159514711574093.69</v>
      </c>
      <c r="O115" s="337">
        <f t="shared" si="73"/>
        <v>172056819787435.38</v>
      </c>
      <c r="P115" s="320"/>
      <c r="Q115" s="320"/>
      <c r="R115" s="320"/>
      <c r="S115" s="320"/>
      <c r="T115" s="320"/>
      <c r="U115" s="320"/>
      <c r="V115" s="320"/>
      <c r="W115" s="320"/>
      <c r="X115" s="320"/>
      <c r="Y115" s="320"/>
    </row>
    <row r="116" spans="1:25" ht="14.25" customHeight="1">
      <c r="A116" s="354" t="s">
        <v>148</v>
      </c>
      <c r="B116" s="384" t="s">
        <v>670</v>
      </c>
      <c r="C116" s="352">
        <v>19850261077964</v>
      </c>
      <c r="D116" s="352">
        <v>32397580211910</v>
      </c>
      <c r="E116" s="352">
        <v>40622949840810</v>
      </c>
      <c r="F116" s="352">
        <v>47786636143695</v>
      </c>
      <c r="G116" s="352">
        <v>59219786306111</v>
      </c>
      <c r="H116" s="352">
        <v>90780625511439</v>
      </c>
      <c r="I116" s="352">
        <v>96112939615783</v>
      </c>
      <c r="J116" s="352">
        <v>102836419239379</v>
      </c>
      <c r="K116" s="353">
        <f t="shared" ref="K116:O116" si="74">SUM(K117,K121,K122:K130,K135:K136)</f>
        <v>113378660206482.31</v>
      </c>
      <c r="L116" s="353">
        <f t="shared" si="74"/>
        <v>128746844141322.64</v>
      </c>
      <c r="M116" s="353">
        <f t="shared" si="74"/>
        <v>146618974629337.25</v>
      </c>
      <c r="N116" s="353">
        <f t="shared" si="74"/>
        <v>159514711574093.69</v>
      </c>
      <c r="O116" s="353">
        <f t="shared" si="74"/>
        <v>172056819787435.38</v>
      </c>
    </row>
    <row r="117" spans="1:25" ht="14.25" customHeight="1">
      <c r="A117" s="332" t="s">
        <v>149</v>
      </c>
      <c r="B117" s="384" t="s">
        <v>671</v>
      </c>
      <c r="C117" s="323">
        <v>8428749560000</v>
      </c>
      <c r="D117" s="323">
        <v>15170790000000</v>
      </c>
      <c r="E117" s="323">
        <v>21239071660000</v>
      </c>
      <c r="F117" s="323">
        <v>27610741150000</v>
      </c>
      <c r="G117" s="323">
        <v>33132826590000</v>
      </c>
      <c r="H117" s="323">
        <v>44729227060000</v>
      </c>
      <c r="I117" s="323">
        <v>58147857000000</v>
      </c>
      <c r="J117" s="323">
        <v>58147857000000</v>
      </c>
      <c r="K117" s="323">
        <f t="shared" ref="K117:O117" si="75">K119+K120</f>
        <v>58147857000000</v>
      </c>
      <c r="L117" s="323">
        <f t="shared" si="75"/>
        <v>58147857000000</v>
      </c>
      <c r="M117" s="323">
        <f t="shared" si="75"/>
        <v>58147857000000</v>
      </c>
      <c r="N117" s="323">
        <f t="shared" si="75"/>
        <v>58147857000000</v>
      </c>
      <c r="O117" s="323">
        <f t="shared" si="75"/>
        <v>58147857000000</v>
      </c>
      <c r="P117" s="320"/>
      <c r="Q117" s="320"/>
      <c r="R117" s="320"/>
      <c r="S117" s="320"/>
      <c r="T117" s="320"/>
      <c r="U117" s="320"/>
      <c r="V117" s="320"/>
      <c r="W117" s="320"/>
      <c r="X117" s="320"/>
      <c r="Y117" s="320"/>
    </row>
    <row r="118" spans="1:25" s="350" customFormat="1" ht="14.25" customHeight="1">
      <c r="A118" s="373" t="s">
        <v>15</v>
      </c>
      <c r="B118" s="384" t="s">
        <v>15</v>
      </c>
      <c r="C118" s="349"/>
      <c r="D118" s="349">
        <f>D117/C117-1</f>
        <v>0.79988619806613404</v>
      </c>
      <c r="E118" s="349">
        <f t="shared" ref="E118:J118" si="76">E117/D117-1</f>
        <v>0.39999773643956571</v>
      </c>
      <c r="F118" s="349">
        <f t="shared" si="76"/>
        <v>0.29999755130540384</v>
      </c>
      <c r="G118" s="349">
        <f t="shared" si="76"/>
        <v>0.19999772588502207</v>
      </c>
      <c r="H118" s="349">
        <f t="shared" si="76"/>
        <v>0.34999731877690055</v>
      </c>
      <c r="I118" s="349">
        <f>I117/H117-1</f>
        <v>0.2999969107894529</v>
      </c>
      <c r="J118" s="349">
        <f t="shared" si="76"/>
        <v>0</v>
      </c>
      <c r="K118" s="349"/>
      <c r="L118" s="349"/>
      <c r="M118" s="349"/>
      <c r="N118" s="349"/>
      <c r="O118" s="349"/>
    </row>
    <row r="119" spans="1:25" ht="14.25">
      <c r="A119" s="330" t="s">
        <v>150</v>
      </c>
      <c r="B119" s="384" t="s">
        <v>672</v>
      </c>
      <c r="C119" s="325">
        <v>8428749560000</v>
      </c>
      <c r="D119" s="325">
        <v>15170790000000</v>
      </c>
      <c r="E119" s="325">
        <v>21239071660000</v>
      </c>
      <c r="F119" s="325">
        <v>27610741150000</v>
      </c>
      <c r="G119" s="325">
        <v>33132826590000</v>
      </c>
      <c r="H119" s="325">
        <v>44729227060000</v>
      </c>
      <c r="I119" s="325">
        <v>58147857000000</v>
      </c>
      <c r="J119" s="325">
        <v>58147857000000</v>
      </c>
      <c r="K119" s="325">
        <v>58147857000000</v>
      </c>
      <c r="L119" s="325">
        <v>58147857000000</v>
      </c>
      <c r="M119" s="325">
        <v>58147857000000</v>
      </c>
      <c r="N119" s="325">
        <v>58147857000000</v>
      </c>
      <c r="O119" s="325">
        <v>58147857000000</v>
      </c>
    </row>
    <row r="120" spans="1:25" ht="14.25">
      <c r="A120" s="330" t="s">
        <v>151</v>
      </c>
      <c r="B120" s="384" t="s">
        <v>755</v>
      </c>
      <c r="C120" s="325"/>
      <c r="D120" s="325"/>
      <c r="E120" s="325"/>
      <c r="F120" s="325"/>
      <c r="G120" s="325"/>
      <c r="H120" s="325"/>
      <c r="I120" s="325"/>
      <c r="J120" s="325"/>
    </row>
    <row r="121" spans="1:25" s="320" customFormat="1" ht="14.25">
      <c r="A121" s="332" t="s">
        <v>152</v>
      </c>
      <c r="B121" s="384" t="s">
        <v>673</v>
      </c>
      <c r="C121" s="323">
        <v>674149437068</v>
      </c>
      <c r="D121" s="323">
        <v>3202198967068</v>
      </c>
      <c r="E121" s="323">
        <v>3211560416270</v>
      </c>
      <c r="F121" s="323">
        <v>3211560416270</v>
      </c>
      <c r="G121" s="323">
        <v>3211560416270</v>
      </c>
      <c r="H121" s="323">
        <v>3211560416270</v>
      </c>
      <c r="I121" s="323">
        <v>3211560416270</v>
      </c>
      <c r="J121" s="323">
        <v>3211560416270</v>
      </c>
      <c r="K121" s="323">
        <f t="shared" ref="K121:O121" si="77">AVERAGE(H121:J121)</f>
        <v>3211560416270</v>
      </c>
      <c r="L121" s="323">
        <f t="shared" si="77"/>
        <v>3211560416270</v>
      </c>
      <c r="M121" s="323">
        <f t="shared" si="77"/>
        <v>3211560416270</v>
      </c>
      <c r="N121" s="323">
        <f t="shared" si="77"/>
        <v>3211560416270</v>
      </c>
      <c r="O121" s="323">
        <f t="shared" si="77"/>
        <v>3211560416270</v>
      </c>
    </row>
    <row r="122" spans="1:25" s="320" customFormat="1" ht="14.25">
      <c r="A122" s="332" t="s">
        <v>153</v>
      </c>
      <c r="B122" s="384" t="s">
        <v>751</v>
      </c>
      <c r="C122" s="323"/>
      <c r="D122" s="323"/>
      <c r="E122" s="323"/>
      <c r="F122" s="323"/>
      <c r="G122" s="323"/>
      <c r="H122" s="323"/>
      <c r="I122" s="323"/>
      <c r="J122" s="323"/>
      <c r="K122" s="321"/>
      <c r="L122" s="321"/>
      <c r="M122" s="321"/>
      <c r="N122" s="321"/>
      <c r="O122" s="321"/>
    </row>
    <row r="123" spans="1:25" s="320" customFormat="1" ht="14.25">
      <c r="A123" s="332" t="s">
        <v>154</v>
      </c>
      <c r="B123" s="384" t="s">
        <v>752</v>
      </c>
      <c r="C123" s="323"/>
      <c r="D123" s="323"/>
      <c r="E123" s="323"/>
      <c r="F123" s="323"/>
      <c r="G123" s="323"/>
      <c r="H123" s="323"/>
      <c r="I123" s="323"/>
      <c r="J123" s="323"/>
      <c r="K123" s="321"/>
      <c r="L123" s="321"/>
      <c r="M123" s="321"/>
      <c r="N123" s="321"/>
      <c r="O123" s="321"/>
    </row>
    <row r="124" spans="1:25" s="320" customFormat="1" ht="14.25">
      <c r="A124" s="332" t="s">
        <v>155</v>
      </c>
      <c r="B124" s="384" t="s">
        <v>753</v>
      </c>
      <c r="C124" s="323"/>
      <c r="D124" s="323">
        <v>-1693270000</v>
      </c>
      <c r="E124" s="323"/>
      <c r="F124" s="323"/>
      <c r="G124" s="323"/>
      <c r="H124" s="323"/>
      <c r="I124" s="323"/>
      <c r="J124" s="323"/>
      <c r="K124" s="321"/>
      <c r="L124" s="321"/>
      <c r="M124" s="321"/>
      <c r="N124" s="321"/>
      <c r="O124" s="321"/>
    </row>
    <row r="125" spans="1:25" s="320" customFormat="1" ht="14.25">
      <c r="A125" s="332" t="s">
        <v>156</v>
      </c>
      <c r="B125" s="384" t="s">
        <v>754</v>
      </c>
      <c r="C125" s="323"/>
      <c r="D125" s="323"/>
      <c r="E125" s="323"/>
      <c r="F125" s="323"/>
      <c r="G125" s="323"/>
      <c r="H125" s="323"/>
      <c r="I125" s="323"/>
      <c r="J125" s="323"/>
      <c r="K125" s="321"/>
      <c r="L125" s="321"/>
      <c r="M125" s="321"/>
      <c r="N125" s="321"/>
      <c r="O125" s="321"/>
    </row>
    <row r="126" spans="1:25" s="320" customFormat="1" ht="14.25" customHeight="1">
      <c r="A126" s="332" t="s">
        <v>157</v>
      </c>
      <c r="B126" s="384" t="s">
        <v>761</v>
      </c>
      <c r="C126" s="323"/>
      <c r="D126" s="323"/>
      <c r="E126" s="323">
        <v>276819257</v>
      </c>
      <c r="F126" s="323">
        <v>565534994</v>
      </c>
      <c r="G126" s="323">
        <v>5568369072</v>
      </c>
      <c r="H126" s="323">
        <v>-1925960852</v>
      </c>
      <c r="I126" s="323">
        <v>-20652355005</v>
      </c>
      <c r="J126" s="323"/>
      <c r="K126" s="321"/>
      <c r="L126" s="321"/>
      <c r="M126" s="321"/>
      <c r="N126" s="321"/>
      <c r="O126" s="321"/>
    </row>
    <row r="127" spans="1:25" s="320" customFormat="1" ht="14.25">
      <c r="A127" s="332" t="s">
        <v>158</v>
      </c>
      <c r="B127" s="384" t="s">
        <v>674</v>
      </c>
      <c r="C127" s="323">
        <v>1156415747213</v>
      </c>
      <c r="D127" s="323">
        <v>518641612156</v>
      </c>
      <c r="E127" s="323">
        <v>918641612156</v>
      </c>
      <c r="F127" s="323">
        <v>923641612156</v>
      </c>
      <c r="G127" s="323">
        <v>928641612156</v>
      </c>
      <c r="H127" s="323">
        <v>923549304122</v>
      </c>
      <c r="I127" s="323">
        <v>834782434216</v>
      </c>
      <c r="J127" s="323">
        <v>818200313964</v>
      </c>
      <c r="K127" s="323">
        <f t="shared" ref="K127:O127" si="78">AVERAGE(H127:J127)</f>
        <v>858844017434</v>
      </c>
      <c r="L127" s="323">
        <f t="shared" si="78"/>
        <v>837275588538</v>
      </c>
      <c r="M127" s="323">
        <f t="shared" si="78"/>
        <v>838106639978.66663</v>
      </c>
      <c r="N127" s="323">
        <f t="shared" si="78"/>
        <v>844742081983.55554</v>
      </c>
      <c r="O127" s="323">
        <f t="shared" si="78"/>
        <v>840041436833.40735</v>
      </c>
    </row>
    <row r="128" spans="1:25" ht="14.25">
      <c r="A128" s="330" t="s">
        <v>159</v>
      </c>
      <c r="B128" s="385" t="s">
        <v>756</v>
      </c>
      <c r="C128" s="325"/>
      <c r="D128" s="325"/>
      <c r="E128" s="325"/>
      <c r="F128" s="325"/>
      <c r="G128" s="325"/>
      <c r="H128" s="325"/>
      <c r="I128" s="325"/>
      <c r="J128" s="325"/>
    </row>
    <row r="129" spans="1:25" ht="14.25">
      <c r="A129" s="330" t="s">
        <v>160</v>
      </c>
      <c r="B129" s="384" t="s">
        <v>757</v>
      </c>
      <c r="C129" s="325"/>
      <c r="D129" s="325"/>
      <c r="E129" s="325"/>
      <c r="F129" s="325"/>
      <c r="G129" s="325"/>
      <c r="H129" s="325"/>
      <c r="I129" s="325"/>
      <c r="J129" s="325"/>
    </row>
    <row r="130" spans="1:25" ht="14.25" customHeight="1">
      <c r="A130" s="332" t="s">
        <v>161</v>
      </c>
      <c r="B130" s="384" t="s">
        <v>762</v>
      </c>
      <c r="C130" s="323">
        <v>9486351633348</v>
      </c>
      <c r="D130" s="323">
        <v>13397029077196</v>
      </c>
      <c r="E130" s="323">
        <v>15126437863905</v>
      </c>
      <c r="F130" s="323">
        <v>15876913750948</v>
      </c>
      <c r="G130" s="323">
        <v>21792442633285</v>
      </c>
      <c r="H130" s="323">
        <v>41763425970912</v>
      </c>
      <c r="I130" s="323">
        <v>33833829973987</v>
      </c>
      <c r="J130" s="323">
        <v>40593031662654</v>
      </c>
      <c r="K130" s="323">
        <f>K131+K132-K133</f>
        <v>51094628926287.32</v>
      </c>
      <c r="L130" s="323">
        <f t="shared" ref="L130:O130" si="79">L131+L132-L133</f>
        <v>66484381290023.641</v>
      </c>
      <c r="M130" s="323">
        <f t="shared" si="79"/>
        <v>84355680726597.578</v>
      </c>
      <c r="N130" s="323">
        <f t="shared" si="79"/>
        <v>97244782229349.125</v>
      </c>
      <c r="O130" s="323">
        <f t="shared" si="79"/>
        <v>109791591087840.97</v>
      </c>
      <c r="P130" s="320"/>
      <c r="Q130" s="320"/>
      <c r="R130" s="320"/>
      <c r="S130" s="320"/>
      <c r="T130" s="320"/>
      <c r="U130" s="320"/>
      <c r="V130" s="320"/>
      <c r="W130" s="320"/>
      <c r="X130" s="320"/>
      <c r="Y130" s="320"/>
    </row>
    <row r="131" spans="1:25" ht="14.25" customHeight="1">
      <c r="A131" s="330" t="s">
        <v>162</v>
      </c>
      <c r="B131" s="384" t="s">
        <v>763</v>
      </c>
      <c r="C131" s="325">
        <v>3317122322348</v>
      </c>
      <c r="D131" s="325">
        <v>8006672113847</v>
      </c>
      <c r="E131" s="325">
        <v>8573014210414</v>
      </c>
      <c r="F131" s="325">
        <v>7527442867874</v>
      </c>
      <c r="G131" s="325">
        <v>13450300052812</v>
      </c>
      <c r="H131" s="325">
        <v>34478143197460</v>
      </c>
      <c r="I131" s="325">
        <v>25350319419956</v>
      </c>
      <c r="J131" s="325">
        <v>33796166741483</v>
      </c>
      <c r="K131" s="325">
        <f>J130</f>
        <v>40593031662654</v>
      </c>
      <c r="L131" s="325">
        <f t="shared" ref="L131:O131" si="80">K130</f>
        <v>51094628926287.32</v>
      </c>
      <c r="M131" s="325">
        <f t="shared" si="80"/>
        <v>66484381290023.641</v>
      </c>
      <c r="N131" s="325">
        <f t="shared" si="80"/>
        <v>84355680726597.578</v>
      </c>
      <c r="O131" s="325">
        <f t="shared" si="80"/>
        <v>97244782229349.125</v>
      </c>
    </row>
    <row r="132" spans="1:25" ht="14.25" customHeight="1">
      <c r="A132" s="330" t="s">
        <v>163</v>
      </c>
      <c r="B132" s="385" t="s">
        <v>764</v>
      </c>
      <c r="C132" s="325">
        <v>6169229311000</v>
      </c>
      <c r="D132" s="325">
        <v>5390356963349</v>
      </c>
      <c r="E132" s="325">
        <v>6553423653491</v>
      </c>
      <c r="F132" s="325">
        <v>8349470883074</v>
      </c>
      <c r="G132" s="325">
        <v>8342142580473</v>
      </c>
      <c r="H132" s="325">
        <v>7285282773452</v>
      </c>
      <c r="I132" s="325">
        <v>8483510554031</v>
      </c>
      <c r="J132" s="325">
        <v>6796864921171</v>
      </c>
      <c r="K132" s="363">
        <f>+'IS HPG (base)'!K71</f>
        <v>10501597263633.322</v>
      </c>
      <c r="L132" s="363">
        <f>+'IS HPG (base)'!L71</f>
        <v>15389752363736.324</v>
      </c>
      <c r="M132" s="363">
        <f>+'IS HPG (base)'!M71</f>
        <v>19856999373971.055</v>
      </c>
      <c r="N132" s="363">
        <f>+'IS HPG (base)'!N71</f>
        <v>18413002146787.926</v>
      </c>
      <c r="O132" s="363">
        <f>+'IS HPG (base)'!O71</f>
        <v>25093617716983.672</v>
      </c>
    </row>
    <row r="133" spans="1:25" ht="14.25" customHeight="1">
      <c r="A133" s="379" t="s">
        <v>563</v>
      </c>
      <c r="B133" s="384" t="s">
        <v>675</v>
      </c>
      <c r="C133" s="325"/>
      <c r="D133" s="325"/>
      <c r="E133" s="325"/>
      <c r="F133" s="325"/>
      <c r="G133" s="325"/>
      <c r="H133" s="325"/>
      <c r="I133" s="325"/>
      <c r="J133" s="325"/>
      <c r="K133" s="325">
        <f>K134*K132</f>
        <v>0</v>
      </c>
      <c r="L133" s="325">
        <f t="shared" ref="L133:O133" si="81">L134*L132</f>
        <v>0</v>
      </c>
      <c r="M133" s="325">
        <f t="shared" si="81"/>
        <v>1985699937397.1055</v>
      </c>
      <c r="N133" s="325">
        <f t="shared" si="81"/>
        <v>5523900644036.3779</v>
      </c>
      <c r="O133" s="325">
        <f t="shared" si="81"/>
        <v>12546808858491.836</v>
      </c>
    </row>
    <row r="134" spans="1:25" s="345" customFormat="1" ht="14.25" customHeight="1">
      <c r="A134" s="380" t="s">
        <v>564</v>
      </c>
      <c r="B134" s="384" t="s">
        <v>564</v>
      </c>
      <c r="C134" s="362"/>
      <c r="D134" s="362"/>
      <c r="E134" s="362"/>
      <c r="F134" s="362"/>
      <c r="G134" s="362"/>
      <c r="H134" s="362"/>
      <c r="I134" s="362"/>
      <c r="J134" s="362"/>
      <c r="K134" s="346">
        <v>0</v>
      </c>
      <c r="L134" s="346">
        <v>0</v>
      </c>
      <c r="M134" s="346">
        <v>0.1</v>
      </c>
      <c r="N134" s="346">
        <v>0.3</v>
      </c>
      <c r="O134" s="346">
        <v>0.5</v>
      </c>
    </row>
    <row r="135" spans="1:25" s="320" customFormat="1" ht="14.25" customHeight="1">
      <c r="A135" s="332" t="s">
        <v>164</v>
      </c>
      <c r="B135" s="384" t="s">
        <v>676</v>
      </c>
      <c r="C135" s="323"/>
      <c r="D135" s="323"/>
      <c r="E135" s="323"/>
      <c r="F135" s="323"/>
      <c r="G135" s="323"/>
      <c r="H135" s="323"/>
      <c r="I135" s="323"/>
      <c r="J135" s="323"/>
      <c r="K135" s="321"/>
      <c r="L135" s="321"/>
      <c r="M135" s="321"/>
      <c r="N135" s="321"/>
      <c r="O135" s="321"/>
    </row>
    <row r="136" spans="1:25" s="320" customFormat="1" ht="14.25" customHeight="1">
      <c r="A136" s="332" t="s">
        <v>165</v>
      </c>
      <c r="B136" s="384" t="s">
        <v>677</v>
      </c>
      <c r="C136" s="323">
        <v>104594700335</v>
      </c>
      <c r="D136" s="323">
        <v>110613825490</v>
      </c>
      <c r="E136" s="323">
        <v>126961469222</v>
      </c>
      <c r="F136" s="323">
        <v>163213679327</v>
      </c>
      <c r="G136" s="323">
        <v>148746685328</v>
      </c>
      <c r="H136" s="323">
        <v>154788720987</v>
      </c>
      <c r="I136" s="323">
        <v>105562146315</v>
      </c>
      <c r="J136" s="323">
        <v>65769846491</v>
      </c>
      <c r="K136" s="323">
        <v>65769846491</v>
      </c>
      <c r="L136" s="323">
        <v>65769846491</v>
      </c>
      <c r="M136" s="323">
        <v>65769846491</v>
      </c>
      <c r="N136" s="323">
        <v>65769846491</v>
      </c>
      <c r="O136" s="323">
        <v>65769846491</v>
      </c>
    </row>
    <row r="137" spans="1:25" ht="14.25" customHeight="1">
      <c r="A137" s="354" t="s">
        <v>166</v>
      </c>
      <c r="B137" s="384" t="s">
        <v>678</v>
      </c>
      <c r="C137" s="352"/>
      <c r="D137" s="352"/>
      <c r="E137" s="352"/>
      <c r="F137" s="352"/>
      <c r="G137" s="352"/>
      <c r="H137" s="352"/>
      <c r="I137" s="352"/>
      <c r="J137" s="352"/>
      <c r="K137" s="378"/>
      <c r="L137" s="378"/>
      <c r="M137" s="378"/>
      <c r="N137" s="378"/>
      <c r="O137" s="378"/>
    </row>
    <row r="138" spans="1:25" ht="14.25" customHeight="1">
      <c r="A138" s="330" t="s">
        <v>167</v>
      </c>
      <c r="B138" s="384" t="s">
        <v>679</v>
      </c>
      <c r="C138" s="325"/>
      <c r="D138" s="325"/>
      <c r="E138" s="325"/>
      <c r="F138" s="325"/>
      <c r="G138" s="325"/>
      <c r="H138" s="325"/>
      <c r="I138" s="325"/>
      <c r="J138" s="325"/>
    </row>
    <row r="139" spans="1:25" ht="14.25" customHeight="1">
      <c r="A139" s="330" t="s">
        <v>168</v>
      </c>
      <c r="B139" s="384" t="s">
        <v>680</v>
      </c>
      <c r="C139" s="325"/>
      <c r="D139" s="325"/>
      <c r="E139" s="325"/>
      <c r="F139" s="325"/>
      <c r="G139" s="325"/>
      <c r="H139" s="325"/>
      <c r="I139" s="325"/>
      <c r="J139" s="325"/>
    </row>
    <row r="140" spans="1:25" ht="14.25" customHeight="1">
      <c r="A140" s="338" t="s">
        <v>169</v>
      </c>
      <c r="B140" s="384" t="s">
        <v>758</v>
      </c>
      <c r="C140" s="339">
        <v>33226552317885</v>
      </c>
      <c r="D140" s="339">
        <v>53022184778251</v>
      </c>
      <c r="E140" s="339">
        <v>78223007670925</v>
      </c>
      <c r="F140" s="339">
        <v>101776030099900</v>
      </c>
      <c r="G140" s="339">
        <v>131511434388837</v>
      </c>
      <c r="H140" s="339">
        <v>178236422358249</v>
      </c>
      <c r="I140" s="339">
        <v>170335519508132</v>
      </c>
      <c r="J140" s="339">
        <v>187782586563801</v>
      </c>
      <c r="K140" s="340">
        <f t="shared" ref="K140:O140" si="82">K115+K78</f>
        <v>197549275327451.44</v>
      </c>
      <c r="L140" s="340">
        <f t="shared" si="82"/>
        <v>224321782919058.88</v>
      </c>
      <c r="M140" s="340">
        <f t="shared" si="82"/>
        <v>245732159250831.06</v>
      </c>
      <c r="N140" s="340">
        <f t="shared" si="82"/>
        <v>246963908130396.81</v>
      </c>
      <c r="O140" s="340">
        <f t="shared" si="82"/>
        <v>253607291621148.38</v>
      </c>
      <c r="P140" s="320"/>
      <c r="Q140" s="320"/>
      <c r="R140" s="320"/>
      <c r="S140" s="320"/>
      <c r="T140" s="320"/>
      <c r="U140" s="320"/>
      <c r="V140" s="320"/>
      <c r="W140" s="320"/>
      <c r="X140" s="320"/>
      <c r="Y140" s="320"/>
    </row>
    <row r="141" spans="1:25" ht="14.25" customHeight="1">
      <c r="A141" s="330"/>
      <c r="B141" s="384"/>
    </row>
    <row r="142" spans="1:25" ht="14.25" customHeight="1">
      <c r="A142" s="381" t="s">
        <v>558</v>
      </c>
      <c r="B142" s="384"/>
      <c r="C142" s="382">
        <f>C140-C76</f>
        <v>0</v>
      </c>
      <c r="D142" s="382">
        <f t="shared" ref="D142:O142" si="83">D140-D76</f>
        <v>0</v>
      </c>
      <c r="E142" s="382">
        <f t="shared" si="83"/>
        <v>0</v>
      </c>
      <c r="F142" s="382">
        <f t="shared" si="83"/>
        <v>0</v>
      </c>
      <c r="G142" s="382">
        <f t="shared" si="83"/>
        <v>0</v>
      </c>
      <c r="H142" s="382">
        <f t="shared" si="83"/>
        <v>0</v>
      </c>
      <c r="I142" s="382">
        <f t="shared" si="83"/>
        <v>0</v>
      </c>
      <c r="J142" s="382">
        <f t="shared" si="83"/>
        <v>0</v>
      </c>
      <c r="K142" s="382">
        <f t="shared" si="83"/>
        <v>0</v>
      </c>
      <c r="L142" s="382">
        <f t="shared" si="83"/>
        <v>0</v>
      </c>
      <c r="M142" s="382">
        <f t="shared" si="83"/>
        <v>0</v>
      </c>
      <c r="N142" s="382">
        <f t="shared" si="83"/>
        <v>0</v>
      </c>
      <c r="O142" s="382">
        <f t="shared" si="83"/>
        <v>0</v>
      </c>
    </row>
    <row r="143" spans="1:25" ht="14.25" customHeight="1">
      <c r="B143" s="384"/>
    </row>
    <row r="144" spans="1:25" ht="14.25" customHeight="1">
      <c r="B144" s="384"/>
    </row>
    <row r="145" spans="2:2" ht="14.25" customHeight="1">
      <c r="B145" s="384"/>
    </row>
    <row r="146" spans="2:2" ht="14.25" customHeight="1">
      <c r="B146" s="384"/>
    </row>
    <row r="147" spans="2:2" ht="14.25" customHeight="1">
      <c r="B147" s="384"/>
    </row>
    <row r="148" spans="2:2" ht="14.25" customHeight="1">
      <c r="B148" s="384"/>
    </row>
    <row r="149" spans="2:2" ht="14.25" customHeight="1">
      <c r="B149" s="384"/>
    </row>
    <row r="150" spans="2:2" ht="14.25" customHeight="1">
      <c r="B150" s="384"/>
    </row>
    <row r="151" spans="2:2" ht="14.25" customHeight="1">
      <c r="B151" s="384"/>
    </row>
    <row r="152" spans="2:2" ht="14.25" customHeight="1">
      <c r="B152" s="384"/>
    </row>
    <row r="153" spans="2:2" ht="14.25" customHeight="1">
      <c r="B153" s="384"/>
    </row>
    <row r="154" spans="2:2" ht="14.25" customHeight="1">
      <c r="B154" s="384"/>
    </row>
    <row r="155" spans="2:2" ht="14.25" customHeight="1">
      <c r="B155" s="384"/>
    </row>
    <row r="156" spans="2:2" ht="14.25" customHeight="1">
      <c r="B156" s="384"/>
    </row>
    <row r="157" spans="2:2" ht="14.25" customHeight="1">
      <c r="B157" s="384"/>
    </row>
    <row r="158" spans="2:2" ht="14.25" customHeight="1">
      <c r="B158" s="384"/>
    </row>
    <row r="159" spans="2:2" ht="14.25" customHeight="1">
      <c r="B159" s="384"/>
    </row>
    <row r="160" spans="2:2" ht="14.25" customHeight="1">
      <c r="B160" s="384"/>
    </row>
    <row r="161" spans="2:2" ht="14.25" customHeight="1">
      <c r="B161" s="384"/>
    </row>
    <row r="162" spans="2:2" ht="14.25" customHeight="1">
      <c r="B162" s="384"/>
    </row>
    <row r="163" spans="2:2" ht="14.25" customHeight="1">
      <c r="B163" s="384"/>
    </row>
    <row r="164" spans="2:2" ht="14.25" customHeight="1">
      <c r="B164" s="384"/>
    </row>
    <row r="165" spans="2:2" ht="14.25" customHeight="1">
      <c r="B165" s="384"/>
    </row>
    <row r="166" spans="2:2" ht="14.25" customHeight="1">
      <c r="B166" s="384"/>
    </row>
    <row r="167" spans="2:2" ht="14.25" customHeight="1">
      <c r="B167" s="384"/>
    </row>
    <row r="168" spans="2:2" ht="14.25" customHeight="1">
      <c r="B168" s="384"/>
    </row>
    <row r="169" spans="2:2" ht="14.25" customHeight="1">
      <c r="B169" s="384"/>
    </row>
    <row r="170" spans="2:2" ht="14.25" customHeight="1">
      <c r="B170" s="384"/>
    </row>
    <row r="171" spans="2:2" ht="14.25" customHeight="1">
      <c r="B171" s="384"/>
    </row>
    <row r="172" spans="2:2" ht="14.25" customHeight="1">
      <c r="B172" s="384"/>
    </row>
    <row r="173" spans="2:2" ht="14.25" customHeight="1">
      <c r="B173" s="384"/>
    </row>
    <row r="174" spans="2:2" ht="14.25" customHeight="1">
      <c r="B174" s="384"/>
    </row>
    <row r="175" spans="2:2" ht="14.25" customHeight="1">
      <c r="B175" s="384"/>
    </row>
    <row r="176" spans="2:2" ht="14.25" customHeight="1">
      <c r="B176" s="384"/>
    </row>
    <row r="177" spans="2:2" ht="14.25" customHeight="1">
      <c r="B177" s="384"/>
    </row>
    <row r="178" spans="2:2" ht="14.25" customHeight="1">
      <c r="B178" s="384"/>
    </row>
    <row r="179" spans="2:2" ht="14.25" customHeight="1">
      <c r="B179" s="384"/>
    </row>
    <row r="180" spans="2:2" ht="14.25" customHeight="1">
      <c r="B180" s="384"/>
    </row>
    <row r="181" spans="2:2" ht="14.25" customHeight="1">
      <c r="B181" s="384"/>
    </row>
    <row r="182" spans="2:2" ht="14.25" customHeight="1">
      <c r="B182" s="384"/>
    </row>
    <row r="183" spans="2:2" ht="14.25" customHeight="1">
      <c r="B183" s="384"/>
    </row>
    <row r="184" spans="2:2" ht="14.25" customHeight="1">
      <c r="B184" s="384"/>
    </row>
    <row r="185" spans="2:2" ht="14.25" customHeight="1">
      <c r="B185" s="384"/>
    </row>
    <row r="186" spans="2:2" ht="14.25" customHeight="1">
      <c r="B186" s="384"/>
    </row>
    <row r="187" spans="2:2" ht="14.25" customHeight="1">
      <c r="B187" s="384"/>
    </row>
    <row r="188" spans="2:2" ht="14.25" customHeight="1">
      <c r="B188" s="384"/>
    </row>
    <row r="189" spans="2:2" ht="14.25" customHeight="1">
      <c r="B189" s="384"/>
    </row>
    <row r="190" spans="2:2" ht="14.25" customHeight="1">
      <c r="B190" s="384"/>
    </row>
    <row r="191" spans="2:2" ht="14.25" customHeight="1">
      <c r="B191" s="384"/>
    </row>
    <row r="192" spans="2:2" ht="14.25" customHeight="1">
      <c r="B192" s="384"/>
    </row>
    <row r="193" spans="2:2" ht="14.25" customHeight="1">
      <c r="B193" s="384"/>
    </row>
    <row r="194" spans="2:2" ht="14.25" customHeight="1">
      <c r="B194" s="384"/>
    </row>
    <row r="195" spans="2:2" ht="14.25" customHeight="1">
      <c r="B195" s="384"/>
    </row>
    <row r="196" spans="2:2" ht="14.25" customHeight="1">
      <c r="B196" s="384"/>
    </row>
    <row r="197" spans="2:2" ht="14.25" customHeight="1">
      <c r="B197" s="384"/>
    </row>
    <row r="198" spans="2:2" ht="14.25" customHeight="1">
      <c r="B198" s="384"/>
    </row>
    <row r="199" spans="2:2" ht="14.25" customHeight="1">
      <c r="B199" s="384"/>
    </row>
    <row r="200" spans="2:2" ht="14.25" customHeight="1">
      <c r="B200" s="384"/>
    </row>
    <row r="201" spans="2:2" ht="14.25" customHeight="1">
      <c r="B201" s="384"/>
    </row>
    <row r="202" spans="2:2" ht="14.25" customHeight="1">
      <c r="B202" s="384"/>
    </row>
    <row r="203" spans="2:2" ht="14.25" customHeight="1">
      <c r="B203" s="384"/>
    </row>
    <row r="204" spans="2:2" ht="14.25" customHeight="1">
      <c r="B204" s="384"/>
    </row>
    <row r="205" spans="2:2" ht="14.25" customHeight="1">
      <c r="B205" s="384"/>
    </row>
    <row r="206" spans="2:2" ht="14.25" customHeight="1">
      <c r="B206" s="384"/>
    </row>
    <row r="207" spans="2:2" ht="14.25" customHeight="1">
      <c r="B207" s="384"/>
    </row>
    <row r="208" spans="2:2" ht="14.25" customHeight="1">
      <c r="B208" s="384"/>
    </row>
    <row r="209" spans="2:2" ht="14.25" customHeight="1">
      <c r="B209" s="384"/>
    </row>
    <row r="210" spans="2:2" ht="14.25" customHeight="1">
      <c r="B210" s="384"/>
    </row>
    <row r="211" spans="2:2" ht="14.25" customHeight="1">
      <c r="B211" s="384"/>
    </row>
    <row r="212" spans="2:2" ht="14.25" customHeight="1">
      <c r="B212" s="384"/>
    </row>
    <row r="213" spans="2:2" ht="14.25" customHeight="1">
      <c r="B213" s="384"/>
    </row>
    <row r="214" spans="2:2" ht="14.25" customHeight="1">
      <c r="B214" s="384"/>
    </row>
    <row r="215" spans="2:2" ht="14.25" customHeight="1">
      <c r="B215" s="384"/>
    </row>
    <row r="216" spans="2:2" ht="14.25" customHeight="1">
      <c r="B216" s="384"/>
    </row>
    <row r="217" spans="2:2" ht="14.25" customHeight="1">
      <c r="B217" s="384"/>
    </row>
    <row r="218" spans="2:2" ht="14.25" customHeight="1">
      <c r="B218" s="384"/>
    </row>
    <row r="219" spans="2:2" ht="14.25" customHeight="1">
      <c r="B219" s="384"/>
    </row>
    <row r="220" spans="2:2" ht="14.25" customHeight="1">
      <c r="B220" s="384"/>
    </row>
    <row r="221" spans="2:2" ht="14.25" customHeight="1">
      <c r="B221" s="384"/>
    </row>
    <row r="222" spans="2:2" ht="14.25" customHeight="1">
      <c r="B222" s="384"/>
    </row>
    <row r="223" spans="2:2" ht="14.25" customHeight="1">
      <c r="B223" s="384"/>
    </row>
    <row r="224" spans="2:2" ht="14.25" customHeight="1">
      <c r="B224" s="384"/>
    </row>
    <row r="225" spans="2:2" ht="14.25" customHeight="1">
      <c r="B225" s="384"/>
    </row>
    <row r="226" spans="2:2" ht="14.25" customHeight="1">
      <c r="B226" s="384"/>
    </row>
    <row r="227" spans="2:2" ht="14.25" customHeight="1">
      <c r="B227" s="384"/>
    </row>
    <row r="228" spans="2:2" ht="14.25" customHeight="1">
      <c r="B228" s="384"/>
    </row>
    <row r="229" spans="2:2" ht="14.25" customHeight="1">
      <c r="B229" s="384"/>
    </row>
    <row r="230" spans="2:2" ht="14.25" customHeight="1">
      <c r="B230" s="384"/>
    </row>
    <row r="231" spans="2:2" ht="14.25" customHeight="1">
      <c r="B231" s="383"/>
    </row>
    <row r="232" spans="2:2" ht="14.25" customHeight="1">
      <c r="B232" s="383"/>
    </row>
    <row r="233" spans="2:2" ht="14.25" customHeight="1">
      <c r="B233" s="383"/>
    </row>
    <row r="234" spans="2:2" ht="14.25" customHeight="1">
      <c r="B234" s="383"/>
    </row>
    <row r="235" spans="2:2" ht="14.25" customHeight="1">
      <c r="B235" s="383"/>
    </row>
    <row r="236" spans="2:2" ht="14.25" customHeight="1">
      <c r="B236" s="383"/>
    </row>
    <row r="237" spans="2:2" ht="14.25" customHeight="1">
      <c r="B237" s="383"/>
    </row>
    <row r="238" spans="2:2" ht="14.25" customHeight="1">
      <c r="B238" s="383"/>
    </row>
    <row r="239" spans="2:2" ht="14.25" customHeight="1">
      <c r="B239" s="383"/>
    </row>
    <row r="240" spans="2:2" ht="14.25" customHeight="1">
      <c r="B240" s="383"/>
    </row>
    <row r="241" spans="2:2" ht="14.25" customHeight="1">
      <c r="B241" s="383"/>
    </row>
    <row r="242" spans="2:2" ht="14.25" customHeight="1">
      <c r="B242" s="383"/>
    </row>
    <row r="243" spans="2:2" ht="14.25" customHeight="1">
      <c r="B243" s="383"/>
    </row>
    <row r="244" spans="2:2" ht="14.25" customHeight="1">
      <c r="B244" s="383"/>
    </row>
    <row r="245" spans="2:2" ht="14.25" customHeight="1">
      <c r="B245" s="383"/>
    </row>
    <row r="246" spans="2:2" ht="14.25" customHeight="1">
      <c r="B246" s="383"/>
    </row>
    <row r="247" spans="2:2" ht="14.25" customHeight="1">
      <c r="B247" s="383"/>
    </row>
    <row r="248" spans="2:2" ht="14.25" customHeight="1">
      <c r="B248" s="383"/>
    </row>
    <row r="249" spans="2:2" ht="14.25" customHeight="1">
      <c r="B249" s="383"/>
    </row>
    <row r="250" spans="2:2" ht="14.25" customHeight="1">
      <c r="B250" s="383"/>
    </row>
    <row r="251" spans="2:2" ht="14.25" customHeight="1">
      <c r="B251" s="383"/>
    </row>
    <row r="252" spans="2:2" ht="14.25" customHeight="1">
      <c r="B252" s="383"/>
    </row>
    <row r="253" spans="2:2" ht="14.25" customHeight="1">
      <c r="B253" s="383"/>
    </row>
    <row r="254" spans="2:2" ht="14.25" customHeight="1"/>
    <row r="255" spans="2:2" ht="14.25" customHeight="1"/>
    <row r="256" spans="2:2"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row r="1001" ht="14.25" customHeight="1"/>
    <row r="1002" ht="14.25" customHeight="1"/>
    <row r="1003" ht="14.25" customHeight="1"/>
  </sheetData>
  <pageMargins left="0.7" right="0.7" top="0.75" bottom="0.75" header="0" footer="0"/>
  <pageSetup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EC2081-33B7-41F8-8AC6-CCC8F43C7BF4}">
  <sheetPr>
    <tabColor rgb="FF002060"/>
  </sheetPr>
  <dimension ref="A1:I20"/>
  <sheetViews>
    <sheetView topLeftCell="A2" workbookViewId="0">
      <selection activeCell="J7" sqref="J7"/>
    </sheetView>
  </sheetViews>
  <sheetFormatPr defaultRowHeight="15"/>
  <sheetData>
    <row r="1" spans="1:9">
      <c r="A1" s="517"/>
      <c r="B1" s="517"/>
      <c r="C1" s="518" t="s">
        <v>870</v>
      </c>
      <c r="D1" s="518" t="s">
        <v>871</v>
      </c>
      <c r="E1" s="518" t="s">
        <v>872</v>
      </c>
      <c r="F1" s="517" t="s">
        <v>873</v>
      </c>
      <c r="G1" s="517"/>
      <c r="H1" s="517"/>
      <c r="I1" s="517"/>
    </row>
    <row r="2" spans="1:9">
      <c r="A2" s="505" t="s">
        <v>874</v>
      </c>
      <c r="B2" s="504"/>
      <c r="C2" s="508"/>
      <c r="D2" s="509"/>
      <c r="E2" s="508"/>
      <c r="F2" s="504"/>
      <c r="G2" s="504"/>
      <c r="H2" s="504"/>
      <c r="I2" s="504"/>
    </row>
    <row r="3" spans="1:9">
      <c r="A3" s="504" t="s">
        <v>875</v>
      </c>
      <c r="B3" s="504"/>
      <c r="C3" s="510">
        <v>4.5999999999999999E-2</v>
      </c>
      <c r="D3" s="511">
        <v>4.5999999999999999E-2</v>
      </c>
      <c r="E3" s="510">
        <v>4.5999999999999999E-2</v>
      </c>
      <c r="F3" s="504" t="s">
        <v>876</v>
      </c>
      <c r="G3" s="504"/>
      <c r="H3" s="504"/>
      <c r="I3" s="504"/>
    </row>
    <row r="4" spans="1:9">
      <c r="A4" s="504" t="s">
        <v>877</v>
      </c>
      <c r="B4" s="504"/>
      <c r="C4" s="512">
        <f>D4-0.5</f>
        <v>0.36098049250776076</v>
      </c>
      <c r="D4" s="513">
        <f>'Close price'!H1</f>
        <v>0.86098049250776076</v>
      </c>
      <c r="E4" s="512">
        <f>D4+0.5</f>
        <v>1.3609804925077609</v>
      </c>
      <c r="F4" s="504" t="s">
        <v>878</v>
      </c>
      <c r="G4" s="504"/>
      <c r="H4" s="504"/>
      <c r="I4" s="504"/>
    </row>
    <row r="5" spans="1:9">
      <c r="A5" s="504" t="s">
        <v>879</v>
      </c>
      <c r="B5" s="504"/>
      <c r="C5" s="510">
        <v>8.7999999999999995E-2</v>
      </c>
      <c r="D5" s="511">
        <v>0.09</v>
      </c>
      <c r="E5" s="510">
        <v>9.1999999999999998E-2</v>
      </c>
      <c r="F5" s="504" t="s">
        <v>880</v>
      </c>
      <c r="G5" s="504"/>
      <c r="H5" s="504"/>
      <c r="I5" s="504"/>
    </row>
    <row r="6" spans="1:9">
      <c r="A6" s="504" t="s">
        <v>881</v>
      </c>
      <c r="B6" s="504"/>
      <c r="C6" s="510">
        <v>0.13110477942893647</v>
      </c>
      <c r="D6" s="511">
        <f>D3+D4*D5</f>
        <v>0.12348824432569847</v>
      </c>
      <c r="E6" s="510">
        <v>0.17177317849388812</v>
      </c>
      <c r="F6" s="504"/>
      <c r="G6" s="504"/>
      <c r="H6" s="504"/>
      <c r="I6" s="504"/>
    </row>
    <row r="7" spans="1:9">
      <c r="A7" s="504"/>
      <c r="B7" s="504"/>
      <c r="C7" s="508"/>
      <c r="D7" s="509"/>
      <c r="E7" s="508"/>
      <c r="F7" s="504"/>
      <c r="G7" s="504"/>
      <c r="H7" s="504"/>
      <c r="I7" s="504"/>
    </row>
    <row r="8" spans="1:9">
      <c r="A8" s="505" t="s">
        <v>882</v>
      </c>
      <c r="B8" s="504"/>
      <c r="C8" s="508"/>
      <c r="D8" s="509"/>
      <c r="E8" s="508"/>
      <c r="F8" s="504"/>
      <c r="G8" s="504"/>
      <c r="H8" s="504"/>
      <c r="I8" s="504"/>
    </row>
    <row r="9" spans="1:9" ht="15.75" thickBot="1">
      <c r="A9" s="504" t="s">
        <v>883</v>
      </c>
      <c r="B9" s="504"/>
      <c r="C9" s="510">
        <f>D9</f>
        <v>8.3000000000000004E-2</v>
      </c>
      <c r="D9" s="511">
        <v>8.3000000000000004E-2</v>
      </c>
      <c r="E9" s="510">
        <f>D9</f>
        <v>8.3000000000000004E-2</v>
      </c>
      <c r="F9" s="504" t="s">
        <v>884</v>
      </c>
      <c r="G9" s="504"/>
      <c r="H9" s="504"/>
      <c r="I9" s="504"/>
    </row>
    <row r="10" spans="1:9" ht="15.75" thickBot="1">
      <c r="A10" s="504" t="s">
        <v>885</v>
      </c>
      <c r="B10" s="504"/>
      <c r="C10" s="514">
        <f>D10</f>
        <v>0.12640000000000001</v>
      </c>
      <c r="D10" s="515">
        <v>0.12640000000000001</v>
      </c>
      <c r="E10" s="514">
        <f>D10</f>
        <v>0.12640000000000001</v>
      </c>
      <c r="F10" s="504" t="s">
        <v>886</v>
      </c>
      <c r="G10" s="504"/>
      <c r="H10" s="504"/>
      <c r="I10" s="504"/>
    </row>
    <row r="11" spans="1:9">
      <c r="A11" s="504" t="s">
        <v>887</v>
      </c>
      <c r="B11" s="504"/>
      <c r="C11" s="510">
        <v>7.4256000000000003E-2</v>
      </c>
      <c r="D11" s="511">
        <f>D9*(1-D10)</f>
        <v>7.2508799999999998E-2</v>
      </c>
      <c r="E11" s="510">
        <v>7.4256000000000003E-2</v>
      </c>
      <c r="F11" s="504"/>
      <c r="G11" s="504"/>
      <c r="H11" s="504"/>
      <c r="I11" s="504"/>
    </row>
    <row r="12" spans="1:9">
      <c r="A12" s="504"/>
      <c r="B12" s="504"/>
      <c r="C12" s="508"/>
      <c r="D12" s="509"/>
      <c r="E12" s="508"/>
      <c r="F12" s="504"/>
      <c r="G12" s="504"/>
      <c r="H12" s="504"/>
      <c r="I12" s="504"/>
    </row>
    <row r="13" spans="1:9">
      <c r="A13" s="505" t="s">
        <v>888</v>
      </c>
      <c r="B13" s="504"/>
      <c r="C13" s="508"/>
      <c r="D13" s="509"/>
      <c r="E13" s="508"/>
      <c r="F13" s="504"/>
      <c r="G13" s="504"/>
      <c r="H13" s="504"/>
      <c r="I13" s="504"/>
    </row>
    <row r="14" spans="1:9">
      <c r="A14" s="504" t="s">
        <v>889</v>
      </c>
      <c r="B14" s="504"/>
      <c r="C14" s="510">
        <f>D14</f>
        <v>0.54763554555916882</v>
      </c>
      <c r="D14" s="511">
        <v>0.54763554555916882</v>
      </c>
      <c r="E14" s="510">
        <f>D14</f>
        <v>0.54763554555916882</v>
      </c>
      <c r="F14" s="504" t="s">
        <v>890</v>
      </c>
      <c r="G14" s="504"/>
      <c r="H14" s="504"/>
      <c r="I14" s="504"/>
    </row>
    <row r="15" spans="1:9">
      <c r="A15" s="504" t="s">
        <v>891</v>
      </c>
      <c r="B15" s="504"/>
      <c r="C15" s="510">
        <f>D15</f>
        <v>0.45236445444083118</v>
      </c>
      <c r="D15" s="511">
        <v>0.45236445444083118</v>
      </c>
      <c r="E15" s="510">
        <f>D15</f>
        <v>0.45236445444083118</v>
      </c>
      <c r="F15" s="504"/>
      <c r="G15" s="504"/>
      <c r="H15" s="504"/>
      <c r="I15" s="504"/>
    </row>
    <row r="16" spans="1:9">
      <c r="A16" s="504"/>
      <c r="B16" s="504"/>
      <c r="C16" s="508"/>
      <c r="D16" s="509"/>
      <c r="E16" s="508"/>
      <c r="F16" s="504"/>
      <c r="G16" s="504"/>
      <c r="H16" s="504"/>
      <c r="I16" s="504"/>
    </row>
    <row r="17" spans="1:9">
      <c r="A17" s="505" t="s">
        <v>892</v>
      </c>
      <c r="B17" s="504"/>
      <c r="C17" s="510">
        <f>D17-0.5%</f>
        <v>9.5426955805607144E-2</v>
      </c>
      <c r="D17" s="511">
        <f>D6*D14+D11*D15</f>
        <v>0.10042695580560715</v>
      </c>
      <c r="E17" s="510">
        <f>D17+0.5%</f>
        <v>0.10542695580560715</v>
      </c>
      <c r="F17" s="504" t="s">
        <v>893</v>
      </c>
      <c r="G17" s="504"/>
      <c r="H17" s="504"/>
      <c r="I17" s="504"/>
    </row>
    <row r="18" spans="1:9">
      <c r="A18" s="504" t="s">
        <v>894</v>
      </c>
      <c r="B18" s="504"/>
      <c r="C18" s="516">
        <f>ROUND(C17*2,2)/2</f>
        <v>9.5000000000000001E-2</v>
      </c>
      <c r="D18" s="516">
        <f t="shared" ref="D18:E18" si="0">ROUND(D17*2,2)/2</f>
        <v>0.1</v>
      </c>
      <c r="E18" s="516">
        <f t="shared" si="0"/>
        <v>0.105</v>
      </c>
      <c r="F18" s="504"/>
      <c r="G18" s="504"/>
      <c r="H18" s="504"/>
      <c r="I18" s="504"/>
    </row>
    <row r="19" spans="1:9">
      <c r="A19" s="503"/>
      <c r="B19" s="503"/>
      <c r="C19" s="504" t="s">
        <v>774</v>
      </c>
      <c r="D19" s="506">
        <v>0.1163050885731912</v>
      </c>
      <c r="E19" s="503"/>
      <c r="F19" s="503"/>
      <c r="G19" s="503"/>
      <c r="H19" s="503"/>
      <c r="I19" s="503"/>
    </row>
    <row r="20" spans="1:9">
      <c r="C20" s="504" t="s">
        <v>895</v>
      </c>
      <c r="D20" s="507">
        <v>0.01</v>
      </c>
      <c r="E20" s="503"/>
      <c r="F20" s="503"/>
      <c r="G20" s="503"/>
      <c r="H20" s="503"/>
      <c r="I20" s="503"/>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002060"/>
  </sheetPr>
  <dimension ref="A1:AE1008"/>
  <sheetViews>
    <sheetView zoomScaleNormal="100" workbookViewId="0">
      <pane xSplit="1" ySplit="1" topLeftCell="J18" activePane="bottomRight" state="frozen"/>
      <selection pane="topRight" activeCell="B1" sqref="B1"/>
      <selection pane="bottomLeft" activeCell="A2" sqref="A2"/>
      <selection pane="bottomRight" activeCell="L34" sqref="L34"/>
    </sheetView>
  </sheetViews>
  <sheetFormatPr defaultColWidth="14.42578125" defaultRowHeight="15" customHeight="1"/>
  <cols>
    <col min="1" max="2" width="66.140625" style="319" customWidth="1"/>
    <col min="3" max="4" width="20.5703125" style="322" bestFit="1" customWidth="1"/>
    <col min="5" max="10" width="21.85546875" style="322" bestFit="1" customWidth="1"/>
    <col min="11" max="11" width="20.5703125" style="322" bestFit="1" customWidth="1"/>
    <col min="12" max="12" width="21.85546875" style="322" bestFit="1" customWidth="1"/>
    <col min="13" max="13" width="20.5703125" style="322" bestFit="1" customWidth="1"/>
    <col min="14" max="14" width="20.140625" style="322" bestFit="1" customWidth="1"/>
    <col min="15" max="15" width="20.5703125" style="322" bestFit="1" customWidth="1"/>
    <col min="16" max="31" width="8.5703125" style="319" customWidth="1"/>
    <col min="32" max="16384" width="14.42578125" style="319"/>
  </cols>
  <sheetData>
    <row r="1" spans="1:15" s="334" customFormat="1" ht="14.25" customHeight="1">
      <c r="A1" s="333"/>
      <c r="B1" s="333"/>
      <c r="C1" s="318" t="s">
        <v>1</v>
      </c>
      <c r="D1" s="318" t="s">
        <v>2</v>
      </c>
      <c r="E1" s="318" t="s">
        <v>3</v>
      </c>
      <c r="F1" s="318" t="s">
        <v>4</v>
      </c>
      <c r="G1" s="318" t="s">
        <v>5</v>
      </c>
      <c r="H1" s="318" t="s">
        <v>6</v>
      </c>
      <c r="I1" s="318" t="s">
        <v>7</v>
      </c>
      <c r="J1" s="318" t="s">
        <v>8</v>
      </c>
      <c r="K1" s="318" t="s">
        <v>542</v>
      </c>
      <c r="L1" s="318" t="s">
        <v>559</v>
      </c>
      <c r="M1" s="318" t="s">
        <v>560</v>
      </c>
      <c r="N1" s="318" t="s">
        <v>561</v>
      </c>
      <c r="O1" s="318" t="s">
        <v>562</v>
      </c>
    </row>
    <row r="2" spans="1:15" ht="14.25" customHeight="1">
      <c r="A2" s="320" t="s">
        <v>499</v>
      </c>
      <c r="B2" s="320" t="s">
        <v>683</v>
      </c>
      <c r="C2" s="325"/>
      <c r="D2" s="325"/>
      <c r="E2" s="325"/>
      <c r="F2" s="325"/>
      <c r="G2" s="325"/>
      <c r="H2" s="325"/>
      <c r="I2" s="325"/>
      <c r="J2" s="325"/>
      <c r="K2" s="325"/>
      <c r="L2" s="325"/>
      <c r="M2" s="325"/>
      <c r="N2" s="325"/>
      <c r="O2" s="325"/>
    </row>
    <row r="3" spans="1:15" s="320" customFormat="1" ht="14.25" customHeight="1">
      <c r="A3" s="320" t="s">
        <v>500</v>
      </c>
      <c r="B3" s="320" t="s">
        <v>684</v>
      </c>
      <c r="C3" s="323">
        <v>7701823953675</v>
      </c>
      <c r="D3" s="323">
        <v>9288369742697</v>
      </c>
      <c r="E3" s="323">
        <v>10071072872302</v>
      </c>
      <c r="F3" s="323">
        <v>9096662123386</v>
      </c>
      <c r="G3" s="323">
        <v>15356966791701</v>
      </c>
      <c r="H3" s="323">
        <v>37056777714190</v>
      </c>
      <c r="I3" s="323">
        <v>9922941127284</v>
      </c>
      <c r="J3" s="323">
        <v>7792728743173</v>
      </c>
      <c r="K3" s="323">
        <f>'IS HPG (base)'!K65</f>
        <v>12070801452452.094</v>
      </c>
      <c r="L3" s="323">
        <f>'IS HPG (base)'!L65</f>
        <v>17291856588467.781</v>
      </c>
      <c r="M3" s="323">
        <f>'IS HPG (base)'!M65</f>
        <v>21820878432935.223</v>
      </c>
      <c r="N3" s="323">
        <f>'IS HPG (base)'!N65</f>
        <v>21164370283664.281</v>
      </c>
      <c r="O3" s="323">
        <f>'IS HPG (base)'!O65</f>
        <v>28843238755153.648</v>
      </c>
    </row>
    <row r="4" spans="1:15" s="320" customFormat="1" ht="14.25" customHeight="1">
      <c r="A4" s="320" t="s">
        <v>501</v>
      </c>
      <c r="B4" s="320" t="s">
        <v>685</v>
      </c>
      <c r="C4" s="323"/>
      <c r="D4" s="323"/>
      <c r="E4" s="323"/>
      <c r="F4" s="323"/>
      <c r="G4" s="323"/>
      <c r="H4" s="323"/>
      <c r="I4" s="323"/>
      <c r="J4" s="323"/>
      <c r="K4" s="323"/>
      <c r="L4" s="323"/>
      <c r="M4" s="323"/>
      <c r="N4" s="323"/>
      <c r="O4" s="323"/>
    </row>
    <row r="5" spans="1:15" ht="14.25" customHeight="1">
      <c r="A5" s="319" t="s">
        <v>502</v>
      </c>
      <c r="B5" s="319" t="s">
        <v>686</v>
      </c>
      <c r="C5" s="325">
        <v>1674325806175</v>
      </c>
      <c r="D5" s="325">
        <v>2004656709264</v>
      </c>
      <c r="E5" s="325">
        <v>26051152720</v>
      </c>
      <c r="F5" s="325">
        <v>2593232573029</v>
      </c>
      <c r="G5" s="325">
        <v>4793856942121</v>
      </c>
      <c r="H5" s="325">
        <v>5988000000</v>
      </c>
      <c r="I5" s="325">
        <v>6772140896950</v>
      </c>
      <c r="J5" s="325">
        <v>6774033480701</v>
      </c>
      <c r="K5" s="325">
        <f>SUM('BS HPG'!K47,'BS HPG'!K54,'BS HPG'!K59)</f>
        <v>7067621408294.1445</v>
      </c>
      <c r="L5" s="325">
        <f>SUM('BS HPG'!L47,'BS HPG'!L54,'BS HPG'!L59)</f>
        <v>9902021044148.8398</v>
      </c>
      <c r="M5" s="325">
        <f>SUM('BS HPG'!M47,'BS HPG'!M54,'BS HPG'!M59)</f>
        <v>10856420680003.535</v>
      </c>
      <c r="N5" s="325">
        <f>SUM('BS HPG'!N47,'BS HPG'!N54,'BS HPG'!N59)</f>
        <v>11810820315858.23</v>
      </c>
      <c r="O5" s="325">
        <f>SUM('BS HPG'!O47,'BS HPG'!O54,'BS HPG'!O59)</f>
        <v>12765219951712.934</v>
      </c>
    </row>
    <row r="6" spans="1:15" ht="14.25" customHeight="1">
      <c r="A6" s="319" t="s">
        <v>503</v>
      </c>
      <c r="B6" s="319" t="s">
        <v>687</v>
      </c>
      <c r="C6" s="325">
        <v>-113894221513</v>
      </c>
      <c r="D6" s="325">
        <v>-10870919019</v>
      </c>
      <c r="E6" s="325">
        <v>-72990493823</v>
      </c>
      <c r="F6" s="325">
        <v>-5772614376</v>
      </c>
      <c r="G6" s="325">
        <v>28314185442</v>
      </c>
      <c r="H6" s="325">
        <v>163177531627</v>
      </c>
      <c r="I6" s="325">
        <v>1010922330886</v>
      </c>
      <c r="J6" s="325">
        <v>-1094201952159</v>
      </c>
      <c r="K6" s="325"/>
      <c r="L6" s="325"/>
      <c r="M6" s="325"/>
      <c r="N6" s="325"/>
      <c r="O6" s="325"/>
    </row>
    <row r="7" spans="1:15" ht="14.25" customHeight="1">
      <c r="A7" s="319" t="s">
        <v>504</v>
      </c>
      <c r="B7" s="319" t="s">
        <v>688</v>
      </c>
      <c r="C7" s="325">
        <v>22123664306</v>
      </c>
      <c r="D7" s="325">
        <v>-4721135461</v>
      </c>
      <c r="E7" s="325">
        <v>29910869480</v>
      </c>
      <c r="F7" s="325">
        <v>24183514856</v>
      </c>
      <c r="G7" s="325">
        <v>52078870772</v>
      </c>
      <c r="H7" s="325">
        <v>41938831417</v>
      </c>
      <c r="I7" s="325">
        <v>333983153559</v>
      </c>
      <c r="J7" s="325">
        <v>291243752578</v>
      </c>
      <c r="K7" s="325"/>
      <c r="L7" s="325"/>
      <c r="M7" s="325"/>
      <c r="N7" s="325"/>
      <c r="O7" s="325"/>
    </row>
    <row r="8" spans="1:15" ht="14.25" customHeight="1">
      <c r="A8" s="319" t="s">
        <v>505</v>
      </c>
      <c r="B8" s="319" t="s">
        <v>689</v>
      </c>
      <c r="C8" s="325">
        <v>-142785039051</v>
      </c>
      <c r="D8" s="325">
        <v>-100141408999</v>
      </c>
      <c r="E8" s="325">
        <v>-112985971103</v>
      </c>
      <c r="F8" s="325">
        <v>-286185193464</v>
      </c>
      <c r="G8" s="325">
        <v>-490559694590</v>
      </c>
      <c r="H8" s="325">
        <v>-1661082595981</v>
      </c>
      <c r="I8" s="325">
        <v>-1832298259730</v>
      </c>
      <c r="J8" s="325">
        <v>-1927836792719</v>
      </c>
      <c r="K8" s="325"/>
      <c r="L8" s="325"/>
      <c r="M8" s="325"/>
      <c r="N8" s="325"/>
      <c r="O8" s="325"/>
    </row>
    <row r="9" spans="1:15" ht="14.25" customHeight="1">
      <c r="A9" s="319" t="s">
        <v>506</v>
      </c>
      <c r="B9" s="319" t="s">
        <v>690</v>
      </c>
      <c r="C9" s="325">
        <v>279951879407</v>
      </c>
      <c r="D9" s="325">
        <v>479707569855</v>
      </c>
      <c r="E9" s="325">
        <v>539861243640</v>
      </c>
      <c r="F9" s="325">
        <v>936710218359</v>
      </c>
      <c r="G9" s="325">
        <v>2191680923417</v>
      </c>
      <c r="H9" s="325">
        <v>2525823258237</v>
      </c>
      <c r="I9" s="325">
        <v>3083638131818</v>
      </c>
      <c r="J9" s="325">
        <v>3585077683881</v>
      </c>
      <c r="K9" s="325">
        <f>'IS HPG (base)'!K35</f>
        <v>1609025546528.1084</v>
      </c>
      <c r="L9" s="325">
        <f>'IS HPG (base)'!L35</f>
        <v>1093979280481.645</v>
      </c>
      <c r="M9" s="325">
        <f>'IS HPG (base)'!M35</f>
        <v>805791092243.33826</v>
      </c>
      <c r="N9" s="325">
        <f>'IS HPG (base)'!N35</f>
        <v>574520018522.479</v>
      </c>
      <c r="O9" s="325">
        <f>'IS HPG (base)'!O35</f>
        <v>447787203143.06256</v>
      </c>
    </row>
    <row r="10" spans="1:15" ht="14.25" customHeight="1">
      <c r="A10" s="319" t="s">
        <v>507</v>
      </c>
      <c r="B10" s="319" t="s">
        <v>691</v>
      </c>
      <c r="C10" s="325"/>
      <c r="D10" s="325"/>
      <c r="E10" s="325"/>
      <c r="F10" s="325"/>
      <c r="G10" s="325"/>
      <c r="H10" s="325"/>
      <c r="I10" s="325"/>
      <c r="J10" s="325"/>
      <c r="K10" s="325"/>
      <c r="L10" s="325"/>
      <c r="M10" s="325"/>
      <c r="N10" s="325"/>
      <c r="O10" s="325"/>
    </row>
    <row r="11" spans="1:15" s="320" customFormat="1" ht="14.25" customHeight="1">
      <c r="A11" s="320" t="s">
        <v>508</v>
      </c>
      <c r="B11" s="320" t="s">
        <v>692</v>
      </c>
      <c r="C11" s="323">
        <v>9421546042999</v>
      </c>
      <c r="D11" s="323">
        <v>11657000558337</v>
      </c>
      <c r="E11" s="323">
        <v>12740513971484</v>
      </c>
      <c r="F11" s="323">
        <v>12358830621790</v>
      </c>
      <c r="G11" s="323">
        <v>21932338018863</v>
      </c>
      <c r="H11" s="323">
        <v>44209139034907</v>
      </c>
      <c r="I11" s="323">
        <v>19291327380767</v>
      </c>
      <c r="J11" s="323">
        <v>15421044915455</v>
      </c>
      <c r="K11" s="323">
        <f>SUM(K3:K10)</f>
        <v>20747448407274.348</v>
      </c>
      <c r="L11" s="323">
        <f t="shared" ref="L11:O11" si="0">SUM(L3:L10)</f>
        <v>28287856913098.266</v>
      </c>
      <c r="M11" s="323">
        <f t="shared" si="0"/>
        <v>33483090205182.098</v>
      </c>
      <c r="N11" s="323">
        <f t="shared" si="0"/>
        <v>33549710618044.992</v>
      </c>
      <c r="O11" s="323">
        <f t="shared" si="0"/>
        <v>42056245910009.641</v>
      </c>
    </row>
    <row r="12" spans="1:15" ht="14.25" customHeight="1">
      <c r="A12" s="319" t="s">
        <v>509</v>
      </c>
      <c r="B12" s="319" t="s">
        <v>693</v>
      </c>
      <c r="C12" s="325">
        <v>-486371890043</v>
      </c>
      <c r="D12" s="325">
        <v>-462712870273</v>
      </c>
      <c r="E12" s="325">
        <v>-1423156571992</v>
      </c>
      <c r="F12" s="325">
        <v>-288519564021</v>
      </c>
      <c r="G12" s="325">
        <v>-3374026162649</v>
      </c>
      <c r="H12" s="325">
        <v>-3039385771765</v>
      </c>
      <c r="I12" s="325">
        <v>4711117735355</v>
      </c>
      <c r="J12" s="325">
        <v>-5601896103470</v>
      </c>
      <c r="K12" s="325">
        <f>SUM('BS HPG'!J10,'BS HPG'!J35)-SUM('BS HPG'!K10,'BS HPG'!K35)</f>
        <v>-615930815894.24805</v>
      </c>
      <c r="L12" s="325">
        <f>SUM('BS HPG'!K10,'BS HPG'!K35)-SUM('BS HPG'!L10,'BS HPG'!L35)</f>
        <v>-2056064423532.7402</v>
      </c>
      <c r="M12" s="325">
        <f>SUM('BS HPG'!L10,'BS HPG'!L35)-SUM('BS HPG'!M10,'BS HPG'!M35)</f>
        <v>-3592928336206.6133</v>
      </c>
      <c r="N12" s="325">
        <f>SUM('BS HPG'!M10,'BS HPG'!M35)-SUM('BS HPG'!N10,'BS HPG'!N35)</f>
        <v>-2094359064765.2227</v>
      </c>
      <c r="O12" s="325">
        <f>SUM('BS HPG'!N10,'BS HPG'!N35)-SUM('BS HPG'!O10,'BS HPG'!O35)</f>
        <v>-2818045000938.8281</v>
      </c>
    </row>
    <row r="13" spans="1:15" ht="14.25" customHeight="1">
      <c r="A13" s="319" t="s">
        <v>510</v>
      </c>
      <c r="B13" s="319" t="s">
        <v>694</v>
      </c>
      <c r="C13" s="325">
        <v>-3334840113940</v>
      </c>
      <c r="D13" s="325">
        <v>-2201681306847</v>
      </c>
      <c r="E13" s="325">
        <v>-2301594154020</v>
      </c>
      <c r="F13" s="325">
        <v>-5132237172021</v>
      </c>
      <c r="G13" s="325">
        <v>-7061024985401</v>
      </c>
      <c r="H13" s="325">
        <v>-16949192989135</v>
      </c>
      <c r="I13" s="325">
        <v>8023194725141</v>
      </c>
      <c r="J13" s="325">
        <v>1026315216371</v>
      </c>
      <c r="K13" s="325">
        <f>'BS HPG'!J22-'BS HPG'!K22</f>
        <v>813185208724.73438</v>
      </c>
      <c r="L13" s="325">
        <f>'BS HPG'!K22-'BS HPG'!L22</f>
        <v>-10383029031462.609</v>
      </c>
      <c r="M13" s="325">
        <f>'BS HPG'!L22-'BS HPG'!M22</f>
        <v>-15456975760596.25</v>
      </c>
      <c r="N13" s="325">
        <f>'BS HPG'!M22-'BS HPG'!N22</f>
        <v>-5919018192783.7891</v>
      </c>
      <c r="O13" s="325">
        <f>'BS HPG'!N22-'BS HPG'!O22</f>
        <v>-2074943243429.7188</v>
      </c>
    </row>
    <row r="14" spans="1:15" ht="14.25" customHeight="1">
      <c r="A14" s="319" t="s">
        <v>511</v>
      </c>
      <c r="B14" s="319" t="s">
        <v>695</v>
      </c>
      <c r="C14" s="325">
        <v>2294022318780</v>
      </c>
      <c r="D14" s="325">
        <v>-427137753385</v>
      </c>
      <c r="E14" s="325">
        <v>1459709130157</v>
      </c>
      <c r="F14" s="325">
        <v>3557798129583</v>
      </c>
      <c r="G14" s="325">
        <v>4251742399296</v>
      </c>
      <c r="H14" s="325">
        <v>9250111116260</v>
      </c>
      <c r="I14" s="325">
        <v>-14666409808394</v>
      </c>
      <c r="J14" s="325">
        <v>2609540999740</v>
      </c>
      <c r="K14" s="325">
        <f>SUM('BS HPG'!K81,'BS HPG'!K83,'BS HPG'!K84,'BS HPG'!K86,'BS HPG'!K87,'BS HPG'!K91,'BS HPG'!K92,'BS HPG'!K95,'BS HPG'!K96,'BS HPG'!K100,'BS HPG'!K102,'BS HPG'!K107,'BS HPG'!K108,'BS HPG'!K112,'BS HPG'!K113)-SUM('BS HPG'!J81,'BS HPG'!J83,'BS HPG'!J84,'BS HPG'!J86,'BS HPG'!J87,'BS HPG'!J91,'BS HPG'!J92,'BS HPG'!J95,'BS HPG'!J96,'BS HPG'!J100,'BS HPG'!J102,'BS HPG'!J107,'BS HPG'!J108,'BS HPG'!J112,'BS HPG'!J113)</f>
        <v>1753836583257.9961</v>
      </c>
      <c r="L14" s="325">
        <f>SUM('BS HPG'!L81,'BS HPG'!L83,'BS HPG'!L84,'BS HPG'!L86,'BS HPG'!L87,'BS HPG'!L91,'BS HPG'!L92,'BS HPG'!L95,'BS HPG'!L96,'BS HPG'!L100,'BS HPG'!L102,'BS HPG'!L107,'BS HPG'!L108,'BS HPG'!L112,'BS HPG'!L113)-SUM('BS HPG'!K81,'BS HPG'!K83,'BS HPG'!K84,'BS HPG'!K86,'BS HPG'!K87,'BS HPG'!K91,'BS HPG'!K92,'BS HPG'!K95,'BS HPG'!K96,'BS HPG'!K100,'BS HPG'!K102,'BS HPG'!K107,'BS HPG'!K108,'BS HPG'!K112,'BS HPG'!K113)</f>
        <v>1679577967958.4219</v>
      </c>
      <c r="M14" s="325">
        <f>SUM('BS HPG'!M81,'BS HPG'!M83,'BS HPG'!M84,'BS HPG'!M86,'BS HPG'!M87,'BS HPG'!M91,'BS HPG'!M92,'BS HPG'!M95,'BS HPG'!M96,'BS HPG'!M100,'BS HPG'!M102,'BS HPG'!M107,'BS HPG'!M108,'BS HPG'!M112,'BS HPG'!M113)-SUM('BS HPG'!L81,'BS HPG'!L83,'BS HPG'!L84,'BS HPG'!L86,'BS HPG'!L87,'BS HPG'!L91,'BS HPG'!L92,'BS HPG'!L95,'BS HPG'!L96,'BS HPG'!L100,'BS HPG'!L102,'BS HPG'!L107,'BS HPG'!L108,'BS HPG'!L112,'BS HPG'!L113)</f>
        <v>2177753365658.8398</v>
      </c>
      <c r="N14" s="325">
        <f>SUM('BS HPG'!N81,'BS HPG'!N83,'BS HPG'!N84,'BS HPG'!N86,'BS HPG'!N87,'BS HPG'!N91,'BS HPG'!N92,'BS HPG'!N95,'BS HPG'!N96,'BS HPG'!N100,'BS HPG'!N102,'BS HPG'!N107,'BS HPG'!N108,'BS HPG'!N112,'BS HPG'!N113)-SUM('BS HPG'!M81,'BS HPG'!M83,'BS HPG'!M84,'BS HPG'!M86,'BS HPG'!M87,'BS HPG'!M91,'BS HPG'!M92,'BS HPG'!M95,'BS HPG'!M96,'BS HPG'!M100,'BS HPG'!M102,'BS HPG'!M107,'BS HPG'!M108,'BS HPG'!M112,'BS HPG'!M113)</f>
        <v>2079791717373.3633</v>
      </c>
      <c r="O14" s="325">
        <f>SUM('BS HPG'!O81,'BS HPG'!O83,'BS HPG'!O84,'BS HPG'!O86,'BS HPG'!O87,'BS HPG'!O91,'BS HPG'!O92,'BS HPG'!O95,'BS HPG'!O96,'BS HPG'!O100,'BS HPG'!O102,'BS HPG'!O107,'BS HPG'!O108,'BS HPG'!O112,'BS HPG'!O113)-SUM('BS HPG'!N81,'BS HPG'!N83,'BS HPG'!N84,'BS HPG'!N86,'BS HPG'!N87,'BS HPG'!N91,'BS HPG'!N92,'BS HPG'!N95,'BS HPG'!N96,'BS HPG'!N100,'BS HPG'!N102,'BS HPG'!N107,'BS HPG'!N108,'BS HPG'!N112,'BS HPG'!N113)</f>
        <v>2024653825601.9063</v>
      </c>
    </row>
    <row r="15" spans="1:15" ht="14.25" customHeight="1">
      <c r="A15" s="319" t="s">
        <v>512</v>
      </c>
      <c r="B15" s="319" t="s">
        <v>696</v>
      </c>
      <c r="C15" s="325">
        <v>121804325086</v>
      </c>
      <c r="D15" s="325">
        <v>-57137603269</v>
      </c>
      <c r="E15" s="325">
        <v>-500921130265</v>
      </c>
      <c r="F15" s="325">
        <v>-8476974345</v>
      </c>
      <c r="G15" s="325">
        <v>-89041139127</v>
      </c>
      <c r="H15" s="325">
        <v>-813988306614</v>
      </c>
      <c r="I15" s="325">
        <v>2624176162</v>
      </c>
      <c r="J15" s="325">
        <v>-87803327985</v>
      </c>
      <c r="K15" s="325">
        <f>SUM('BS HPG'!J27,'BS HPG'!J70)-SUM('BS HPG'!K27,'BS HPG'!K70)</f>
        <v>163932399164.24414</v>
      </c>
      <c r="L15" s="325">
        <f>SUM('BS HPG'!K27,'BS HPG'!K70)-SUM('BS HPG'!L27,'BS HPG'!L70)</f>
        <v>-1218215440577.2227</v>
      </c>
      <c r="M15" s="325">
        <f>SUM('BS HPG'!L27,'BS HPG'!L70)-SUM('BS HPG'!M27,'BS HPG'!M70)</f>
        <v>-1468312998835.8848</v>
      </c>
      <c r="N15" s="325">
        <f>SUM('BS HPG'!M27,'BS HPG'!M70)-SUM('BS HPG'!N27,'BS HPG'!N70)</f>
        <v>-967194365296.64453</v>
      </c>
      <c r="O15" s="325">
        <f>SUM('BS HPG'!N27,'BS HPG'!N70)-SUM('BS HPG'!O27,'BS HPG'!O70)</f>
        <v>-640703920363.10547</v>
      </c>
    </row>
    <row r="16" spans="1:15" ht="14.25" customHeight="1">
      <c r="A16" s="319" t="s">
        <v>513</v>
      </c>
      <c r="B16" s="319" t="s">
        <v>697</v>
      </c>
      <c r="C16" s="325"/>
      <c r="D16" s="325"/>
      <c r="E16" s="325"/>
      <c r="F16" s="325"/>
      <c r="G16" s="325"/>
      <c r="H16" s="325"/>
      <c r="I16" s="325"/>
      <c r="J16" s="325"/>
      <c r="K16" s="325"/>
      <c r="L16" s="325"/>
      <c r="M16" s="325"/>
      <c r="N16" s="325"/>
      <c r="O16" s="325"/>
    </row>
    <row r="17" spans="1:15" ht="14.25" customHeight="1">
      <c r="A17" s="319" t="s">
        <v>514</v>
      </c>
      <c r="B17" s="319" t="s">
        <v>698</v>
      </c>
      <c r="C17" s="325">
        <v>-280617909310</v>
      </c>
      <c r="D17" s="325">
        <v>-476521018456</v>
      </c>
      <c r="E17" s="325">
        <v>-611767789386</v>
      </c>
      <c r="F17" s="325">
        <v>-867276241172</v>
      </c>
      <c r="G17" s="325">
        <v>-2027572222288</v>
      </c>
      <c r="H17" s="325">
        <v>-2567276431082</v>
      </c>
      <c r="I17" s="325">
        <v>-3061103919849</v>
      </c>
      <c r="J17" s="325">
        <v>-3647295875670</v>
      </c>
      <c r="K17" s="325">
        <f>-K9</f>
        <v>-1609025546528.1084</v>
      </c>
      <c r="L17" s="325">
        <f t="shared" ref="L17:O17" si="1">-L9</f>
        <v>-1093979280481.645</v>
      </c>
      <c r="M17" s="325">
        <f t="shared" si="1"/>
        <v>-805791092243.33826</v>
      </c>
      <c r="N17" s="325">
        <f t="shared" si="1"/>
        <v>-574520018522.479</v>
      </c>
      <c r="O17" s="325">
        <f t="shared" si="1"/>
        <v>-447787203143.06256</v>
      </c>
    </row>
    <row r="18" spans="1:15" ht="14.25" customHeight="1">
      <c r="A18" s="319" t="s">
        <v>515</v>
      </c>
      <c r="B18" s="319" t="s">
        <v>699</v>
      </c>
      <c r="C18" s="325">
        <v>-752694098346</v>
      </c>
      <c r="D18" s="325">
        <v>-1723779496359</v>
      </c>
      <c r="E18" s="325">
        <v>-1416437918395</v>
      </c>
      <c r="F18" s="325">
        <v>-1552892549868</v>
      </c>
      <c r="G18" s="325">
        <v>-1716802619015</v>
      </c>
      <c r="H18" s="325">
        <v>-2743083962430</v>
      </c>
      <c r="I18" s="325">
        <v>-1246302085368</v>
      </c>
      <c r="J18" s="325">
        <v>-559992514733</v>
      </c>
      <c r="K18" s="325">
        <f>-'IS HPG (base)'!K67</f>
        <v>-1569204188818.7722</v>
      </c>
      <c r="L18" s="325">
        <f>-'IS HPG (base)'!L67</f>
        <v>-1902104224731.4561</v>
      </c>
      <c r="M18" s="325">
        <f>-'IS HPG (base)'!M67</f>
        <v>-1963879058964.1699</v>
      </c>
      <c r="N18" s="325">
        <f>-'IS HPG (base)'!N67</f>
        <v>-2751368136876.3564</v>
      </c>
      <c r="O18" s="325">
        <f>-'IS HPG (base)'!O67</f>
        <v>-3749621038169.9746</v>
      </c>
    </row>
    <row r="19" spans="1:15" ht="14.25" customHeight="1">
      <c r="A19" s="319" t="s">
        <v>516</v>
      </c>
      <c r="B19" s="319" t="s">
        <v>700</v>
      </c>
      <c r="C19" s="325"/>
      <c r="D19" s="325"/>
      <c r="E19" s="325"/>
      <c r="F19" s="325"/>
      <c r="G19" s="325"/>
      <c r="H19" s="325"/>
      <c r="I19" s="325"/>
      <c r="J19" s="325"/>
      <c r="K19" s="325"/>
      <c r="L19" s="325"/>
      <c r="M19" s="325"/>
      <c r="N19" s="325"/>
      <c r="O19" s="325"/>
    </row>
    <row r="20" spans="1:15" ht="14.25" customHeight="1">
      <c r="A20" s="319" t="s">
        <v>517</v>
      </c>
      <c r="B20" s="319" t="s">
        <v>701</v>
      </c>
      <c r="C20" s="325">
        <v>-164128748378</v>
      </c>
      <c r="D20" s="325">
        <v>-249708157378</v>
      </c>
      <c r="E20" s="325">
        <v>-304001386852</v>
      </c>
      <c r="F20" s="325">
        <v>-352057555830</v>
      </c>
      <c r="G20" s="325">
        <v>-328363376705</v>
      </c>
      <c r="H20" s="325">
        <v>-625409387033</v>
      </c>
      <c r="I20" s="325">
        <v>-776811527307</v>
      </c>
      <c r="J20" s="325">
        <v>-516882532682</v>
      </c>
      <c r="K20" s="325"/>
      <c r="L20" s="325"/>
      <c r="M20" s="325"/>
      <c r="N20" s="325"/>
      <c r="O20" s="325"/>
    </row>
    <row r="21" spans="1:15" ht="14.25" customHeight="1">
      <c r="A21" s="335" t="s">
        <v>518</v>
      </c>
      <c r="B21" s="335" t="s">
        <v>702</v>
      </c>
      <c r="C21" s="336">
        <v>6818719926848</v>
      </c>
      <c r="D21" s="336">
        <v>6058322352370</v>
      </c>
      <c r="E21" s="336">
        <v>7642344150731</v>
      </c>
      <c r="F21" s="336">
        <v>7715168694116</v>
      </c>
      <c r="G21" s="336">
        <v>11587249912974</v>
      </c>
      <c r="H21" s="336">
        <v>26720913303108</v>
      </c>
      <c r="I21" s="336">
        <v>12277636676507</v>
      </c>
      <c r="J21" s="336">
        <v>8643030777026</v>
      </c>
      <c r="K21" s="336">
        <f>SUM(K11:K20)</f>
        <v>19684242047180.195</v>
      </c>
      <c r="L21" s="336">
        <f t="shared" ref="L21:O21" si="2">SUM(L11:L20)</f>
        <v>13314042480271.012</v>
      </c>
      <c r="M21" s="336">
        <f t="shared" si="2"/>
        <v>12372956323994.682</v>
      </c>
      <c r="N21" s="336">
        <f t="shared" si="2"/>
        <v>23323042557173.863</v>
      </c>
      <c r="O21" s="336">
        <f t="shared" si="2"/>
        <v>34349799329566.852</v>
      </c>
    </row>
    <row r="22" spans="1:15" ht="14.25" customHeight="1">
      <c r="A22" s="320"/>
      <c r="B22" s="320"/>
      <c r="C22" s="323"/>
      <c r="D22" s="323"/>
      <c r="E22" s="323"/>
      <c r="F22" s="323"/>
      <c r="G22" s="323"/>
      <c r="H22" s="323"/>
      <c r="I22" s="323"/>
      <c r="J22" s="323"/>
      <c r="K22" s="323"/>
      <c r="L22" s="323"/>
      <c r="M22" s="323"/>
      <c r="N22" s="323"/>
      <c r="O22" s="323"/>
    </row>
    <row r="23" spans="1:15" ht="14.25" customHeight="1">
      <c r="A23" s="319" t="s">
        <v>519</v>
      </c>
      <c r="B23" s="319" t="s">
        <v>703</v>
      </c>
      <c r="C23" s="325"/>
      <c r="D23" s="325"/>
      <c r="E23" s="325"/>
      <c r="F23" s="325"/>
      <c r="G23" s="325"/>
      <c r="H23" s="325"/>
      <c r="I23" s="325"/>
      <c r="J23" s="325"/>
      <c r="K23" s="325"/>
      <c r="L23" s="325"/>
      <c r="M23" s="325"/>
      <c r="N23" s="325"/>
      <c r="O23" s="325"/>
    </row>
    <row r="24" spans="1:15" s="320" customFormat="1" ht="14.25" customHeight="1">
      <c r="A24" s="320" t="s">
        <v>551</v>
      </c>
      <c r="B24" s="320" t="s">
        <v>704</v>
      </c>
      <c r="C24" s="323">
        <f t="shared" ref="C24:I24" si="3">SUM(C25:C26)</f>
        <v>-3389177453818</v>
      </c>
      <c r="D24" s="323">
        <f t="shared" si="3"/>
        <v>-8868043638231</v>
      </c>
      <c r="E24" s="323">
        <f t="shared" si="3"/>
        <v>-27529295993302</v>
      </c>
      <c r="F24" s="323">
        <f t="shared" si="3"/>
        <v>-20798434002627</v>
      </c>
      <c r="G24" s="323">
        <f t="shared" si="3"/>
        <v>-11881227199167</v>
      </c>
      <c r="H24" s="323">
        <f t="shared" si="3"/>
        <v>-11572121542148</v>
      </c>
      <c r="I24" s="323">
        <f t="shared" si="3"/>
        <v>-17865792154177</v>
      </c>
      <c r="J24" s="323">
        <f>SUM(J25:J26)</f>
        <v>-17167484848135</v>
      </c>
      <c r="K24" s="323">
        <f>SUM('BS HPG'!J45,'BS HPG'!J52,'BS HPG'!J57,'BS HPG'!J61)-SUM('BS HPG'!K45,'BS HPG'!K52,'BS HPG'!K57,'BS HPG'!K61)</f>
        <v>-12020532919422</v>
      </c>
      <c r="L24" s="323">
        <f>SUM('BS HPG'!K45,'BS HPG'!K52,'BS HPG'!K57,'BS HPG'!K61)-SUM('BS HPG'!L45,'BS HPG'!L52,'BS HPG'!L57,'BS HPG'!L61)</f>
        <v>-35452795630256.313</v>
      </c>
      <c r="M24" s="323">
        <f>SUM('BS HPG'!L45,'BS HPG'!L52,'BS HPG'!L57,'BS HPG'!L61)-SUM('BS HPG'!M45,'BS HPG'!M52,'BS HPG'!M57,'BS HPG'!M61)</f>
        <v>-11452795630256.344</v>
      </c>
      <c r="N24" s="323">
        <f>SUM('BS HPG'!M45,'BS HPG'!M52,'BS HPG'!M57,'BS HPG'!M61)-SUM('BS HPG'!N45,'BS HPG'!N52,'BS HPG'!N57,'BS HPG'!N61)</f>
        <v>3547204369743.6563</v>
      </c>
      <c r="O24" s="323">
        <f>SUM('BS HPG'!N45,'BS HPG'!N52,'BS HPG'!N57,'BS HPG'!N61)-SUM('BS HPG'!O45,'BS HPG'!O52,'BS HPG'!O57,'BS HPG'!O61)</f>
        <v>-11452795630256.344</v>
      </c>
    </row>
    <row r="25" spans="1:15" ht="14.25" customHeight="1">
      <c r="A25" s="374" t="s">
        <v>520</v>
      </c>
      <c r="B25" s="374" t="s">
        <v>705</v>
      </c>
      <c r="C25" s="325">
        <v>-3416965133077</v>
      </c>
      <c r="D25" s="325">
        <v>-8875037848448</v>
      </c>
      <c r="E25" s="325">
        <v>-27594117760420</v>
      </c>
      <c r="F25" s="325">
        <v>-20825371574660</v>
      </c>
      <c r="G25" s="325">
        <v>-11915645555048</v>
      </c>
      <c r="H25" s="325">
        <v>-11621470092371</v>
      </c>
      <c r="I25" s="325">
        <v>-17887504647036</v>
      </c>
      <c r="J25" s="325">
        <v>-17373946475964</v>
      </c>
      <c r="K25" s="319"/>
      <c r="L25" s="319"/>
      <c r="M25" s="319"/>
      <c r="N25" s="319"/>
      <c r="O25" s="319"/>
    </row>
    <row r="26" spans="1:15" ht="14.25" customHeight="1">
      <c r="A26" s="374" t="s">
        <v>521</v>
      </c>
      <c r="B26" s="374" t="s">
        <v>706</v>
      </c>
      <c r="C26" s="325">
        <v>27787679259</v>
      </c>
      <c r="D26" s="325">
        <v>6994210217</v>
      </c>
      <c r="E26" s="325">
        <v>64821767118</v>
      </c>
      <c r="F26" s="325">
        <v>26937572033</v>
      </c>
      <c r="G26" s="325">
        <v>34418355881</v>
      </c>
      <c r="H26" s="325">
        <v>49348550223</v>
      </c>
      <c r="I26" s="325">
        <v>21712492859</v>
      </c>
      <c r="J26" s="325">
        <v>206461627829</v>
      </c>
      <c r="K26" s="325"/>
      <c r="L26" s="325"/>
      <c r="M26" s="325"/>
      <c r="N26" s="325"/>
      <c r="O26" s="325"/>
    </row>
    <row r="27" spans="1:15" s="320" customFormat="1" ht="14.25" customHeight="1">
      <c r="A27" s="320" t="s">
        <v>552</v>
      </c>
      <c r="B27" s="320" t="s">
        <v>707</v>
      </c>
      <c r="C27" s="323">
        <f t="shared" ref="C27:I27" si="4">SUM(C28:C29)</f>
        <v>109242499518</v>
      </c>
      <c r="D27" s="323">
        <f t="shared" si="4"/>
        <v>-9182069427850</v>
      </c>
      <c r="E27" s="323">
        <f t="shared" si="4"/>
        <v>6147511181441</v>
      </c>
      <c r="F27" s="323">
        <f t="shared" si="4"/>
        <v>2364671407825</v>
      </c>
      <c r="G27" s="323">
        <f t="shared" si="4"/>
        <v>-6967731825013</v>
      </c>
      <c r="H27" s="323">
        <f t="shared" si="4"/>
        <v>-9985075811678</v>
      </c>
      <c r="I27" s="323">
        <f t="shared" si="4"/>
        <v>-8093264512210</v>
      </c>
      <c r="J27" s="323">
        <f>SUM(J28:J29)</f>
        <v>3476231173873</v>
      </c>
      <c r="K27" s="323">
        <f>'BS HPG'!J6-'BS HPG'!K6</f>
        <v>3982437473199</v>
      </c>
      <c r="L27" s="323">
        <f>'BS HPG'!K6-'BS HPG'!L6</f>
        <v>-2802381843139</v>
      </c>
      <c r="M27" s="323">
        <f>'BS HPG'!L6-'BS HPG'!M6</f>
        <v>-3126893995312</v>
      </c>
      <c r="N27" s="323">
        <f>'BS HPG'!M6-'BS HPG'!N6</f>
        <v>-2225857626765</v>
      </c>
      <c r="O27" s="323">
        <f>'BS HPG'!N6-'BS HPG'!O6</f>
        <v>-1924070365994</v>
      </c>
    </row>
    <row r="28" spans="1:15" ht="14.25" customHeight="1">
      <c r="A28" s="374" t="s">
        <v>522</v>
      </c>
      <c r="B28" s="374" t="s">
        <v>708</v>
      </c>
      <c r="C28" s="325"/>
      <c r="D28" s="325">
        <v>-13644057693450</v>
      </c>
      <c r="E28" s="325">
        <v>-11295502021543</v>
      </c>
      <c r="F28" s="325">
        <v>-4467553072509</v>
      </c>
      <c r="G28" s="325">
        <v>-11971173251594</v>
      </c>
      <c r="H28" s="325">
        <v>-41061488333969</v>
      </c>
      <c r="I28" s="325">
        <v>-55505793882381</v>
      </c>
      <c r="J28" s="325">
        <v>-39803522821759</v>
      </c>
      <c r="K28" s="319"/>
      <c r="L28" s="319"/>
      <c r="M28" s="319"/>
      <c r="N28" s="319"/>
      <c r="O28" s="319"/>
    </row>
    <row r="29" spans="1:15" ht="14.25" customHeight="1">
      <c r="A29" s="374" t="s">
        <v>523</v>
      </c>
      <c r="B29" s="374" t="s">
        <v>709</v>
      </c>
      <c r="C29" s="325">
        <v>109242499518</v>
      </c>
      <c r="D29" s="325">
        <v>4461988265600</v>
      </c>
      <c r="E29" s="325">
        <v>17443013202984</v>
      </c>
      <c r="F29" s="325">
        <v>6832224480334</v>
      </c>
      <c r="G29" s="325">
        <v>5003441426581</v>
      </c>
      <c r="H29" s="325">
        <v>31076412522291</v>
      </c>
      <c r="I29" s="325">
        <v>47412529370171</v>
      </c>
      <c r="J29" s="325">
        <v>43279753995632</v>
      </c>
      <c r="K29" s="325"/>
      <c r="L29" s="325"/>
      <c r="M29" s="325"/>
      <c r="N29" s="325"/>
      <c r="O29" s="325"/>
    </row>
    <row r="30" spans="1:15" s="320" customFormat="1" ht="14.25" customHeight="1">
      <c r="A30" s="320" t="s">
        <v>553</v>
      </c>
      <c r="B30" s="320" t="s">
        <v>710</v>
      </c>
      <c r="C30" s="323">
        <f t="shared" ref="C30:I30" si="5">SUM(C31:C32)</f>
        <v>0</v>
      </c>
      <c r="D30" s="323">
        <f t="shared" si="5"/>
        <v>-40182396089</v>
      </c>
      <c r="E30" s="323">
        <f t="shared" si="5"/>
        <v>-98348180516</v>
      </c>
      <c r="F30" s="323">
        <f t="shared" si="5"/>
        <v>0</v>
      </c>
      <c r="G30" s="323">
        <f t="shared" si="5"/>
        <v>0</v>
      </c>
      <c r="H30" s="323">
        <f t="shared" si="5"/>
        <v>833829028281</v>
      </c>
      <c r="I30" s="323">
        <f t="shared" si="5"/>
        <v>-364972005114</v>
      </c>
      <c r="J30" s="323">
        <f>SUM(J31:J32)</f>
        <v>-526054585230</v>
      </c>
      <c r="K30" s="323">
        <f>'BS HPG'!J64-'BS HPG'!K64</f>
        <v>24194681461</v>
      </c>
      <c r="L30" s="323">
        <f>'BS HPG'!K64-'BS HPG'!L64</f>
        <v>-3029787640.6666679</v>
      </c>
      <c r="M30" s="323">
        <f>'BS HPG'!L64-'BS HPG'!M64</f>
        <v>-6045035393.2222214</v>
      </c>
      <c r="N30" s="323">
        <f>'BS HPG'!M64-'BS HPG'!N64</f>
        <v>5039952809.0370369</v>
      </c>
      <c r="O30" s="323">
        <f>'BS HPG'!N64-'BS HPG'!O64</f>
        <v>-1344956741.6172829</v>
      </c>
    </row>
    <row r="31" spans="1:15" ht="14.25" customHeight="1">
      <c r="A31" s="374" t="s">
        <v>524</v>
      </c>
      <c r="B31" s="374" t="s">
        <v>711</v>
      </c>
      <c r="C31" s="325"/>
      <c r="D31" s="325">
        <v>-40833411607</v>
      </c>
      <c r="E31" s="325">
        <v>-115947860804</v>
      </c>
      <c r="F31" s="325"/>
      <c r="G31" s="325"/>
      <c r="H31" s="325"/>
      <c r="I31" s="325">
        <v>-371644175956</v>
      </c>
      <c r="J31" s="325"/>
      <c r="K31" s="325"/>
      <c r="L31" s="325"/>
      <c r="M31" s="325"/>
      <c r="N31" s="325"/>
      <c r="O31" s="325"/>
    </row>
    <row r="32" spans="1:15" ht="14.25" customHeight="1">
      <c r="A32" s="374" t="s">
        <v>525</v>
      </c>
      <c r="B32" s="374" t="s">
        <v>712</v>
      </c>
      <c r="C32" s="325"/>
      <c r="D32" s="325">
        <v>651015518</v>
      </c>
      <c r="E32" s="325">
        <v>17599680288</v>
      </c>
      <c r="F32" s="325"/>
      <c r="G32" s="325"/>
      <c r="H32" s="325">
        <v>833829028281</v>
      </c>
      <c r="I32" s="325">
        <v>6672170842</v>
      </c>
      <c r="J32" s="325">
        <v>-526054585230</v>
      </c>
      <c r="K32" s="325"/>
      <c r="L32" s="325"/>
      <c r="M32" s="325"/>
      <c r="N32" s="325"/>
      <c r="O32" s="325"/>
    </row>
    <row r="33" spans="1:31" s="320" customFormat="1" ht="14.25" customHeight="1">
      <c r="A33" s="320" t="s">
        <v>526</v>
      </c>
      <c r="B33" s="320" t="s">
        <v>713</v>
      </c>
      <c r="C33" s="323">
        <v>162361726520</v>
      </c>
      <c r="D33" s="323">
        <v>164530335333</v>
      </c>
      <c r="E33" s="323">
        <v>946999021433</v>
      </c>
      <c r="F33" s="323">
        <v>369546551545</v>
      </c>
      <c r="G33" s="323">
        <v>353560779277</v>
      </c>
      <c r="H33" s="323">
        <v>1053915562539</v>
      </c>
      <c r="I33" s="323">
        <v>1697815926948</v>
      </c>
      <c r="J33" s="323">
        <v>2222218737225</v>
      </c>
      <c r="K33" s="323"/>
      <c r="L33" s="323"/>
      <c r="M33" s="323"/>
      <c r="N33" s="323"/>
      <c r="O33" s="323"/>
    </row>
    <row r="34" spans="1:31" ht="14.25" customHeight="1">
      <c r="A34" s="335" t="s">
        <v>527</v>
      </c>
      <c r="B34" s="335" t="s">
        <v>714</v>
      </c>
      <c r="C34" s="336">
        <v>-3128134914080</v>
      </c>
      <c r="D34" s="336">
        <v>-17925765126837</v>
      </c>
      <c r="E34" s="336">
        <v>-20533133970944</v>
      </c>
      <c r="F34" s="336">
        <v>-18064216043257</v>
      </c>
      <c r="G34" s="336">
        <v>-18495398244903</v>
      </c>
      <c r="H34" s="336">
        <v>-19669452763006</v>
      </c>
      <c r="I34" s="336">
        <v>-24626212744553</v>
      </c>
      <c r="J34" s="336">
        <v>-11995089522267</v>
      </c>
      <c r="K34" s="336">
        <f>SUM(K24,K27,K30,K33)</f>
        <v>-8013900764762</v>
      </c>
      <c r="L34" s="336">
        <f t="shared" ref="L34:O34" si="6">SUM(L24,L27,L30,L33)</f>
        <v>-38258207261035.977</v>
      </c>
      <c r="M34" s="336">
        <f t="shared" si="6"/>
        <v>-14585734660961.566</v>
      </c>
      <c r="N34" s="336">
        <f t="shared" si="6"/>
        <v>1326386695787.6934</v>
      </c>
      <c r="O34" s="336">
        <f t="shared" si="6"/>
        <v>-13378210952991.961</v>
      </c>
      <c r="P34" s="320"/>
      <c r="Q34" s="320"/>
      <c r="R34" s="320"/>
      <c r="S34" s="320"/>
      <c r="T34" s="320"/>
      <c r="U34" s="320"/>
      <c r="V34" s="320"/>
      <c r="W34" s="320"/>
      <c r="X34" s="320"/>
      <c r="Y34" s="320"/>
      <c r="Z34" s="320"/>
      <c r="AA34" s="320"/>
      <c r="AB34" s="320"/>
      <c r="AC34" s="320"/>
      <c r="AD34" s="320"/>
      <c r="AE34" s="320"/>
    </row>
    <row r="35" spans="1:31" ht="14.25" customHeight="1">
      <c r="A35" s="320"/>
      <c r="B35" s="320"/>
      <c r="C35" s="323"/>
      <c r="D35" s="323"/>
      <c r="E35" s="323"/>
      <c r="F35" s="323"/>
      <c r="G35" s="323"/>
      <c r="H35" s="323"/>
      <c r="I35" s="323"/>
      <c r="J35" s="323"/>
      <c r="K35" s="323"/>
      <c r="L35" s="323"/>
      <c r="M35" s="323"/>
      <c r="N35" s="323"/>
      <c r="O35" s="323"/>
      <c r="P35" s="320"/>
      <c r="Q35" s="320"/>
      <c r="R35" s="320"/>
      <c r="S35" s="320"/>
      <c r="T35" s="320"/>
      <c r="U35" s="320"/>
      <c r="V35" s="320"/>
      <c r="W35" s="320"/>
      <c r="X35" s="320"/>
      <c r="Y35" s="320"/>
      <c r="Z35" s="320"/>
      <c r="AA35" s="320"/>
      <c r="AB35" s="320"/>
      <c r="AC35" s="320"/>
      <c r="AD35" s="320"/>
      <c r="AE35" s="320"/>
    </row>
    <row r="36" spans="1:31" ht="14.25" customHeight="1">
      <c r="A36" s="319" t="s">
        <v>528</v>
      </c>
      <c r="B36" s="319" t="s">
        <v>715</v>
      </c>
      <c r="C36" s="325"/>
      <c r="D36" s="325"/>
      <c r="E36" s="325"/>
      <c r="F36" s="325"/>
      <c r="G36" s="325"/>
      <c r="H36" s="325"/>
      <c r="I36" s="325"/>
      <c r="J36" s="325"/>
      <c r="K36" s="325"/>
      <c r="L36" s="325"/>
      <c r="M36" s="325"/>
      <c r="N36" s="325"/>
      <c r="O36" s="325"/>
    </row>
    <row r="37" spans="1:31" s="320" customFormat="1" ht="14.25" customHeight="1">
      <c r="A37" s="320" t="s">
        <v>554</v>
      </c>
      <c r="B37" s="320" t="s">
        <v>716</v>
      </c>
      <c r="C37" s="323">
        <f t="shared" ref="C37:I37" si="7">SUM(C38:C39)</f>
        <v>0</v>
      </c>
      <c r="D37" s="323">
        <f t="shared" si="7"/>
        <v>5057285360000</v>
      </c>
      <c r="E37" s="323">
        <f t="shared" si="7"/>
        <v>11424719202</v>
      </c>
      <c r="F37" s="323">
        <f t="shared" si="7"/>
        <v>85000000</v>
      </c>
      <c r="G37" s="323">
        <f t="shared" si="7"/>
        <v>2700000000</v>
      </c>
      <c r="H37" s="323">
        <f t="shared" si="7"/>
        <v>10630000000</v>
      </c>
      <c r="I37" s="323">
        <f t="shared" si="7"/>
        <v>4075000000</v>
      </c>
      <c r="J37" s="323">
        <f>SUM(J38:J39)</f>
        <v>-1643640000</v>
      </c>
      <c r="K37" s="323">
        <f>'BS HPG'!K117-'BS HPG'!J117</f>
        <v>0</v>
      </c>
      <c r="L37" s="323">
        <f>'BS HPG'!L117-'BS HPG'!K117</f>
        <v>0</v>
      </c>
      <c r="M37" s="323">
        <f>'BS HPG'!M117-'BS HPG'!L117</f>
        <v>0</v>
      </c>
      <c r="N37" s="323">
        <f>'BS HPG'!N117-'BS HPG'!M117</f>
        <v>0</v>
      </c>
      <c r="O37" s="323">
        <f>'BS HPG'!O117-'BS HPG'!N117</f>
        <v>0</v>
      </c>
    </row>
    <row r="38" spans="1:31" ht="14.25" customHeight="1">
      <c r="A38" s="374" t="s">
        <v>529</v>
      </c>
      <c r="B38" s="374" t="s">
        <v>717</v>
      </c>
      <c r="C38" s="325"/>
      <c r="D38" s="325">
        <v>5057285360000</v>
      </c>
      <c r="E38" s="325">
        <v>11424719202</v>
      </c>
      <c r="F38" s="325">
        <v>85000000</v>
      </c>
      <c r="G38" s="325">
        <v>2700000000</v>
      </c>
      <c r="H38" s="325">
        <v>10630000000</v>
      </c>
      <c r="I38" s="325">
        <v>4075000000</v>
      </c>
      <c r="J38" s="325">
        <v>700000000</v>
      </c>
      <c r="K38" s="319"/>
      <c r="L38" s="319"/>
      <c r="M38" s="319"/>
      <c r="N38" s="319"/>
      <c r="O38" s="319"/>
    </row>
    <row r="39" spans="1:31" ht="14.25" customHeight="1">
      <c r="A39" s="374" t="s">
        <v>530</v>
      </c>
      <c r="B39" s="374" t="s">
        <v>718</v>
      </c>
      <c r="C39" s="325"/>
      <c r="D39" s="325"/>
      <c r="E39" s="325"/>
      <c r="F39" s="325"/>
      <c r="G39" s="325"/>
      <c r="H39" s="325"/>
      <c r="I39" s="325"/>
      <c r="J39" s="325">
        <v>-2343640000</v>
      </c>
      <c r="K39" s="325"/>
      <c r="L39" s="325"/>
      <c r="M39" s="325"/>
      <c r="N39" s="325"/>
      <c r="O39" s="325"/>
    </row>
    <row r="40" spans="1:31" s="320" customFormat="1" ht="14.25" customHeight="1">
      <c r="A40" s="320" t="s">
        <v>555</v>
      </c>
      <c r="B40" s="320" t="s">
        <v>719</v>
      </c>
      <c r="C40" s="323">
        <f>SUM(C41:C43)</f>
        <v>-402405377686</v>
      </c>
      <c r="D40" s="323">
        <f t="shared" ref="D40:J40" si="8">SUM(D41:D43)</f>
        <v>6520162248622</v>
      </c>
      <c r="E40" s="323">
        <f t="shared" si="8"/>
        <v>11137005121487</v>
      </c>
      <c r="F40" s="323">
        <f t="shared" si="8"/>
        <v>12390502815441</v>
      </c>
      <c r="G40" s="323">
        <f t="shared" si="8"/>
        <v>17470475344009</v>
      </c>
      <c r="H40" s="323">
        <f t="shared" si="8"/>
        <v>3422561797925</v>
      </c>
      <c r="I40" s="323">
        <f t="shared" si="8"/>
        <v>479394848551</v>
      </c>
      <c r="J40" s="323">
        <f t="shared" si="8"/>
        <v>7285269775404</v>
      </c>
      <c r="K40" s="323">
        <f>SUM('BS HPG'!K93,'BS HPG'!K109)-SUM('BS HPG'!J93,'BS HPG'!J109)</f>
        <v>-2529388786710.8906</v>
      </c>
      <c r="L40" s="323">
        <f>SUM('BS HPG'!L93,'BS HPG'!L109)-SUM('BS HPG'!K93,'BS HPG'!K109)</f>
        <v>9724745688808.7188</v>
      </c>
      <c r="M40" s="323">
        <f>SUM('BS HPG'!M93,'BS HPG'!M109)-SUM('BS HPG'!L93,'BS HPG'!L109)</f>
        <v>1360492478098.7188</v>
      </c>
      <c r="N40" s="323">
        <f>SUM('BS HPG'!N93,'BS HPG'!N109)-SUM('BS HPG'!M93,'BS HPG'!M109)</f>
        <v>-13743779782564.039</v>
      </c>
      <c r="O40" s="323">
        <f>SUM('BS HPG'!O93,'BS HPG'!O109)-SUM('BS HPG'!N93,'BS HPG'!N109)</f>
        <v>-7923378548192.0469</v>
      </c>
    </row>
    <row r="41" spans="1:31" ht="14.25" customHeight="1">
      <c r="A41" s="374" t="s">
        <v>531</v>
      </c>
      <c r="B41" s="374" t="s">
        <v>720</v>
      </c>
      <c r="C41" s="325">
        <v>28158082994564</v>
      </c>
      <c r="D41" s="325">
        <v>37194696510889</v>
      </c>
      <c r="E41" s="325">
        <v>53472014216173</v>
      </c>
      <c r="F41" s="325">
        <v>69584170644057</v>
      </c>
      <c r="G41" s="325">
        <v>83074115401537</v>
      </c>
      <c r="H41" s="325">
        <v>125075421125272</v>
      </c>
      <c r="I41" s="325">
        <v>135250023212840</v>
      </c>
      <c r="J41" s="325">
        <v>127232900840872</v>
      </c>
      <c r="K41" s="325"/>
      <c r="L41" s="325"/>
      <c r="M41" s="325"/>
      <c r="N41" s="325"/>
      <c r="O41" s="325"/>
    </row>
    <row r="42" spans="1:31" ht="14.25" customHeight="1">
      <c r="A42" s="374" t="s">
        <v>532</v>
      </c>
      <c r="B42" s="374" t="s">
        <v>721</v>
      </c>
      <c r="C42" s="325">
        <v>-28560488372250</v>
      </c>
      <c r="D42" s="325">
        <v>-30674534262267</v>
      </c>
      <c r="E42" s="325">
        <v>-42335009094686</v>
      </c>
      <c r="F42" s="325">
        <v>-57193667828616</v>
      </c>
      <c r="G42" s="325">
        <v>-65603640057528</v>
      </c>
      <c r="H42" s="325">
        <v>-121652859327347</v>
      </c>
      <c r="I42" s="325">
        <v>-134770628364289</v>
      </c>
      <c r="J42" s="325">
        <v>-119947631065468</v>
      </c>
      <c r="K42" s="325"/>
      <c r="L42" s="325"/>
      <c r="M42" s="325"/>
      <c r="N42" s="325"/>
      <c r="O42" s="325"/>
    </row>
    <row r="43" spans="1:31" ht="14.25" customHeight="1">
      <c r="A43" s="374" t="s">
        <v>533</v>
      </c>
      <c r="B43" s="374" t="s">
        <v>722</v>
      </c>
      <c r="C43" s="325"/>
      <c r="D43" s="325"/>
      <c r="E43" s="325"/>
      <c r="F43" s="325"/>
      <c r="G43" s="325"/>
      <c r="H43" s="325"/>
      <c r="I43" s="325"/>
      <c r="J43" s="325"/>
      <c r="K43" s="325"/>
      <c r="L43" s="325"/>
      <c r="M43" s="325"/>
      <c r="N43" s="325"/>
      <c r="O43" s="325"/>
    </row>
    <row r="44" spans="1:31" s="320" customFormat="1" ht="14.25" customHeight="1">
      <c r="A44" s="320" t="s">
        <v>557</v>
      </c>
      <c r="B44" s="320" t="s">
        <v>723</v>
      </c>
      <c r="C44" s="323">
        <v>-1102410958562</v>
      </c>
      <c r="D44" s="323">
        <v>-3754507141</v>
      </c>
      <c r="E44" s="323">
        <v>-5918198429</v>
      </c>
      <c r="F44" s="323">
        <v>-12646859136</v>
      </c>
      <c r="G44" s="323">
        <v>-1419473748756</v>
      </c>
      <c r="H44" s="323">
        <v>-1693086647969</v>
      </c>
      <c r="I44" s="323">
        <v>-2261459543241</v>
      </c>
      <c r="J44" s="323">
        <v>-8013794632</v>
      </c>
      <c r="K44" s="323">
        <f>-'BS HPG'!K133</f>
        <v>0</v>
      </c>
      <c r="L44" s="323">
        <f>-'BS HPG'!L133</f>
        <v>0</v>
      </c>
      <c r="M44" s="323">
        <f>-'BS HPG'!M133</f>
        <v>-1985699937397.1055</v>
      </c>
      <c r="N44" s="323">
        <f>-'BS HPG'!N133</f>
        <v>-5523900644036.3779</v>
      </c>
      <c r="O44" s="323">
        <f>-'BS HPG'!O133</f>
        <v>-12546808858491.836</v>
      </c>
    </row>
    <row r="45" spans="1:31" s="320" customFormat="1" ht="14.25" customHeight="1">
      <c r="A45" s="320" t="s">
        <v>556</v>
      </c>
      <c r="B45" s="320" t="s">
        <v>724</v>
      </c>
      <c r="C45" s="323"/>
      <c r="D45" s="323"/>
      <c r="E45" s="323"/>
      <c r="F45" s="323"/>
      <c r="G45" s="323"/>
      <c r="H45" s="323"/>
      <c r="I45" s="323"/>
      <c r="J45" s="323"/>
      <c r="K45" s="323">
        <f>SUM('BS HPG'!K121,'BS HPG'!K126,'BS HPG'!K127,'BS HPG'!K136)-SUM('BS HPG'!J121,'BS HPG'!J126,'BS HPG'!J127,'BS HPG'!J136)</f>
        <v>40643703470</v>
      </c>
      <c r="L45" s="323">
        <f>SUM('BS HPG'!L121,'BS HPG'!L126,'BS HPG'!L127,'BS HPG'!L136)-SUM('BS HPG'!K121,'BS HPG'!K126,'BS HPG'!K127,'BS HPG'!K136)</f>
        <v>-21568428896</v>
      </c>
      <c r="M45" s="323">
        <f>SUM('BS HPG'!M121,'BS HPG'!M126,'BS HPG'!M127,'BS HPG'!M136)-SUM('BS HPG'!L121,'BS HPG'!L126,'BS HPG'!L127,'BS HPG'!L136)</f>
        <v>831051440.66650391</v>
      </c>
      <c r="N45" s="323">
        <f>SUM('BS HPG'!N121,'BS HPG'!N126,'BS HPG'!N127,'BS HPG'!N136)-SUM('BS HPG'!M121,'BS HPG'!M126,'BS HPG'!M127,'BS HPG'!M136)</f>
        <v>6635442004.8891602</v>
      </c>
      <c r="O45" s="323">
        <f>SUM('BS HPG'!O121,'BS HPG'!O126,'BS HPG'!O127,'BS HPG'!O136)-SUM('BS HPG'!N121,'BS HPG'!N126,'BS HPG'!N127,'BS HPG'!N136)</f>
        <v>-4700645150.1484375</v>
      </c>
    </row>
    <row r="46" spans="1:31" ht="14.25" customHeight="1">
      <c r="A46" s="335" t="s">
        <v>534</v>
      </c>
      <c r="B46" s="335" t="s">
        <v>725</v>
      </c>
      <c r="C46" s="336">
        <v>-1504806336248</v>
      </c>
      <c r="D46" s="336">
        <v>11573693101481</v>
      </c>
      <c r="E46" s="336">
        <v>11142511642260</v>
      </c>
      <c r="F46" s="336">
        <v>12377940956305</v>
      </c>
      <c r="G46" s="336">
        <v>16053701595253</v>
      </c>
      <c r="H46" s="336">
        <v>1740105149956</v>
      </c>
      <c r="I46" s="336">
        <v>-1777989694690</v>
      </c>
      <c r="J46" s="336">
        <v>7275612340772</v>
      </c>
      <c r="K46" s="336">
        <f>SUM(K37,K40,K44,K45)</f>
        <v>-2488745083240.8906</v>
      </c>
      <c r="L46" s="336">
        <f t="shared" ref="L46:O46" si="9">SUM(L37,L40,L44,L45)</f>
        <v>9703177259912.7188</v>
      </c>
      <c r="M46" s="336">
        <f t="shared" si="9"/>
        <v>-624376407857.72021</v>
      </c>
      <c r="N46" s="336">
        <f t="shared" si="9"/>
        <v>-19261044984595.527</v>
      </c>
      <c r="O46" s="336">
        <f t="shared" si="9"/>
        <v>-20474888051834.031</v>
      </c>
      <c r="P46" s="320"/>
      <c r="Q46" s="320"/>
      <c r="R46" s="320"/>
      <c r="S46" s="320"/>
      <c r="T46" s="320"/>
      <c r="U46" s="320"/>
      <c r="V46" s="320"/>
      <c r="W46" s="320"/>
      <c r="X46" s="320"/>
      <c r="Y46" s="320"/>
      <c r="Z46" s="320"/>
      <c r="AA46" s="320"/>
      <c r="AB46" s="320"/>
      <c r="AC46" s="320"/>
      <c r="AD46" s="320"/>
      <c r="AE46" s="320"/>
    </row>
    <row r="47" spans="1:31" ht="14.25" customHeight="1">
      <c r="A47" s="320"/>
      <c r="B47" s="320"/>
      <c r="C47" s="323"/>
      <c r="D47" s="323"/>
      <c r="E47" s="323"/>
      <c r="F47" s="323"/>
      <c r="G47" s="323"/>
      <c r="H47" s="323"/>
      <c r="I47" s="323"/>
      <c r="J47" s="323"/>
      <c r="K47" s="323"/>
      <c r="L47" s="323"/>
      <c r="M47" s="323"/>
      <c r="N47" s="323"/>
      <c r="O47" s="323"/>
      <c r="P47" s="320"/>
      <c r="Q47" s="320"/>
      <c r="R47" s="320"/>
      <c r="S47" s="320"/>
      <c r="T47" s="320"/>
      <c r="U47" s="320"/>
      <c r="V47" s="320"/>
      <c r="W47" s="320"/>
      <c r="X47" s="320"/>
      <c r="Y47" s="320"/>
      <c r="Z47" s="320"/>
      <c r="AA47" s="320"/>
      <c r="AB47" s="320"/>
      <c r="AC47" s="320"/>
      <c r="AD47" s="320"/>
      <c r="AE47" s="320"/>
    </row>
    <row r="48" spans="1:31" ht="14.25" customHeight="1">
      <c r="A48" s="335" t="s">
        <v>535</v>
      </c>
      <c r="B48" s="335" t="s">
        <v>726</v>
      </c>
      <c r="C48" s="336">
        <v>2185778676520</v>
      </c>
      <c r="D48" s="336">
        <v>-293749672986</v>
      </c>
      <c r="E48" s="336">
        <v>-1748278177953</v>
      </c>
      <c r="F48" s="336">
        <v>2028893607164</v>
      </c>
      <c r="G48" s="336">
        <v>9145553263324</v>
      </c>
      <c r="H48" s="336">
        <v>8791565690058</v>
      </c>
      <c r="I48" s="336">
        <v>-14126565762736</v>
      </c>
      <c r="J48" s="336">
        <v>3923553595531</v>
      </c>
      <c r="K48" s="336">
        <f>SUM(K21,K34,K46)</f>
        <v>9181596199177.3047</v>
      </c>
      <c r="L48" s="336">
        <f t="shared" ref="L48:O48" si="10">SUM(L21,L34,L46)</f>
        <v>-15240987520852.246</v>
      </c>
      <c r="M48" s="336">
        <f t="shared" si="10"/>
        <v>-2837154744824.605</v>
      </c>
      <c r="N48" s="336">
        <f t="shared" si="10"/>
        <v>5388384268366.0273</v>
      </c>
      <c r="O48" s="336">
        <f t="shared" si="10"/>
        <v>496700324740.85938</v>
      </c>
    </row>
    <row r="49" spans="1:17" ht="14.25" customHeight="1">
      <c r="A49" s="319" t="s">
        <v>536</v>
      </c>
      <c r="B49" s="319" t="s">
        <v>727</v>
      </c>
      <c r="C49" s="325">
        <v>2371680070865</v>
      </c>
      <c r="D49" s="325">
        <v>4558660713745</v>
      </c>
      <c r="E49" s="325">
        <v>4264641954689</v>
      </c>
      <c r="F49" s="325">
        <v>2515617135457</v>
      </c>
      <c r="G49" s="325">
        <v>4544900252204</v>
      </c>
      <c r="H49" s="325">
        <v>13696099298228</v>
      </c>
      <c r="I49" s="325">
        <v>22471375562130</v>
      </c>
      <c r="J49" s="325">
        <v>8324588920227</v>
      </c>
      <c r="K49" s="325">
        <f>J51</f>
        <v>12252001160884</v>
      </c>
      <c r="L49" s="325">
        <f t="shared" ref="L49:O49" si="11">K51</f>
        <v>21433597360061.305</v>
      </c>
      <c r="M49" s="325">
        <f t="shared" si="11"/>
        <v>6192609839209.0586</v>
      </c>
      <c r="N49" s="325">
        <f t="shared" si="11"/>
        <v>3355455094384.4536</v>
      </c>
      <c r="O49" s="325">
        <f t="shared" si="11"/>
        <v>8743839362750.4805</v>
      </c>
    </row>
    <row r="50" spans="1:17" ht="14.25" customHeight="1">
      <c r="A50" s="319" t="s">
        <v>537</v>
      </c>
      <c r="B50" s="319" t="s">
        <v>728</v>
      </c>
      <c r="C50" s="325">
        <v>1201966360</v>
      </c>
      <c r="D50" s="325">
        <v>-269086070</v>
      </c>
      <c r="E50" s="325">
        <v>-746641279</v>
      </c>
      <c r="F50" s="325">
        <v>389509583</v>
      </c>
      <c r="G50" s="325">
        <v>5645782700</v>
      </c>
      <c r="H50" s="325">
        <v>-16289426156</v>
      </c>
      <c r="I50" s="325">
        <v>-20220879167</v>
      </c>
      <c r="J50" s="325">
        <v>3858645126</v>
      </c>
      <c r="K50" s="325"/>
      <c r="L50" s="325"/>
      <c r="M50" s="325"/>
      <c r="N50" s="325"/>
      <c r="O50" s="325"/>
    </row>
    <row r="51" spans="1:17" ht="14.25" customHeight="1">
      <c r="A51" s="335" t="s">
        <v>538</v>
      </c>
      <c r="B51" s="335" t="s">
        <v>729</v>
      </c>
      <c r="C51" s="336">
        <v>4558660713745</v>
      </c>
      <c r="D51" s="336">
        <v>4264641954689</v>
      </c>
      <c r="E51" s="336">
        <v>2515617135457</v>
      </c>
      <c r="F51" s="336">
        <v>4544900252204</v>
      </c>
      <c r="G51" s="336">
        <v>13696099298228</v>
      </c>
      <c r="H51" s="336">
        <v>22471375562130</v>
      </c>
      <c r="I51" s="336">
        <v>8324588920227</v>
      </c>
      <c r="J51" s="336">
        <v>12252001160884</v>
      </c>
      <c r="K51" s="336">
        <f>K48+K49</f>
        <v>21433597360061.305</v>
      </c>
      <c r="L51" s="336">
        <f t="shared" ref="L51:O51" si="12">L48+L49</f>
        <v>6192609839209.0586</v>
      </c>
      <c r="M51" s="336">
        <f t="shared" si="12"/>
        <v>3355455094384.4536</v>
      </c>
      <c r="N51" s="336">
        <f t="shared" si="12"/>
        <v>8743839362750.4805</v>
      </c>
      <c r="O51" s="336">
        <f t="shared" si="12"/>
        <v>9240539687491.3398</v>
      </c>
      <c r="P51" s="439"/>
      <c r="Q51" s="439"/>
    </row>
    <row r="52" spans="1:17" ht="14.25" customHeight="1">
      <c r="P52" s="440" t="s">
        <v>826</v>
      </c>
      <c r="Q52" s="440" t="s">
        <v>826</v>
      </c>
    </row>
    <row r="53" spans="1:17" s="434" customFormat="1" ht="14.25" customHeight="1" thickBot="1">
      <c r="A53" s="433" t="s">
        <v>815</v>
      </c>
      <c r="C53" s="435"/>
      <c r="D53" s="435"/>
      <c r="E53" s="435"/>
      <c r="F53" s="435"/>
      <c r="G53" s="435"/>
      <c r="H53" s="435"/>
      <c r="I53" s="435"/>
      <c r="J53" s="435"/>
      <c r="K53" s="435"/>
      <c r="L53" s="435"/>
      <c r="M53" s="435"/>
      <c r="N53" s="435"/>
      <c r="O53" s="435"/>
      <c r="P53" s="441" t="s">
        <v>827</v>
      </c>
      <c r="Q53" s="441" t="s">
        <v>828</v>
      </c>
    </row>
    <row r="54" spans="1:17" s="434" customFormat="1" ht="14.25" customHeight="1">
      <c r="A54" s="436" t="s">
        <v>518</v>
      </c>
      <c r="B54" s="434" t="s">
        <v>702</v>
      </c>
      <c r="C54" s="438">
        <v>6818719926848</v>
      </c>
      <c r="D54" s="438">
        <v>6058322352370</v>
      </c>
      <c r="E54" s="438">
        <v>7642344150731</v>
      </c>
      <c r="F54" s="438">
        <v>7715168694116</v>
      </c>
      <c r="G54" s="438">
        <v>11587249912974</v>
      </c>
      <c r="H54" s="438">
        <v>26720913303108</v>
      </c>
      <c r="I54" s="438">
        <v>12277636676507</v>
      </c>
      <c r="J54" s="438">
        <v>8643030777026</v>
      </c>
      <c r="K54" s="438">
        <v>25659502631846.793</v>
      </c>
      <c r="L54" s="438">
        <v>20685667900499.375</v>
      </c>
      <c r="M54" s="438">
        <v>25109355445635.512</v>
      </c>
      <c r="N54" s="438">
        <v>35048364998246.723</v>
      </c>
      <c r="O54" s="438">
        <v>50943726767320.172</v>
      </c>
      <c r="P54" s="439"/>
      <c r="Q54" s="440" t="s">
        <v>829</v>
      </c>
    </row>
    <row r="55" spans="1:17" s="434" customFormat="1" ht="14.25" customHeight="1">
      <c r="A55" s="436" t="s">
        <v>174</v>
      </c>
      <c r="C55" s="438">
        <f>C24</f>
        <v>-3389177453818</v>
      </c>
      <c r="D55" s="438">
        <f t="shared" ref="D55:N55" si="13">D24</f>
        <v>-8868043638231</v>
      </c>
      <c r="E55" s="438">
        <f t="shared" si="13"/>
        <v>-27529295993302</v>
      </c>
      <c r="F55" s="438">
        <f t="shared" si="13"/>
        <v>-20798434002627</v>
      </c>
      <c r="G55" s="438">
        <f t="shared" si="13"/>
        <v>-11881227199167</v>
      </c>
      <c r="H55" s="438">
        <f t="shared" si="13"/>
        <v>-11572121542148</v>
      </c>
      <c r="I55" s="438">
        <f t="shared" si="13"/>
        <v>-17865792154177</v>
      </c>
      <c r="J55" s="438">
        <f t="shared" si="13"/>
        <v>-17167484848135</v>
      </c>
      <c r="K55" s="438">
        <f t="shared" si="13"/>
        <v>-12020532919422</v>
      </c>
      <c r="L55" s="438">
        <f t="shared" si="13"/>
        <v>-35452795630256.313</v>
      </c>
      <c r="M55" s="438">
        <f t="shared" si="13"/>
        <v>-11452795630256.344</v>
      </c>
      <c r="N55" s="438">
        <f t="shared" si="13"/>
        <v>3547204369743.6563</v>
      </c>
      <c r="O55" s="438">
        <f>O24</f>
        <v>-11452795630256.344</v>
      </c>
      <c r="P55" s="442" t="e">
        <f>#REF!</f>
        <v>#REF!</v>
      </c>
      <c r="Q55" s="443">
        <v>0.05</v>
      </c>
    </row>
    <row r="56" spans="1:17" s="434" customFormat="1" ht="14.25" customHeight="1">
      <c r="A56" s="436" t="s">
        <v>816</v>
      </c>
      <c r="C56" s="438">
        <f>'IS HPG (base)'!C35*(1-'IS HPG (base)'!C68-'IS HPG (base)'!C70)</f>
        <v>0</v>
      </c>
      <c r="D56" s="438">
        <f>'IS HPG (base)'!D35*(1-'IS HPG (base)'!D68-'IS HPG (base)'!D70)</f>
        <v>0</v>
      </c>
      <c r="E56" s="438">
        <f>'IS HPG (base)'!E35*(1-'IS HPG (base)'!E68-'IS HPG (base)'!E70)</f>
        <v>461033701088.81842</v>
      </c>
      <c r="F56" s="438">
        <f>'IS HPG (base)'!F35*(1-'IS HPG (base)'!F68-'IS HPG (base)'!F70)</f>
        <v>780354646996.00085</v>
      </c>
      <c r="G56" s="438">
        <f>'IS HPG (base)'!G35*(1-'IS HPG (base)'!G68-'IS HPG (base)'!G70)</f>
        <v>1927542236274.1646</v>
      </c>
      <c r="H56" s="438">
        <f>'IS HPG (base)'!H35*(1-'IS HPG (base)'!H68-'IS HPG (base)'!H70)</f>
        <v>2352979299347.8481</v>
      </c>
      <c r="I56" s="438">
        <f>'IS HPG (base)'!I35*(1-'IS HPG (base)'!I68-'IS HPG (base)'!I70)</f>
        <v>2624177962956.8989</v>
      </c>
      <c r="J56" s="438">
        <f>'IS HPG (base)'!J35*(1-'IS HPG (base)'!J68-'IS HPG (base)'!J70)</f>
        <v>3128547289866.9287</v>
      </c>
      <c r="K56" s="438">
        <f>'IS HPG (base)'!K35*(1-'IS HPG (base)'!K68-'IS HPG (base)'!K70)</f>
        <v>1386420841312.1846</v>
      </c>
      <c r="L56" s="438">
        <f>'IS HPG (base)'!L35*(1-'IS HPG (base)'!L68-'IS HPG (base)'!L70)</f>
        <v>963406121054.27173</v>
      </c>
      <c r="M56" s="438">
        <f>'IS HPG (base)'!M35*(1-'IS HPG (base)'!M68-'IS HPG (base)'!M70)</f>
        <v>722109237924.47559</v>
      </c>
      <c r="N56" s="438">
        <f>'IS HPG (base)'!N35*(1-'IS HPG (base)'!N68-'IS HPG (base)'!N70)</f>
        <v>496797112238.85168</v>
      </c>
      <c r="O56" s="438">
        <f>'IS HPG (base)'!O35*(1-'IS HPG (base)'!O68-'IS HPG (base)'!O70)</f>
        <v>385451033385.23926</v>
      </c>
      <c r="P56" s="442"/>
      <c r="Q56" s="442"/>
    </row>
    <row r="57" spans="1:17" s="434" customFormat="1" ht="14.25" customHeight="1">
      <c r="A57" s="437" t="s">
        <v>817</v>
      </c>
      <c r="C57" s="438">
        <f>SUM(C54:C56)</f>
        <v>3429542473030</v>
      </c>
      <c r="D57" s="438">
        <f t="shared" ref="D57:O57" si="14">SUM(D54:D56)</f>
        <v>-2809721285861</v>
      </c>
      <c r="E57" s="438">
        <f t="shared" si="14"/>
        <v>-19425918141482.18</v>
      </c>
      <c r="F57" s="438">
        <f t="shared" si="14"/>
        <v>-12302910661515</v>
      </c>
      <c r="G57" s="438">
        <f t="shared" si="14"/>
        <v>1633564950081.1646</v>
      </c>
      <c r="H57" s="438">
        <f t="shared" si="14"/>
        <v>17501771060307.848</v>
      </c>
      <c r="I57" s="438">
        <f t="shared" si="14"/>
        <v>-2963977514713.1011</v>
      </c>
      <c r="J57" s="438">
        <f t="shared" si="14"/>
        <v>-5395906781242.0713</v>
      </c>
      <c r="K57" s="438">
        <f t="shared" si="14"/>
        <v>15025390553736.977</v>
      </c>
      <c r="L57" s="438">
        <f t="shared" si="14"/>
        <v>-13803721608702.666</v>
      </c>
      <c r="M57" s="438">
        <f t="shared" si="14"/>
        <v>14378669053303.645</v>
      </c>
      <c r="N57" s="438">
        <f t="shared" si="14"/>
        <v>39092366480229.227</v>
      </c>
      <c r="O57" s="438">
        <f t="shared" si="14"/>
        <v>39876382170449.07</v>
      </c>
      <c r="P57" s="432">
        <f>'[1]Income Statement'!O26*'[1]Cash Flow'!P55</f>
        <v>0</v>
      </c>
      <c r="Q57" s="432" t="e">
        <f>SUM(O54:O56)*(1+Q55)/(#REF!-Q55)</f>
        <v>#REF!</v>
      </c>
    </row>
    <row r="58" spans="1:17" s="434" customFormat="1" ht="14.25" customHeight="1">
      <c r="A58" s="437" t="s">
        <v>818</v>
      </c>
      <c r="C58" s="435"/>
      <c r="D58" s="435"/>
      <c r="E58" s="435"/>
      <c r="F58" s="435"/>
      <c r="G58" s="435"/>
      <c r="H58" s="435"/>
      <c r="I58" s="435"/>
      <c r="J58" s="435"/>
      <c r="K58" s="435"/>
      <c r="L58" s="435"/>
      <c r="M58" s="435"/>
      <c r="N58" s="435"/>
      <c r="O58" s="435"/>
      <c r="P58" s="444"/>
      <c r="Q58" s="444"/>
    </row>
    <row r="59" spans="1:17" s="434" customFormat="1" ht="14.25" customHeight="1">
      <c r="A59" s="436" t="s">
        <v>819</v>
      </c>
      <c r="C59" s="435"/>
      <c r="D59" s="435"/>
      <c r="E59" s="435"/>
      <c r="F59" s="435"/>
      <c r="G59" s="435"/>
      <c r="H59" s="435"/>
      <c r="I59" s="435"/>
      <c r="J59" s="435"/>
      <c r="K59" s="435"/>
      <c r="L59" s="435"/>
      <c r="M59" s="435"/>
      <c r="N59" s="435"/>
      <c r="O59" s="435"/>
      <c r="P59" s="440"/>
      <c r="Q59" s="440"/>
    </row>
    <row r="60" spans="1:17" s="434" customFormat="1" ht="14.25" customHeight="1">
      <c r="A60" s="436" t="s">
        <v>820</v>
      </c>
      <c r="C60" s="435"/>
      <c r="D60" s="435"/>
      <c r="E60" s="435"/>
      <c r="F60" s="435"/>
      <c r="G60" s="435"/>
      <c r="H60" s="435"/>
      <c r="I60" s="435"/>
      <c r="J60" s="435"/>
      <c r="K60" s="435"/>
      <c r="L60" s="435"/>
      <c r="M60" s="435"/>
      <c r="N60" s="435"/>
      <c r="O60" s="435"/>
      <c r="P60" s="440"/>
      <c r="Q60" s="440"/>
    </row>
    <row r="61" spans="1:17" s="434" customFormat="1" ht="14.25" customHeight="1">
      <c r="A61" s="437" t="s">
        <v>821</v>
      </c>
      <c r="C61" s="435"/>
      <c r="D61" s="435"/>
      <c r="E61" s="435"/>
      <c r="F61" s="435"/>
      <c r="G61" s="435"/>
      <c r="H61" s="435"/>
      <c r="I61" s="435"/>
      <c r="J61" s="435"/>
      <c r="K61" s="435"/>
      <c r="L61" s="435"/>
      <c r="M61" s="435"/>
      <c r="N61" s="435"/>
      <c r="O61" s="435"/>
      <c r="P61" s="444"/>
      <c r="Q61" s="444"/>
    </row>
    <row r="62" spans="1:17" s="434" customFormat="1" ht="14.25" customHeight="1">
      <c r="A62" s="436" t="s">
        <v>822</v>
      </c>
      <c r="C62" s="435"/>
      <c r="D62" s="435"/>
      <c r="E62" s="435"/>
      <c r="F62" s="435"/>
      <c r="G62" s="435"/>
      <c r="H62" s="435"/>
      <c r="I62" s="435"/>
      <c r="J62" s="435"/>
      <c r="K62" s="435"/>
      <c r="L62" s="435"/>
      <c r="M62" s="435"/>
      <c r="N62" s="435"/>
      <c r="O62" s="435"/>
      <c r="P62" s="440"/>
      <c r="Q62" s="440"/>
    </row>
    <row r="63" spans="1:17" s="434" customFormat="1" ht="14.25" customHeight="1">
      <c r="A63" s="437" t="s">
        <v>823</v>
      </c>
      <c r="C63" s="435"/>
      <c r="D63" s="435"/>
      <c r="E63" s="435"/>
      <c r="F63" s="435"/>
      <c r="G63" s="435"/>
      <c r="H63" s="435"/>
      <c r="I63" s="435"/>
      <c r="J63" s="435"/>
      <c r="K63" s="435"/>
      <c r="L63" s="435"/>
      <c r="M63" s="435"/>
      <c r="N63" s="435"/>
      <c r="O63" s="435"/>
      <c r="P63" s="444"/>
      <c r="Q63" s="444"/>
    </row>
    <row r="64" spans="1:17" s="434" customFormat="1" ht="14.25" customHeight="1">
      <c r="A64" s="436" t="s">
        <v>824</v>
      </c>
      <c r="C64" s="435"/>
      <c r="D64" s="435"/>
      <c r="E64" s="435"/>
      <c r="F64" s="435"/>
      <c r="G64" s="435"/>
      <c r="H64" s="435"/>
      <c r="I64" s="435"/>
      <c r="J64" s="435"/>
      <c r="K64" s="435"/>
      <c r="L64" s="435"/>
      <c r="M64" s="435"/>
      <c r="N64" s="435"/>
      <c r="O64" s="435"/>
      <c r="P64" s="440"/>
      <c r="Q64" s="440"/>
    </row>
    <row r="65" spans="1:17" s="434" customFormat="1" ht="14.25" customHeight="1">
      <c r="A65" s="436" t="s">
        <v>825</v>
      </c>
      <c r="C65" s="435"/>
      <c r="D65" s="435"/>
      <c r="E65" s="435"/>
      <c r="F65" s="435"/>
      <c r="G65" s="435"/>
      <c r="H65" s="435"/>
      <c r="I65" s="435"/>
      <c r="J65" s="435"/>
      <c r="K65" s="435"/>
      <c r="L65" s="435"/>
      <c r="M65" s="435"/>
      <c r="N65" s="435"/>
      <c r="O65" s="435"/>
      <c r="P65" s="440"/>
      <c r="Q65" s="440"/>
    </row>
    <row r="66" spans="1:17" ht="14.25" customHeight="1" thickBot="1"/>
    <row r="67" spans="1:17" ht="14.25" customHeight="1">
      <c r="A67" s="389" t="s">
        <v>774</v>
      </c>
      <c r="B67" s="390">
        <f>11.63%</f>
        <v>0.11630000000000001</v>
      </c>
    </row>
    <row r="68" spans="1:17" ht="14.25" customHeight="1" thickBot="1">
      <c r="A68" s="391" t="s">
        <v>775</v>
      </c>
      <c r="B68" s="392">
        <f>NPV(B67,K57:O57)</f>
        <v>60898580607278.922</v>
      </c>
    </row>
    <row r="69" spans="1:17" ht="14.25" customHeight="1" thickBot="1">
      <c r="A69" s="388"/>
      <c r="B69" s="187"/>
    </row>
    <row r="70" spans="1:17" ht="14.25" customHeight="1">
      <c r="A70" s="622" t="s">
        <v>777</v>
      </c>
      <c r="B70" s="623"/>
    </row>
    <row r="71" spans="1:17" ht="14.25" customHeight="1">
      <c r="A71" s="393" t="s">
        <v>776</v>
      </c>
      <c r="B71" s="394">
        <v>0.02</v>
      </c>
      <c r="C71" s="435">
        <v>43209713129588.773</v>
      </c>
    </row>
    <row r="72" spans="1:17" ht="14.25" customHeight="1">
      <c r="A72" s="393" t="s">
        <v>778</v>
      </c>
      <c r="B72" s="395">
        <f>C71*(1+B71)/(B67-B71)</f>
        <v>457672973958261.06</v>
      </c>
    </row>
    <row r="73" spans="1:17" ht="14.25" customHeight="1">
      <c r="A73" s="393" t="s">
        <v>779</v>
      </c>
      <c r="B73" s="395">
        <f>B72/(1+B67)^5</f>
        <v>264028400027269.06</v>
      </c>
    </row>
    <row r="74" spans="1:17" ht="14.25" customHeight="1">
      <c r="A74" s="393" t="s">
        <v>780</v>
      </c>
      <c r="B74" s="395">
        <f>B73+B68</f>
        <v>324926980634548</v>
      </c>
    </row>
    <row r="75" spans="1:17" ht="14.25" customHeight="1">
      <c r="A75" s="396" t="s">
        <v>781</v>
      </c>
      <c r="B75" s="397">
        <f>'BS HPG'!J3</f>
        <v>12252001160884</v>
      </c>
    </row>
    <row r="76" spans="1:17" ht="14.25" customHeight="1">
      <c r="A76" s="393" t="s">
        <v>782</v>
      </c>
      <c r="B76" s="397">
        <f>[2]DCF!$C$12</f>
        <v>65381002473117</v>
      </c>
    </row>
    <row r="77" spans="1:17" ht="14.25" customHeight="1">
      <c r="A77" s="393" t="s">
        <v>783</v>
      </c>
      <c r="B77" s="397">
        <f>[2]DCF!$C$13</f>
        <v>40593031662654</v>
      </c>
    </row>
    <row r="78" spans="1:17" ht="14.25" customHeight="1">
      <c r="A78" s="393" t="s">
        <v>784</v>
      </c>
      <c r="B78" s="398"/>
    </row>
    <row r="79" spans="1:17" ht="14.25" customHeight="1">
      <c r="A79" s="393" t="s">
        <v>785</v>
      </c>
      <c r="B79" s="395">
        <f>B74+B75-B76-B77-B78</f>
        <v>231204947659661</v>
      </c>
    </row>
    <row r="80" spans="1:17" ht="14.25" customHeight="1">
      <c r="A80" s="393" t="s">
        <v>786</v>
      </c>
      <c r="B80" s="400">
        <v>6396250200</v>
      </c>
    </row>
    <row r="81" spans="1:2" ht="14.25" customHeight="1" thickBot="1">
      <c r="A81" s="401" t="s">
        <v>787</v>
      </c>
      <c r="B81" s="402">
        <f>B79/B80</f>
        <v>36146.951796798225</v>
      </c>
    </row>
    <row r="82" spans="1:2" ht="14.25" customHeight="1">
      <c r="A82" s="187"/>
      <c r="B82" s="187">
        <v>29600</v>
      </c>
    </row>
    <row r="83" spans="1:2" ht="14.25" customHeight="1">
      <c r="A83" s="187" t="s">
        <v>788</v>
      </c>
      <c r="B83" s="399">
        <f>B81/B82-1</f>
        <v>0.22118080394588602</v>
      </c>
    </row>
    <row r="84" spans="1:2" ht="14.25" customHeight="1">
      <c r="A84" s="187"/>
      <c r="B84" s="187"/>
    </row>
    <row r="85" spans="1:2" ht="14.25" customHeight="1"/>
    <row r="86" spans="1:2" ht="14.25" customHeight="1"/>
    <row r="87" spans="1:2" ht="14.25" customHeight="1"/>
    <row r="88" spans="1:2" ht="14.25" customHeight="1"/>
    <row r="89" spans="1:2" ht="14.25" customHeight="1"/>
    <row r="90" spans="1:2" ht="14.25" customHeight="1"/>
    <row r="91" spans="1:2" ht="14.25" customHeight="1"/>
    <row r="92" spans="1:2" ht="14.25" customHeight="1"/>
    <row r="93" spans="1:2" ht="14.25" customHeight="1"/>
    <row r="94" spans="1:2" ht="14.25" customHeight="1"/>
    <row r="95" spans="1:2" ht="14.25" customHeight="1"/>
    <row r="96" spans="1:2"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row r="1001" ht="14.25" customHeight="1"/>
    <row r="1002" ht="14.25" customHeight="1"/>
    <row r="1003" ht="14.25" customHeight="1"/>
    <row r="1004" ht="14.25" customHeight="1"/>
    <row r="1005" ht="14.25" customHeight="1"/>
    <row r="1006" ht="14.25" customHeight="1"/>
    <row r="1007" ht="14.25" customHeight="1"/>
    <row r="1008" ht="14.25" customHeight="1"/>
  </sheetData>
  <mergeCells count="1">
    <mergeCell ref="A70:B70"/>
  </mergeCells>
  <pageMargins left="0.7" right="0.7" top="0.75" bottom="0.75" header="0" footer="0"/>
  <pageSetup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F95976C993C8504E837F570AA128DF17" ma:contentTypeVersion="15" ma:contentTypeDescription="Create a new document." ma:contentTypeScope="" ma:versionID="e398a58adeb7dfda23e8c86cfe4bafd2">
  <xsd:schema xmlns:xsd="http://www.w3.org/2001/XMLSchema" xmlns:xs="http://www.w3.org/2001/XMLSchema" xmlns:p="http://schemas.microsoft.com/office/2006/metadata/properties" xmlns:ns3="a073ce18-e14e-4a34-8000-d58b62f1c2c1" xmlns:ns4="257afe63-9869-4f8c-ba72-df49d4af6eb1" targetNamespace="http://schemas.microsoft.com/office/2006/metadata/properties" ma:root="true" ma:fieldsID="db12756670ef31d67e4a4084ee195220" ns3:_="" ns4:_="">
    <xsd:import namespace="a073ce18-e14e-4a34-8000-d58b62f1c2c1"/>
    <xsd:import namespace="257afe63-9869-4f8c-ba72-df49d4af6eb1"/>
    <xsd:element name="properties">
      <xsd:complexType>
        <xsd:sequence>
          <xsd:element name="documentManagement">
            <xsd:complexType>
              <xsd:all>
                <xsd:element ref="ns3:MediaServiceMetadata" minOccurs="0"/>
                <xsd:element ref="ns3:MediaServiceFastMetadata" minOccurs="0"/>
                <xsd:element ref="ns3:MediaServiceSearchProperties" minOccurs="0"/>
                <xsd:element ref="ns3:MediaServiceDateTaken" minOccurs="0"/>
                <xsd:element ref="ns3:MediaServiceObjectDetectorVersions" minOccurs="0"/>
                <xsd:element ref="ns3:MediaServiceAutoTags" minOccurs="0"/>
                <xsd:element ref="ns3:MediaServiceGenerationTime" minOccurs="0"/>
                <xsd:element ref="ns3:MediaServiceEventHashCode" minOccurs="0"/>
                <xsd:element ref="ns3:MediaServiceOCR" minOccurs="0"/>
                <xsd:element ref="ns3:MediaServiceLocation" minOccurs="0"/>
                <xsd:element ref="ns3:MediaLengthInSeconds" minOccurs="0"/>
                <xsd:element ref="ns3:_activity" minOccurs="0"/>
                <xsd:element ref="ns4:SharedWithUsers" minOccurs="0"/>
                <xsd:element ref="ns4:SharedWithDetails" minOccurs="0"/>
                <xsd:element ref="ns4:SharingHintHash"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073ce18-e14e-4a34-8000-d58b62f1c2c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DateTaken" ma:index="11" nillable="true" ma:displayName="MediaServiceDateTaken" ma:hidden="true" ma:indexed="true" ma:internalName="MediaServiceDateTaken" ma:readOnly="true">
      <xsd:simpleType>
        <xsd:restriction base="dms:Text"/>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Location" ma:index="17" nillable="true" ma:displayName="Location" ma:indexed="true" ma:internalName="MediaServiceLocation" ma:readOnly="true">
      <xsd:simpleType>
        <xsd:restriction base="dms:Text"/>
      </xsd:simpleType>
    </xsd:element>
    <xsd:element name="MediaLengthInSeconds" ma:index="18" nillable="true" ma:displayName="MediaLengthInSeconds" ma:hidden="true" ma:internalName="MediaLengthInSeconds" ma:readOnly="true">
      <xsd:simpleType>
        <xsd:restriction base="dms:Unknown"/>
      </xsd:simpleType>
    </xsd:element>
    <xsd:element name="_activity" ma:index="19" nillable="true" ma:displayName="_activity" ma:hidden="true" ma:internalName="_activity">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57afe63-9869-4f8c-ba72-df49d4af6eb1" elementFormDefault="qualified">
    <xsd:import namespace="http://schemas.microsoft.com/office/2006/documentManagement/types"/>
    <xsd:import namespace="http://schemas.microsoft.com/office/infopath/2007/PartnerControls"/>
    <xsd:element name="SharedWithUsers" ma:index="2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1" nillable="true" ma:displayName="Shared With Details" ma:internalName="SharedWithDetails" ma:readOnly="true">
      <xsd:simpleType>
        <xsd:restriction base="dms:Note">
          <xsd:maxLength value="255"/>
        </xsd:restriction>
      </xsd:simpleType>
    </xsd:element>
    <xsd:element name="SharingHintHash" ma:index="2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activity xmlns="a073ce18-e14e-4a34-8000-d58b62f1c2c1" xsi:nil="true"/>
  </documentManagement>
</p:properties>
</file>

<file path=customXml/itemProps1.xml><?xml version="1.0" encoding="utf-8"?>
<ds:datastoreItem xmlns:ds="http://schemas.openxmlformats.org/officeDocument/2006/customXml" ds:itemID="{B7D62E91-1C0E-4A41-8549-2FE2F61DEF33}">
  <ds:schemaRefs>
    <ds:schemaRef ds:uri="http://schemas.microsoft.com/sharepoint/v3/contenttype/forms"/>
  </ds:schemaRefs>
</ds:datastoreItem>
</file>

<file path=customXml/itemProps2.xml><?xml version="1.0" encoding="utf-8"?>
<ds:datastoreItem xmlns:ds="http://schemas.openxmlformats.org/officeDocument/2006/customXml" ds:itemID="{6A2195C9-8973-4827-B15C-90D28E078AE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073ce18-e14e-4a34-8000-d58b62f1c2c1"/>
    <ds:schemaRef ds:uri="257afe63-9869-4f8c-ba72-df49d4af6eb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46052625-8B27-4810-92FA-05D3F8F6CDA5}">
  <ds:schemaRefs>
    <ds:schemaRef ds:uri="http://purl.org/dc/elements/1.1/"/>
    <ds:schemaRef ds:uri="http://purl.org/dc/terms/"/>
    <ds:schemaRef ds:uri="http://purl.org/dc/dcmitype/"/>
    <ds:schemaRef ds:uri="http://schemas.openxmlformats.org/package/2006/metadata/core-properties"/>
    <ds:schemaRef ds:uri="http://www.w3.org/XML/1998/namespace"/>
    <ds:schemaRef ds:uri="257afe63-9869-4f8c-ba72-df49d4af6eb1"/>
    <ds:schemaRef ds:uri="http://schemas.microsoft.com/office/2006/documentManagement/types"/>
    <ds:schemaRef ds:uri="http://schemas.microsoft.com/office/infopath/2007/PartnerControls"/>
    <ds:schemaRef ds:uri="a073ce18-e14e-4a34-8000-d58b62f1c2c1"/>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19</vt:i4>
      </vt:variant>
      <vt:variant>
        <vt:lpstr>Named Ranges</vt:lpstr>
      </vt:variant>
      <vt:variant>
        <vt:i4>4</vt:i4>
      </vt:variant>
    </vt:vector>
  </HeadingPairs>
  <TitlesOfParts>
    <vt:vector size="23" baseType="lpstr">
      <vt:lpstr>Ratio</vt:lpstr>
      <vt:lpstr>BOF-EAF</vt:lpstr>
      <vt:lpstr>IS HPG (bull)</vt:lpstr>
      <vt:lpstr>IS HPG (bear)</vt:lpstr>
      <vt:lpstr>Base case đã fix</vt:lpstr>
      <vt:lpstr>IS HPG (base)</vt:lpstr>
      <vt:lpstr>BS HPG</vt:lpstr>
      <vt:lpstr>WACC</vt:lpstr>
      <vt:lpstr>CFS HPG</vt:lpstr>
      <vt:lpstr>COGS</vt:lpstr>
      <vt:lpstr>Bull case </vt:lpstr>
      <vt:lpstr>IS</vt:lpstr>
      <vt:lpstr>Bear case</vt:lpstr>
      <vt:lpstr>Close price</vt:lpstr>
      <vt:lpstr>Capex</vt:lpstr>
      <vt:lpstr>Debt waterfall</vt:lpstr>
      <vt:lpstr>(Bỏ đi) COGS</vt:lpstr>
      <vt:lpstr>BS</vt:lpstr>
      <vt:lpstr>Sale pro</vt:lpstr>
      <vt:lpstr>BS!ExternalData_1</vt:lpstr>
      <vt:lpstr>'IS HPG (base)'!ExternalData_1</vt:lpstr>
      <vt:lpstr>'IS HPG (bear)'!ExternalData_1</vt:lpstr>
      <vt:lpstr>'IS HPG (bull)'!ExternalData_1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2024-04-26T14:20:52Z</dcterms:created>
  <dcterms:modified xsi:type="dcterms:W3CDTF">2024-07-15T00:29:56Z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0x010100F95976C993C8504E837F570AA128DF17</vt:lpwstr>
  </property>
</Properties>
</file>