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Banking\UPS\16. SDV c Uyen\DCF\"/>
    </mc:Choice>
  </mc:AlternateContent>
  <xr:revisionPtr revIDLastSave="0" documentId="13_ncr:1_{804A6CBC-5F04-422D-9FA9-DED805F7608F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Định giá quyền mua" sheetId="14" r:id="rId1"/>
    <sheet name="DCF" sheetId="9" r:id="rId2"/>
    <sheet name="Thống kê giá 60 phiên" sheetId="11" r:id="rId3"/>
    <sheet name="BVPS" sheetId="13" r:id="rId4"/>
    <sheet name="BS" sheetId="2" r:id="rId5"/>
    <sheet name="IS" sheetId="3" r:id="rId6"/>
    <sheet name="Doanh thu" sheetId="4" r:id="rId7"/>
    <sheet name="Vốn lưu động" sheetId="6" r:id="rId8"/>
    <sheet name="CAPEX" sheetId="5" r:id="rId9"/>
    <sheet name="XLCT QT" sheetId="8" r:id="rId10"/>
    <sheet name="WACC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4" l="1"/>
  <c r="H2" i="14"/>
  <c r="H3" i="14" s="1"/>
  <c r="H6" i="14" s="1"/>
  <c r="I2" i="14"/>
  <c r="J2" i="14"/>
  <c r="I20" i="6"/>
  <c r="H20" i="6"/>
  <c r="G20" i="6"/>
  <c r="H19" i="6"/>
  <c r="G19" i="6"/>
  <c r="G3" i="6"/>
  <c r="H3" i="6"/>
  <c r="I3" i="6"/>
  <c r="J3" i="6" s="1"/>
  <c r="K3" i="6" s="1"/>
  <c r="B2" i="14"/>
  <c r="C2" i="14"/>
  <c r="C5" i="13"/>
  <c r="B5" i="13"/>
  <c r="C4" i="13"/>
  <c r="J20" i="6" l="1"/>
  <c r="K20" i="6" s="1"/>
  <c r="E62" i="11" l="1"/>
  <c r="C13" i="5"/>
  <c r="B2" i="5"/>
  <c r="C16" i="9"/>
  <c r="C15" i="9"/>
  <c r="C14" i="9"/>
  <c r="B7" i="10" l="1"/>
  <c r="B8" i="10"/>
  <c r="H4" i="4"/>
  <c r="I4" i="4"/>
  <c r="J4" i="4"/>
  <c r="J17" i="4" s="1"/>
  <c r="J24" i="4" s="1"/>
  <c r="K4" i="4"/>
  <c r="K17" i="4" s="1"/>
  <c r="G4" i="4"/>
  <c r="G17" i="4" s="1"/>
  <c r="B6" i="10"/>
  <c r="B6" i="9"/>
  <c r="C8" i="5"/>
  <c r="B3" i="9"/>
  <c r="O22" i="8"/>
  <c r="I12" i="4"/>
  <c r="J12" i="4" s="1"/>
  <c r="K12" i="4" s="1"/>
  <c r="B10" i="5"/>
  <c r="C7" i="5" s="1"/>
  <c r="B7" i="5"/>
  <c r="I11" i="4"/>
  <c r="J11" i="4" s="1"/>
  <c r="K11" i="4" s="1"/>
  <c r="B5" i="5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G30" i="6" s="1"/>
  <c r="H30" i="6" s="1"/>
  <c r="I30" i="6" s="1"/>
  <c r="J30" i="6" s="1"/>
  <c r="K30" i="6" s="1"/>
  <c r="C31" i="6"/>
  <c r="D31" i="6"/>
  <c r="E31" i="6"/>
  <c r="F31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C2" i="6"/>
  <c r="C33" i="6" s="1"/>
  <c r="D2" i="6"/>
  <c r="E2" i="6"/>
  <c r="E33" i="6" s="1"/>
  <c r="F2" i="6"/>
  <c r="F33" i="6" s="1"/>
  <c r="F34" i="6" s="1"/>
  <c r="B7" i="9" s="1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G9" i="6" s="1"/>
  <c r="H9" i="6" s="1"/>
  <c r="I9" i="6" s="1"/>
  <c r="J9" i="6" s="1"/>
  <c r="K9" i="6" s="1"/>
  <c r="C10" i="6"/>
  <c r="D10" i="6"/>
  <c r="E10" i="6"/>
  <c r="F10" i="6"/>
  <c r="C11" i="6"/>
  <c r="D11" i="6"/>
  <c r="D33" i="6" s="1"/>
  <c r="D34" i="6" s="1"/>
  <c r="E11" i="6"/>
  <c r="F11" i="6"/>
  <c r="C12" i="6"/>
  <c r="D12" i="6"/>
  <c r="E12" i="6"/>
  <c r="F12" i="6"/>
  <c r="C13" i="6"/>
  <c r="D13" i="6"/>
  <c r="E13" i="6"/>
  <c r="F13" i="6"/>
  <c r="G13" i="6" s="1"/>
  <c r="H13" i="6" s="1"/>
  <c r="I13" i="6" s="1"/>
  <c r="J13" i="6" s="1"/>
  <c r="K13" i="6" s="1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B3" i="6"/>
  <c r="B4" i="6"/>
  <c r="B5" i="6"/>
  <c r="B6" i="6"/>
  <c r="B7" i="6"/>
  <c r="B8" i="6"/>
  <c r="B9" i="6"/>
  <c r="B10" i="6"/>
  <c r="B11" i="6"/>
  <c r="B33" i="6" s="1"/>
  <c r="B12" i="6"/>
  <c r="B13" i="6"/>
  <c r="B14" i="6"/>
  <c r="B15" i="6"/>
  <c r="B16" i="6"/>
  <c r="B17" i="6"/>
  <c r="B2" i="6"/>
  <c r="C43" i="4"/>
  <c r="D43" i="4"/>
  <c r="E43" i="4"/>
  <c r="F43" i="4"/>
  <c r="C44" i="4"/>
  <c r="D44" i="4"/>
  <c r="E44" i="4"/>
  <c r="F44" i="4"/>
  <c r="B44" i="4"/>
  <c r="B43" i="4"/>
  <c r="F38" i="4"/>
  <c r="F39" i="4"/>
  <c r="B5" i="9" s="1"/>
  <c r="C38" i="4"/>
  <c r="D38" i="4"/>
  <c r="E38" i="4"/>
  <c r="G38" i="4" s="1"/>
  <c r="G7" i="3" s="1"/>
  <c r="C39" i="4"/>
  <c r="D39" i="4"/>
  <c r="E39" i="4"/>
  <c r="B39" i="4"/>
  <c r="B38" i="4"/>
  <c r="H26" i="4"/>
  <c r="I26" i="4"/>
  <c r="J26" i="4"/>
  <c r="K26" i="4"/>
  <c r="G26" i="4"/>
  <c r="C31" i="4"/>
  <c r="D31" i="4"/>
  <c r="E31" i="4"/>
  <c r="F31" i="4"/>
  <c r="B31" i="4"/>
  <c r="C30" i="4"/>
  <c r="C25" i="4" s="1"/>
  <c r="D30" i="4"/>
  <c r="D25" i="4" s="1"/>
  <c r="E30" i="4"/>
  <c r="E25" i="4" s="1"/>
  <c r="F30" i="4"/>
  <c r="F25" i="4" s="1"/>
  <c r="B30" i="4"/>
  <c r="B25" i="4" s="1"/>
  <c r="C7" i="4"/>
  <c r="D7" i="4"/>
  <c r="E7" i="4"/>
  <c r="F7" i="4"/>
  <c r="B7" i="4"/>
  <c r="C20" i="4"/>
  <c r="D20" i="4"/>
  <c r="E20" i="4"/>
  <c r="F20" i="4"/>
  <c r="B20" i="4"/>
  <c r="G6" i="4"/>
  <c r="H6" i="4" s="1"/>
  <c r="I6" i="4" s="1"/>
  <c r="J6" i="4" s="1"/>
  <c r="K6" i="4" s="1"/>
  <c r="K7" i="4" s="1"/>
  <c r="F18" i="4"/>
  <c r="D18" i="4"/>
  <c r="C4" i="4"/>
  <c r="C17" i="4" s="1"/>
  <c r="C24" i="4" s="1"/>
  <c r="D4" i="4"/>
  <c r="D17" i="4" s="1"/>
  <c r="D24" i="4" s="1"/>
  <c r="E4" i="4"/>
  <c r="E17" i="4" s="1"/>
  <c r="E24" i="4" s="1"/>
  <c r="F4" i="4"/>
  <c r="F17" i="4" s="1"/>
  <c r="F24" i="4" s="1"/>
  <c r="H17" i="4"/>
  <c r="H24" i="4" s="1"/>
  <c r="I17" i="4"/>
  <c r="I24" i="4" s="1"/>
  <c r="B4" i="4"/>
  <c r="B17" i="4" s="1"/>
  <c r="B24" i="4" s="1"/>
  <c r="C34" i="6" l="1"/>
  <c r="E18" i="6"/>
  <c r="D18" i="6"/>
  <c r="B18" i="6"/>
  <c r="C18" i="6"/>
  <c r="C2" i="5"/>
  <c r="B3" i="5"/>
  <c r="F18" i="6"/>
  <c r="D9" i="5"/>
  <c r="D3" i="5" s="1"/>
  <c r="D20" i="5" s="1"/>
  <c r="E21" i="5" s="1"/>
  <c r="G39" i="4"/>
  <c r="G8" i="3" s="1"/>
  <c r="G9" i="3" s="1"/>
  <c r="E34" i="6"/>
  <c r="G44" i="4"/>
  <c r="H44" i="4"/>
  <c r="C8" i="9"/>
  <c r="B9" i="10"/>
  <c r="B10" i="10" s="1"/>
  <c r="C1" i="9" s="1"/>
  <c r="G43" i="4"/>
  <c r="G14" i="3" s="1"/>
  <c r="C26" i="4"/>
  <c r="K24" i="4"/>
  <c r="K29" i="4"/>
  <c r="K37" i="4" s="1"/>
  <c r="K42" i="4" s="1"/>
  <c r="G24" i="4"/>
  <c r="D13" i="5"/>
  <c r="E13" i="5" s="1"/>
  <c r="F13" i="5" s="1"/>
  <c r="G13" i="5" s="1"/>
  <c r="G8" i="5" s="1"/>
  <c r="G8" i="9" s="1"/>
  <c r="C10" i="5"/>
  <c r="D7" i="5" s="1"/>
  <c r="B8" i="5"/>
  <c r="C9" i="5" s="1"/>
  <c r="C3" i="5" s="1"/>
  <c r="C19" i="5" s="1"/>
  <c r="D19" i="5" s="1"/>
  <c r="E19" i="5" s="1"/>
  <c r="F19" i="5" s="1"/>
  <c r="G19" i="5" s="1"/>
  <c r="H38" i="4"/>
  <c r="B29" i="4"/>
  <c r="B37" i="4" s="1"/>
  <c r="B42" i="4" s="1"/>
  <c r="J29" i="4"/>
  <c r="J37" i="4" s="1"/>
  <c r="J42" i="4" s="1"/>
  <c r="E26" i="4"/>
  <c r="I29" i="4"/>
  <c r="I37" i="4" s="1"/>
  <c r="I42" i="4" s="1"/>
  <c r="D26" i="4"/>
  <c r="B26" i="4"/>
  <c r="H29" i="4"/>
  <c r="H37" i="4" s="1"/>
  <c r="H42" i="4" s="1"/>
  <c r="F26" i="4"/>
  <c r="G29" i="4"/>
  <c r="G37" i="4" s="1"/>
  <c r="G42" i="4" s="1"/>
  <c r="C29" i="4"/>
  <c r="C37" i="4" s="1"/>
  <c r="C42" i="4" s="1"/>
  <c r="F29" i="4"/>
  <c r="F37" i="4" s="1"/>
  <c r="F42" i="4" s="1"/>
  <c r="E29" i="4"/>
  <c r="E37" i="4" s="1"/>
  <c r="E42" i="4" s="1"/>
  <c r="D29" i="4"/>
  <c r="D37" i="4" s="1"/>
  <c r="D42" i="4" s="1"/>
  <c r="I7" i="4"/>
  <c r="H7" i="4"/>
  <c r="G7" i="4"/>
  <c r="J7" i="4"/>
  <c r="G18" i="4"/>
  <c r="G19" i="4" s="1"/>
  <c r="H10" i="4"/>
  <c r="B10" i="4"/>
  <c r="F10" i="4"/>
  <c r="G10" i="4"/>
  <c r="E10" i="4"/>
  <c r="D10" i="4"/>
  <c r="K10" i="4"/>
  <c r="J10" i="4"/>
  <c r="I10" i="4"/>
  <c r="C10" i="4"/>
  <c r="E20" i="5" l="1"/>
  <c r="C5" i="9"/>
  <c r="I44" i="4"/>
  <c r="J44" i="4" s="1"/>
  <c r="K44" i="4" s="1"/>
  <c r="H43" i="4"/>
  <c r="G15" i="3"/>
  <c r="G16" i="3" s="1"/>
  <c r="D8" i="5"/>
  <c r="E8" i="5"/>
  <c r="F8" i="5"/>
  <c r="F9" i="5"/>
  <c r="F3" i="5" s="1"/>
  <c r="E8" i="9"/>
  <c r="G9" i="5"/>
  <c r="G3" i="5" s="1"/>
  <c r="F8" i="9"/>
  <c r="C5" i="5"/>
  <c r="D2" i="5" s="1"/>
  <c r="D5" i="5" s="1"/>
  <c r="E2" i="5" s="1"/>
  <c r="F20" i="5"/>
  <c r="F21" i="5"/>
  <c r="G21" i="5" s="1"/>
  <c r="F22" i="5"/>
  <c r="H15" i="3"/>
  <c r="I43" i="4"/>
  <c r="H14" i="3"/>
  <c r="H7" i="3"/>
  <c r="I38" i="4"/>
  <c r="I7" i="3" s="1"/>
  <c r="D10" i="5"/>
  <c r="E7" i="5" s="1"/>
  <c r="E9" i="5"/>
  <c r="E3" i="5" s="1"/>
  <c r="G20" i="4"/>
  <c r="G30" i="4"/>
  <c r="G2" i="3" s="1"/>
  <c r="G31" i="4"/>
  <c r="H18" i="4"/>
  <c r="G4" i="3" l="1"/>
  <c r="G11" i="3"/>
  <c r="G12" i="3"/>
  <c r="G12" i="6"/>
  <c r="E10" i="5"/>
  <c r="F7" i="5" s="1"/>
  <c r="F10" i="5" s="1"/>
  <c r="G7" i="5" s="1"/>
  <c r="G10" i="5" s="1"/>
  <c r="D8" i="9"/>
  <c r="H39" i="4"/>
  <c r="G5" i="3"/>
  <c r="G6" i="3" s="1"/>
  <c r="E5" i="5"/>
  <c r="F2" i="5" s="1"/>
  <c r="F5" i="5" s="1"/>
  <c r="G2" i="5" s="1"/>
  <c r="G5" i="5" s="1"/>
  <c r="I15" i="3"/>
  <c r="B24" i="5"/>
  <c r="G22" i="5"/>
  <c r="G23" i="5"/>
  <c r="G20" i="5"/>
  <c r="H16" i="3"/>
  <c r="J38" i="4"/>
  <c r="I14" i="3"/>
  <c r="J43" i="4"/>
  <c r="G23" i="6"/>
  <c r="G27" i="6"/>
  <c r="G21" i="6"/>
  <c r="G22" i="6"/>
  <c r="G4" i="6"/>
  <c r="G28" i="6"/>
  <c r="G8" i="6"/>
  <c r="I18" i="4"/>
  <c r="J18" i="4" s="1"/>
  <c r="K18" i="4" s="1"/>
  <c r="H19" i="4"/>
  <c r="H30" i="4" s="1"/>
  <c r="H2" i="3" s="1"/>
  <c r="H4" i="3" l="1"/>
  <c r="H12" i="3"/>
  <c r="H11" i="3"/>
  <c r="I16" i="3"/>
  <c r="H8" i="3"/>
  <c r="H9" i="3" s="1"/>
  <c r="D5" i="9"/>
  <c r="I39" i="4"/>
  <c r="G18" i="6"/>
  <c r="C24" i="5"/>
  <c r="C6" i="9" s="1"/>
  <c r="K43" i="4"/>
  <c r="K14" i="3" s="1"/>
  <c r="J14" i="3"/>
  <c r="K38" i="4"/>
  <c r="K7" i="3" s="1"/>
  <c r="J7" i="3"/>
  <c r="G13" i="3"/>
  <c r="G18" i="3" s="1"/>
  <c r="G11" i="6"/>
  <c r="H28" i="6"/>
  <c r="H4" i="6"/>
  <c r="H22" i="6"/>
  <c r="H8" i="6"/>
  <c r="H21" i="6"/>
  <c r="H27" i="6"/>
  <c r="G2" i="6"/>
  <c r="I19" i="4"/>
  <c r="H20" i="4"/>
  <c r="H31" i="4" s="1"/>
  <c r="J19" i="4"/>
  <c r="J30" i="4" s="1"/>
  <c r="J2" i="3" s="1"/>
  <c r="J4" i="3" l="1"/>
  <c r="J11" i="3"/>
  <c r="J12" i="3"/>
  <c r="H12" i="6"/>
  <c r="E5" i="9"/>
  <c r="I8" i="3"/>
  <c r="I9" i="3" s="1"/>
  <c r="J39" i="4"/>
  <c r="K15" i="3"/>
  <c r="K16" i="3" s="1"/>
  <c r="J15" i="3"/>
  <c r="J16" i="3" s="1"/>
  <c r="G33" i="6"/>
  <c r="G34" i="6" s="1"/>
  <c r="C7" i="9" s="1"/>
  <c r="D24" i="5"/>
  <c r="D6" i="9" s="1"/>
  <c r="G19" i="3"/>
  <c r="H5" i="3"/>
  <c r="H6" i="3" s="1"/>
  <c r="H13" i="3" s="1"/>
  <c r="H18" i="3" s="1"/>
  <c r="H23" i="6"/>
  <c r="H2" i="6"/>
  <c r="I20" i="4"/>
  <c r="I31" i="4" s="1"/>
  <c r="I19" i="6" s="1"/>
  <c r="I30" i="4"/>
  <c r="K19" i="4"/>
  <c r="J20" i="4"/>
  <c r="J31" i="4" s="1"/>
  <c r="J5" i="3" s="1"/>
  <c r="J6" i="3" s="1"/>
  <c r="J19" i="6" l="1"/>
  <c r="I12" i="6"/>
  <c r="J12" i="6" s="1"/>
  <c r="J8" i="3"/>
  <c r="J9" i="3" s="1"/>
  <c r="K39" i="4"/>
  <c r="F5" i="9"/>
  <c r="H18" i="6"/>
  <c r="E24" i="5"/>
  <c r="E6" i="9" s="1"/>
  <c r="H19" i="3"/>
  <c r="G21" i="3"/>
  <c r="C3" i="9" s="1"/>
  <c r="C9" i="9" s="1"/>
  <c r="I5" i="3"/>
  <c r="I21" i="6"/>
  <c r="J21" i="6" s="1"/>
  <c r="I2" i="3"/>
  <c r="H11" i="6"/>
  <c r="H33" i="6" s="1"/>
  <c r="H34" i="6" s="1"/>
  <c r="D7" i="9" s="1"/>
  <c r="I23" i="6"/>
  <c r="J23" i="6" s="1"/>
  <c r="I28" i="6"/>
  <c r="J28" i="6" s="1"/>
  <c r="I8" i="6"/>
  <c r="J8" i="6" s="1"/>
  <c r="I4" i="6"/>
  <c r="J4" i="6" s="1"/>
  <c r="I27" i="6"/>
  <c r="J27" i="6" s="1"/>
  <c r="I22" i="6"/>
  <c r="J22" i="6" s="1"/>
  <c r="K20" i="4"/>
  <c r="K31" i="4" s="1"/>
  <c r="K19" i="6" s="1"/>
  <c r="K30" i="4"/>
  <c r="I4" i="3" l="1"/>
  <c r="I11" i="3"/>
  <c r="I12" i="3"/>
  <c r="K12" i="6"/>
  <c r="G5" i="9"/>
  <c r="K8" i="3"/>
  <c r="K9" i="3" s="1"/>
  <c r="I18" i="6"/>
  <c r="J18" i="6"/>
  <c r="G24" i="5"/>
  <c r="G6" i="9" s="1"/>
  <c r="F24" i="5"/>
  <c r="F6" i="9" s="1"/>
  <c r="H21" i="3"/>
  <c r="D3" i="9" s="1"/>
  <c r="D9" i="9" s="1"/>
  <c r="I6" i="3"/>
  <c r="K21" i="6"/>
  <c r="K2" i="3"/>
  <c r="K5" i="3"/>
  <c r="I2" i="6"/>
  <c r="K23" i="6"/>
  <c r="I11" i="6"/>
  <c r="K22" i="6"/>
  <c r="K8" i="6"/>
  <c r="K27" i="6"/>
  <c r="K4" i="6"/>
  <c r="K28" i="6"/>
  <c r="J2" i="6"/>
  <c r="K4" i="3" l="1"/>
  <c r="K12" i="3"/>
  <c r="K11" i="3"/>
  <c r="K18" i="6"/>
  <c r="I33" i="6"/>
  <c r="I34" i="6" s="1"/>
  <c r="E7" i="9" s="1"/>
  <c r="K2" i="6"/>
  <c r="J13" i="3"/>
  <c r="J18" i="3" s="1"/>
  <c r="K6" i="3"/>
  <c r="K13" i="3" s="1"/>
  <c r="K18" i="3" s="1"/>
  <c r="I13" i="3"/>
  <c r="I18" i="3" s="1"/>
  <c r="K11" i="6"/>
  <c r="J11" i="6"/>
  <c r="J33" i="6" s="1"/>
  <c r="J34" i="6" l="1"/>
  <c r="F7" i="9" s="1"/>
  <c r="K33" i="6"/>
  <c r="K34" i="6" s="1"/>
  <c r="G7" i="9" s="1"/>
  <c r="I19" i="3"/>
  <c r="J19" i="3" s="1"/>
  <c r="K19" i="3" s="1"/>
  <c r="K21" i="3" s="1"/>
  <c r="G3" i="9" s="1"/>
  <c r="G9" i="9" l="1"/>
  <c r="C12" i="9" s="1"/>
  <c r="J21" i="3"/>
  <c r="F3" i="9" s="1"/>
  <c r="F9" i="9" s="1"/>
  <c r="I21" i="3"/>
  <c r="E3" i="9" s="1"/>
  <c r="E9" i="9" s="1"/>
  <c r="C10" i="9" s="1"/>
  <c r="C13" i="9" l="1"/>
  <c r="C17" i="9" s="1"/>
  <c r="C19" i="9" s="1"/>
  <c r="D2" i="14" l="1"/>
  <c r="B3" i="14" s="1"/>
  <c r="B5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4" authorId="0" shapeId="0" xr:uid="{442C3DF7-1D16-4856-9F13-73F1921B526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XLCT Quang Trung hdong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E16" authorId="0" shapeId="0" xr:uid="{30210935-1329-4B4D-9EAC-E45D079EB88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một số hạng mục dòng tiền ra đã tính vào đầu tư xây dựng cơ bản</t>
        </r>
      </text>
    </comment>
  </commentList>
</comments>
</file>

<file path=xl/sharedStrings.xml><?xml version="1.0" encoding="utf-8"?>
<sst xmlns="http://schemas.openxmlformats.org/spreadsheetml/2006/main" count="651" uniqueCount="287">
  <si>
    <t>SDV</t>
  </si>
  <si>
    <t>2020</t>
  </si>
  <si>
    <t>2021</t>
  </si>
  <si>
    <t>2022</t>
  </si>
  <si>
    <t>2023</t>
  </si>
  <si>
    <t>2024</t>
  </si>
  <si>
    <t xml:space="preserve">TÀI SẢN </t>
  </si>
  <si>
    <t>   A. TÀI SẢN NGẮN HẠN</t>
  </si>
  <si>
    <t>    I. Tiền và các khoản tương đương tiền</t>
  </si>
  <si>
    <t>    1. Tiền</t>
  </si>
  <si>
    <t>    2. Các khoản tương đương tiền</t>
  </si>
  <si>
    <t>    II.  Đầu tư tài chính ngắn hạn</t>
  </si>
  <si>
    <t>    1. Chứng khoán kinh doanh</t>
  </si>
  <si>
    <t>    2. Dự phòng giảm giá chứng khoán kinh doanh (*)</t>
  </si>
  <si>
    <t>    3. Đầu tư nắm giữ đến ngày đáo hạn</t>
  </si>
  <si>
    <t>    III. Các khoản phải thu ngắn hạn</t>
  </si>
  <si>
    <t>    1. Phải thu ngắn hạn của khách hàng</t>
  </si>
  <si>
    <t>    2. Trả trước cho người bán ngắn hạn</t>
  </si>
  <si>
    <t>    3. Phải thu nội bộ ngắn hạn</t>
  </si>
  <si>
    <t>    4. Phải thu theo tiến độ kế hoạch hợp đồng xây dựng</t>
  </si>
  <si>
    <t>    5. Phải thu về cho vay ngắn hạn</t>
  </si>
  <si>
    <t>    6. Phải thu ngắn hạn khác</t>
  </si>
  <si>
    <t>    7. Dự phòng phải thu ngắn hạn khó đòi (*)</t>
  </si>
  <si>
    <t>    8. Tài sản thiếu chờ xử lý</t>
  </si>
  <si>
    <t>    IV. Hàng tồn kho</t>
  </si>
  <si>
    <t>    1. Hàng tồn kho</t>
  </si>
  <si>
    <t>    2. Dự phòng giảm giá hàng tồn kho (*)</t>
  </si>
  <si>
    <t>    V. Tài sản ngắn hạn khác</t>
  </si>
  <si>
    <t>    1. Chi phí trả trước ngắn hạn</t>
  </si>
  <si>
    <t>    2. Thuế GTGT được khấu trừ</t>
  </si>
  <si>
    <t>    3. Thuế và các khoản khác phải thu của nhà nước</t>
  </si>
  <si>
    <t>    4. Giao dịch mua bán lại trái phiếu chính phủ</t>
  </si>
  <si>
    <t>    5. Tài sản ngắn hạn khác</t>
  </si>
  <si>
    <t>   B. TÀI SẢN DÀI HẠN</t>
  </si>
  <si>
    <t>    I. Các khoản phải thu dài hạn</t>
  </si>
  <si>
    <t>    1. Phải thu dài hạn của khách hàng</t>
  </si>
  <si>
    <t>    2. Trả trước cho người bán dài hạn</t>
  </si>
  <si>
    <t>    3. Vốn kinh doanh ở các đơn vị trực thuộc</t>
  </si>
  <si>
    <t xml:space="preserve">    4.  Phải thu nội bộ dài hạn </t>
  </si>
  <si>
    <t>    5. Phải thu về cho vay dài hạn</t>
  </si>
  <si>
    <t>    6. Phải thu dài hạn khác</t>
  </si>
  <si>
    <t>    7. Dự phòng phải thu dài hạn khó đòi (*)</t>
  </si>
  <si>
    <t>    II. Tài sản cố định</t>
  </si>
  <si>
    <t>     1. Tài sản cố định hữu hình</t>
  </si>
  <si>
    <t>           - Nguyên giá</t>
  </si>
  <si>
    <t>           - Giá trị hao mòn lũy kế (*)</t>
  </si>
  <si>
    <t>     2. Tài sản cố định thuê tài chính</t>
  </si>
  <si>
    <t>     3. Tài sản cố định vô hình</t>
  </si>
  <si>
    <t>    III. Bất động sản đầu tư</t>
  </si>
  <si>
    <t>          - Nguyên giá</t>
  </si>
  <si>
    <t>          - Giá trị hao mòn lũy kế (*)</t>
  </si>
  <si>
    <t>    IV. Tài sản dở dang dài hạn</t>
  </si>
  <si>
    <t>    1. Chi phí sản xuất, kinh doanh dở dang dài hạn</t>
  </si>
  <si>
    <t>    2. Chi phí xây dựng cơ bản dở dang</t>
  </si>
  <si>
    <t>    V. Đầu tư tài chính dài hạn</t>
  </si>
  <si>
    <t>    1. Đầu tư vào công ty con</t>
  </si>
  <si>
    <t>    2. Đầu tư vào công ty liên kết. liên doanh</t>
  </si>
  <si>
    <t>    3. Đầu tư góp vốn vào đơn vị khác</t>
  </si>
  <si>
    <t>    4. Dự phòng đầu tư tài chính dài hạn (*)</t>
  </si>
  <si>
    <t>    5. Đầu tư nắm giữ đến ngày đáo hạn</t>
  </si>
  <si>
    <t>    6. Đầu tư dài hạn khác</t>
  </si>
  <si>
    <t>    VI. Tài sản dài hạn khác</t>
  </si>
  <si>
    <t>    1. Chi phí trả trước dài hạn</t>
  </si>
  <si>
    <t>    2. Tài sản thuế thu nhập hoãn lại</t>
  </si>
  <si>
    <t>    3. Thiết bị, vật tư, phụ tùng thay thế dài hạn</t>
  </si>
  <si>
    <t>    4. Tài sản dài hạn khác</t>
  </si>
  <si>
    <t>    5. Lợi thế thương mại</t>
  </si>
  <si>
    <t>   VII. Lợi thế thương mại (áp dụng trước năm 2015)</t>
  </si>
  <si>
    <t> TỔNG CỘNG TÀI SẢN</t>
  </si>
  <si>
    <t>NGUỒN VỐN</t>
  </si>
  <si>
    <t>   A. NỢ PHẢI TRẢ</t>
  </si>
  <si>
    <t>    I. Nợ ngắn hạn</t>
  </si>
  <si>
    <t>    1. Phải trả người bán ngắn hạn</t>
  </si>
  <si>
    <t>    2. Người mua trả tiền trước ngắn hạn</t>
  </si>
  <si>
    <t>    3. Thuế và các khoản phải nộp Nhà nước</t>
  </si>
  <si>
    <t>    4. Phải trả người lao động</t>
  </si>
  <si>
    <t>    5. Chi phí phải trả ngắn hạn</t>
  </si>
  <si>
    <t>    6. Phải trả nội bộ ngắn hạn</t>
  </si>
  <si>
    <t>    7. Phải trả theo tiến độ kế hoạch hợp đồng xây dựng</t>
  </si>
  <si>
    <t>    8. Doanh thu chưa thực hiện ngắn hạn</t>
  </si>
  <si>
    <t>    9. Phải trả ngắn hạn khác</t>
  </si>
  <si>
    <t>    10. Vay và nợ thuê tài chính ngắn hạn</t>
  </si>
  <si>
    <t>    11. Dự phòng phải trả ngắn hạn</t>
  </si>
  <si>
    <t>    12. Quỹ khen thưởng, phúc lợi</t>
  </si>
  <si>
    <t>    13. Quỹ bình ổn giá</t>
  </si>
  <si>
    <t>    14. Giao dịch mua bán lại trái phiếu Chính phủ</t>
  </si>
  <si>
    <t xml:space="preserve">    II. Nợ dài hạn </t>
  </si>
  <si>
    <t>    1. Phải trả người bán dài hạn</t>
  </si>
  <si>
    <t>    2. Người mua trả tiền trước dài hạn</t>
  </si>
  <si>
    <t>    3. Chi phí phải trả dài hạn</t>
  </si>
  <si>
    <t>    4. Phải trả nội bộ về vốn kinh doanh</t>
  </si>
  <si>
    <t>    5. Phải trả nội bộ dài hạn</t>
  </si>
  <si>
    <t>    6. Doanh thu chưa thực hiện dài hạn</t>
  </si>
  <si>
    <t>    7. Phải trả dài hạn khác</t>
  </si>
  <si>
    <t>    8. Vay và nợ thuê tài chính dài hạn</t>
  </si>
  <si>
    <t>    9. Trái phiếu chuyển đổi</t>
  </si>
  <si>
    <t>    10. Cổ phiếu ưu đãi (Nợ)</t>
  </si>
  <si>
    <t>    11. Thuế thu nhập hoãn lại phải trả</t>
  </si>
  <si>
    <t>    12. Dự phòng phải trả dài hạn</t>
  </si>
  <si>
    <t>    13. Quỹ phát triển khoa học và công nghệ</t>
  </si>
  <si>
    <t>    14. Dự phòng trợ cấp mất việc làm</t>
  </si>
  <si>
    <t>   B. VỐN CHỦ SỞ HỮU</t>
  </si>
  <si>
    <t>    I. Vốn chủ sở hữu</t>
  </si>
  <si>
    <t>     1. Vốn góp của chủ sở hữu</t>
  </si>
  <si>
    <t>     - Cổ phiếu phổ thông có quyền biểu quyết</t>
  </si>
  <si>
    <t>     - Cổ phiếu ưu đãi</t>
  </si>
  <si>
    <t>    2. Thặng dư vốn cổ phần</t>
  </si>
  <si>
    <t>    3. Quyền chọn chuyển đổi trái phiếu</t>
  </si>
  <si>
    <t>    4. Vốn khác của chủ sở hữu</t>
  </si>
  <si>
    <t>    5. Cổ phiếu quỹ (*)</t>
  </si>
  <si>
    <t>    6. Chênh lệch đánh giá lại tài sản</t>
  </si>
  <si>
    <t>    7. Chênh lệch tỷ giá hối đoái</t>
  </si>
  <si>
    <t>    8. Quỹ đầu tư phát triển</t>
  </si>
  <si>
    <t>    9. Quỹ hỗ trợ sắp xếp doanh nghiệp</t>
  </si>
  <si>
    <t>    10. Quỹ khác thuộc vốn chủ sở hữu</t>
  </si>
  <si>
    <t>     11. Lợi nhuận sau thuế chưa phân phối</t>
  </si>
  <si>
    <t>     - LNST chưa phân phối lũy kế đến cuối kỳ trước</t>
  </si>
  <si>
    <t>     - LNST chưa phân phối kỳ này</t>
  </si>
  <si>
    <t>    12. Nguồn vốn đầu tư XDCB</t>
  </si>
  <si>
    <t>    13. Lợi ích cổ đông không kiểm soát</t>
  </si>
  <si>
    <t>    14. Quỹ dự phòng tài chính</t>
  </si>
  <si>
    <t>    II. Nguồn kinh phí và quỹ khác</t>
  </si>
  <si>
    <t>    1. Nguồn kinh phí</t>
  </si>
  <si>
    <t>    2. Nguồn kinh phí đã hình thành TSCĐ</t>
  </si>
  <si>
    <t>  C. LỢI ÍCH CỔ ĐÔNG THIỂU SỐ</t>
  </si>
  <si>
    <t> TỔNG CỘNG NGUỒN VỐN</t>
  </si>
  <si>
    <t xml:space="preserve">1. Doanh thu bán hàng và cung cấp dịch vụ </t>
  </si>
  <si>
    <t>2. Các khoản giảm trừ doanh thu</t>
  </si>
  <si>
    <t>3. Doanh thu thuần về bán hàng và cung cấp dịch vụ</t>
  </si>
  <si>
    <t xml:space="preserve">4. Giá vốn hàng bán </t>
  </si>
  <si>
    <t>5. Lợi nhuận gộp về bán hàng và cung cấp dịch vụ</t>
  </si>
  <si>
    <t xml:space="preserve">6.Doanh thu hoạt động tài chính </t>
  </si>
  <si>
    <t xml:space="preserve">7. Chi phí tài chính </t>
  </si>
  <si>
    <t xml:space="preserve">   Trong đó :Chi phí lãi vay</t>
  </si>
  <si>
    <t>8. Phần lãi/lỗ trong công ty liên doanh, liên kết</t>
  </si>
  <si>
    <t xml:space="preserve">9. Chi phí bán hàng </t>
  </si>
  <si>
    <t xml:space="preserve">10. Chi phí quản lý doanh nghiệp </t>
  </si>
  <si>
    <t>11. Lợi nhuận thuần từ hoạt động kinh doanh</t>
  </si>
  <si>
    <t xml:space="preserve">12. Thu nhập khác </t>
  </si>
  <si>
    <t xml:space="preserve">13. Chi phí khác </t>
  </si>
  <si>
    <t>14. Lợi nhuận khác</t>
  </si>
  <si>
    <t>Phần lợi nhuận/lỗ từ công ty liên kết liên doanh</t>
  </si>
  <si>
    <t>15. Tổng lợi nhuận kế toán trước thuế</t>
  </si>
  <si>
    <t>16. Chi phí thuế TNDN hiện hành</t>
  </si>
  <si>
    <t xml:space="preserve">17. Chi phí thuế TNDN hoãn lại </t>
  </si>
  <si>
    <t>18. Lợi nhuận sau thuế thu nhập doanh nghiệp</t>
  </si>
  <si>
    <t>XLNT TT tại KCN</t>
  </si>
  <si>
    <t>Doanh thu</t>
  </si>
  <si>
    <t>Khối lượng xử lý (tấn)</t>
  </si>
  <si>
    <t>Xử lý chất thải</t>
  </si>
  <si>
    <t>Doanh thu (tỷ)</t>
  </si>
  <si>
    <t>Giá vốn</t>
  </si>
  <si>
    <t>Tốc độ tăng giá</t>
  </si>
  <si>
    <t>Khối lượng xử lý (m3)</t>
  </si>
  <si>
    <t>Doanh thu (Tr)</t>
  </si>
  <si>
    <t>Chi phí</t>
  </si>
  <si>
    <t>Doanh thu bán hàng cung cấp dịch vụ</t>
  </si>
  <si>
    <t>Tổng doanh thu</t>
  </si>
  <si>
    <t>Doanh thu từ công ty liên kết (Công ty không có công ty liên kết)</t>
  </si>
  <si>
    <t>Hoạt động tài chính</t>
  </si>
  <si>
    <t>Hoạt động khác</t>
  </si>
  <si>
    <t>Nguyên giá TSCĐ đầu năm</t>
  </si>
  <si>
    <t>Tăng từ đầu tư xây dựng cơ bản</t>
  </si>
  <si>
    <t>Nguyên giá TSCĐ cuối năm</t>
  </si>
  <si>
    <t>Tăng từ mua sắm khác</t>
  </si>
  <si>
    <t>Đầu tư khu XLCT Quang trung</t>
  </si>
  <si>
    <t>Năm</t>
  </si>
  <si>
    <t>Cộng</t>
  </si>
  <si>
    <t>Trạm Compost và chọn HVS</t>
  </si>
  <si>
    <t>Lò đốt</t>
  </si>
  <si>
    <t>Ô Chôn AT</t>
  </si>
  <si>
    <t>Trạm CT lỏng</t>
  </si>
  <si>
    <t>Súc rửa thùng phuy</t>
  </si>
  <si>
    <t>Ngâm tẩy kim loại</t>
  </si>
  <si>
    <t>HT phân loại đặc quy</t>
  </si>
  <si>
    <t>HT XL CT bằng PP lý, khí</t>
  </si>
  <si>
    <t>Hệ thống tái chế nhựa</t>
  </si>
  <si>
    <t>HTSX gạch không nung</t>
  </si>
  <si>
    <t>HTSX viên đốt RDF</t>
  </si>
  <si>
    <t>HTSX phân bón hữu cơ</t>
  </si>
  <si>
    <t>HT tháo dỡ và tái tiêu XL hình kiện điện tử</t>
  </si>
  <si>
    <t>-</t>
  </si>
  <si>
    <t>HTSX viên đốt RDF - Khu XLCT Quang Trung</t>
  </si>
  <si>
    <t>HT phá dỡ ắc quy</t>
  </si>
  <si>
    <t>HT tháo dỡ và tiêu XL linh kiện điện tử</t>
  </si>
  <si>
    <t>0.213</t>
  </si>
  <si>
    <t>0.280</t>
  </si>
  <si>
    <t>0.181</t>
  </si>
  <si>
    <t>0.082</t>
  </si>
  <si>
    <t>XDCBDD đầu năm</t>
  </si>
  <si>
    <t>Tăng trong năm</t>
  </si>
  <si>
    <t>XDCBDD cuối năm</t>
  </si>
  <si>
    <t>Kết chuyển TSCĐ</t>
  </si>
  <si>
    <t>Khấu hao</t>
  </si>
  <si>
    <t>Khấu hao trong năm</t>
  </si>
  <si>
    <t>Lợi nhuận sau thuế</t>
  </si>
  <si>
    <t>Thuế suất thuế thu nhập doanh nghiệp</t>
  </si>
  <si>
    <t>Chi phí lãi suất</t>
  </si>
  <si>
    <t>Thay đổi vốn lưu động</t>
  </si>
  <si>
    <t>Vốn lưu động</t>
  </si>
  <si>
    <t>CAPEX</t>
  </si>
  <si>
    <t>FCFF</t>
  </si>
  <si>
    <t>Phần bù rủi ro Việt Nam 2025</t>
  </si>
  <si>
    <t>Beta SDV</t>
  </si>
  <si>
    <t>Lãi suất không rủi ro</t>
  </si>
  <si>
    <t>Giá trị</t>
  </si>
  <si>
    <t>Ghi chú</t>
  </si>
  <si>
    <t>Damodaran</t>
  </si>
  <si>
    <t>Tổng hợp</t>
  </si>
  <si>
    <t>Lãi suất huy động 12 tháng Vietcombank</t>
  </si>
  <si>
    <t>Chi phí vốn chủ sở hữu</t>
  </si>
  <si>
    <t>Lãi suất vay dài hạn của công ty</t>
  </si>
  <si>
    <t>Tỷ trọng vốn chủ sở hữu</t>
  </si>
  <si>
    <t>Tỷ trọng vốn vay</t>
  </si>
  <si>
    <t>Tỷ số chiết khấu</t>
  </si>
  <si>
    <t>Chi phí vốn vay bình quân</t>
  </si>
  <si>
    <t>Lãi suất chiết khấu</t>
  </si>
  <si>
    <t>Giá trị hiện tại của FCFF</t>
  </si>
  <si>
    <t>Giá trị vĩnh viễn</t>
  </si>
  <si>
    <t>Tỷ lệ tăng trưởng vĩnh viễn</t>
  </si>
  <si>
    <t>Giá trị doanh nghiệp</t>
  </si>
  <si>
    <t>+ Tiền mặt đầu kỳ</t>
  </si>
  <si>
    <t>- Nợ</t>
  </si>
  <si>
    <t>- Lợi ích cổ đông không kiểm soát</t>
  </si>
  <si>
    <t>Giá trị cổ phần</t>
  </si>
  <si>
    <t>Số cổ phiếu lưu hành</t>
  </si>
  <si>
    <t>Giá trị 1 cổ phần</t>
  </si>
  <si>
    <t>Theo dự báo tăng trưởng dài hạn khu vực Đông Nam Á của Ngân hàng thế giới</t>
  </si>
  <si>
    <t>Thời gian khấu hao bình quân</t>
  </si>
  <si>
    <t>Đơn vị tính: Triệu đồng</t>
  </si>
  <si>
    <t>Giá cổ phiếu chào bán</t>
  </si>
  <si>
    <t>(đồng)</t>
  </si>
  <si>
    <t>(Hạng mục sẽ đầu tư trong 10 năm tiếp theo)</t>
  </si>
  <si>
    <t>Các khoản phải thu ngắn hạn</t>
  </si>
  <si>
    <t>Hàng tồn kho</t>
  </si>
  <si>
    <t>Nợ ngắn hạn (Đã loại trừ vay ngắn hạn)</t>
  </si>
  <si>
    <t>(Giả định công ty vay dài hạn tài trợ 30% tổng mức đầu tư dự án; Công ty đầu tư dự án đều trong vòng 10 năm tới)</t>
  </si>
  <si>
    <t>-1.11%</t>
  </si>
  <si>
    <t>0.28%</t>
  </si>
  <si>
    <t>0.56%</t>
  </si>
  <si>
    <t>0.57%</t>
  </si>
  <si>
    <t>-3.83%</t>
  </si>
  <si>
    <t>0.55%</t>
  </si>
  <si>
    <t>-0.28%</t>
  </si>
  <si>
    <t>-15.00%</t>
  </si>
  <si>
    <t>Ngày</t>
  </si>
  <si>
    <t>Giá mở cửa</t>
  </si>
  <si>
    <t>Giá cao nhất</t>
  </si>
  <si>
    <t>Giá thấp nhất</t>
  </si>
  <si>
    <t>Giá đóng cửa</t>
  </si>
  <si>
    <t>Thay đổi giá</t>
  </si>
  <si>
    <t>% thay đổi</t>
  </si>
  <si>
    <t>Khối lượng</t>
  </si>
  <si>
    <t>14.84%</t>
  </si>
  <si>
    <t>-13.17%</t>
  </si>
  <si>
    <t>-4.04%</t>
  </si>
  <si>
    <t>-0.53%</t>
  </si>
  <si>
    <t>1.63%</t>
  </si>
  <si>
    <t>5.11%</t>
  </si>
  <si>
    <t>-3.85%</t>
  </si>
  <si>
    <t>1.09%</t>
  </si>
  <si>
    <t>1.39%</t>
  </si>
  <si>
    <t>-0.84%</t>
  </si>
  <si>
    <t>2.91%</t>
  </si>
  <si>
    <t>12.18%</t>
  </si>
  <si>
    <t>-9.30%</t>
  </si>
  <si>
    <t>1.12%</t>
  </si>
  <si>
    <t>-7.19%</t>
  </si>
  <si>
    <t>-12.68%</t>
  </si>
  <si>
    <t>14.42%</t>
  </si>
  <si>
    <t>-11.36%</t>
  </si>
  <si>
    <t>2.33%</t>
  </si>
  <si>
    <t>Trung bình</t>
  </si>
  <si>
    <t>Vốn chủ sở hữu</t>
  </si>
  <si>
    <t>Lợi ích cổ đông thiểu số</t>
  </si>
  <si>
    <t>Q1/2025</t>
  </si>
  <si>
    <t>Cổ phiếu lưu hành</t>
  </si>
  <si>
    <t>BVPS</t>
  </si>
  <si>
    <t>Trung bình giá</t>
  </si>
  <si>
    <t>BVPS Q1/2025</t>
  </si>
  <si>
    <t>DCF</t>
  </si>
  <si>
    <t>Giá cổ phiếu chào  bán</t>
  </si>
  <si>
    <t>Giá quyền mua</t>
  </si>
  <si>
    <t>Giá theo phương pháp</t>
  </si>
  <si>
    <t>Phương pháp định giá</t>
  </si>
  <si>
    <t>Tỷ lệ chào bán</t>
  </si>
  <si>
    <t>Giá cổ phiếu điều chỉnh sau phát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</si>
</sst>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F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 applyAlignment="0"/>
  </cellStyleXfs>
  <cellXfs count="177">
    <xf numFmtId="0" fontId="0" fillId="0" borderId="0" xfId="0"/>
    <xf numFmtId="0" fontId="2" fillId="0" borderId="0" xfId="0" applyFont="1"/>
    <xf numFmtId="3" fontId="0" fillId="0" borderId="0" xfId="0" applyNumberFormat="1"/>
    <xf numFmtId="40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3" fontId="7" fillId="0" borderId="0" xfId="0" applyNumberFormat="1" applyFont="1"/>
    <xf numFmtId="0" fontId="7" fillId="0" borderId="0" xfId="0" applyFont="1" applyAlignment="1">
      <alignment wrapText="1"/>
    </xf>
    <xf numFmtId="40" fontId="7" fillId="0" borderId="0" xfId="0" applyNumberFormat="1" applyFont="1"/>
    <xf numFmtId="0" fontId="6" fillId="0" borderId="4" xfId="0" applyFont="1" applyBorder="1"/>
    <xf numFmtId="9" fontId="7" fillId="0" borderId="0" xfId="0" applyNumberFormat="1" applyFont="1"/>
    <xf numFmtId="0" fontId="6" fillId="0" borderId="11" xfId="0" applyFont="1" applyBorder="1"/>
    <xf numFmtId="0" fontId="6" fillId="0" borderId="12" xfId="0" applyFont="1" applyBorder="1"/>
    <xf numFmtId="0" fontId="6" fillId="0" borderId="3" xfId="0" applyFont="1" applyBorder="1"/>
    <xf numFmtId="0" fontId="7" fillId="0" borderId="14" xfId="0" applyFont="1" applyBorder="1"/>
    <xf numFmtId="0" fontId="6" fillId="0" borderId="14" xfId="0" applyFont="1" applyBorder="1"/>
    <xf numFmtId="0" fontId="6" fillId="0" borderId="15" xfId="0" applyFont="1" applyBorder="1"/>
    <xf numFmtId="3" fontId="7" fillId="0" borderId="7" xfId="0" applyNumberFormat="1" applyFont="1" applyBorder="1"/>
    <xf numFmtId="9" fontId="7" fillId="0" borderId="7" xfId="0" applyNumberFormat="1" applyFont="1" applyBorder="1"/>
    <xf numFmtId="38" fontId="7" fillId="0" borderId="0" xfId="0" applyNumberFormat="1" applyFont="1"/>
    <xf numFmtId="38" fontId="7" fillId="0" borderId="7" xfId="0" applyNumberFormat="1" applyFont="1" applyBorder="1"/>
    <xf numFmtId="0" fontId="6" fillId="0" borderId="9" xfId="0" applyFont="1" applyBorder="1"/>
    <xf numFmtId="3" fontId="6" fillId="0" borderId="9" xfId="0" applyNumberFormat="1" applyFont="1" applyBorder="1"/>
    <xf numFmtId="3" fontId="6" fillId="0" borderId="10" xfId="0" applyNumberFormat="1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0" fontId="7" fillId="0" borderId="3" xfId="0" applyFont="1" applyBorder="1"/>
    <xf numFmtId="0" fontId="7" fillId="0" borderId="14" xfId="0" applyFont="1" applyBorder="1" applyAlignment="1">
      <alignment wrapText="1"/>
    </xf>
    <xf numFmtId="0" fontId="6" fillId="0" borderId="16" xfId="0" applyFont="1" applyBorder="1"/>
    <xf numFmtId="0" fontId="7" fillId="0" borderId="14" xfId="0" applyFont="1" applyBorder="1" applyAlignment="1">
      <alignment vertical="center" wrapText="1"/>
    </xf>
    <xf numFmtId="0" fontId="7" fillId="0" borderId="14" xfId="0" quotePrefix="1" applyFont="1" applyBorder="1"/>
    <xf numFmtId="0" fontId="7" fillId="0" borderId="14" xfId="0" quotePrefix="1" applyFont="1" applyBorder="1" applyAlignment="1">
      <alignment wrapText="1"/>
    </xf>
    <xf numFmtId="10" fontId="7" fillId="0" borderId="14" xfId="0" applyNumberFormat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10" fontId="6" fillId="0" borderId="14" xfId="0" applyNumberFormat="1" applyFont="1" applyBorder="1"/>
    <xf numFmtId="9" fontId="7" fillId="0" borderId="14" xfId="1" applyFont="1" applyBorder="1"/>
    <xf numFmtId="9" fontId="6" fillId="0" borderId="14" xfId="1" applyFont="1" applyBorder="1"/>
    <xf numFmtId="9" fontId="7" fillId="0" borderId="14" xfId="0" applyNumberFormat="1" applyFont="1" applyBorder="1"/>
    <xf numFmtId="10" fontId="6" fillId="0" borderId="15" xfId="0" applyNumberFormat="1" applyFont="1" applyBorder="1"/>
    <xf numFmtId="0" fontId="6" fillId="0" borderId="13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40" fontId="6" fillId="0" borderId="0" xfId="0" applyNumberFormat="1" applyFont="1"/>
    <xf numFmtId="40" fontId="6" fillId="0" borderId="7" xfId="0" applyNumberFormat="1" applyFont="1" applyBorder="1"/>
    <xf numFmtId="40" fontId="6" fillId="0" borderId="9" xfId="0" applyNumberFormat="1" applyFont="1" applyBorder="1"/>
    <xf numFmtId="40" fontId="6" fillId="0" borderId="10" xfId="0" applyNumberFormat="1" applyFont="1" applyBorder="1"/>
    <xf numFmtId="40" fontId="6" fillId="0" borderId="12" xfId="0" applyNumberFormat="1" applyFont="1" applyBorder="1"/>
    <xf numFmtId="40" fontId="6" fillId="0" borderId="13" xfId="0" applyNumberFormat="1" applyFont="1" applyBorder="1"/>
    <xf numFmtId="0" fontId="6" fillId="0" borderId="1" xfId="0" applyFont="1" applyBorder="1"/>
    <xf numFmtId="0" fontId="8" fillId="0" borderId="15" xfId="0" applyFont="1" applyBorder="1" applyAlignment="1">
      <alignment wrapText="1"/>
    </xf>
    <xf numFmtId="0" fontId="7" fillId="0" borderId="9" xfId="0" applyFont="1" applyBorder="1"/>
    <xf numFmtId="0" fontId="8" fillId="0" borderId="9" xfId="0" applyFont="1" applyBorder="1"/>
    <xf numFmtId="0" fontId="7" fillId="0" borderId="10" xfId="0" applyFont="1" applyBorder="1"/>
    <xf numFmtId="0" fontId="6" fillId="0" borderId="16" xfId="0" applyFont="1" applyBorder="1" applyAlignment="1">
      <alignment horizontal="right"/>
    </xf>
    <xf numFmtId="0" fontId="7" fillId="0" borderId="4" xfId="0" applyFont="1" applyBorder="1"/>
    <xf numFmtId="0" fontId="6" fillId="0" borderId="5" xfId="0" applyFont="1" applyBorder="1"/>
    <xf numFmtId="0" fontId="6" fillId="0" borderId="3" xfId="0" applyFont="1" applyBorder="1" applyAlignment="1">
      <alignment horizontal="right"/>
    </xf>
    <xf numFmtId="0" fontId="7" fillId="0" borderId="7" xfId="0" applyFont="1" applyBorder="1"/>
    <xf numFmtId="0" fontId="6" fillId="0" borderId="15" xfId="0" applyFont="1" applyBorder="1" applyAlignment="1">
      <alignment horizontal="right"/>
    </xf>
    <xf numFmtId="0" fontId="9" fillId="0" borderId="14" xfId="0" applyFont="1" applyBorder="1" applyAlignment="1">
      <alignment horizontal="left" wrapText="1"/>
    </xf>
    <xf numFmtId="37" fontId="6" fillId="0" borderId="7" xfId="0" applyNumberFormat="1" applyFont="1" applyBorder="1"/>
    <xf numFmtId="0" fontId="10" fillId="0" borderId="14" xfId="0" applyFont="1" applyBorder="1" applyAlignment="1">
      <alignment horizontal="left" wrapText="1"/>
    </xf>
    <xf numFmtId="37" fontId="7" fillId="0" borderId="0" xfId="0" applyNumberFormat="1" applyFont="1"/>
    <xf numFmtId="37" fontId="7" fillId="0" borderId="7" xfId="0" applyNumberFormat="1" applyFont="1" applyBorder="1"/>
    <xf numFmtId="0" fontId="9" fillId="0" borderId="16" xfId="0" applyFont="1" applyBorder="1" applyAlignment="1">
      <alignment horizontal="left" wrapText="1"/>
    </xf>
    <xf numFmtId="37" fontId="6" fillId="0" borderId="4" xfId="0" applyNumberFormat="1" applyFont="1" applyBorder="1"/>
    <xf numFmtId="37" fontId="6" fillId="0" borderId="5" xfId="0" applyNumberFormat="1" applyFont="1" applyBorder="1"/>
    <xf numFmtId="0" fontId="10" fillId="0" borderId="15" xfId="0" applyFont="1" applyBorder="1" applyAlignment="1">
      <alignment horizontal="left" wrapText="1"/>
    </xf>
    <xf numFmtId="37" fontId="7" fillId="0" borderId="9" xfId="0" applyNumberFormat="1" applyFont="1" applyBorder="1"/>
    <xf numFmtId="37" fontId="7" fillId="0" borderId="10" xfId="0" applyNumberFormat="1" applyFont="1" applyBorder="1"/>
    <xf numFmtId="0" fontId="10" fillId="0" borderId="2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37" fontId="6" fillId="0" borderId="9" xfId="0" applyNumberFormat="1" applyFont="1" applyBorder="1"/>
    <xf numFmtId="37" fontId="6" fillId="0" borderId="10" xfId="0" applyNumberFormat="1" applyFont="1" applyBorder="1"/>
    <xf numFmtId="164" fontId="7" fillId="0" borderId="0" xfId="0" applyNumberFormat="1" applyFont="1"/>
    <xf numFmtId="3" fontId="7" fillId="0" borderId="0" xfId="0" applyNumberFormat="1" applyFont="1" applyAlignment="1">
      <alignment vertical="center" wrapText="1"/>
    </xf>
    <xf numFmtId="0" fontId="7" fillId="0" borderId="15" xfId="0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0" fontId="6" fillId="0" borderId="12" xfId="0" applyFont="1" applyBorder="1" applyAlignment="1">
      <alignment horizontal="right"/>
    </xf>
    <xf numFmtId="164" fontId="6" fillId="0" borderId="12" xfId="0" applyNumberFormat="1" applyFont="1" applyBorder="1" applyAlignment="1">
      <alignment horizontal="right"/>
    </xf>
    <xf numFmtId="164" fontId="6" fillId="0" borderId="13" xfId="0" applyNumberFormat="1" applyFont="1" applyBorder="1" applyAlignment="1">
      <alignment horizontal="right"/>
    </xf>
    <xf numFmtId="0" fontId="11" fillId="0" borderId="16" xfId="0" applyFont="1" applyBorder="1"/>
    <xf numFmtId="9" fontId="11" fillId="0" borderId="5" xfId="0" applyNumberFormat="1" applyFont="1" applyBorder="1"/>
    <xf numFmtId="3" fontId="7" fillId="0" borderId="9" xfId="0" applyNumberFormat="1" applyFont="1" applyBorder="1" applyAlignment="1">
      <alignment vertical="center" wrapText="1"/>
    </xf>
    <xf numFmtId="3" fontId="7" fillId="0" borderId="10" xfId="0" applyNumberFormat="1" applyFont="1" applyBorder="1" applyAlignment="1">
      <alignment vertical="center" wrapText="1"/>
    </xf>
    <xf numFmtId="10" fontId="11" fillId="0" borderId="5" xfId="0" applyNumberFormat="1" applyFont="1" applyBorder="1"/>
    <xf numFmtId="0" fontId="11" fillId="0" borderId="15" xfId="0" applyFont="1" applyBorder="1"/>
    <xf numFmtId="10" fontId="11" fillId="0" borderId="10" xfId="0" applyNumberFormat="1" applyFont="1" applyBorder="1"/>
    <xf numFmtId="37" fontId="6" fillId="0" borderId="6" xfId="0" applyNumberFormat="1" applyFont="1" applyBorder="1"/>
    <xf numFmtId="37" fontId="7" fillId="0" borderId="6" xfId="0" applyNumberFormat="1" applyFont="1" applyBorder="1"/>
    <xf numFmtId="37" fontId="7" fillId="0" borderId="8" xfId="0" applyNumberFormat="1" applyFont="1" applyBorder="1"/>
    <xf numFmtId="0" fontId="11" fillId="0" borderId="16" xfId="0" applyFont="1" applyBorder="1" applyAlignment="1">
      <alignment wrapText="1"/>
    </xf>
    <xf numFmtId="9" fontId="11" fillId="0" borderId="5" xfId="0" applyNumberFormat="1" applyFont="1" applyBorder="1" applyAlignment="1">
      <alignment horizontal="center" vertical="center"/>
    </xf>
    <xf numFmtId="38" fontId="7" fillId="0" borderId="9" xfId="0" applyNumberFormat="1" applyFont="1" applyBorder="1"/>
    <xf numFmtId="38" fontId="7" fillId="0" borderId="10" xfId="0" applyNumberFormat="1" applyFont="1" applyBorder="1"/>
    <xf numFmtId="0" fontId="13" fillId="0" borderId="0" xfId="0" applyFont="1"/>
    <xf numFmtId="10" fontId="13" fillId="0" borderId="0" xfId="1" applyNumberFormat="1" applyFont="1" applyFill="1"/>
    <xf numFmtId="165" fontId="13" fillId="0" borderId="0" xfId="1" applyNumberFormat="1" applyFont="1" applyFill="1"/>
    <xf numFmtId="3" fontId="9" fillId="0" borderId="0" xfId="2" applyNumberFormat="1" applyFont="1" applyAlignment="1">
      <alignment horizontal="right"/>
    </xf>
    <xf numFmtId="3" fontId="12" fillId="0" borderId="0" xfId="0" applyNumberFormat="1" applyFont="1"/>
    <xf numFmtId="3" fontId="10" fillId="0" borderId="0" xfId="2" applyNumberFormat="1" applyFont="1" applyAlignment="1">
      <alignment horizontal="right"/>
    </xf>
    <xf numFmtId="3" fontId="13" fillId="0" borderId="0" xfId="0" applyNumberFormat="1" applyFont="1"/>
    <xf numFmtId="3" fontId="12" fillId="0" borderId="7" xfId="0" applyNumberFormat="1" applyFont="1" applyBorder="1"/>
    <xf numFmtId="3" fontId="13" fillId="0" borderId="7" xfId="0" applyNumberFormat="1" applyFont="1" applyBorder="1"/>
    <xf numFmtId="3" fontId="9" fillId="0" borderId="9" xfId="2" applyNumberFormat="1" applyFont="1" applyBorder="1" applyAlignment="1">
      <alignment horizontal="right"/>
    </xf>
    <xf numFmtId="3" fontId="12" fillId="0" borderId="9" xfId="0" applyNumberFormat="1" applyFont="1" applyBorder="1"/>
    <xf numFmtId="3" fontId="12" fillId="0" borderId="10" xfId="0" applyNumberFormat="1" applyFont="1" applyBorder="1"/>
    <xf numFmtId="0" fontId="9" fillId="0" borderId="14" xfId="2" applyFont="1" applyBorder="1" applyAlignment="1">
      <alignment horizontal="left" wrapText="1"/>
    </xf>
    <xf numFmtId="0" fontId="10" fillId="0" borderId="14" xfId="2" applyFont="1" applyBorder="1" applyAlignment="1">
      <alignment horizontal="left" wrapText="1"/>
    </xf>
    <xf numFmtId="0" fontId="9" fillId="0" borderId="15" xfId="2" applyFont="1" applyBorder="1" applyAlignment="1">
      <alignment horizontal="left" wrapText="1"/>
    </xf>
    <xf numFmtId="0" fontId="9" fillId="0" borderId="3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164" fontId="12" fillId="0" borderId="12" xfId="0" applyNumberFormat="1" applyFont="1" applyBorder="1"/>
    <xf numFmtId="164" fontId="12" fillId="0" borderId="13" xfId="0" applyNumberFormat="1" applyFont="1" applyBorder="1"/>
    <xf numFmtId="40" fontId="9" fillId="0" borderId="0" xfId="0" applyNumberFormat="1" applyFont="1" applyAlignment="1">
      <alignment horizontal="right"/>
    </xf>
    <xf numFmtId="37" fontId="9" fillId="0" borderId="0" xfId="0" applyNumberFormat="1" applyFont="1" applyAlignment="1">
      <alignment horizontal="right"/>
    </xf>
    <xf numFmtId="37" fontId="10" fillId="0" borderId="0" xfId="0" applyNumberFormat="1" applyFont="1" applyAlignment="1">
      <alignment horizontal="right"/>
    </xf>
    <xf numFmtId="40" fontId="9" fillId="0" borderId="7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horizontal="right"/>
    </xf>
    <xf numFmtId="37" fontId="10" fillId="0" borderId="7" xfId="0" applyNumberFormat="1" applyFont="1" applyBorder="1" applyAlignment="1">
      <alignment horizontal="right"/>
    </xf>
    <xf numFmtId="37" fontId="9" fillId="0" borderId="9" xfId="0" applyNumberFormat="1" applyFont="1" applyBorder="1" applyAlignment="1">
      <alignment horizontal="right"/>
    </xf>
    <xf numFmtId="37" fontId="9" fillId="0" borderId="10" xfId="0" applyNumberFormat="1" applyFont="1" applyBorder="1" applyAlignment="1">
      <alignment horizontal="right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3" fontId="6" fillId="0" borderId="12" xfId="0" applyNumberFormat="1" applyFont="1" applyBorder="1"/>
    <xf numFmtId="3" fontId="6" fillId="0" borderId="13" xfId="0" applyNumberFormat="1" applyFont="1" applyBorder="1"/>
    <xf numFmtId="164" fontId="6" fillId="0" borderId="3" xfId="0" applyNumberFormat="1" applyFont="1" applyBorder="1"/>
    <xf numFmtId="3" fontId="7" fillId="0" borderId="14" xfId="0" applyNumberFormat="1" applyFont="1" applyBorder="1"/>
    <xf numFmtId="38" fontId="7" fillId="0" borderId="14" xfId="0" applyNumberFormat="1" applyFont="1" applyBorder="1"/>
    <xf numFmtId="3" fontId="6" fillId="0" borderId="3" xfId="0" applyNumberFormat="1" applyFont="1" applyBorder="1"/>
    <xf numFmtId="3" fontId="6" fillId="0" borderId="16" xfId="0" applyNumberFormat="1" applyFont="1" applyBorder="1"/>
    <xf numFmtId="3" fontId="6" fillId="0" borderId="14" xfId="0" applyNumberFormat="1" applyFont="1" applyBorder="1"/>
    <xf numFmtId="40" fontId="7" fillId="0" borderId="14" xfId="0" applyNumberFormat="1" applyFont="1" applyBorder="1"/>
    <xf numFmtId="4" fontId="6" fillId="0" borderId="14" xfId="0" applyNumberFormat="1" applyFont="1" applyBorder="1"/>
    <xf numFmtId="3" fontId="6" fillId="0" borderId="15" xfId="0" applyNumberFormat="1" applyFont="1" applyBorder="1"/>
    <xf numFmtId="10" fontId="6" fillId="0" borderId="13" xfId="0" applyNumberFormat="1" applyFont="1" applyBorder="1"/>
    <xf numFmtId="0" fontId="7" fillId="0" borderId="0" xfId="0" applyFont="1" applyAlignment="1">
      <alignment horizontal="center" wrapText="1"/>
    </xf>
    <xf numFmtId="0" fontId="7" fillId="0" borderId="0" xfId="0" applyFont="1" applyBorder="1" applyAlignment="1">
      <alignment vertical="center"/>
    </xf>
    <xf numFmtId="0" fontId="6" fillId="0" borderId="0" xfId="0" applyFont="1" applyBorder="1"/>
    <xf numFmtId="0" fontId="7" fillId="0" borderId="0" xfId="0" applyFont="1" applyBorder="1"/>
    <xf numFmtId="3" fontId="0" fillId="0" borderId="0" xfId="0" applyNumberFormat="1" applyBorder="1"/>
    <xf numFmtId="3" fontId="0" fillId="0" borderId="7" xfId="0" applyNumberFormat="1" applyBorder="1"/>
    <xf numFmtId="3" fontId="3" fillId="0" borderId="9" xfId="0" applyNumberFormat="1" applyFont="1" applyBorder="1"/>
    <xf numFmtId="3" fontId="3" fillId="0" borderId="10" xfId="0" applyNumberFormat="1" applyFont="1" applyBorder="1"/>
    <xf numFmtId="0" fontId="3" fillId="0" borderId="12" xfId="0" applyFont="1" applyBorder="1"/>
    <xf numFmtId="0" fontId="3" fillId="0" borderId="13" xfId="0" applyFont="1" applyBorder="1" applyAlignment="1">
      <alignment horizontal="right"/>
    </xf>
    <xf numFmtId="0" fontId="3" fillId="0" borderId="3" xfId="0" applyFont="1" applyBorder="1"/>
    <xf numFmtId="0" fontId="0" fillId="0" borderId="14" xfId="0" applyBorder="1"/>
    <xf numFmtId="0" fontId="3" fillId="0" borderId="15" xfId="0" applyFont="1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0" borderId="13" xfId="0" applyFont="1" applyBorder="1"/>
    <xf numFmtId="14" fontId="3" fillId="0" borderId="14" xfId="0" applyNumberFormat="1" applyFont="1" applyBorder="1"/>
    <xf numFmtId="14" fontId="3" fillId="0" borderId="15" xfId="0" applyNumberFormat="1" applyFont="1" applyBorder="1"/>
    <xf numFmtId="37" fontId="6" fillId="0" borderId="0" xfId="0" applyNumberFormat="1" applyFont="1" applyBorder="1"/>
    <xf numFmtId="37" fontId="7" fillId="0" borderId="0" xfId="0" applyNumberFormat="1" applyFont="1" applyBorder="1"/>
    <xf numFmtId="37" fontId="6" fillId="0" borderId="17" xfId="0" applyNumberFormat="1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3" fontId="0" fillId="0" borderId="9" xfId="0" applyNumberFormat="1" applyBorder="1"/>
    <xf numFmtId="3" fontId="0" fillId="0" borderId="10" xfId="0" applyNumberFormat="1" applyBorder="1"/>
    <xf numFmtId="0" fontId="3" fillId="0" borderId="3" xfId="0" applyFont="1" applyBorder="1" applyAlignment="1">
      <alignment horizontal="center"/>
    </xf>
    <xf numFmtId="0" fontId="0" fillId="0" borderId="15" xfId="0" applyBorder="1"/>
    <xf numFmtId="3" fontId="0" fillId="0" borderId="15" xfId="0" applyNumberFormat="1" applyBorder="1"/>
    <xf numFmtId="3" fontId="0" fillId="0" borderId="14" xfId="0" applyNumberFormat="1" applyBorder="1"/>
    <xf numFmtId="0" fontId="3" fillId="0" borderId="3" xfId="0" applyFont="1" applyBorder="1" applyAlignment="1">
      <alignment horizontal="left"/>
    </xf>
    <xf numFmtId="3" fontId="3" fillId="0" borderId="15" xfId="0" applyNumberFormat="1" applyFont="1" applyBorder="1"/>
    <xf numFmtId="9" fontId="0" fillId="0" borderId="7" xfId="1" applyFont="1" applyBorder="1"/>
  </cellXfs>
  <cellStyles count="3">
    <cellStyle name="Normal" xfId="0" builtinId="0"/>
    <cellStyle name="Normal 2" xfId="2" xr:uid="{F5D6A4C8-3BDD-4D5C-9AD3-C3A55D15E9A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621928</xdr:colOff>
      <xdr:row>13</xdr:row>
      <xdr:rowOff>89647</xdr:rowOff>
    </xdr:from>
    <xdr:to>
      <xdr:col>13</xdr:col>
      <xdr:colOff>275666</xdr:colOff>
      <xdr:row>23</xdr:row>
      <xdr:rowOff>107268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DFE4B-6B78-41B5-B402-A4B73339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016" y="2386853"/>
          <a:ext cx="2752165" cy="1793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1B9E-6441-4A2D-9C46-CF37E306691E}">
  <dimension ref="A1:J8"/>
  <sheetViews>
    <sheetView tabSelected="1" workbookViewId="0">
      <selection activeCell="J7" sqref="J7"/>
    </sheetView>
  </sheetViews>
  <sheetFormatPr defaultRowHeight="14.25" x14ac:dyDescent="0.45"/>
  <cols>
    <col min="1" max="1" width="22.6640625" customWidth="1"/>
    <col min="2" max="4" width="16.86328125" customWidth="1"/>
    <col min="7" max="7" width="32.06640625" customWidth="1"/>
    <col min="8" max="10" width="15.19921875" customWidth="1"/>
  </cols>
  <sheetData>
    <row r="1" spans="1:10" ht="14.65" thickBot="1" x14ac:dyDescent="0.5">
      <c r="A1" s="174" t="s">
        <v>284</v>
      </c>
      <c r="B1" s="170" t="s">
        <v>278</v>
      </c>
      <c r="C1" s="166" t="s">
        <v>279</v>
      </c>
      <c r="D1" s="167" t="s">
        <v>280</v>
      </c>
      <c r="G1" s="174" t="s">
        <v>284</v>
      </c>
      <c r="H1" s="167" t="s">
        <v>278</v>
      </c>
      <c r="I1" s="166" t="s">
        <v>279</v>
      </c>
      <c r="J1" s="167" t="s">
        <v>280</v>
      </c>
    </row>
    <row r="2" spans="1:10" ht="14.65" thickBot="1" x14ac:dyDescent="0.5">
      <c r="A2" s="171" t="s">
        <v>283</v>
      </c>
      <c r="B2" s="172">
        <f>'Thống kê giá 60 phiên'!E62*1000</f>
        <v>35105.000000000007</v>
      </c>
      <c r="C2" s="168">
        <f>BVPS!C5</f>
        <v>31602.5375762</v>
      </c>
      <c r="D2" s="169">
        <f>DCF!C19</f>
        <v>33854.40132840279</v>
      </c>
      <c r="G2" s="171" t="s">
        <v>283</v>
      </c>
      <c r="H2" s="169">
        <f>'Thống kê giá 60 phiên'!E62*1000</f>
        <v>35105.000000000007</v>
      </c>
      <c r="I2" s="168">
        <f>BVPS!C5</f>
        <v>31602.5375762</v>
      </c>
      <c r="J2" s="169">
        <f>DCF!C19</f>
        <v>33854.40132840279</v>
      </c>
    </row>
    <row r="3" spans="1:10" x14ac:dyDescent="0.45">
      <c r="A3" s="154" t="s">
        <v>272</v>
      </c>
      <c r="B3" s="173">
        <f>AVERAGE(B2:D2)</f>
        <v>33520.646301534267</v>
      </c>
      <c r="C3" s="147"/>
      <c r="D3" s="147"/>
      <c r="E3" s="156"/>
      <c r="G3" s="154" t="s">
        <v>272</v>
      </c>
      <c r="H3" s="148">
        <f>AVERAGE(H2:J2)</f>
        <v>33520.646301534267</v>
      </c>
      <c r="I3" s="156"/>
      <c r="J3" s="156"/>
    </row>
    <row r="4" spans="1:10" x14ac:dyDescent="0.45">
      <c r="A4" s="154" t="s">
        <v>281</v>
      </c>
      <c r="B4" s="173">
        <v>25000</v>
      </c>
      <c r="C4" s="147"/>
      <c r="D4" s="147"/>
      <c r="E4" s="156"/>
      <c r="G4" s="154" t="s">
        <v>230</v>
      </c>
      <c r="H4" s="148">
        <v>25000</v>
      </c>
      <c r="I4" s="147"/>
      <c r="J4" s="147"/>
    </row>
    <row r="5" spans="1:10" ht="14.65" thickBot="1" x14ac:dyDescent="0.5">
      <c r="A5" s="155" t="s">
        <v>282</v>
      </c>
      <c r="B5" s="175">
        <f>B3-B4</f>
        <v>8520.646301534267</v>
      </c>
      <c r="C5" s="147"/>
      <c r="D5" s="147"/>
      <c r="E5" s="156"/>
      <c r="G5" s="154" t="s">
        <v>285</v>
      </c>
      <c r="H5" s="176">
        <v>1</v>
      </c>
      <c r="I5" s="147"/>
      <c r="J5" s="147"/>
    </row>
    <row r="6" spans="1:10" x14ac:dyDescent="0.45">
      <c r="C6" s="156"/>
      <c r="D6" s="156"/>
      <c r="E6" s="156"/>
      <c r="G6" s="154" t="s">
        <v>286</v>
      </c>
      <c r="H6" s="148">
        <f>(H3+(H4*H5))/(1+H5)</f>
        <v>29260.323150767133</v>
      </c>
      <c r="I6" s="147"/>
      <c r="J6" s="147"/>
    </row>
    <row r="7" spans="1:10" ht="14.65" thickBot="1" x14ac:dyDescent="0.5">
      <c r="C7" s="156"/>
      <c r="D7" s="156"/>
      <c r="E7" s="156"/>
      <c r="G7" s="155" t="s">
        <v>282</v>
      </c>
      <c r="H7" s="150">
        <f>H6-H4</f>
        <v>4260.3231507671335</v>
      </c>
      <c r="I7" s="147"/>
      <c r="J7" s="147"/>
    </row>
    <row r="8" spans="1:10" x14ac:dyDescent="0.45">
      <c r="C8" s="156"/>
      <c r="D8" s="156"/>
      <c r="E8" s="156"/>
      <c r="G8" s="156"/>
      <c r="H8" s="156"/>
      <c r="I8" s="156"/>
      <c r="J8" s="15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D2E9-724B-4D8E-B8A1-72F06FD35A00}">
  <dimension ref="A1:AG22"/>
  <sheetViews>
    <sheetView topLeftCell="E1" zoomScale="70" zoomScaleNormal="70" workbookViewId="0">
      <selection activeCell="L18" sqref="L18:L22"/>
    </sheetView>
  </sheetViews>
  <sheetFormatPr defaultRowHeight="14.25" x14ac:dyDescent="0.45"/>
  <sheetData>
    <row r="1" spans="1:33" ht="71.25" x14ac:dyDescent="0.45">
      <c r="A1" s="4" t="s">
        <v>166</v>
      </c>
      <c r="B1" s="4" t="s">
        <v>168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s="4" t="s">
        <v>176</v>
      </c>
      <c r="K1" s="4" t="s">
        <v>177</v>
      </c>
      <c r="L1" s="4" t="s">
        <v>178</v>
      </c>
      <c r="M1" s="4" t="s">
        <v>179</v>
      </c>
      <c r="N1" s="4" t="s">
        <v>180</v>
      </c>
      <c r="O1" s="4" t="s">
        <v>167</v>
      </c>
      <c r="S1" s="4" t="s">
        <v>166</v>
      </c>
      <c r="T1" s="4" t="s">
        <v>168</v>
      </c>
      <c r="U1" s="4" t="s">
        <v>169</v>
      </c>
      <c r="V1" s="4" t="s">
        <v>170</v>
      </c>
      <c r="W1" s="4" t="s">
        <v>171</v>
      </c>
      <c r="X1" s="4" t="s">
        <v>172</v>
      </c>
      <c r="Y1" s="4" t="s">
        <v>173</v>
      </c>
      <c r="Z1" s="4" t="s">
        <v>183</v>
      </c>
      <c r="AA1" s="4" t="s">
        <v>175</v>
      </c>
      <c r="AB1" s="4" t="s">
        <v>176</v>
      </c>
      <c r="AC1" s="4" t="s">
        <v>177</v>
      </c>
      <c r="AD1" s="4" t="s">
        <v>178</v>
      </c>
      <c r="AE1" s="4" t="s">
        <v>179</v>
      </c>
      <c r="AF1" s="4" t="s">
        <v>184</v>
      </c>
      <c r="AG1" s="4" t="s">
        <v>167</v>
      </c>
    </row>
    <row r="2" spans="1:33" x14ac:dyDescent="0.45">
      <c r="A2" s="5">
        <v>2010</v>
      </c>
      <c r="B2" s="5" t="s">
        <v>181</v>
      </c>
      <c r="C2" s="5" t="s">
        <v>181</v>
      </c>
      <c r="D2" s="5" t="s">
        <v>181</v>
      </c>
      <c r="E2" s="5" t="s">
        <v>181</v>
      </c>
      <c r="F2" s="5" t="s">
        <v>181</v>
      </c>
      <c r="G2" s="5" t="s">
        <v>181</v>
      </c>
      <c r="H2" s="5" t="s">
        <v>181</v>
      </c>
      <c r="I2" s="5" t="s">
        <v>181</v>
      </c>
      <c r="J2" s="5" t="s">
        <v>181</v>
      </c>
      <c r="K2" s="5" t="s">
        <v>181</v>
      </c>
      <c r="L2" s="5" t="s">
        <v>181</v>
      </c>
      <c r="M2" s="5" t="s">
        <v>181</v>
      </c>
      <c r="N2" s="5" t="s">
        <v>181</v>
      </c>
      <c r="O2" s="6">
        <v>1377</v>
      </c>
      <c r="S2" s="5">
        <v>2010</v>
      </c>
      <c r="T2" s="5" t="s">
        <v>181</v>
      </c>
      <c r="U2" s="5" t="s">
        <v>181</v>
      </c>
      <c r="V2" s="5" t="s">
        <v>181</v>
      </c>
      <c r="W2" s="6">
        <v>1046</v>
      </c>
      <c r="X2" s="5" t="s">
        <v>181</v>
      </c>
      <c r="Y2" s="5" t="s">
        <v>181</v>
      </c>
      <c r="Z2" s="5" t="s">
        <v>181</v>
      </c>
      <c r="AA2" s="5" t="s">
        <v>181</v>
      </c>
      <c r="AB2" s="5" t="s">
        <v>181</v>
      </c>
      <c r="AC2" s="5" t="s">
        <v>181</v>
      </c>
      <c r="AD2" s="5" t="s">
        <v>181</v>
      </c>
      <c r="AE2" s="5" t="s">
        <v>181</v>
      </c>
      <c r="AF2" s="5" t="s">
        <v>181</v>
      </c>
      <c r="AG2" s="6">
        <v>1046</v>
      </c>
    </row>
    <row r="3" spans="1:33" x14ac:dyDescent="0.45">
      <c r="A3" s="5">
        <v>2011</v>
      </c>
      <c r="B3" s="6">
        <v>2168</v>
      </c>
      <c r="C3" s="6">
        <v>2957</v>
      </c>
      <c r="D3" s="5">
        <v>60</v>
      </c>
      <c r="E3" s="6">
        <v>2922</v>
      </c>
      <c r="F3" s="5" t="s">
        <v>181</v>
      </c>
      <c r="G3" s="5" t="s">
        <v>181</v>
      </c>
      <c r="H3" s="5" t="s">
        <v>181</v>
      </c>
      <c r="I3" s="5" t="s">
        <v>181</v>
      </c>
      <c r="J3" s="5" t="s">
        <v>181</v>
      </c>
      <c r="K3" s="5" t="s">
        <v>181</v>
      </c>
      <c r="L3" s="5" t="s">
        <v>181</v>
      </c>
      <c r="M3" s="5" t="s">
        <v>181</v>
      </c>
      <c r="N3" s="5" t="s">
        <v>181</v>
      </c>
      <c r="O3" s="6">
        <v>8107</v>
      </c>
      <c r="S3" s="5">
        <v>2011</v>
      </c>
      <c r="T3" s="6">
        <v>1752</v>
      </c>
      <c r="U3" s="6">
        <v>3525</v>
      </c>
      <c r="V3" s="5">
        <v>351</v>
      </c>
      <c r="W3" s="6">
        <v>2783</v>
      </c>
      <c r="X3" s="5">
        <v>8</v>
      </c>
      <c r="Y3" s="5" t="s">
        <v>185</v>
      </c>
      <c r="Z3" s="5" t="s">
        <v>181</v>
      </c>
      <c r="AA3" s="5" t="s">
        <v>181</v>
      </c>
      <c r="AB3" s="5" t="s">
        <v>181</v>
      </c>
      <c r="AC3" s="5" t="s">
        <v>181</v>
      </c>
      <c r="AD3" s="5" t="s">
        <v>181</v>
      </c>
      <c r="AE3" s="5" t="s">
        <v>181</v>
      </c>
      <c r="AF3" s="5" t="s">
        <v>181</v>
      </c>
      <c r="AG3" s="6">
        <v>8419</v>
      </c>
    </row>
    <row r="4" spans="1:33" x14ac:dyDescent="0.45">
      <c r="A4" s="5">
        <v>2012</v>
      </c>
      <c r="B4" s="6">
        <v>7692</v>
      </c>
      <c r="C4" s="6">
        <v>6656</v>
      </c>
      <c r="D4" s="5" t="s">
        <v>181</v>
      </c>
      <c r="E4" s="6">
        <v>5977</v>
      </c>
      <c r="F4" s="5" t="s">
        <v>181</v>
      </c>
      <c r="G4" s="5" t="s">
        <v>181</v>
      </c>
      <c r="H4" s="5" t="s">
        <v>181</v>
      </c>
      <c r="I4" s="5" t="s">
        <v>181</v>
      </c>
      <c r="J4" s="5" t="s">
        <v>181</v>
      </c>
      <c r="K4" s="5" t="s">
        <v>181</v>
      </c>
      <c r="L4" s="5" t="s">
        <v>181</v>
      </c>
      <c r="M4" s="5" t="s">
        <v>181</v>
      </c>
      <c r="N4" s="5" t="s">
        <v>181</v>
      </c>
      <c r="O4" s="6">
        <v>20325</v>
      </c>
      <c r="S4" s="5">
        <v>2012</v>
      </c>
      <c r="T4" s="6">
        <v>5863</v>
      </c>
      <c r="U4" s="6">
        <v>5746</v>
      </c>
      <c r="V4" s="6">
        <v>3168</v>
      </c>
      <c r="W4" s="6">
        <v>2925</v>
      </c>
      <c r="X4" s="5">
        <v>15</v>
      </c>
      <c r="Y4" s="5" t="s">
        <v>186</v>
      </c>
      <c r="Z4" s="5" t="s">
        <v>181</v>
      </c>
      <c r="AA4" s="5" t="s">
        <v>181</v>
      </c>
      <c r="AB4" s="5" t="s">
        <v>181</v>
      </c>
      <c r="AC4" s="5" t="s">
        <v>181</v>
      </c>
      <c r="AD4" s="5" t="s">
        <v>181</v>
      </c>
      <c r="AE4" s="5" t="s">
        <v>181</v>
      </c>
      <c r="AF4" s="5" t="s">
        <v>181</v>
      </c>
      <c r="AG4" s="6">
        <v>17717</v>
      </c>
    </row>
    <row r="5" spans="1:33" x14ac:dyDescent="0.45">
      <c r="A5" s="5">
        <v>2013</v>
      </c>
      <c r="B5" s="6">
        <v>18199</v>
      </c>
      <c r="C5" s="6">
        <v>4295</v>
      </c>
      <c r="D5" s="6">
        <v>2911</v>
      </c>
      <c r="E5" s="6">
        <v>6855</v>
      </c>
      <c r="F5" s="5">
        <v>3</v>
      </c>
      <c r="G5" s="5" t="s">
        <v>181</v>
      </c>
      <c r="H5" s="5" t="s">
        <v>181</v>
      </c>
      <c r="I5" s="5" t="s">
        <v>181</v>
      </c>
      <c r="J5" s="5" t="s">
        <v>181</v>
      </c>
      <c r="K5" s="5" t="s">
        <v>181</v>
      </c>
      <c r="L5" s="5" t="s">
        <v>181</v>
      </c>
      <c r="M5" s="5" t="s">
        <v>181</v>
      </c>
      <c r="N5" s="5" t="s">
        <v>181</v>
      </c>
      <c r="O5" s="6">
        <v>32264</v>
      </c>
      <c r="S5" s="5">
        <v>2013</v>
      </c>
      <c r="T5" s="6">
        <v>14717</v>
      </c>
      <c r="U5" s="6">
        <v>3238</v>
      </c>
      <c r="V5" s="6">
        <v>1531</v>
      </c>
      <c r="W5" s="6">
        <v>3378</v>
      </c>
      <c r="X5" s="5">
        <v>31</v>
      </c>
      <c r="Y5" s="5" t="s">
        <v>186</v>
      </c>
      <c r="Z5" s="5" t="s">
        <v>181</v>
      </c>
      <c r="AA5" s="5" t="s">
        <v>181</v>
      </c>
      <c r="AB5" s="5" t="s">
        <v>181</v>
      </c>
      <c r="AC5" s="5" t="s">
        <v>181</v>
      </c>
      <c r="AD5" s="5" t="s">
        <v>181</v>
      </c>
      <c r="AE5" s="5" t="s">
        <v>181</v>
      </c>
      <c r="AF5" s="5" t="s">
        <v>181</v>
      </c>
      <c r="AG5" s="6">
        <v>22895</v>
      </c>
    </row>
    <row r="6" spans="1:33" x14ac:dyDescent="0.45">
      <c r="A6" s="5">
        <v>2014</v>
      </c>
      <c r="B6" s="6">
        <v>16614</v>
      </c>
      <c r="C6" s="6">
        <v>4303</v>
      </c>
      <c r="D6" s="6">
        <v>1385</v>
      </c>
      <c r="E6" s="6">
        <v>4900</v>
      </c>
      <c r="F6" s="5">
        <v>782</v>
      </c>
      <c r="G6" s="5" t="s">
        <v>181</v>
      </c>
      <c r="H6" s="5" t="s">
        <v>181</v>
      </c>
      <c r="I6" s="5" t="s">
        <v>181</v>
      </c>
      <c r="J6" s="5" t="s">
        <v>181</v>
      </c>
      <c r="K6" s="5" t="s">
        <v>181</v>
      </c>
      <c r="L6" s="5" t="s">
        <v>181</v>
      </c>
      <c r="M6" s="5" t="s">
        <v>181</v>
      </c>
      <c r="N6" s="5" t="s">
        <v>181</v>
      </c>
      <c r="O6" s="6">
        <v>27984</v>
      </c>
      <c r="S6" s="5">
        <v>2014</v>
      </c>
      <c r="T6" s="6">
        <v>17783</v>
      </c>
      <c r="U6" s="6">
        <v>3919</v>
      </c>
      <c r="V6" s="6">
        <v>1461</v>
      </c>
      <c r="W6" s="6">
        <v>3046</v>
      </c>
      <c r="X6" s="5">
        <v>807</v>
      </c>
      <c r="Y6" s="5">
        <v>1</v>
      </c>
      <c r="Z6" s="5" t="s">
        <v>181</v>
      </c>
      <c r="AA6" s="5" t="s">
        <v>181</v>
      </c>
      <c r="AB6" s="5" t="s">
        <v>181</v>
      </c>
      <c r="AC6" s="5" t="s">
        <v>181</v>
      </c>
      <c r="AD6" s="5" t="s">
        <v>181</v>
      </c>
      <c r="AE6" s="5" t="s">
        <v>181</v>
      </c>
      <c r="AF6" s="5" t="s">
        <v>181</v>
      </c>
      <c r="AG6" s="6">
        <v>27017</v>
      </c>
    </row>
    <row r="7" spans="1:33" x14ac:dyDescent="0.45">
      <c r="A7" s="5">
        <v>2015</v>
      </c>
      <c r="B7" s="6">
        <v>21453</v>
      </c>
      <c r="C7" s="6">
        <v>5213</v>
      </c>
      <c r="D7" s="6">
        <v>3226</v>
      </c>
      <c r="E7" s="6">
        <v>3611</v>
      </c>
      <c r="F7" s="5">
        <v>865</v>
      </c>
      <c r="G7" s="5" t="s">
        <v>181</v>
      </c>
      <c r="H7" s="5" t="s">
        <v>181</v>
      </c>
      <c r="I7" s="5" t="s">
        <v>181</v>
      </c>
      <c r="J7" s="5" t="s">
        <v>181</v>
      </c>
      <c r="K7" s="5" t="s">
        <v>181</v>
      </c>
      <c r="L7" s="5" t="s">
        <v>181</v>
      </c>
      <c r="M7" s="5" t="s">
        <v>181</v>
      </c>
      <c r="N7" s="5" t="s">
        <v>181</v>
      </c>
      <c r="O7" s="6">
        <v>34367</v>
      </c>
      <c r="S7" s="5">
        <v>2015</v>
      </c>
      <c r="T7" s="6">
        <v>21318</v>
      </c>
      <c r="U7" s="6">
        <v>5064</v>
      </c>
      <c r="V7" s="6">
        <v>3477</v>
      </c>
      <c r="W7" s="6">
        <v>2964</v>
      </c>
      <c r="X7" s="5">
        <v>889</v>
      </c>
      <c r="Y7" s="5">
        <v>1</v>
      </c>
      <c r="Z7" s="5" t="s">
        <v>181</v>
      </c>
      <c r="AA7" s="5" t="s">
        <v>181</v>
      </c>
      <c r="AB7" s="5" t="s">
        <v>181</v>
      </c>
      <c r="AC7" s="5" t="s">
        <v>181</v>
      </c>
      <c r="AD7" s="5" t="s">
        <v>181</v>
      </c>
      <c r="AE7" s="5" t="s">
        <v>181</v>
      </c>
      <c r="AF7" s="5" t="s">
        <v>181</v>
      </c>
      <c r="AG7" s="6">
        <v>34315</v>
      </c>
    </row>
    <row r="8" spans="1:33" x14ac:dyDescent="0.45">
      <c r="A8" s="5">
        <v>2016</v>
      </c>
      <c r="B8" s="6">
        <v>24984</v>
      </c>
      <c r="C8" s="6">
        <v>12751</v>
      </c>
      <c r="D8" s="6">
        <v>11176</v>
      </c>
      <c r="E8" s="6">
        <v>4076</v>
      </c>
      <c r="F8" s="5">
        <v>448</v>
      </c>
      <c r="G8" s="5" t="s">
        <v>181</v>
      </c>
      <c r="H8" s="5" t="s">
        <v>181</v>
      </c>
      <c r="I8" s="5" t="s">
        <v>181</v>
      </c>
      <c r="J8" s="5" t="s">
        <v>181</v>
      </c>
      <c r="K8" s="5" t="s">
        <v>181</v>
      </c>
      <c r="L8" s="5" t="s">
        <v>181</v>
      </c>
      <c r="M8" s="5" t="s">
        <v>181</v>
      </c>
      <c r="N8" s="5" t="s">
        <v>181</v>
      </c>
      <c r="O8" s="6">
        <v>53434</v>
      </c>
      <c r="S8" s="5">
        <v>2016</v>
      </c>
      <c r="T8" s="6">
        <v>31519</v>
      </c>
      <c r="U8" s="6">
        <v>10020</v>
      </c>
      <c r="V8" s="6">
        <v>10613</v>
      </c>
      <c r="W8" s="6">
        <v>2553</v>
      </c>
      <c r="X8" s="5">
        <v>492</v>
      </c>
      <c r="Y8" s="5">
        <v>2</v>
      </c>
      <c r="Z8" s="5" t="s">
        <v>181</v>
      </c>
      <c r="AA8" s="5" t="s">
        <v>181</v>
      </c>
      <c r="AB8" s="5" t="s">
        <v>181</v>
      </c>
      <c r="AC8" s="5" t="s">
        <v>181</v>
      </c>
      <c r="AD8" s="5" t="s">
        <v>181</v>
      </c>
      <c r="AE8" s="5" t="s">
        <v>181</v>
      </c>
      <c r="AF8" s="5" t="s">
        <v>181</v>
      </c>
      <c r="AG8" s="6">
        <v>55200</v>
      </c>
    </row>
    <row r="9" spans="1:33" x14ac:dyDescent="0.45">
      <c r="A9" s="5">
        <v>2017</v>
      </c>
      <c r="B9" s="6">
        <v>57551</v>
      </c>
      <c r="C9" s="6">
        <v>22265</v>
      </c>
      <c r="D9" s="6">
        <v>16387</v>
      </c>
      <c r="E9" s="6">
        <v>10507</v>
      </c>
      <c r="F9" s="5">
        <v>738</v>
      </c>
      <c r="G9" s="5" t="s">
        <v>181</v>
      </c>
      <c r="H9" s="5" t="s">
        <v>181</v>
      </c>
      <c r="I9" s="5" t="s">
        <v>181</v>
      </c>
      <c r="J9" s="5" t="s">
        <v>181</v>
      </c>
      <c r="K9" s="5" t="s">
        <v>181</v>
      </c>
      <c r="L9" s="5" t="s">
        <v>181</v>
      </c>
      <c r="M9" s="5" t="s">
        <v>181</v>
      </c>
      <c r="N9" s="5" t="s">
        <v>181</v>
      </c>
      <c r="O9" s="6">
        <v>107498</v>
      </c>
      <c r="S9" s="5">
        <v>2017</v>
      </c>
      <c r="T9" s="6">
        <v>66015</v>
      </c>
      <c r="U9" s="6">
        <v>21383</v>
      </c>
      <c r="V9" s="6">
        <v>15491</v>
      </c>
      <c r="W9" s="6">
        <v>6115</v>
      </c>
      <c r="X9" s="5">
        <v>821</v>
      </c>
      <c r="Y9" s="5">
        <v>3</v>
      </c>
      <c r="Z9" s="5" t="s">
        <v>181</v>
      </c>
      <c r="AA9" s="5" t="s">
        <v>181</v>
      </c>
      <c r="AB9" s="5" t="s">
        <v>181</v>
      </c>
      <c r="AC9" s="5" t="s">
        <v>181</v>
      </c>
      <c r="AD9" s="5" t="s">
        <v>181</v>
      </c>
      <c r="AE9" s="5" t="s">
        <v>181</v>
      </c>
      <c r="AF9" s="5" t="s">
        <v>181</v>
      </c>
      <c r="AG9" s="6">
        <v>109829</v>
      </c>
    </row>
    <row r="10" spans="1:33" x14ac:dyDescent="0.45">
      <c r="A10" s="5">
        <v>2018</v>
      </c>
      <c r="B10" s="6">
        <v>107920</v>
      </c>
      <c r="C10" s="6">
        <v>42614</v>
      </c>
      <c r="D10" s="6">
        <v>28109</v>
      </c>
      <c r="E10" s="6">
        <v>12347</v>
      </c>
      <c r="F10" s="6">
        <v>5788</v>
      </c>
      <c r="G10" s="5" t="s">
        <v>181</v>
      </c>
      <c r="H10" s="5" t="s">
        <v>181</v>
      </c>
      <c r="I10" s="5" t="s">
        <v>181</v>
      </c>
      <c r="J10" s="5" t="s">
        <v>181</v>
      </c>
      <c r="K10" s="5" t="s">
        <v>181</v>
      </c>
      <c r="L10" s="5" t="s">
        <v>181</v>
      </c>
      <c r="M10" s="5" t="s">
        <v>181</v>
      </c>
      <c r="N10" s="5" t="s">
        <v>181</v>
      </c>
      <c r="O10" s="6">
        <v>196778</v>
      </c>
      <c r="S10" s="5">
        <v>2018</v>
      </c>
      <c r="T10" s="6">
        <v>105800</v>
      </c>
      <c r="U10" s="6">
        <v>19552</v>
      </c>
      <c r="V10" s="6">
        <v>19600</v>
      </c>
      <c r="W10" s="6">
        <v>9740</v>
      </c>
      <c r="X10" s="6">
        <v>5574</v>
      </c>
      <c r="Y10" s="5">
        <v>4</v>
      </c>
      <c r="Z10" s="5" t="s">
        <v>181</v>
      </c>
      <c r="AA10" s="5" t="s">
        <v>181</v>
      </c>
      <c r="AB10" s="5" t="s">
        <v>181</v>
      </c>
      <c r="AC10" s="5" t="s">
        <v>181</v>
      </c>
      <c r="AD10" s="5" t="s">
        <v>181</v>
      </c>
      <c r="AE10" s="5" t="s">
        <v>181</v>
      </c>
      <c r="AF10" s="5" t="s">
        <v>181</v>
      </c>
      <c r="AG10" s="6">
        <v>160271</v>
      </c>
    </row>
    <row r="11" spans="1:33" x14ac:dyDescent="0.45">
      <c r="A11" s="5">
        <v>2019</v>
      </c>
      <c r="B11" s="6">
        <v>194569</v>
      </c>
      <c r="C11" s="6">
        <v>90211</v>
      </c>
      <c r="D11" s="6">
        <v>39914</v>
      </c>
      <c r="E11" s="6">
        <v>8535</v>
      </c>
      <c r="F11" s="6">
        <v>8169</v>
      </c>
      <c r="G11" s="5">
        <v>22</v>
      </c>
      <c r="H11" s="5" t="s">
        <v>181</v>
      </c>
      <c r="I11" s="5" t="s">
        <v>181</v>
      </c>
      <c r="J11" s="5" t="s">
        <v>181</v>
      </c>
      <c r="K11" s="5" t="s">
        <v>181</v>
      </c>
      <c r="L11" s="5" t="s">
        <v>181</v>
      </c>
      <c r="M11" s="5" t="s">
        <v>181</v>
      </c>
      <c r="N11" s="5" t="s">
        <v>181</v>
      </c>
      <c r="O11" s="6">
        <v>341419</v>
      </c>
      <c r="S11" s="5">
        <v>2019</v>
      </c>
      <c r="T11" s="6">
        <v>192067</v>
      </c>
      <c r="U11" s="6">
        <v>18320</v>
      </c>
      <c r="V11" s="6">
        <v>27722</v>
      </c>
      <c r="W11" s="6">
        <v>7729</v>
      </c>
      <c r="X11" s="6">
        <v>7907</v>
      </c>
      <c r="Y11" s="5">
        <v>60</v>
      </c>
      <c r="Z11" s="5">
        <v>2</v>
      </c>
      <c r="AA11" s="5" t="s">
        <v>181</v>
      </c>
      <c r="AB11" s="5" t="s">
        <v>181</v>
      </c>
      <c r="AC11" s="5" t="s">
        <v>181</v>
      </c>
      <c r="AD11" s="5" t="s">
        <v>181</v>
      </c>
      <c r="AE11" s="5" t="s">
        <v>181</v>
      </c>
      <c r="AF11" s="5" t="s">
        <v>181</v>
      </c>
      <c r="AG11" s="6">
        <v>253807</v>
      </c>
    </row>
    <row r="12" spans="1:33" x14ac:dyDescent="0.45">
      <c r="A12" s="5">
        <v>2020</v>
      </c>
      <c r="B12" s="6">
        <v>209226</v>
      </c>
      <c r="C12" s="6">
        <v>109211</v>
      </c>
      <c r="D12" s="6">
        <v>41569</v>
      </c>
      <c r="E12" s="6">
        <v>8831</v>
      </c>
      <c r="F12" s="6">
        <v>3474</v>
      </c>
      <c r="G12" s="5">
        <v>20</v>
      </c>
      <c r="H12" s="5" t="s">
        <v>181</v>
      </c>
      <c r="I12" s="5" t="s">
        <v>181</v>
      </c>
      <c r="J12" s="5" t="s">
        <v>181</v>
      </c>
      <c r="K12" s="5" t="s">
        <v>181</v>
      </c>
      <c r="L12" s="5" t="s">
        <v>181</v>
      </c>
      <c r="M12" s="5" t="s">
        <v>181</v>
      </c>
      <c r="N12" s="5" t="s">
        <v>181</v>
      </c>
      <c r="O12" s="6">
        <v>372331</v>
      </c>
      <c r="S12" s="5">
        <v>2020</v>
      </c>
      <c r="T12" s="6">
        <v>238336</v>
      </c>
      <c r="U12" s="6">
        <v>14688</v>
      </c>
      <c r="V12" s="6">
        <v>33610</v>
      </c>
      <c r="W12" s="6">
        <v>4341</v>
      </c>
      <c r="X12" s="5">
        <v>969</v>
      </c>
      <c r="Y12" s="5">
        <v>81</v>
      </c>
      <c r="Z12" s="5">
        <v>2</v>
      </c>
      <c r="AA12" s="5" t="s">
        <v>181</v>
      </c>
      <c r="AB12" s="5" t="s">
        <v>181</v>
      </c>
      <c r="AC12" s="5" t="s">
        <v>181</v>
      </c>
      <c r="AD12" s="5" t="s">
        <v>181</v>
      </c>
      <c r="AE12" s="5" t="s">
        <v>181</v>
      </c>
      <c r="AF12" s="5" t="s">
        <v>181</v>
      </c>
      <c r="AG12" s="6">
        <v>292027</v>
      </c>
    </row>
    <row r="13" spans="1:33" x14ac:dyDescent="0.45">
      <c r="A13" s="5">
        <v>2021</v>
      </c>
      <c r="B13" s="6">
        <v>226101</v>
      </c>
      <c r="C13" s="6">
        <v>125002</v>
      </c>
      <c r="D13" s="6">
        <v>35622</v>
      </c>
      <c r="E13" s="6">
        <v>9776</v>
      </c>
      <c r="F13" s="5">
        <v>871</v>
      </c>
      <c r="G13" s="5">
        <v>30</v>
      </c>
      <c r="H13" s="5" t="s">
        <v>181</v>
      </c>
      <c r="I13" s="5" t="s">
        <v>181</v>
      </c>
      <c r="J13" s="5" t="s">
        <v>181</v>
      </c>
      <c r="K13" s="5" t="s">
        <v>181</v>
      </c>
      <c r="L13" s="5" t="s">
        <v>181</v>
      </c>
      <c r="M13" s="5" t="s">
        <v>181</v>
      </c>
      <c r="N13" s="5" t="s">
        <v>181</v>
      </c>
      <c r="O13" s="6">
        <v>397403</v>
      </c>
      <c r="S13" s="5">
        <v>2021</v>
      </c>
      <c r="T13" s="6">
        <v>248808</v>
      </c>
      <c r="U13" s="6">
        <v>18963</v>
      </c>
      <c r="V13" s="6">
        <v>27000</v>
      </c>
      <c r="W13" s="6">
        <v>2231</v>
      </c>
      <c r="X13" s="5">
        <v>815</v>
      </c>
      <c r="Y13" s="6">
        <v>2998</v>
      </c>
      <c r="Z13" s="5" t="s">
        <v>187</v>
      </c>
      <c r="AA13" s="5" t="s">
        <v>181</v>
      </c>
      <c r="AB13" s="5" t="s">
        <v>181</v>
      </c>
      <c r="AC13" s="5" t="s">
        <v>181</v>
      </c>
      <c r="AD13" s="5" t="s">
        <v>181</v>
      </c>
      <c r="AE13" s="5" t="s">
        <v>181</v>
      </c>
      <c r="AF13" s="5" t="s">
        <v>181</v>
      </c>
      <c r="AG13" s="6">
        <v>322515</v>
      </c>
    </row>
    <row r="14" spans="1:33" ht="14.65" customHeight="1" x14ac:dyDescent="0.45">
      <c r="A14" s="5">
        <v>2022</v>
      </c>
      <c r="B14" s="6">
        <v>268701</v>
      </c>
      <c r="C14" s="6">
        <v>150953</v>
      </c>
      <c r="D14" s="6">
        <v>95737</v>
      </c>
      <c r="E14" s="5">
        <v>871</v>
      </c>
      <c r="F14" s="5">
        <v>870</v>
      </c>
      <c r="G14" s="5">
        <v>28</v>
      </c>
      <c r="H14" s="5" t="s">
        <v>181</v>
      </c>
      <c r="I14" s="5" t="s">
        <v>181</v>
      </c>
      <c r="J14" s="5" t="s">
        <v>181</v>
      </c>
      <c r="K14" s="5" t="s">
        <v>181</v>
      </c>
      <c r="L14" s="5" t="s">
        <v>181</v>
      </c>
      <c r="M14" s="5" t="s">
        <v>181</v>
      </c>
      <c r="N14" s="5" t="s">
        <v>181</v>
      </c>
      <c r="O14" s="6">
        <v>517160</v>
      </c>
      <c r="S14" s="5">
        <v>2022</v>
      </c>
      <c r="T14" s="6">
        <v>277789</v>
      </c>
      <c r="U14" s="6">
        <v>15542</v>
      </c>
      <c r="V14" s="6">
        <v>26285</v>
      </c>
      <c r="W14" s="5" t="s">
        <v>188</v>
      </c>
      <c r="X14" s="5">
        <v>906</v>
      </c>
      <c r="Y14" s="5">
        <v>128</v>
      </c>
      <c r="Z14" s="5">
        <v>3</v>
      </c>
      <c r="AA14" s="5" t="s">
        <v>181</v>
      </c>
      <c r="AB14" s="5" t="s">
        <v>181</v>
      </c>
      <c r="AC14" s="5" t="s">
        <v>181</v>
      </c>
      <c r="AD14" s="5" t="s">
        <v>181</v>
      </c>
      <c r="AE14" s="5" t="s">
        <v>181</v>
      </c>
      <c r="AF14" s="5" t="s">
        <v>181</v>
      </c>
      <c r="AG14" s="6">
        <v>326734</v>
      </c>
    </row>
    <row r="15" spans="1:33" x14ac:dyDescent="0.45">
      <c r="A15" s="5">
        <v>2023</v>
      </c>
      <c r="B15" s="6">
        <v>235361</v>
      </c>
      <c r="C15" s="6">
        <v>13563</v>
      </c>
      <c r="D15" s="6">
        <v>35906</v>
      </c>
      <c r="E15" s="6">
        <v>1400</v>
      </c>
      <c r="F15" s="6">
        <v>2857</v>
      </c>
      <c r="G15" s="5">
        <v>26</v>
      </c>
      <c r="H15" s="5" t="s">
        <v>181</v>
      </c>
      <c r="I15" s="6">
        <v>23962</v>
      </c>
      <c r="J15" s="5" t="s">
        <v>181</v>
      </c>
      <c r="K15" s="6">
        <v>3594</v>
      </c>
      <c r="L15" s="5" t="s">
        <v>181</v>
      </c>
      <c r="M15" s="5" t="s">
        <v>181</v>
      </c>
      <c r="N15" s="5" t="s">
        <v>181</v>
      </c>
      <c r="O15" s="6">
        <v>294547</v>
      </c>
      <c r="S15" s="5">
        <v>2023</v>
      </c>
      <c r="T15" s="6">
        <v>249792</v>
      </c>
      <c r="U15" s="6">
        <v>13179</v>
      </c>
      <c r="V15" s="6">
        <v>33282</v>
      </c>
      <c r="W15" s="6">
        <v>6216</v>
      </c>
      <c r="X15" s="6">
        <v>1374</v>
      </c>
      <c r="Y15" s="5">
        <v>120</v>
      </c>
      <c r="Z15" s="5">
        <v>3</v>
      </c>
      <c r="AA15" s="5" t="s">
        <v>181</v>
      </c>
      <c r="AB15" s="5" t="s">
        <v>181</v>
      </c>
      <c r="AC15" s="5" t="s">
        <v>181</v>
      </c>
      <c r="AD15" s="5" t="s">
        <v>181</v>
      </c>
      <c r="AE15" s="5" t="s">
        <v>181</v>
      </c>
      <c r="AF15" s="5" t="s">
        <v>181</v>
      </c>
      <c r="AG15" s="6">
        <v>303965</v>
      </c>
    </row>
    <row r="16" spans="1:33" x14ac:dyDescent="0.45">
      <c r="A16" s="5">
        <v>2024</v>
      </c>
      <c r="B16" s="6">
        <v>236196</v>
      </c>
      <c r="C16" s="6">
        <v>17561</v>
      </c>
      <c r="D16" s="6">
        <v>27990</v>
      </c>
      <c r="E16" s="6">
        <v>1485</v>
      </c>
      <c r="F16" s="6">
        <v>1340</v>
      </c>
      <c r="G16" s="5">
        <v>26</v>
      </c>
      <c r="H16" s="6">
        <v>6774</v>
      </c>
      <c r="I16" s="6">
        <v>35942</v>
      </c>
      <c r="J16" s="6">
        <v>6518</v>
      </c>
      <c r="K16" s="6">
        <v>1797</v>
      </c>
      <c r="L16" s="5" t="s">
        <v>181</v>
      </c>
      <c r="M16" s="5" t="s">
        <v>181</v>
      </c>
      <c r="N16" s="5" t="s">
        <v>181</v>
      </c>
      <c r="O16" s="6">
        <v>335603</v>
      </c>
      <c r="S16" s="5">
        <v>2024</v>
      </c>
      <c r="T16" s="6">
        <v>223138</v>
      </c>
      <c r="U16" s="6">
        <v>13038</v>
      </c>
      <c r="V16" s="6">
        <v>14874</v>
      </c>
      <c r="W16" s="6">
        <v>1091</v>
      </c>
      <c r="X16" s="6">
        <v>1413</v>
      </c>
      <c r="Y16" s="6">
        <v>2420</v>
      </c>
      <c r="Z16" s="5">
        <v>6</v>
      </c>
      <c r="AA16" s="5">
        <v>1</v>
      </c>
      <c r="AB16" s="5">
        <v>1</v>
      </c>
      <c r="AC16" s="5">
        <v>1</v>
      </c>
      <c r="AD16" s="5">
        <v>1</v>
      </c>
      <c r="AE16" s="5">
        <v>24</v>
      </c>
      <c r="AF16" s="5" t="s">
        <v>181</v>
      </c>
      <c r="AG16" s="6">
        <v>260609</v>
      </c>
    </row>
    <row r="17" spans="1:33" x14ac:dyDescent="0.45">
      <c r="A17" s="5">
        <v>2025</v>
      </c>
      <c r="B17" s="6">
        <v>238559</v>
      </c>
      <c r="C17" s="6">
        <v>21714</v>
      </c>
      <c r="D17" s="6">
        <v>33016</v>
      </c>
      <c r="E17" s="6">
        <v>1525</v>
      </c>
      <c r="F17" s="6">
        <v>1321</v>
      </c>
      <c r="G17" s="5">
        <v>30</v>
      </c>
      <c r="H17" s="6">
        <v>6850</v>
      </c>
      <c r="I17" s="6">
        <v>35942</v>
      </c>
      <c r="J17" s="6">
        <v>7592</v>
      </c>
      <c r="K17" s="6">
        <v>2097</v>
      </c>
      <c r="L17" s="5" t="s">
        <v>181</v>
      </c>
      <c r="M17" s="5" t="s">
        <v>181</v>
      </c>
      <c r="N17" s="5" t="s">
        <v>181</v>
      </c>
      <c r="O17" s="6">
        <v>348666</v>
      </c>
      <c r="S17" s="5">
        <v>2025</v>
      </c>
      <c r="T17" s="6">
        <v>309004</v>
      </c>
      <c r="U17" s="6">
        <v>19044</v>
      </c>
      <c r="V17" s="6">
        <v>14854</v>
      </c>
      <c r="W17" s="6">
        <v>6232</v>
      </c>
      <c r="X17" s="6">
        <v>1446</v>
      </c>
      <c r="Y17" s="6">
        <v>1102</v>
      </c>
      <c r="Z17" s="5">
        <v>3</v>
      </c>
      <c r="AA17" s="6">
        <v>1642</v>
      </c>
      <c r="AB17" s="6">
        <v>22795</v>
      </c>
      <c r="AC17" s="5">
        <v>131</v>
      </c>
      <c r="AD17" s="6">
        <v>3641</v>
      </c>
      <c r="AE17" s="5">
        <v>834</v>
      </c>
      <c r="AF17" s="5">
        <v>25</v>
      </c>
      <c r="AG17" s="6">
        <v>376644</v>
      </c>
    </row>
    <row r="18" spans="1:33" x14ac:dyDescent="0.45">
      <c r="A18" s="5">
        <v>2026</v>
      </c>
      <c r="B18" s="6">
        <v>240110</v>
      </c>
      <c r="C18" s="6">
        <v>30515</v>
      </c>
      <c r="D18" s="6">
        <v>36796</v>
      </c>
      <c r="E18" s="6">
        <v>1599</v>
      </c>
      <c r="F18" s="6">
        <v>1508</v>
      </c>
      <c r="G18" s="5">
        <v>31</v>
      </c>
      <c r="H18" s="6">
        <v>6951</v>
      </c>
      <c r="I18" s="6">
        <v>35942</v>
      </c>
      <c r="J18" s="6">
        <v>8932</v>
      </c>
      <c r="K18" s="6">
        <v>5945</v>
      </c>
      <c r="L18" s="6">
        <v>14976</v>
      </c>
      <c r="M18" s="5" t="s">
        <v>181</v>
      </c>
      <c r="N18" s="5" t="s">
        <v>181</v>
      </c>
      <c r="O18" s="6">
        <v>392305</v>
      </c>
      <c r="S18" s="5">
        <v>2026</v>
      </c>
      <c r="T18" s="6">
        <v>325496</v>
      </c>
      <c r="U18" s="6">
        <v>15613</v>
      </c>
      <c r="V18" s="6">
        <v>19620</v>
      </c>
      <c r="W18" s="6">
        <v>6384</v>
      </c>
      <c r="X18" s="6">
        <v>1488</v>
      </c>
      <c r="Y18" s="6">
        <v>1135</v>
      </c>
      <c r="Z18" s="5">
        <v>3</v>
      </c>
      <c r="AA18" s="6">
        <v>5683</v>
      </c>
      <c r="AB18" s="6">
        <v>33647</v>
      </c>
      <c r="AC18" s="6">
        <v>4823</v>
      </c>
      <c r="AD18" s="6">
        <v>17099</v>
      </c>
      <c r="AE18" s="6">
        <v>11096</v>
      </c>
      <c r="AF18" s="5">
        <v>484</v>
      </c>
      <c r="AG18" s="6">
        <v>438871</v>
      </c>
    </row>
    <row r="19" spans="1:33" x14ac:dyDescent="0.45">
      <c r="A19" s="5">
        <v>2027</v>
      </c>
      <c r="B19" s="6">
        <v>301943</v>
      </c>
      <c r="C19" s="6">
        <v>36895</v>
      </c>
      <c r="D19" s="6">
        <v>40352</v>
      </c>
      <c r="E19" s="6">
        <v>1671</v>
      </c>
      <c r="F19" s="6">
        <v>1504</v>
      </c>
      <c r="G19" s="5">
        <v>33</v>
      </c>
      <c r="H19" s="6">
        <v>6951</v>
      </c>
      <c r="I19" s="6">
        <v>35942</v>
      </c>
      <c r="J19" s="6">
        <v>9761</v>
      </c>
      <c r="K19" s="6">
        <v>7535</v>
      </c>
      <c r="L19" s="6">
        <v>14976</v>
      </c>
      <c r="M19" s="5" t="s">
        <v>181</v>
      </c>
      <c r="N19" s="5" t="s">
        <v>181</v>
      </c>
      <c r="O19" s="6">
        <v>457530</v>
      </c>
      <c r="S19" s="5">
        <v>2027</v>
      </c>
      <c r="T19" s="6">
        <v>324793</v>
      </c>
      <c r="U19" s="6">
        <v>15449</v>
      </c>
      <c r="V19" s="6">
        <v>14542</v>
      </c>
      <c r="W19" s="6">
        <v>6368</v>
      </c>
      <c r="X19" s="6">
        <v>1531</v>
      </c>
      <c r="Y19" s="6">
        <v>1169</v>
      </c>
      <c r="Z19" s="5">
        <v>3</v>
      </c>
      <c r="AA19" s="6">
        <v>10940</v>
      </c>
      <c r="AB19" s="6">
        <v>33678</v>
      </c>
      <c r="AC19" s="6">
        <v>5826</v>
      </c>
      <c r="AD19" s="6">
        <v>17150</v>
      </c>
      <c r="AE19" s="6">
        <v>11146</v>
      </c>
      <c r="AF19" s="5">
        <v>763</v>
      </c>
      <c r="AG19" s="6">
        <v>443359</v>
      </c>
    </row>
    <row r="20" spans="1:33" x14ac:dyDescent="0.45">
      <c r="A20" s="5">
        <v>2028</v>
      </c>
      <c r="B20" s="6">
        <v>374969</v>
      </c>
      <c r="C20" s="6">
        <v>45659</v>
      </c>
      <c r="D20" s="6">
        <v>42392</v>
      </c>
      <c r="E20" s="6">
        <v>1625</v>
      </c>
      <c r="F20" s="6">
        <v>1521</v>
      </c>
      <c r="G20" s="5">
        <v>36</v>
      </c>
      <c r="H20" s="6">
        <v>6951</v>
      </c>
      <c r="I20" s="6">
        <v>35942</v>
      </c>
      <c r="J20" s="6">
        <v>9961</v>
      </c>
      <c r="K20" s="6">
        <v>8134</v>
      </c>
      <c r="L20" s="6">
        <v>14976</v>
      </c>
      <c r="M20" s="5" t="s">
        <v>181</v>
      </c>
      <c r="N20" s="5" t="s">
        <v>181</v>
      </c>
      <c r="O20" s="6">
        <v>558167</v>
      </c>
      <c r="S20" s="5">
        <v>2028</v>
      </c>
      <c r="T20" s="6">
        <v>320726</v>
      </c>
      <c r="U20" s="6">
        <v>19371</v>
      </c>
      <c r="V20" s="6">
        <v>15640</v>
      </c>
      <c r="W20" s="6">
        <v>1575</v>
      </c>
      <c r="X20" s="6">
        <v>1204</v>
      </c>
      <c r="Y20" s="6">
        <v>1253</v>
      </c>
      <c r="Z20" s="5">
        <v>3</v>
      </c>
      <c r="AA20" s="6">
        <v>12366</v>
      </c>
      <c r="AB20" s="6">
        <v>33693</v>
      </c>
      <c r="AC20" s="6">
        <v>6394</v>
      </c>
      <c r="AD20" s="6">
        <v>32686</v>
      </c>
      <c r="AE20" s="6">
        <v>11173</v>
      </c>
      <c r="AF20" s="6">
        <v>1042</v>
      </c>
      <c r="AG20" s="6">
        <v>468627</v>
      </c>
    </row>
    <row r="21" spans="1:33" x14ac:dyDescent="0.45">
      <c r="A21" s="5">
        <v>2029</v>
      </c>
      <c r="B21" s="6">
        <v>381977</v>
      </c>
      <c r="C21" s="6">
        <v>51749</v>
      </c>
      <c r="D21" s="6">
        <v>44439</v>
      </c>
      <c r="E21" s="6">
        <v>1732</v>
      </c>
      <c r="F21" s="6">
        <v>1600</v>
      </c>
      <c r="G21" s="5">
        <v>38</v>
      </c>
      <c r="H21" s="6">
        <v>44199</v>
      </c>
      <c r="I21" s="6">
        <v>35942</v>
      </c>
      <c r="J21" s="6">
        <v>10715</v>
      </c>
      <c r="K21" s="6">
        <v>8544</v>
      </c>
      <c r="L21" s="6">
        <v>14976</v>
      </c>
      <c r="M21" s="5" t="s">
        <v>181</v>
      </c>
      <c r="N21" s="5" t="s">
        <v>181</v>
      </c>
      <c r="O21" s="6">
        <v>596871</v>
      </c>
      <c r="S21" s="5">
        <v>2029</v>
      </c>
      <c r="T21" s="6">
        <v>318092</v>
      </c>
      <c r="U21" s="6">
        <v>19067</v>
      </c>
      <c r="V21" s="6">
        <v>17566</v>
      </c>
      <c r="W21" s="6">
        <v>6438</v>
      </c>
      <c r="X21" s="6">
        <v>1621</v>
      </c>
      <c r="Y21" s="6">
        <v>1241</v>
      </c>
      <c r="Z21" s="5">
        <v>3</v>
      </c>
      <c r="AA21" s="6">
        <v>21416</v>
      </c>
      <c r="AB21" s="6">
        <v>33697</v>
      </c>
      <c r="AC21" s="6">
        <v>6612</v>
      </c>
      <c r="AD21" s="6">
        <v>32693</v>
      </c>
      <c r="AE21" s="6">
        <v>11180</v>
      </c>
      <c r="AF21" s="6">
        <v>1459</v>
      </c>
      <c r="AG21" s="6">
        <v>471471</v>
      </c>
    </row>
    <row r="22" spans="1:33" x14ac:dyDescent="0.45">
      <c r="A22" s="5">
        <v>2030</v>
      </c>
      <c r="B22" s="6">
        <v>423677</v>
      </c>
      <c r="C22" s="6">
        <v>56874</v>
      </c>
      <c r="D22" s="6">
        <v>44112</v>
      </c>
      <c r="E22" s="6">
        <v>1851</v>
      </c>
      <c r="F22" s="6">
        <v>1565</v>
      </c>
      <c r="G22" s="5">
        <v>39</v>
      </c>
      <c r="H22" s="6">
        <v>44199</v>
      </c>
      <c r="I22" s="6">
        <v>35942</v>
      </c>
      <c r="J22" s="6">
        <v>11735</v>
      </c>
      <c r="K22" s="6">
        <v>9434</v>
      </c>
      <c r="L22" s="6">
        <v>14976</v>
      </c>
      <c r="O22" s="2">
        <f>SUM(B22:N22)</f>
        <v>644404</v>
      </c>
      <c r="S22" s="5">
        <v>2030</v>
      </c>
      <c r="T22" s="6">
        <v>319972</v>
      </c>
      <c r="U22" s="6">
        <v>16591</v>
      </c>
      <c r="V22" s="6">
        <v>18053</v>
      </c>
      <c r="W22" s="6">
        <v>6551</v>
      </c>
      <c r="X22" s="6">
        <v>1668</v>
      </c>
      <c r="Y22" s="6">
        <v>1278</v>
      </c>
      <c r="Z22" s="5">
        <v>3</v>
      </c>
      <c r="AA22" s="6">
        <v>21370</v>
      </c>
      <c r="AB22" s="6">
        <v>33685</v>
      </c>
      <c r="AC22" s="6">
        <v>6801</v>
      </c>
      <c r="AD22" s="6">
        <v>32674</v>
      </c>
      <c r="AE22" s="6">
        <v>11159</v>
      </c>
      <c r="AF22" s="6">
        <v>1459</v>
      </c>
      <c r="AG22" s="6">
        <v>471264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7C87-02B4-412D-A3C3-10E96B431225}">
  <dimension ref="A1:C10"/>
  <sheetViews>
    <sheetView workbookViewId="0">
      <selection activeCell="D16" sqref="D16"/>
    </sheetView>
  </sheetViews>
  <sheetFormatPr defaultRowHeight="13.9" x14ac:dyDescent="0.4"/>
  <cols>
    <col min="1" max="1" width="28.1328125" style="8" customWidth="1"/>
    <col min="2" max="2" width="16.3984375" style="8" customWidth="1"/>
    <col min="3" max="3" width="22.6640625" style="11" customWidth="1"/>
    <col min="4" max="16384" width="9.06640625" style="8"/>
  </cols>
  <sheetData>
    <row r="1" spans="1:3" ht="14.25" thickBot="1" x14ac:dyDescent="0.45"/>
    <row r="2" spans="1:3" ht="14.25" thickBot="1" x14ac:dyDescent="0.45">
      <c r="A2" s="17"/>
      <c r="B2" s="46" t="s">
        <v>205</v>
      </c>
      <c r="C2" s="43" t="s">
        <v>206</v>
      </c>
    </row>
    <row r="3" spans="1:3" x14ac:dyDescent="0.4">
      <c r="A3" s="18" t="s">
        <v>202</v>
      </c>
      <c r="B3" s="36">
        <v>8.3500000000000005E-2</v>
      </c>
      <c r="C3" s="44" t="s">
        <v>207</v>
      </c>
    </row>
    <row r="4" spans="1:3" x14ac:dyDescent="0.4">
      <c r="A4" s="18" t="s">
        <v>203</v>
      </c>
      <c r="B4" s="37">
        <v>0.47</v>
      </c>
      <c r="C4" s="44" t="s">
        <v>208</v>
      </c>
    </row>
    <row r="5" spans="1:3" ht="27.75" x14ac:dyDescent="0.4">
      <c r="A5" s="18" t="s">
        <v>204</v>
      </c>
      <c r="B5" s="36">
        <v>4.5999999999999999E-2</v>
      </c>
      <c r="C5" s="44" t="s">
        <v>209</v>
      </c>
    </row>
    <row r="6" spans="1:3" x14ac:dyDescent="0.4">
      <c r="A6" s="19" t="s">
        <v>210</v>
      </c>
      <c r="B6" s="38">
        <f>B4*B3+B5</f>
        <v>8.5245000000000001E-2</v>
      </c>
      <c r="C6" s="44"/>
    </row>
    <row r="7" spans="1:3" x14ac:dyDescent="0.4">
      <c r="A7" s="18" t="s">
        <v>212</v>
      </c>
      <c r="B7" s="39">
        <f>BS!F101/BS!F125</f>
        <v>0.3721341546486055</v>
      </c>
      <c r="C7" s="44"/>
    </row>
    <row r="8" spans="1:3" x14ac:dyDescent="0.4">
      <c r="A8" s="19" t="s">
        <v>215</v>
      </c>
      <c r="B8" s="40">
        <f>(4.28% + 7%)/2</f>
        <v>5.6400000000000006E-2</v>
      </c>
      <c r="C8" s="44"/>
    </row>
    <row r="9" spans="1:3" x14ac:dyDescent="0.4">
      <c r="A9" s="18" t="s">
        <v>213</v>
      </c>
      <c r="B9" s="41">
        <f>1-B7</f>
        <v>0.62786584535139456</v>
      </c>
      <c r="C9" s="44"/>
    </row>
    <row r="10" spans="1:3" ht="14.25" thickBot="1" x14ac:dyDescent="0.45">
      <c r="A10" s="20" t="s">
        <v>214</v>
      </c>
      <c r="B10" s="42">
        <f>B6*B7+B8*B9</f>
        <v>6.7134209690839025E-2</v>
      </c>
      <c r="C10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217C-1E0D-43DF-9846-94518D570EAE}">
  <sheetPr>
    <tabColor rgb="FFFF0000"/>
  </sheetPr>
  <dimension ref="A1:G19"/>
  <sheetViews>
    <sheetView workbookViewId="0">
      <selection activeCell="E19" sqref="E19"/>
    </sheetView>
  </sheetViews>
  <sheetFormatPr defaultRowHeight="13.9" x14ac:dyDescent="0.4"/>
  <cols>
    <col min="1" max="1" width="19.796875" style="8" customWidth="1"/>
    <col min="2" max="2" width="7.19921875" style="8" hidden="1" customWidth="1"/>
    <col min="3" max="7" width="17.9296875" style="8" customWidth="1"/>
    <col min="8" max="16384" width="9.06640625" style="8"/>
  </cols>
  <sheetData>
    <row r="1" spans="1:7" ht="14.25" thickBot="1" x14ac:dyDescent="0.45">
      <c r="A1" s="17" t="s">
        <v>216</v>
      </c>
      <c r="B1" s="16"/>
      <c r="C1" s="142">
        <f>WACC!B10</f>
        <v>6.7134209690839025E-2</v>
      </c>
      <c r="G1" s="9" t="s">
        <v>229</v>
      </c>
    </row>
    <row r="2" spans="1:7" ht="14.25" thickBot="1" x14ac:dyDescent="0.45">
      <c r="A2" s="30"/>
      <c r="B2" s="16">
        <v>2024</v>
      </c>
      <c r="C2" s="133">
        <v>2025</v>
      </c>
      <c r="D2" s="28">
        <v>2026</v>
      </c>
      <c r="E2" s="28">
        <v>2027</v>
      </c>
      <c r="F2" s="28">
        <v>2028</v>
      </c>
      <c r="G2" s="29">
        <v>2029</v>
      </c>
    </row>
    <row r="3" spans="1:7" x14ac:dyDescent="0.4">
      <c r="A3" s="18" t="s">
        <v>195</v>
      </c>
      <c r="B3" s="10">
        <f>IS!F21</f>
        <v>22215</v>
      </c>
      <c r="C3" s="134">
        <f>IS!G21</f>
        <v>18985.967271922855</v>
      </c>
      <c r="D3" s="10">
        <f>IS!H21</f>
        <v>17015.06434462047</v>
      </c>
      <c r="E3" s="10">
        <f>IS!I21</f>
        <v>17142.860290810262</v>
      </c>
      <c r="F3" s="10">
        <f>IS!J21</f>
        <v>17030.454541648473</v>
      </c>
      <c r="G3" s="21">
        <f>IS!K21</f>
        <v>17144.279033061906</v>
      </c>
    </row>
    <row r="4" spans="1:7" ht="27.75" x14ac:dyDescent="0.4">
      <c r="A4" s="31" t="s">
        <v>196</v>
      </c>
      <c r="B4" s="14">
        <v>0.2</v>
      </c>
      <c r="C4" s="41">
        <v>0.2</v>
      </c>
      <c r="D4" s="14">
        <v>0.2</v>
      </c>
      <c r="E4" s="14">
        <v>0.2</v>
      </c>
      <c r="F4" s="14">
        <v>0.2</v>
      </c>
      <c r="G4" s="22">
        <v>0.2</v>
      </c>
    </row>
    <row r="5" spans="1:7" x14ac:dyDescent="0.4">
      <c r="A5" s="18" t="s">
        <v>197</v>
      </c>
      <c r="B5" s="23">
        <f>'Doanh thu'!F39</f>
        <v>6304</v>
      </c>
      <c r="C5" s="134">
        <f>'Doanh thu'!G39</f>
        <v>7883.1381999999994</v>
      </c>
      <c r="D5" s="10">
        <f>'Doanh thu'!H39</f>
        <v>7883.1381999999985</v>
      </c>
      <c r="E5" s="10">
        <f>'Doanh thu'!I39</f>
        <v>7883.1381999999985</v>
      </c>
      <c r="F5" s="10">
        <f>'Doanh thu'!J39</f>
        <v>7883.1381999999985</v>
      </c>
      <c r="G5" s="21">
        <f>'Doanh thu'!K39</f>
        <v>7883.1381999999985</v>
      </c>
    </row>
    <row r="6" spans="1:7" x14ac:dyDescent="0.4">
      <c r="A6" s="18" t="s">
        <v>193</v>
      </c>
      <c r="B6" s="12">
        <f>(BS!E41-BS!F41)</f>
        <v>23753</v>
      </c>
      <c r="C6" s="134">
        <f>CAPEX!C24</f>
        <v>28576.733333333334</v>
      </c>
      <c r="D6" s="10">
        <f>CAPEX!D24</f>
        <v>32475.84</v>
      </c>
      <c r="E6" s="10">
        <f>CAPEX!E24</f>
        <v>36374.94666666667</v>
      </c>
      <c r="F6" s="10">
        <f>CAPEX!F24</f>
        <v>40274.053333333337</v>
      </c>
      <c r="G6" s="21">
        <f>CAPEX!G24</f>
        <v>44173.16</v>
      </c>
    </row>
    <row r="7" spans="1:7" x14ac:dyDescent="0.4">
      <c r="A7" s="18" t="s">
        <v>198</v>
      </c>
      <c r="B7" s="23">
        <f>'Vốn lưu động'!F34</f>
        <v>70715</v>
      </c>
      <c r="C7" s="135">
        <f>'Vốn lưu động'!G34</f>
        <v>2579.9508575271466</v>
      </c>
      <c r="D7" s="23">
        <f>'Vốn lưu động'!H34</f>
        <v>3104.4072849618096</v>
      </c>
      <c r="E7" s="23">
        <f>'Vốn lưu động'!I34</f>
        <v>3864.9754762527009</v>
      </c>
      <c r="F7" s="23">
        <f>'Vốn lưu động'!J34</f>
        <v>1568.1591684881132</v>
      </c>
      <c r="G7" s="24">
        <f>'Vốn lưu động'!K34</f>
        <v>-27.232887362479232</v>
      </c>
    </row>
    <row r="8" spans="1:7" ht="14.25" thickBot="1" x14ac:dyDescent="0.45">
      <c r="A8" s="18" t="s">
        <v>200</v>
      </c>
      <c r="C8" s="134">
        <f>CAPEX!C8+CAPEX!C4</f>
        <v>58486.6</v>
      </c>
      <c r="D8" s="10">
        <f>CAPEX!D8+CAPEX!D4</f>
        <v>58486.6</v>
      </c>
      <c r="E8" s="10">
        <f>CAPEX!E8+CAPEX!E4</f>
        <v>58486.6</v>
      </c>
      <c r="F8" s="10">
        <f>CAPEX!F8+CAPEX!F4</f>
        <v>58486.6</v>
      </c>
      <c r="G8" s="21">
        <f>CAPEX!G8+CAPEX!G4</f>
        <v>58486.6</v>
      </c>
    </row>
    <row r="9" spans="1:7" ht="14.25" thickBot="1" x14ac:dyDescent="0.45">
      <c r="A9" s="17" t="s">
        <v>201</v>
      </c>
      <c r="B9" s="16"/>
      <c r="C9" s="136">
        <f>C3+C6+C5*(1-C4)-C7-C8</f>
        <v>-7197.3396922709508</v>
      </c>
      <c r="D9" s="131">
        <f t="shared" ref="D9:G9" si="0">D3+D6+D5*(1-D4)-D7-D8</f>
        <v>-5793.5923803413389</v>
      </c>
      <c r="E9" s="131">
        <f t="shared" si="0"/>
        <v>-2527.2579587757718</v>
      </c>
      <c r="F9" s="131">
        <f t="shared" si="0"/>
        <v>3556.2592664936892</v>
      </c>
      <c r="G9" s="132">
        <f t="shared" si="0"/>
        <v>9164.5824804243821</v>
      </c>
    </row>
    <row r="10" spans="1:7" x14ac:dyDescent="0.4">
      <c r="A10" s="32" t="s">
        <v>217</v>
      </c>
      <c r="B10" s="13"/>
      <c r="C10" s="137">
        <f>NPV(C1,C9:G9)</f>
        <v>-4547.0279316996484</v>
      </c>
    </row>
    <row r="11" spans="1:7" ht="27.75" x14ac:dyDescent="0.4">
      <c r="A11" s="33" t="s">
        <v>219</v>
      </c>
      <c r="B11" s="144"/>
      <c r="C11" s="36">
        <v>4.3999999999999997E-2</v>
      </c>
      <c r="D11" s="143" t="s">
        <v>227</v>
      </c>
      <c r="E11" s="143"/>
    </row>
    <row r="12" spans="1:7" x14ac:dyDescent="0.4">
      <c r="A12" s="19" t="s">
        <v>218</v>
      </c>
      <c r="B12" s="145"/>
      <c r="C12" s="138">
        <f>G9*(1+C11)/(C1-C11)</f>
        <v>413579.03457371361</v>
      </c>
    </row>
    <row r="13" spans="1:7" x14ac:dyDescent="0.4">
      <c r="A13" s="19" t="s">
        <v>220</v>
      </c>
      <c r="B13" s="146"/>
      <c r="C13" s="138">
        <f>C10+C12</f>
        <v>409032.00664201396</v>
      </c>
    </row>
    <row r="14" spans="1:7" x14ac:dyDescent="0.4">
      <c r="A14" s="34" t="s">
        <v>221</v>
      </c>
      <c r="B14" s="146"/>
      <c r="C14" s="139">
        <f>BS!F4</f>
        <v>18323</v>
      </c>
    </row>
    <row r="15" spans="1:7" x14ac:dyDescent="0.4">
      <c r="A15" s="34" t="s">
        <v>222</v>
      </c>
      <c r="B15" s="146"/>
      <c r="C15" s="139">
        <f>BS!F70</f>
        <v>258083</v>
      </c>
    </row>
    <row r="16" spans="1:7" ht="27.75" x14ac:dyDescent="0.4">
      <c r="A16" s="35" t="s">
        <v>223</v>
      </c>
      <c r="B16" s="146"/>
      <c r="C16" s="139">
        <f>BS!F119</f>
        <v>0</v>
      </c>
    </row>
    <row r="17" spans="1:4" x14ac:dyDescent="0.4">
      <c r="A17" s="19" t="s">
        <v>224</v>
      </c>
      <c r="B17" s="145"/>
      <c r="C17" s="140">
        <f>C13+C14-C15-C16</f>
        <v>169272.00664201396</v>
      </c>
      <c r="D17" s="7"/>
    </row>
    <row r="18" spans="1:4" x14ac:dyDescent="0.4">
      <c r="A18" s="18" t="s">
        <v>225</v>
      </c>
      <c r="B18" s="146"/>
      <c r="C18" s="134">
        <v>5000000</v>
      </c>
    </row>
    <row r="19" spans="1:4" ht="14.25" thickBot="1" x14ac:dyDescent="0.45">
      <c r="A19" s="20" t="s">
        <v>226</v>
      </c>
      <c r="B19" s="25"/>
      <c r="C19" s="141">
        <f>C17/C18*10^6</f>
        <v>33854.40132840279</v>
      </c>
      <c r="D19" s="8" t="s">
        <v>231</v>
      </c>
    </row>
  </sheetData>
  <mergeCells count="1">
    <mergeCell ref="D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F577-0CFD-4E0B-92BF-83C192BFF539}">
  <sheetPr>
    <tabColor rgb="FFFF0000"/>
  </sheetPr>
  <dimension ref="A1:H62"/>
  <sheetViews>
    <sheetView topLeftCell="A46" workbookViewId="0">
      <selection sqref="A1:H1"/>
    </sheetView>
  </sheetViews>
  <sheetFormatPr defaultRowHeight="14.25" x14ac:dyDescent="0.45"/>
  <cols>
    <col min="1" max="1" width="11.9296875" customWidth="1"/>
    <col min="2" max="8" width="14.19921875" customWidth="1"/>
  </cols>
  <sheetData>
    <row r="1" spans="1:8" ht="14.65" thickBot="1" x14ac:dyDescent="0.5">
      <c r="A1" s="153" t="s">
        <v>245</v>
      </c>
      <c r="B1" s="151" t="s">
        <v>246</v>
      </c>
      <c r="C1" s="151" t="s">
        <v>247</v>
      </c>
      <c r="D1" s="151" t="s">
        <v>248</v>
      </c>
      <c r="E1" s="151" t="s">
        <v>249</v>
      </c>
      <c r="F1" s="151" t="s">
        <v>250</v>
      </c>
      <c r="G1" s="151" t="s">
        <v>251</v>
      </c>
      <c r="H1" s="160" t="s">
        <v>252</v>
      </c>
    </row>
    <row r="2" spans="1:8" x14ac:dyDescent="0.45">
      <c r="A2" s="161">
        <v>45796</v>
      </c>
      <c r="B2" s="156"/>
      <c r="C2" s="156"/>
      <c r="D2" s="156"/>
      <c r="E2" s="156"/>
      <c r="F2" s="156" t="s">
        <v>181</v>
      </c>
      <c r="G2" s="156" t="s">
        <v>181</v>
      </c>
      <c r="H2" s="157">
        <v>0</v>
      </c>
    </row>
    <row r="3" spans="1:8" x14ac:dyDescent="0.45">
      <c r="A3" s="161">
        <v>45793</v>
      </c>
      <c r="B3" s="156"/>
      <c r="C3" s="156"/>
      <c r="D3" s="156"/>
      <c r="E3" s="156"/>
      <c r="F3" s="156" t="s">
        <v>181</v>
      </c>
      <c r="G3" s="156" t="s">
        <v>181</v>
      </c>
      <c r="H3" s="157">
        <v>0</v>
      </c>
    </row>
    <row r="4" spans="1:8" x14ac:dyDescent="0.45">
      <c r="A4" s="161">
        <v>45792</v>
      </c>
      <c r="B4" s="156">
        <v>35.6</v>
      </c>
      <c r="C4" s="156">
        <v>35.6</v>
      </c>
      <c r="D4" s="156">
        <v>35.6</v>
      </c>
      <c r="E4" s="156">
        <v>35.6</v>
      </c>
      <c r="F4" s="156" t="s">
        <v>181</v>
      </c>
      <c r="G4" s="156" t="s">
        <v>181</v>
      </c>
      <c r="H4" s="157">
        <v>2.5</v>
      </c>
    </row>
    <row r="5" spans="1:8" x14ac:dyDescent="0.45">
      <c r="A5" s="161">
        <v>45791</v>
      </c>
      <c r="B5" s="156">
        <v>35.6</v>
      </c>
      <c r="C5" s="156">
        <v>35.6</v>
      </c>
      <c r="D5" s="156">
        <v>35.6</v>
      </c>
      <c r="E5" s="156">
        <v>35.6</v>
      </c>
      <c r="F5" s="156">
        <v>-400</v>
      </c>
      <c r="G5" s="156" t="s">
        <v>237</v>
      </c>
      <c r="H5" s="157">
        <v>100</v>
      </c>
    </row>
    <row r="6" spans="1:8" x14ac:dyDescent="0.45">
      <c r="A6" s="161">
        <v>45790</v>
      </c>
      <c r="B6" s="156">
        <v>36.1</v>
      </c>
      <c r="C6" s="156">
        <v>36.1</v>
      </c>
      <c r="D6" s="156">
        <v>35.6</v>
      </c>
      <c r="E6" s="156">
        <v>35.6</v>
      </c>
      <c r="F6" s="156">
        <v>100</v>
      </c>
      <c r="G6" s="156" t="s">
        <v>238</v>
      </c>
      <c r="H6" s="157">
        <v>400</v>
      </c>
    </row>
    <row r="7" spans="1:8" x14ac:dyDescent="0.45">
      <c r="A7" s="161">
        <v>45789</v>
      </c>
      <c r="B7" s="156">
        <v>35.4</v>
      </c>
      <c r="C7" s="156">
        <v>35.6</v>
      </c>
      <c r="D7" s="156">
        <v>35.4</v>
      </c>
      <c r="E7" s="156">
        <v>35.6</v>
      </c>
      <c r="F7" s="156">
        <v>200</v>
      </c>
      <c r="G7" s="156" t="s">
        <v>239</v>
      </c>
      <c r="H7" s="157">
        <v>4.9000000000000004</v>
      </c>
    </row>
    <row r="8" spans="1:8" x14ac:dyDescent="0.45">
      <c r="A8" s="161">
        <v>45786</v>
      </c>
      <c r="B8" s="156">
        <v>35.4</v>
      </c>
      <c r="C8" s="156">
        <v>35.4</v>
      </c>
      <c r="D8" s="156">
        <v>35.4</v>
      </c>
      <c r="E8" s="156">
        <v>35.4</v>
      </c>
      <c r="F8" s="156" t="s">
        <v>181</v>
      </c>
      <c r="G8" s="156" t="s">
        <v>181</v>
      </c>
      <c r="H8" s="157">
        <v>100</v>
      </c>
    </row>
    <row r="9" spans="1:8" x14ac:dyDescent="0.45">
      <c r="A9" s="161">
        <v>45785</v>
      </c>
      <c r="B9" s="156"/>
      <c r="C9" s="156"/>
      <c r="D9" s="156"/>
      <c r="E9" s="156"/>
      <c r="F9" s="156" t="s">
        <v>181</v>
      </c>
      <c r="G9" s="156" t="s">
        <v>181</v>
      </c>
      <c r="H9" s="157">
        <v>0</v>
      </c>
    </row>
    <row r="10" spans="1:8" x14ac:dyDescent="0.45">
      <c r="A10" s="161">
        <v>45784</v>
      </c>
      <c r="B10" s="156"/>
      <c r="C10" s="156"/>
      <c r="D10" s="156"/>
      <c r="E10" s="156"/>
      <c r="F10" s="156" t="s">
        <v>181</v>
      </c>
      <c r="G10" s="156" t="s">
        <v>181</v>
      </c>
      <c r="H10" s="157">
        <v>0</v>
      </c>
    </row>
    <row r="11" spans="1:8" x14ac:dyDescent="0.45">
      <c r="A11" s="161">
        <v>45783</v>
      </c>
      <c r="B11" s="156"/>
      <c r="C11" s="156"/>
      <c r="D11" s="156"/>
      <c r="E11" s="156"/>
      <c r="F11" s="156" t="s">
        <v>181</v>
      </c>
      <c r="G11" s="156" t="s">
        <v>181</v>
      </c>
      <c r="H11" s="157">
        <v>0</v>
      </c>
    </row>
    <row r="12" spans="1:8" x14ac:dyDescent="0.45">
      <c r="A12" s="161">
        <v>45782</v>
      </c>
      <c r="B12" s="156">
        <v>35.4</v>
      </c>
      <c r="C12" s="156">
        <v>35.4</v>
      </c>
      <c r="D12" s="156">
        <v>35.4</v>
      </c>
      <c r="E12" s="156">
        <v>35.4</v>
      </c>
      <c r="F12" s="156" t="s">
        <v>181</v>
      </c>
      <c r="G12" s="156" t="s">
        <v>181</v>
      </c>
      <c r="H12" s="157">
        <v>1</v>
      </c>
    </row>
    <row r="13" spans="1:8" x14ac:dyDescent="0.45">
      <c r="A13" s="161">
        <v>45776</v>
      </c>
      <c r="B13" s="156">
        <v>35.4</v>
      </c>
      <c r="C13" s="156">
        <v>35.4</v>
      </c>
      <c r="D13" s="156">
        <v>35.4</v>
      </c>
      <c r="E13" s="156">
        <v>35.4</v>
      </c>
      <c r="F13" s="156">
        <v>100</v>
      </c>
      <c r="G13" s="156" t="s">
        <v>238</v>
      </c>
      <c r="H13" s="157">
        <v>500</v>
      </c>
    </row>
    <row r="14" spans="1:8" x14ac:dyDescent="0.45">
      <c r="A14" s="161">
        <v>45775</v>
      </c>
      <c r="B14" s="156"/>
      <c r="C14" s="156"/>
      <c r="D14" s="156"/>
      <c r="E14" s="156"/>
      <c r="F14" s="156" t="s">
        <v>181</v>
      </c>
      <c r="G14" s="156" t="s">
        <v>181</v>
      </c>
      <c r="H14" s="157">
        <v>0</v>
      </c>
    </row>
    <row r="15" spans="1:8" x14ac:dyDescent="0.45">
      <c r="A15" s="161">
        <v>45772</v>
      </c>
      <c r="B15" s="156"/>
      <c r="C15" s="156"/>
      <c r="D15" s="156"/>
      <c r="E15" s="156"/>
      <c r="F15" s="156" t="s">
        <v>181</v>
      </c>
      <c r="G15" s="156" t="s">
        <v>181</v>
      </c>
      <c r="H15" s="157">
        <v>0</v>
      </c>
    </row>
    <row r="16" spans="1:8" x14ac:dyDescent="0.45">
      <c r="A16" s="161">
        <v>45771</v>
      </c>
      <c r="B16" s="156"/>
      <c r="C16" s="156"/>
      <c r="D16" s="156"/>
      <c r="E16" s="156"/>
      <c r="F16" s="156" t="s">
        <v>181</v>
      </c>
      <c r="G16" s="156" t="s">
        <v>181</v>
      </c>
      <c r="H16" s="157">
        <v>0</v>
      </c>
    </row>
    <row r="17" spans="1:8" x14ac:dyDescent="0.45">
      <c r="A17" s="161">
        <v>45770</v>
      </c>
      <c r="B17" s="156"/>
      <c r="C17" s="156"/>
      <c r="D17" s="156"/>
      <c r="E17" s="156"/>
      <c r="F17" s="156" t="s">
        <v>181</v>
      </c>
      <c r="G17" s="156" t="s">
        <v>181</v>
      </c>
      <c r="H17" s="157">
        <v>0</v>
      </c>
    </row>
    <row r="18" spans="1:8" x14ac:dyDescent="0.45">
      <c r="A18" s="161">
        <v>45769</v>
      </c>
      <c r="B18" s="156"/>
      <c r="C18" s="156"/>
      <c r="D18" s="156"/>
      <c r="E18" s="156"/>
      <c r="F18" s="156" t="s">
        <v>181</v>
      </c>
      <c r="G18" s="156" t="s">
        <v>181</v>
      </c>
      <c r="H18" s="157">
        <v>0</v>
      </c>
    </row>
    <row r="19" spans="1:8" x14ac:dyDescent="0.45">
      <c r="A19" s="161">
        <v>45768</v>
      </c>
      <c r="B19" s="156"/>
      <c r="C19" s="156"/>
      <c r="D19" s="156"/>
      <c r="E19" s="156"/>
      <c r="F19" s="156" t="s">
        <v>181</v>
      </c>
      <c r="G19" s="156" t="s">
        <v>181</v>
      </c>
      <c r="H19" s="157">
        <v>0</v>
      </c>
    </row>
    <row r="20" spans="1:8" x14ac:dyDescent="0.45">
      <c r="A20" s="161">
        <v>45765</v>
      </c>
      <c r="B20" s="156"/>
      <c r="C20" s="156"/>
      <c r="D20" s="156"/>
      <c r="E20" s="156"/>
      <c r="F20" s="156" t="s">
        <v>181</v>
      </c>
      <c r="G20" s="156" t="s">
        <v>181</v>
      </c>
      <c r="H20" s="157">
        <v>0</v>
      </c>
    </row>
    <row r="21" spans="1:8" x14ac:dyDescent="0.45">
      <c r="A21" s="161">
        <v>45764</v>
      </c>
      <c r="B21" s="156"/>
      <c r="C21" s="156"/>
      <c r="D21" s="156"/>
      <c r="E21" s="156"/>
      <c r="F21" s="156" t="s">
        <v>181</v>
      </c>
      <c r="G21" s="156" t="s">
        <v>181</v>
      </c>
      <c r="H21" s="157">
        <v>0</v>
      </c>
    </row>
    <row r="22" spans="1:8" x14ac:dyDescent="0.45">
      <c r="A22" s="161">
        <v>45763</v>
      </c>
      <c r="B22" s="156">
        <v>35.4</v>
      </c>
      <c r="C22" s="156">
        <v>35.4</v>
      </c>
      <c r="D22" s="156">
        <v>35.200000000000003</v>
      </c>
      <c r="E22" s="156">
        <v>35.200000000000003</v>
      </c>
      <c r="F22" s="156">
        <v>200</v>
      </c>
      <c r="G22" s="156" t="s">
        <v>240</v>
      </c>
      <c r="H22" s="157">
        <v>2</v>
      </c>
    </row>
    <row r="23" spans="1:8" x14ac:dyDescent="0.45">
      <c r="A23" s="161">
        <v>45762</v>
      </c>
      <c r="B23" s="156"/>
      <c r="C23" s="156"/>
      <c r="D23" s="156"/>
      <c r="E23" s="156"/>
      <c r="F23" s="156" t="s">
        <v>181</v>
      </c>
      <c r="G23" s="156" t="s">
        <v>181</v>
      </c>
      <c r="H23" s="157">
        <v>0</v>
      </c>
    </row>
    <row r="24" spans="1:8" x14ac:dyDescent="0.45">
      <c r="A24" s="161">
        <v>45761</v>
      </c>
      <c r="B24" s="156"/>
      <c r="C24" s="156"/>
      <c r="D24" s="156"/>
      <c r="E24" s="156"/>
      <c r="F24" s="156" t="s">
        <v>181</v>
      </c>
      <c r="G24" s="156" t="s">
        <v>181</v>
      </c>
      <c r="H24" s="157">
        <v>0</v>
      </c>
    </row>
    <row r="25" spans="1:8" x14ac:dyDescent="0.45">
      <c r="A25" s="161">
        <v>45758</v>
      </c>
      <c r="B25" s="156">
        <v>32</v>
      </c>
      <c r="C25" s="156">
        <v>35.200000000000003</v>
      </c>
      <c r="D25" s="156">
        <v>32</v>
      </c>
      <c r="E25" s="156">
        <v>35.200000000000003</v>
      </c>
      <c r="F25" s="156">
        <v>-1.4</v>
      </c>
      <c r="G25" s="156" t="s">
        <v>241</v>
      </c>
      <c r="H25" s="157">
        <v>2.1</v>
      </c>
    </row>
    <row r="26" spans="1:8" x14ac:dyDescent="0.45">
      <c r="A26" s="161">
        <v>45757</v>
      </c>
      <c r="B26" s="156">
        <v>36.4</v>
      </c>
      <c r="C26" s="156">
        <v>37.700000000000003</v>
      </c>
      <c r="D26" s="156">
        <v>36.4</v>
      </c>
      <c r="E26" s="156">
        <v>36.4</v>
      </c>
      <c r="F26" s="156">
        <v>200</v>
      </c>
      <c r="G26" s="156" t="s">
        <v>242</v>
      </c>
      <c r="H26" s="157">
        <v>21.7</v>
      </c>
    </row>
    <row r="27" spans="1:8" x14ac:dyDescent="0.45">
      <c r="A27" s="161">
        <v>45756</v>
      </c>
      <c r="B27" s="156">
        <v>36.200000000000003</v>
      </c>
      <c r="C27" s="156">
        <v>36.200000000000003</v>
      </c>
      <c r="D27" s="156">
        <v>36.200000000000003</v>
      </c>
      <c r="E27" s="156">
        <v>36.200000000000003</v>
      </c>
      <c r="F27" s="156">
        <v>-100</v>
      </c>
      <c r="G27" s="156" t="s">
        <v>243</v>
      </c>
      <c r="H27" s="157">
        <v>1.1000000000000001</v>
      </c>
    </row>
    <row r="28" spans="1:8" x14ac:dyDescent="0.45">
      <c r="A28" s="161">
        <v>45755</v>
      </c>
      <c r="B28" s="156">
        <v>36.200000000000003</v>
      </c>
      <c r="C28" s="156">
        <v>36.700000000000003</v>
      </c>
      <c r="D28" s="156">
        <v>30.6</v>
      </c>
      <c r="E28" s="156">
        <v>30.6</v>
      </c>
      <c r="F28" s="156">
        <v>-5.4</v>
      </c>
      <c r="G28" s="156" t="s">
        <v>244</v>
      </c>
      <c r="H28" s="157">
        <v>26.2</v>
      </c>
    </row>
    <row r="29" spans="1:8" x14ac:dyDescent="0.45">
      <c r="A29" s="161">
        <v>45751</v>
      </c>
      <c r="B29" s="156">
        <v>36</v>
      </c>
      <c r="C29" s="156">
        <v>36</v>
      </c>
      <c r="D29" s="156">
        <v>36</v>
      </c>
      <c r="E29" s="156">
        <v>36</v>
      </c>
      <c r="F29" s="156" t="s">
        <v>181</v>
      </c>
      <c r="G29" s="156" t="s">
        <v>181</v>
      </c>
      <c r="H29" s="157">
        <v>1</v>
      </c>
    </row>
    <row r="30" spans="1:8" x14ac:dyDescent="0.45">
      <c r="A30" s="161">
        <v>45750</v>
      </c>
      <c r="B30" s="156">
        <v>36.200000000000003</v>
      </c>
      <c r="C30" s="156">
        <v>36.200000000000003</v>
      </c>
      <c r="D30" s="156">
        <v>35.799999999999997</v>
      </c>
      <c r="E30" s="156">
        <v>36.200000000000003</v>
      </c>
      <c r="F30" s="156" t="s">
        <v>181</v>
      </c>
      <c r="G30" s="156" t="s">
        <v>181</v>
      </c>
      <c r="H30" s="157">
        <v>10.199999999999999</v>
      </c>
    </row>
    <row r="31" spans="1:8" x14ac:dyDescent="0.45">
      <c r="A31" s="161">
        <v>45749</v>
      </c>
      <c r="B31" s="156">
        <v>41</v>
      </c>
      <c r="C31" s="156">
        <v>41</v>
      </c>
      <c r="D31" s="156">
        <v>35.799999999999997</v>
      </c>
      <c r="E31" s="156">
        <v>35.9</v>
      </c>
      <c r="F31" s="156">
        <v>100</v>
      </c>
      <c r="G31" s="156" t="s">
        <v>238</v>
      </c>
      <c r="H31" s="157">
        <v>1.6</v>
      </c>
    </row>
    <row r="32" spans="1:8" x14ac:dyDescent="0.45">
      <c r="A32" s="161">
        <v>45748</v>
      </c>
      <c r="B32" s="156">
        <v>35.9</v>
      </c>
      <c r="C32" s="156">
        <v>35.9</v>
      </c>
      <c r="D32" s="156">
        <v>35.6</v>
      </c>
      <c r="E32" s="156">
        <v>35.799999999999997</v>
      </c>
      <c r="F32" s="156" t="s">
        <v>181</v>
      </c>
      <c r="G32" s="156" t="s">
        <v>181</v>
      </c>
      <c r="H32" s="157">
        <v>10</v>
      </c>
    </row>
    <row r="33" spans="1:8" x14ac:dyDescent="0.45">
      <c r="A33" s="161">
        <v>45747</v>
      </c>
      <c r="B33" s="156">
        <v>35.799999999999997</v>
      </c>
      <c r="C33" s="156">
        <v>35.799999999999997</v>
      </c>
      <c r="D33" s="156">
        <v>35.799999999999997</v>
      </c>
      <c r="E33" s="156">
        <v>35.799999999999997</v>
      </c>
      <c r="F33" s="156">
        <v>200</v>
      </c>
      <c r="G33" s="156" t="s">
        <v>239</v>
      </c>
      <c r="H33" s="157">
        <v>2.5</v>
      </c>
    </row>
    <row r="34" spans="1:8" x14ac:dyDescent="0.45">
      <c r="A34" s="161">
        <v>45744</v>
      </c>
      <c r="B34" s="156">
        <v>35.6</v>
      </c>
      <c r="C34" s="156">
        <v>35.6</v>
      </c>
      <c r="D34" s="156">
        <v>35.6</v>
      </c>
      <c r="E34" s="156">
        <v>35.6</v>
      </c>
      <c r="F34" s="156">
        <v>4.5999999999999996</v>
      </c>
      <c r="G34" s="156" t="s">
        <v>253</v>
      </c>
      <c r="H34" s="157">
        <v>3</v>
      </c>
    </row>
    <row r="35" spans="1:8" x14ac:dyDescent="0.45">
      <c r="A35" s="161">
        <v>45743</v>
      </c>
      <c r="B35" s="156">
        <v>31</v>
      </c>
      <c r="C35" s="156">
        <v>31</v>
      </c>
      <c r="D35" s="156">
        <v>31</v>
      </c>
      <c r="E35" s="156">
        <v>31</v>
      </c>
      <c r="F35" s="156">
        <v>-4.7</v>
      </c>
      <c r="G35" s="156" t="s">
        <v>254</v>
      </c>
      <c r="H35" s="157">
        <v>200</v>
      </c>
    </row>
    <row r="36" spans="1:8" x14ac:dyDescent="0.45">
      <c r="A36" s="161">
        <v>45742</v>
      </c>
      <c r="B36" s="156"/>
      <c r="C36" s="156"/>
      <c r="D36" s="156"/>
      <c r="E36" s="156"/>
      <c r="F36" s="156" t="s">
        <v>181</v>
      </c>
      <c r="G36" s="156" t="s">
        <v>181</v>
      </c>
      <c r="H36" s="157">
        <v>0</v>
      </c>
    </row>
    <row r="37" spans="1:8" x14ac:dyDescent="0.45">
      <c r="A37" s="161">
        <v>45741</v>
      </c>
      <c r="B37" s="156">
        <v>37.1</v>
      </c>
      <c r="C37" s="156">
        <v>37.1</v>
      </c>
      <c r="D37" s="156">
        <v>35.200000000000003</v>
      </c>
      <c r="E37" s="156">
        <v>35.6</v>
      </c>
      <c r="F37" s="156">
        <v>-1.5</v>
      </c>
      <c r="G37" s="156" t="s">
        <v>255</v>
      </c>
      <c r="H37" s="157">
        <v>500</v>
      </c>
    </row>
    <row r="38" spans="1:8" x14ac:dyDescent="0.45">
      <c r="A38" s="161">
        <v>45740</v>
      </c>
      <c r="B38" s="156">
        <v>37</v>
      </c>
      <c r="C38" s="156">
        <v>37.200000000000003</v>
      </c>
      <c r="D38" s="156">
        <v>37</v>
      </c>
      <c r="E38" s="156">
        <v>37.200000000000003</v>
      </c>
      <c r="F38" s="156">
        <v>-200</v>
      </c>
      <c r="G38" s="156" t="s">
        <v>256</v>
      </c>
      <c r="H38" s="157">
        <v>2.4</v>
      </c>
    </row>
    <row r="39" spans="1:8" x14ac:dyDescent="0.45">
      <c r="A39" s="161">
        <v>45737</v>
      </c>
      <c r="B39" s="156">
        <v>35.5</v>
      </c>
      <c r="C39" s="156">
        <v>37.5</v>
      </c>
      <c r="D39" s="156">
        <v>35.5</v>
      </c>
      <c r="E39" s="156">
        <v>37.5</v>
      </c>
      <c r="F39" s="156">
        <v>600</v>
      </c>
      <c r="G39" s="156" t="s">
        <v>257</v>
      </c>
      <c r="H39" s="157">
        <v>2.7</v>
      </c>
    </row>
    <row r="40" spans="1:8" x14ac:dyDescent="0.45">
      <c r="A40" s="161">
        <v>45736</v>
      </c>
      <c r="B40" s="156">
        <v>35.5</v>
      </c>
      <c r="C40" s="156">
        <v>37</v>
      </c>
      <c r="D40" s="156">
        <v>35.5</v>
      </c>
      <c r="E40" s="156">
        <v>37</v>
      </c>
      <c r="F40" s="156">
        <v>1.8</v>
      </c>
      <c r="G40" s="156" t="s">
        <v>258</v>
      </c>
      <c r="H40" s="157">
        <v>7.9</v>
      </c>
    </row>
    <row r="41" spans="1:8" x14ac:dyDescent="0.45">
      <c r="A41" s="161">
        <v>45735</v>
      </c>
      <c r="B41" s="156">
        <v>35.299999999999997</v>
      </c>
      <c r="C41" s="156">
        <v>35.299999999999997</v>
      </c>
      <c r="D41" s="156">
        <v>35</v>
      </c>
      <c r="E41" s="156">
        <v>35</v>
      </c>
      <c r="F41" s="156">
        <v>-1.4</v>
      </c>
      <c r="G41" s="156" t="s">
        <v>259</v>
      </c>
      <c r="H41" s="157">
        <v>200</v>
      </c>
    </row>
    <row r="42" spans="1:8" x14ac:dyDescent="0.45">
      <c r="A42" s="161">
        <v>45734</v>
      </c>
      <c r="B42" s="156">
        <v>32.200000000000003</v>
      </c>
      <c r="C42" s="156">
        <v>37</v>
      </c>
      <c r="D42" s="156">
        <v>32.200000000000003</v>
      </c>
      <c r="E42" s="156">
        <v>37</v>
      </c>
      <c r="F42" s="156">
        <v>400</v>
      </c>
      <c r="G42" s="156" t="s">
        <v>260</v>
      </c>
      <c r="H42" s="157">
        <v>2.7</v>
      </c>
    </row>
    <row r="43" spans="1:8" x14ac:dyDescent="0.45">
      <c r="A43" s="161">
        <v>45733</v>
      </c>
      <c r="B43" s="156">
        <v>40</v>
      </c>
      <c r="C43" s="156">
        <v>40</v>
      </c>
      <c r="D43" s="156">
        <v>36.1</v>
      </c>
      <c r="E43" s="156">
        <v>36.5</v>
      </c>
      <c r="F43" s="156">
        <v>500</v>
      </c>
      <c r="G43" s="156" t="s">
        <v>261</v>
      </c>
      <c r="H43" s="157">
        <v>4.4000000000000004</v>
      </c>
    </row>
    <row r="44" spans="1:8" x14ac:dyDescent="0.45">
      <c r="A44" s="161">
        <v>45730</v>
      </c>
      <c r="B44" s="156">
        <v>35</v>
      </c>
      <c r="C44" s="156">
        <v>36.700000000000003</v>
      </c>
      <c r="D44" s="156">
        <v>35</v>
      </c>
      <c r="E44" s="156">
        <v>35.5</v>
      </c>
      <c r="F44" s="156" t="s">
        <v>181</v>
      </c>
      <c r="G44" s="156" t="s">
        <v>181</v>
      </c>
      <c r="H44" s="157">
        <v>3.7</v>
      </c>
    </row>
    <row r="45" spans="1:8" x14ac:dyDescent="0.45">
      <c r="A45" s="161">
        <v>45729</v>
      </c>
      <c r="B45" s="156">
        <v>35.5</v>
      </c>
      <c r="C45" s="156">
        <v>35.5</v>
      </c>
      <c r="D45" s="156">
        <v>35.5</v>
      </c>
      <c r="E45" s="156">
        <v>35.5</v>
      </c>
      <c r="F45" s="156">
        <v>-300</v>
      </c>
      <c r="G45" s="156" t="s">
        <v>262</v>
      </c>
      <c r="H45" s="157">
        <v>1</v>
      </c>
    </row>
    <row r="46" spans="1:8" x14ac:dyDescent="0.45">
      <c r="A46" s="161">
        <v>45728</v>
      </c>
      <c r="B46" s="156">
        <v>38</v>
      </c>
      <c r="C46" s="156">
        <v>38</v>
      </c>
      <c r="D46" s="156">
        <v>35.200000000000003</v>
      </c>
      <c r="E46" s="156">
        <v>35.4</v>
      </c>
      <c r="F46" s="156">
        <v>1</v>
      </c>
      <c r="G46" s="156" t="s">
        <v>263</v>
      </c>
      <c r="H46" s="157">
        <v>8.1</v>
      </c>
    </row>
    <row r="47" spans="1:8" x14ac:dyDescent="0.45">
      <c r="A47" s="161">
        <v>45727</v>
      </c>
      <c r="B47" s="156"/>
      <c r="C47" s="156"/>
      <c r="D47" s="156"/>
      <c r="E47" s="156"/>
      <c r="F47" s="156" t="s">
        <v>181</v>
      </c>
      <c r="G47" s="156" t="s">
        <v>181</v>
      </c>
      <c r="H47" s="157">
        <v>0</v>
      </c>
    </row>
    <row r="48" spans="1:8" x14ac:dyDescent="0.45">
      <c r="A48" s="161">
        <v>45726</v>
      </c>
      <c r="B48" s="156">
        <v>32</v>
      </c>
      <c r="C48" s="156">
        <v>35</v>
      </c>
      <c r="D48" s="156">
        <v>32</v>
      </c>
      <c r="E48" s="156">
        <v>35</v>
      </c>
      <c r="F48" s="156">
        <v>3.8</v>
      </c>
      <c r="G48" s="156" t="s">
        <v>264</v>
      </c>
      <c r="H48" s="157">
        <v>3.7</v>
      </c>
    </row>
    <row r="49" spans="1:8" x14ac:dyDescent="0.45">
      <c r="A49" s="161">
        <v>45723</v>
      </c>
      <c r="B49" s="156">
        <v>31.2</v>
      </c>
      <c r="C49" s="156">
        <v>31.2</v>
      </c>
      <c r="D49" s="156">
        <v>31.2</v>
      </c>
      <c r="E49" s="156">
        <v>31.2</v>
      </c>
      <c r="F49" s="156">
        <v>-3.2</v>
      </c>
      <c r="G49" s="156" t="s">
        <v>265</v>
      </c>
      <c r="H49" s="157">
        <v>200</v>
      </c>
    </row>
    <row r="50" spans="1:8" x14ac:dyDescent="0.45">
      <c r="A50" s="161">
        <v>45722</v>
      </c>
      <c r="B50" s="156">
        <v>31.2</v>
      </c>
      <c r="C50" s="156">
        <v>36</v>
      </c>
      <c r="D50" s="156">
        <v>31.2</v>
      </c>
      <c r="E50" s="156">
        <v>36</v>
      </c>
      <c r="F50" s="156">
        <v>400</v>
      </c>
      <c r="G50" s="156" t="s">
        <v>266</v>
      </c>
      <c r="H50" s="157">
        <v>300</v>
      </c>
    </row>
    <row r="51" spans="1:8" x14ac:dyDescent="0.45">
      <c r="A51" s="161">
        <v>45721</v>
      </c>
      <c r="B51" s="156">
        <v>35.6</v>
      </c>
      <c r="C51" s="156">
        <v>35.6</v>
      </c>
      <c r="D51" s="156">
        <v>35.6</v>
      </c>
      <c r="E51" s="156">
        <v>35.6</v>
      </c>
      <c r="F51" s="156">
        <v>4.5999999999999996</v>
      </c>
      <c r="G51" s="156" t="s">
        <v>253</v>
      </c>
      <c r="H51" s="157">
        <v>100</v>
      </c>
    </row>
    <row r="52" spans="1:8" x14ac:dyDescent="0.45">
      <c r="A52" s="161">
        <v>45720</v>
      </c>
      <c r="B52" s="156">
        <v>31</v>
      </c>
      <c r="C52" s="156">
        <v>31</v>
      </c>
      <c r="D52" s="156">
        <v>31</v>
      </c>
      <c r="E52" s="156">
        <v>31</v>
      </c>
      <c r="F52" s="156">
        <v>-2.4</v>
      </c>
      <c r="G52" s="156" t="s">
        <v>267</v>
      </c>
      <c r="H52" s="157">
        <v>200</v>
      </c>
    </row>
    <row r="53" spans="1:8" x14ac:dyDescent="0.45">
      <c r="A53" s="161">
        <v>45719</v>
      </c>
      <c r="B53" s="156"/>
      <c r="C53" s="156"/>
      <c r="D53" s="156"/>
      <c r="E53" s="156"/>
      <c r="F53" s="156" t="s">
        <v>181</v>
      </c>
      <c r="G53" s="156" t="s">
        <v>181</v>
      </c>
      <c r="H53" s="157">
        <v>0</v>
      </c>
    </row>
    <row r="54" spans="1:8" x14ac:dyDescent="0.45">
      <c r="A54" s="161">
        <v>45716</v>
      </c>
      <c r="B54" s="156">
        <v>32.1</v>
      </c>
      <c r="C54" s="156">
        <v>36</v>
      </c>
      <c r="D54" s="156">
        <v>32.1</v>
      </c>
      <c r="E54" s="156">
        <v>36</v>
      </c>
      <c r="F54" s="156">
        <v>400</v>
      </c>
      <c r="G54" s="156" t="s">
        <v>266</v>
      </c>
      <c r="H54" s="157">
        <v>300</v>
      </c>
    </row>
    <row r="55" spans="1:8" x14ac:dyDescent="0.45">
      <c r="A55" s="161">
        <v>45715</v>
      </c>
      <c r="B55" s="156">
        <v>35.6</v>
      </c>
      <c r="C55" s="156">
        <v>35.6</v>
      </c>
      <c r="D55" s="156">
        <v>35.6</v>
      </c>
      <c r="E55" s="156">
        <v>35.6</v>
      </c>
      <c r="F55" s="156">
        <v>4.5999999999999996</v>
      </c>
      <c r="G55" s="156" t="s">
        <v>253</v>
      </c>
      <c r="H55" s="157">
        <v>1</v>
      </c>
    </row>
    <row r="56" spans="1:8" x14ac:dyDescent="0.45">
      <c r="A56" s="161">
        <v>45714</v>
      </c>
      <c r="B56" s="156">
        <v>31</v>
      </c>
      <c r="C56" s="156">
        <v>31</v>
      </c>
      <c r="D56" s="156">
        <v>31</v>
      </c>
      <c r="E56" s="156">
        <v>31</v>
      </c>
      <c r="F56" s="156">
        <v>-4.5</v>
      </c>
      <c r="G56" s="156" t="s">
        <v>268</v>
      </c>
      <c r="H56" s="157">
        <v>100</v>
      </c>
    </row>
    <row r="57" spans="1:8" x14ac:dyDescent="0.45">
      <c r="A57" s="161">
        <v>45713</v>
      </c>
      <c r="B57" s="156">
        <v>35.200000000000003</v>
      </c>
      <c r="C57" s="156">
        <v>35.700000000000003</v>
      </c>
      <c r="D57" s="156">
        <v>35.200000000000003</v>
      </c>
      <c r="E57" s="156">
        <v>35.700000000000003</v>
      </c>
      <c r="F57" s="156">
        <v>4.5</v>
      </c>
      <c r="G57" s="156" t="s">
        <v>269</v>
      </c>
      <c r="H57" s="157">
        <v>1.6</v>
      </c>
    </row>
    <row r="58" spans="1:8" x14ac:dyDescent="0.45">
      <c r="A58" s="161">
        <v>45712</v>
      </c>
      <c r="B58" s="156"/>
      <c r="C58" s="156"/>
      <c r="D58" s="156"/>
      <c r="E58" s="156"/>
      <c r="F58" s="156" t="s">
        <v>181</v>
      </c>
      <c r="G58" s="156" t="s">
        <v>181</v>
      </c>
      <c r="H58" s="157">
        <v>0</v>
      </c>
    </row>
    <row r="59" spans="1:8" x14ac:dyDescent="0.45">
      <c r="A59" s="161">
        <v>45709</v>
      </c>
      <c r="B59" s="156"/>
      <c r="C59" s="156"/>
      <c r="D59" s="156"/>
      <c r="E59" s="156"/>
      <c r="F59" s="156" t="s">
        <v>181</v>
      </c>
      <c r="G59" s="156" t="s">
        <v>181</v>
      </c>
      <c r="H59" s="157">
        <v>0</v>
      </c>
    </row>
    <row r="60" spans="1:8" x14ac:dyDescent="0.45">
      <c r="A60" s="161">
        <v>45708</v>
      </c>
      <c r="B60" s="156">
        <v>31.2</v>
      </c>
      <c r="C60" s="156">
        <v>31.2</v>
      </c>
      <c r="D60" s="156">
        <v>31.2</v>
      </c>
      <c r="E60" s="156">
        <v>31.2</v>
      </c>
      <c r="F60" s="156">
        <v>-4</v>
      </c>
      <c r="G60" s="156" t="s">
        <v>270</v>
      </c>
      <c r="H60" s="157">
        <v>200</v>
      </c>
    </row>
    <row r="61" spans="1:8" ht="14.65" thickBot="1" x14ac:dyDescent="0.5">
      <c r="A61" s="162">
        <v>45707</v>
      </c>
      <c r="B61" s="158">
        <v>35.200000000000003</v>
      </c>
      <c r="C61" s="158">
        <v>35.200000000000003</v>
      </c>
      <c r="D61" s="158">
        <v>35.200000000000003</v>
      </c>
      <c r="E61" s="158">
        <v>35.200000000000003</v>
      </c>
      <c r="F61" s="158">
        <v>800</v>
      </c>
      <c r="G61" s="158" t="s">
        <v>271</v>
      </c>
      <c r="H61" s="159">
        <v>2.2000000000000002</v>
      </c>
    </row>
    <row r="62" spans="1:8" ht="14.65" thickBot="1" x14ac:dyDescent="0.5">
      <c r="A62" s="153" t="s">
        <v>272</v>
      </c>
      <c r="B62" s="151"/>
      <c r="C62" s="151"/>
      <c r="D62" s="151"/>
      <c r="E62" s="160">
        <f>AVERAGE(E2:E61)</f>
        <v>35.105000000000004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AD14-89ED-4CAA-B506-4184AD38D45D}">
  <sheetPr>
    <tabColor rgb="FFFF0000"/>
  </sheetPr>
  <dimension ref="A1:C19"/>
  <sheetViews>
    <sheetView zoomScale="85" zoomScaleNormal="85" workbookViewId="0">
      <selection sqref="A1:A5"/>
    </sheetView>
  </sheetViews>
  <sheetFormatPr defaultRowHeight="14.25" x14ac:dyDescent="0.45"/>
  <cols>
    <col min="1" max="1" width="22.06640625" customWidth="1"/>
    <col min="2" max="2" width="21.796875" customWidth="1"/>
    <col min="3" max="3" width="23.796875" customWidth="1"/>
  </cols>
  <sheetData>
    <row r="1" spans="1:3" ht="14.65" thickBot="1" x14ac:dyDescent="0.5">
      <c r="A1" s="153"/>
      <c r="B1" s="151">
        <v>2024</v>
      </c>
      <c r="C1" s="152" t="s">
        <v>275</v>
      </c>
    </row>
    <row r="2" spans="1:3" x14ac:dyDescent="0.45">
      <c r="A2" s="154" t="s">
        <v>273</v>
      </c>
      <c r="B2" s="147">
        <v>152965145633</v>
      </c>
      <c r="C2" s="148">
        <v>158012687881</v>
      </c>
    </row>
    <row r="3" spans="1:3" x14ac:dyDescent="0.45">
      <c r="A3" s="154" t="s">
        <v>274</v>
      </c>
      <c r="B3" s="147"/>
      <c r="C3" s="148"/>
    </row>
    <row r="4" spans="1:3" x14ac:dyDescent="0.45">
      <c r="A4" s="154" t="s">
        <v>276</v>
      </c>
      <c r="B4" s="147">
        <v>5000000</v>
      </c>
      <c r="C4" s="148">
        <f>B4</f>
        <v>5000000</v>
      </c>
    </row>
    <row r="5" spans="1:3" ht="14.65" thickBot="1" x14ac:dyDescent="0.5">
      <c r="A5" s="155" t="s">
        <v>277</v>
      </c>
      <c r="B5" s="149">
        <f>(B2-B3)/B4</f>
        <v>30593.029126599999</v>
      </c>
      <c r="C5" s="150">
        <f>(C2-C3)/C4</f>
        <v>31602.5375762</v>
      </c>
    </row>
    <row r="6" spans="1:3" x14ac:dyDescent="0.45">
      <c r="B6" s="2"/>
    </row>
    <row r="7" spans="1:3" x14ac:dyDescent="0.45">
      <c r="B7" s="2"/>
    </row>
    <row r="8" spans="1:3" x14ac:dyDescent="0.45">
      <c r="B8" s="2"/>
    </row>
    <row r="9" spans="1:3" x14ac:dyDescent="0.45">
      <c r="B9" s="2"/>
    </row>
    <row r="10" spans="1:3" x14ac:dyDescent="0.45">
      <c r="B10" s="2"/>
    </row>
    <row r="11" spans="1:3" x14ac:dyDescent="0.45">
      <c r="B11" s="2"/>
    </row>
    <row r="12" spans="1:3" x14ac:dyDescent="0.45">
      <c r="B12" s="2"/>
    </row>
    <row r="13" spans="1:3" x14ac:dyDescent="0.45">
      <c r="B13" s="2"/>
    </row>
    <row r="14" spans="1:3" x14ac:dyDescent="0.45">
      <c r="B14" s="2"/>
    </row>
    <row r="15" spans="1:3" x14ac:dyDescent="0.45">
      <c r="B15" s="2"/>
    </row>
    <row r="16" spans="1:3" x14ac:dyDescent="0.45">
      <c r="B16" s="2"/>
    </row>
    <row r="17" spans="2:2" x14ac:dyDescent="0.45">
      <c r="B17" s="2"/>
    </row>
    <row r="18" spans="2:2" x14ac:dyDescent="0.45">
      <c r="B18" s="2"/>
    </row>
    <row r="19" spans="2:2" x14ac:dyDescent="0.45">
      <c r="B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B3AC-D7A2-41C6-94F9-F1B73A6EB952}">
  <dimension ref="A1:M125"/>
  <sheetViews>
    <sheetView zoomScale="70" zoomScaleNormal="70" workbookViewId="0">
      <selection sqref="A1:A125"/>
    </sheetView>
  </sheetViews>
  <sheetFormatPr defaultRowHeight="14.25" x14ac:dyDescent="0.45"/>
  <cols>
    <col min="1" max="5" width="18.53125" style="1" customWidth="1"/>
    <col min="6" max="6" width="19.46484375" style="1" customWidth="1"/>
    <col min="7" max="13" width="19.46484375" customWidth="1"/>
  </cols>
  <sheetData>
    <row r="1" spans="1:6" ht="14.65" thickBot="1" x14ac:dyDescent="0.5">
      <c r="A1" s="130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9" t="s">
        <v>5</v>
      </c>
    </row>
    <row r="2" spans="1:6" x14ac:dyDescent="0.45">
      <c r="A2" s="64" t="s">
        <v>6</v>
      </c>
      <c r="B2" s="120"/>
      <c r="C2" s="120"/>
      <c r="D2" s="120"/>
      <c r="E2" s="120"/>
      <c r="F2" s="123"/>
    </row>
    <row r="3" spans="1:6" ht="26.25" x14ac:dyDescent="0.45">
      <c r="A3" s="64" t="s">
        <v>7</v>
      </c>
      <c r="B3" s="121">
        <v>119920</v>
      </c>
      <c r="C3" s="121">
        <v>130932</v>
      </c>
      <c r="D3" s="121">
        <v>97084</v>
      </c>
      <c r="E3" s="121">
        <v>116465</v>
      </c>
      <c r="F3" s="124">
        <v>150636</v>
      </c>
    </row>
    <row r="4" spans="1:6" ht="39" x14ac:dyDescent="0.45">
      <c r="A4" s="64" t="s">
        <v>8</v>
      </c>
      <c r="B4" s="121">
        <v>33171</v>
      </c>
      <c r="C4" s="121">
        <v>17562</v>
      </c>
      <c r="D4" s="121">
        <v>21376</v>
      </c>
      <c r="E4" s="121">
        <v>16464</v>
      </c>
      <c r="F4" s="124">
        <v>18323</v>
      </c>
    </row>
    <row r="5" spans="1:6" x14ac:dyDescent="0.45">
      <c r="A5" s="66" t="s">
        <v>9</v>
      </c>
      <c r="B5" s="122">
        <v>33171</v>
      </c>
      <c r="C5" s="122">
        <v>17562</v>
      </c>
      <c r="D5" s="122">
        <v>15376</v>
      </c>
      <c r="E5" s="122">
        <v>15464</v>
      </c>
      <c r="F5" s="125">
        <v>16798</v>
      </c>
    </row>
    <row r="6" spans="1:6" ht="26.65" x14ac:dyDescent="0.45">
      <c r="A6" s="66" t="s">
        <v>10</v>
      </c>
      <c r="B6" s="122"/>
      <c r="C6" s="122"/>
      <c r="D6" s="122">
        <v>6000</v>
      </c>
      <c r="E6" s="122">
        <v>1000</v>
      </c>
      <c r="F6" s="125">
        <v>1525</v>
      </c>
    </row>
    <row r="7" spans="1:6" ht="26.25" hidden="1" x14ac:dyDescent="0.45">
      <c r="A7" s="64" t="s">
        <v>11</v>
      </c>
      <c r="B7" s="121"/>
      <c r="C7" s="121"/>
      <c r="D7" s="121"/>
      <c r="E7" s="121"/>
      <c r="F7" s="124"/>
    </row>
    <row r="8" spans="1:6" ht="26.65" hidden="1" x14ac:dyDescent="0.45">
      <c r="A8" s="66" t="s">
        <v>12</v>
      </c>
      <c r="B8" s="122"/>
      <c r="C8" s="122"/>
      <c r="D8" s="122"/>
      <c r="E8" s="122"/>
      <c r="F8" s="125"/>
    </row>
    <row r="9" spans="1:6" ht="39.75" hidden="1" x14ac:dyDescent="0.45">
      <c r="A9" s="66" t="s">
        <v>13</v>
      </c>
      <c r="B9" s="122"/>
      <c r="C9" s="122"/>
      <c r="D9" s="122"/>
      <c r="E9" s="122"/>
      <c r="F9" s="125"/>
    </row>
    <row r="10" spans="1:6" ht="26.65" hidden="1" x14ac:dyDescent="0.45">
      <c r="A10" s="66" t="s">
        <v>14</v>
      </c>
      <c r="B10" s="122"/>
      <c r="C10" s="122"/>
      <c r="D10" s="122"/>
      <c r="E10" s="122"/>
      <c r="F10" s="125"/>
    </row>
    <row r="11" spans="1:6" ht="26.25" x14ac:dyDescent="0.45">
      <c r="A11" s="64" t="s">
        <v>15</v>
      </c>
      <c r="B11" s="121">
        <v>77619</v>
      </c>
      <c r="C11" s="121">
        <v>103755</v>
      </c>
      <c r="D11" s="121">
        <v>72444</v>
      </c>
      <c r="E11" s="121">
        <v>96002</v>
      </c>
      <c r="F11" s="124">
        <v>127653</v>
      </c>
    </row>
    <row r="12" spans="1:6" ht="26.65" x14ac:dyDescent="0.45">
      <c r="A12" s="66" t="s">
        <v>16</v>
      </c>
      <c r="B12" s="122">
        <v>73980</v>
      </c>
      <c r="C12" s="122">
        <v>99656</v>
      </c>
      <c r="D12" s="122">
        <v>68668</v>
      </c>
      <c r="E12" s="122">
        <v>94635</v>
      </c>
      <c r="F12" s="125">
        <v>125879</v>
      </c>
    </row>
    <row r="13" spans="1:6" ht="26.65" x14ac:dyDescent="0.45">
      <c r="A13" s="66" t="s">
        <v>17</v>
      </c>
      <c r="B13" s="122">
        <v>1204</v>
      </c>
      <c r="C13" s="122">
        <v>1941</v>
      </c>
      <c r="D13" s="122">
        <v>945</v>
      </c>
      <c r="E13" s="122">
        <v>1050</v>
      </c>
      <c r="F13" s="125">
        <v>1562</v>
      </c>
    </row>
    <row r="14" spans="1:6" ht="26.65" hidden="1" x14ac:dyDescent="0.45">
      <c r="A14" s="66" t="s">
        <v>18</v>
      </c>
      <c r="B14" s="122"/>
      <c r="C14" s="122"/>
      <c r="D14" s="122"/>
      <c r="E14" s="122"/>
      <c r="F14" s="125"/>
    </row>
    <row r="15" spans="1:6" ht="39.75" hidden="1" x14ac:dyDescent="0.45">
      <c r="A15" s="66" t="s">
        <v>19</v>
      </c>
      <c r="B15" s="122"/>
      <c r="C15" s="122"/>
      <c r="D15" s="122"/>
      <c r="E15" s="122"/>
      <c r="F15" s="125"/>
    </row>
    <row r="16" spans="1:6" ht="26.65" hidden="1" x14ac:dyDescent="0.45">
      <c r="A16" s="66" t="s">
        <v>20</v>
      </c>
      <c r="B16" s="122"/>
      <c r="C16" s="122"/>
      <c r="D16" s="122"/>
      <c r="E16" s="122"/>
      <c r="F16" s="125"/>
    </row>
    <row r="17" spans="1:6" ht="26.65" x14ac:dyDescent="0.45">
      <c r="A17" s="66" t="s">
        <v>21</v>
      </c>
      <c r="B17" s="122">
        <v>2825</v>
      </c>
      <c r="C17" s="122">
        <v>2670</v>
      </c>
      <c r="D17" s="122">
        <v>3550</v>
      </c>
      <c r="E17" s="122">
        <v>1037</v>
      </c>
      <c r="F17" s="125">
        <v>931</v>
      </c>
    </row>
    <row r="18" spans="1:6" ht="44.25" customHeight="1" x14ac:dyDescent="0.45">
      <c r="A18" s="66" t="s">
        <v>22</v>
      </c>
      <c r="B18" s="122">
        <v>-388</v>
      </c>
      <c r="C18" s="122">
        <v>-513</v>
      </c>
      <c r="D18" s="122">
        <v>-720</v>
      </c>
      <c r="E18" s="122">
        <v>-720</v>
      </c>
      <c r="F18" s="125">
        <v>-720</v>
      </c>
    </row>
    <row r="19" spans="1:6" ht="26.65" hidden="1" x14ac:dyDescent="0.45">
      <c r="A19" s="66" t="s">
        <v>23</v>
      </c>
      <c r="B19" s="122"/>
      <c r="C19" s="122"/>
      <c r="D19" s="122"/>
      <c r="E19" s="122"/>
      <c r="F19" s="125"/>
    </row>
    <row r="20" spans="1:6" x14ac:dyDescent="0.45">
      <c r="A20" s="64" t="s">
        <v>24</v>
      </c>
      <c r="B20" s="121">
        <v>8764</v>
      </c>
      <c r="C20" s="121">
        <v>9369</v>
      </c>
      <c r="D20" s="121">
        <v>3264</v>
      </c>
      <c r="E20" s="121">
        <v>3999</v>
      </c>
      <c r="F20" s="124">
        <v>4644</v>
      </c>
    </row>
    <row r="21" spans="1:6" x14ac:dyDescent="0.45">
      <c r="A21" s="66" t="s">
        <v>25</v>
      </c>
      <c r="B21" s="122">
        <v>8764</v>
      </c>
      <c r="C21" s="122">
        <v>9502</v>
      </c>
      <c r="D21" s="122">
        <v>3397</v>
      </c>
      <c r="E21" s="122">
        <v>4132</v>
      </c>
      <c r="F21" s="125">
        <v>4777</v>
      </c>
    </row>
    <row r="22" spans="1:6" ht="26.65" x14ac:dyDescent="0.45">
      <c r="A22" s="66" t="s">
        <v>26</v>
      </c>
      <c r="B22" s="122"/>
      <c r="C22" s="122">
        <v>-133</v>
      </c>
      <c r="D22" s="122">
        <v>-133</v>
      </c>
      <c r="E22" s="122">
        <v>-133</v>
      </c>
      <c r="F22" s="125">
        <v>-133</v>
      </c>
    </row>
    <row r="23" spans="1:6" ht="26.25" x14ac:dyDescent="0.45">
      <c r="A23" s="64" t="s">
        <v>27</v>
      </c>
      <c r="B23" s="121">
        <v>365</v>
      </c>
      <c r="C23" s="121">
        <v>246</v>
      </c>
      <c r="D23" s="121">
        <v>0</v>
      </c>
      <c r="E23" s="121"/>
      <c r="F23" s="124">
        <v>17</v>
      </c>
    </row>
    <row r="24" spans="1:6" ht="21.75" customHeight="1" x14ac:dyDescent="0.45">
      <c r="A24" s="66" t="s">
        <v>28</v>
      </c>
      <c r="B24" s="122">
        <v>365</v>
      </c>
      <c r="C24" s="122">
        <v>90</v>
      </c>
      <c r="D24" s="122">
        <v>0</v>
      </c>
      <c r="E24" s="122"/>
      <c r="F24" s="125">
        <v>17</v>
      </c>
    </row>
    <row r="25" spans="1:6" ht="26.65" hidden="1" x14ac:dyDescent="0.45">
      <c r="A25" s="66" t="s">
        <v>29</v>
      </c>
      <c r="B25" s="122"/>
      <c r="C25" s="122"/>
      <c r="D25" s="122"/>
      <c r="E25" s="122"/>
      <c r="F25" s="125"/>
    </row>
    <row r="26" spans="1:6" ht="39.75" x14ac:dyDescent="0.45">
      <c r="A26" s="66" t="s">
        <v>30</v>
      </c>
      <c r="B26" s="122"/>
      <c r="C26" s="122">
        <v>156</v>
      </c>
      <c r="D26" s="122"/>
      <c r="E26" s="122"/>
      <c r="F26" s="125"/>
    </row>
    <row r="27" spans="1:6" ht="39.75" hidden="1" x14ac:dyDescent="0.45">
      <c r="A27" s="66" t="s">
        <v>31</v>
      </c>
      <c r="B27" s="122"/>
      <c r="C27" s="122"/>
      <c r="D27" s="122"/>
      <c r="E27" s="122"/>
      <c r="F27" s="125"/>
    </row>
    <row r="28" spans="1:6" ht="26.65" hidden="1" x14ac:dyDescent="0.45">
      <c r="A28" s="66" t="s">
        <v>32</v>
      </c>
      <c r="B28" s="122"/>
      <c r="C28" s="122"/>
      <c r="D28" s="122"/>
      <c r="E28" s="122"/>
      <c r="F28" s="125"/>
    </row>
    <row r="29" spans="1:6" ht="26.25" x14ac:dyDescent="0.45">
      <c r="A29" s="64" t="s">
        <v>33</v>
      </c>
      <c r="B29" s="121">
        <v>323146</v>
      </c>
      <c r="C29" s="121">
        <v>282798</v>
      </c>
      <c r="D29" s="121">
        <v>288867</v>
      </c>
      <c r="E29" s="121">
        <v>322888</v>
      </c>
      <c r="F29" s="124">
        <v>260412</v>
      </c>
    </row>
    <row r="30" spans="1:6" ht="26.25" x14ac:dyDescent="0.45">
      <c r="A30" s="64" t="s">
        <v>34</v>
      </c>
      <c r="B30" s="121">
        <v>336</v>
      </c>
      <c r="C30" s="121">
        <v>895</v>
      </c>
      <c r="D30" s="121">
        <v>895</v>
      </c>
      <c r="E30" s="121">
        <v>559</v>
      </c>
      <c r="F30" s="124">
        <v>559</v>
      </c>
    </row>
    <row r="31" spans="1:6" ht="26.65" hidden="1" x14ac:dyDescent="0.45">
      <c r="A31" s="66" t="s">
        <v>35</v>
      </c>
      <c r="B31" s="122"/>
      <c r="C31" s="122"/>
      <c r="D31" s="122"/>
      <c r="E31" s="122"/>
      <c r="F31" s="125"/>
    </row>
    <row r="32" spans="1:6" ht="26.65" hidden="1" x14ac:dyDescent="0.45">
      <c r="A32" s="66" t="s">
        <v>36</v>
      </c>
      <c r="B32" s="122"/>
      <c r="C32" s="122"/>
      <c r="D32" s="122"/>
      <c r="E32" s="122"/>
      <c r="F32" s="125"/>
    </row>
    <row r="33" spans="1:13" ht="26.65" hidden="1" x14ac:dyDescent="0.45">
      <c r="A33" s="66" t="s">
        <v>37</v>
      </c>
      <c r="B33" s="122"/>
      <c r="C33" s="122"/>
      <c r="D33" s="122"/>
      <c r="E33" s="122"/>
      <c r="F33" s="125"/>
    </row>
    <row r="34" spans="1:13" ht="26.65" hidden="1" x14ac:dyDescent="0.45">
      <c r="A34" s="66" t="s">
        <v>38</v>
      </c>
      <c r="B34" s="122"/>
      <c r="C34" s="122"/>
      <c r="D34" s="122"/>
      <c r="E34" s="122"/>
      <c r="F34" s="125"/>
    </row>
    <row r="35" spans="1:13" ht="26.65" hidden="1" x14ac:dyDescent="0.45">
      <c r="A35" s="66" t="s">
        <v>39</v>
      </c>
      <c r="B35" s="122"/>
      <c r="C35" s="122"/>
      <c r="D35" s="122"/>
      <c r="E35" s="122"/>
      <c r="F35" s="125"/>
    </row>
    <row r="36" spans="1:13" ht="16.5" customHeight="1" x14ac:dyDescent="0.45">
      <c r="A36" s="66" t="s">
        <v>40</v>
      </c>
      <c r="B36" s="122">
        <v>336</v>
      </c>
      <c r="C36" s="122">
        <v>895</v>
      </c>
      <c r="D36" s="122">
        <v>895</v>
      </c>
      <c r="E36" s="122">
        <v>559</v>
      </c>
      <c r="F36" s="125">
        <v>559</v>
      </c>
    </row>
    <row r="37" spans="1:13" ht="26.65" hidden="1" x14ac:dyDescent="0.45">
      <c r="A37" s="66" t="s">
        <v>41</v>
      </c>
      <c r="B37" s="122"/>
      <c r="C37" s="122"/>
      <c r="D37" s="122"/>
      <c r="E37" s="122"/>
      <c r="F37" s="125"/>
    </row>
    <row r="38" spans="1:13" x14ac:dyDescent="0.45">
      <c r="A38" s="64" t="s">
        <v>42</v>
      </c>
      <c r="B38" s="121">
        <v>197963</v>
      </c>
      <c r="C38" s="121">
        <v>169813</v>
      </c>
      <c r="D38" s="121">
        <v>152765</v>
      </c>
      <c r="E38" s="121">
        <v>136757</v>
      </c>
      <c r="F38" s="124">
        <v>114032</v>
      </c>
    </row>
    <row r="39" spans="1:13" ht="26.65" x14ac:dyDescent="0.45">
      <c r="A39" s="66" t="s">
        <v>43</v>
      </c>
      <c r="B39" s="122">
        <v>197865</v>
      </c>
      <c r="C39" s="122">
        <v>169750</v>
      </c>
      <c r="D39" s="122">
        <v>152666</v>
      </c>
      <c r="E39" s="122">
        <v>136700</v>
      </c>
      <c r="F39" s="125">
        <v>114002</v>
      </c>
    </row>
    <row r="40" spans="1:13" x14ac:dyDescent="0.45">
      <c r="A40" s="66" t="s">
        <v>44</v>
      </c>
      <c r="B40" s="122">
        <v>309856</v>
      </c>
      <c r="C40" s="122">
        <v>311065</v>
      </c>
      <c r="D40" s="122">
        <v>323643</v>
      </c>
      <c r="E40" s="122">
        <v>337891</v>
      </c>
      <c r="F40" s="125">
        <v>338945</v>
      </c>
      <c r="H40" s="3"/>
      <c r="I40" s="3"/>
      <c r="J40" s="3"/>
      <c r="K40" s="3"/>
      <c r="L40" s="3"/>
      <c r="M40" s="3"/>
    </row>
    <row r="41" spans="1:13" ht="26.65" x14ac:dyDescent="0.45">
      <c r="A41" s="66" t="s">
        <v>45</v>
      </c>
      <c r="B41" s="122">
        <v>-111992</v>
      </c>
      <c r="C41" s="122">
        <v>-141316</v>
      </c>
      <c r="D41" s="122">
        <v>-170978</v>
      </c>
      <c r="E41" s="122">
        <v>-201190</v>
      </c>
      <c r="F41" s="125">
        <v>-224943</v>
      </c>
    </row>
    <row r="42" spans="1:13" ht="26.65" hidden="1" x14ac:dyDescent="0.45">
      <c r="A42" s="66" t="s">
        <v>46</v>
      </c>
      <c r="B42" s="122"/>
      <c r="C42" s="122"/>
      <c r="D42" s="122"/>
      <c r="E42" s="122"/>
      <c r="F42" s="125"/>
    </row>
    <row r="43" spans="1:13" hidden="1" x14ac:dyDescent="0.45">
      <c r="A43" s="66" t="s">
        <v>44</v>
      </c>
      <c r="B43" s="122"/>
      <c r="C43" s="122"/>
      <c r="D43" s="122"/>
      <c r="E43" s="122"/>
      <c r="F43" s="125"/>
    </row>
    <row r="44" spans="1:13" ht="26.65" hidden="1" x14ac:dyDescent="0.45">
      <c r="A44" s="66" t="s">
        <v>45</v>
      </c>
      <c r="B44" s="122"/>
      <c r="C44" s="122"/>
      <c r="D44" s="122"/>
      <c r="E44" s="122"/>
      <c r="F44" s="125"/>
    </row>
    <row r="45" spans="1:13" ht="26.65" x14ac:dyDescent="0.45">
      <c r="A45" s="66" t="s">
        <v>47</v>
      </c>
      <c r="B45" s="122">
        <v>98</v>
      </c>
      <c r="C45" s="122">
        <v>63</v>
      </c>
      <c r="D45" s="122">
        <v>99</v>
      </c>
      <c r="E45" s="122">
        <v>57</v>
      </c>
      <c r="F45" s="125">
        <v>30</v>
      </c>
    </row>
    <row r="46" spans="1:13" x14ac:dyDescent="0.45">
      <c r="A46" s="66" t="s">
        <v>44</v>
      </c>
      <c r="B46" s="122">
        <v>280</v>
      </c>
      <c r="C46" s="122">
        <v>280</v>
      </c>
      <c r="D46" s="122">
        <v>358</v>
      </c>
      <c r="E46" s="122">
        <v>358</v>
      </c>
      <c r="F46" s="125">
        <v>358</v>
      </c>
    </row>
    <row r="47" spans="1:13" ht="26.65" x14ac:dyDescent="0.45">
      <c r="A47" s="66" t="s">
        <v>45</v>
      </c>
      <c r="B47" s="122">
        <v>-183</v>
      </c>
      <c r="C47" s="122">
        <v>-217</v>
      </c>
      <c r="D47" s="122">
        <v>-259</v>
      </c>
      <c r="E47" s="122">
        <v>-302</v>
      </c>
      <c r="F47" s="125">
        <v>-329</v>
      </c>
      <c r="K47" s="3"/>
    </row>
    <row r="48" spans="1:13" ht="26.25" hidden="1" x14ac:dyDescent="0.45">
      <c r="A48" s="64" t="s">
        <v>48</v>
      </c>
      <c r="B48" s="121"/>
      <c r="C48" s="121"/>
      <c r="D48" s="121"/>
      <c r="E48" s="121"/>
      <c r="F48" s="124"/>
    </row>
    <row r="49" spans="1:6" hidden="1" x14ac:dyDescent="0.45">
      <c r="A49" s="66" t="s">
        <v>49</v>
      </c>
      <c r="B49" s="122"/>
      <c r="C49" s="122"/>
      <c r="D49" s="122"/>
      <c r="E49" s="122"/>
      <c r="F49" s="125"/>
    </row>
    <row r="50" spans="1:6" ht="26.65" hidden="1" x14ac:dyDescent="0.45">
      <c r="A50" s="66" t="s">
        <v>50</v>
      </c>
      <c r="B50" s="122"/>
      <c r="C50" s="122"/>
      <c r="D50" s="122"/>
      <c r="E50" s="122"/>
      <c r="F50" s="125"/>
    </row>
    <row r="51" spans="1:6" ht="26.25" x14ac:dyDescent="0.45">
      <c r="A51" s="64" t="s">
        <v>51</v>
      </c>
      <c r="B51" s="121">
        <v>114716</v>
      </c>
      <c r="C51" s="121">
        <v>106075</v>
      </c>
      <c r="D51" s="121">
        <v>71513</v>
      </c>
      <c r="E51" s="121">
        <v>71145</v>
      </c>
      <c r="F51" s="124">
        <v>73241</v>
      </c>
    </row>
    <row r="52" spans="1:6" ht="39.75" x14ac:dyDescent="0.45">
      <c r="A52" s="66" t="s">
        <v>52</v>
      </c>
      <c r="B52" s="122">
        <v>43911</v>
      </c>
      <c r="C52" s="122">
        <v>32288</v>
      </c>
      <c r="D52" s="122"/>
      <c r="E52" s="122"/>
      <c r="F52" s="125"/>
    </row>
    <row r="53" spans="1:6" ht="26.65" x14ac:dyDescent="0.45">
      <c r="A53" s="66" t="s">
        <v>53</v>
      </c>
      <c r="B53" s="122">
        <v>70805</v>
      </c>
      <c r="C53" s="122">
        <v>73787</v>
      </c>
      <c r="D53" s="122">
        <v>71513</v>
      </c>
      <c r="E53" s="122">
        <v>71145</v>
      </c>
      <c r="F53" s="125">
        <v>73241</v>
      </c>
    </row>
    <row r="54" spans="1:6" ht="26.25" hidden="1" x14ac:dyDescent="0.45">
      <c r="A54" s="64" t="s">
        <v>54</v>
      </c>
      <c r="B54" s="121"/>
      <c r="C54" s="121"/>
      <c r="D54" s="121"/>
      <c r="E54" s="121"/>
      <c r="F54" s="124"/>
    </row>
    <row r="55" spans="1:6" ht="26.65" hidden="1" x14ac:dyDescent="0.45">
      <c r="A55" s="66" t="s">
        <v>55</v>
      </c>
      <c r="B55" s="122"/>
      <c r="C55" s="122"/>
      <c r="D55" s="122"/>
      <c r="E55" s="122"/>
      <c r="F55" s="125"/>
    </row>
    <row r="56" spans="1:6" ht="26.65" hidden="1" x14ac:dyDescent="0.45">
      <c r="A56" s="66" t="s">
        <v>56</v>
      </c>
      <c r="B56" s="122"/>
      <c r="C56" s="122"/>
      <c r="D56" s="122"/>
      <c r="E56" s="122"/>
      <c r="F56" s="125"/>
    </row>
    <row r="57" spans="1:6" ht="26.65" hidden="1" x14ac:dyDescent="0.45">
      <c r="A57" s="66" t="s">
        <v>57</v>
      </c>
      <c r="B57" s="122"/>
      <c r="C57" s="122"/>
      <c r="D57" s="122"/>
      <c r="E57" s="122"/>
      <c r="F57" s="125"/>
    </row>
    <row r="58" spans="1:6" ht="26.65" hidden="1" x14ac:dyDescent="0.45">
      <c r="A58" s="66" t="s">
        <v>58</v>
      </c>
      <c r="B58" s="122"/>
      <c r="C58" s="122"/>
      <c r="D58" s="122"/>
      <c r="E58" s="122"/>
      <c r="F58" s="125"/>
    </row>
    <row r="59" spans="1:6" ht="26.65" hidden="1" x14ac:dyDescent="0.45">
      <c r="A59" s="66" t="s">
        <v>59</v>
      </c>
      <c r="B59" s="122"/>
      <c r="C59" s="122"/>
      <c r="D59" s="122"/>
      <c r="E59" s="122"/>
      <c r="F59" s="125"/>
    </row>
    <row r="60" spans="1:6" ht="26.65" hidden="1" x14ac:dyDescent="0.45">
      <c r="A60" s="66" t="s">
        <v>60</v>
      </c>
      <c r="B60" s="122"/>
      <c r="C60" s="122"/>
      <c r="D60" s="122"/>
      <c r="E60" s="122"/>
      <c r="F60" s="125"/>
    </row>
    <row r="61" spans="1:6" ht="26.25" x14ac:dyDescent="0.45">
      <c r="A61" s="64" t="s">
        <v>61</v>
      </c>
      <c r="B61" s="121">
        <v>10131</v>
      </c>
      <c r="C61" s="121">
        <v>6015</v>
      </c>
      <c r="D61" s="121">
        <v>63694</v>
      </c>
      <c r="E61" s="121">
        <v>114428</v>
      </c>
      <c r="F61" s="124">
        <v>72581</v>
      </c>
    </row>
    <row r="62" spans="1:6" ht="26.65" x14ac:dyDescent="0.45">
      <c r="A62" s="66" t="s">
        <v>62</v>
      </c>
      <c r="B62" s="122">
        <v>10131</v>
      </c>
      <c r="C62" s="122">
        <v>6015</v>
      </c>
      <c r="D62" s="122">
        <v>63694</v>
      </c>
      <c r="E62" s="122">
        <v>114428</v>
      </c>
      <c r="F62" s="125">
        <v>72581</v>
      </c>
    </row>
    <row r="63" spans="1:6" ht="26.65" hidden="1" x14ac:dyDescent="0.45">
      <c r="A63" s="66" t="s">
        <v>63</v>
      </c>
      <c r="B63" s="122"/>
      <c r="C63" s="122"/>
      <c r="D63" s="122"/>
      <c r="E63" s="122"/>
      <c r="F63" s="125"/>
    </row>
    <row r="64" spans="1:6" ht="39.75" hidden="1" x14ac:dyDescent="0.45">
      <c r="A64" s="66" t="s">
        <v>64</v>
      </c>
      <c r="B64" s="122"/>
      <c r="C64" s="122"/>
      <c r="D64" s="122"/>
      <c r="E64" s="122"/>
      <c r="F64" s="125"/>
    </row>
    <row r="65" spans="1:6" ht="26.65" hidden="1" x14ac:dyDescent="0.45">
      <c r="A65" s="66" t="s">
        <v>65</v>
      </c>
      <c r="B65" s="122"/>
      <c r="C65" s="122"/>
      <c r="D65" s="122"/>
      <c r="E65" s="122"/>
      <c r="F65" s="125"/>
    </row>
    <row r="66" spans="1:6" hidden="1" x14ac:dyDescent="0.45">
      <c r="A66" s="66" t="s">
        <v>66</v>
      </c>
      <c r="B66" s="122"/>
      <c r="C66" s="122"/>
      <c r="D66" s="122"/>
      <c r="E66" s="122"/>
      <c r="F66" s="125"/>
    </row>
    <row r="67" spans="1:6" ht="39" hidden="1" x14ac:dyDescent="0.45">
      <c r="A67" s="64" t="s">
        <v>67</v>
      </c>
      <c r="B67" s="121"/>
      <c r="C67" s="121"/>
      <c r="D67" s="121"/>
      <c r="E67" s="121"/>
      <c r="F67" s="124"/>
    </row>
    <row r="68" spans="1:6" ht="26.25" x14ac:dyDescent="0.45">
      <c r="A68" s="64" t="s">
        <v>68</v>
      </c>
      <c r="B68" s="121">
        <v>443066</v>
      </c>
      <c r="C68" s="121">
        <v>413730</v>
      </c>
      <c r="D68" s="121">
        <v>385951</v>
      </c>
      <c r="E68" s="121">
        <v>439353</v>
      </c>
      <c r="F68" s="124">
        <v>411048</v>
      </c>
    </row>
    <row r="69" spans="1:6" x14ac:dyDescent="0.45">
      <c r="A69" s="64" t="s">
        <v>69</v>
      </c>
      <c r="B69" s="121"/>
      <c r="C69" s="121"/>
      <c r="D69" s="121"/>
      <c r="E69" s="121"/>
      <c r="F69" s="124"/>
    </row>
    <row r="70" spans="1:6" x14ac:dyDescent="0.45">
      <c r="A70" s="64" t="s">
        <v>70</v>
      </c>
      <c r="B70" s="121">
        <v>317650</v>
      </c>
      <c r="C70" s="121">
        <v>271876</v>
      </c>
      <c r="D70" s="121">
        <v>233151</v>
      </c>
      <c r="E70" s="121">
        <v>295059</v>
      </c>
      <c r="F70" s="124">
        <v>258083</v>
      </c>
    </row>
    <row r="71" spans="1:6" x14ac:dyDescent="0.45">
      <c r="A71" s="64" t="s">
        <v>71</v>
      </c>
      <c r="B71" s="121">
        <v>187426</v>
      </c>
      <c r="C71" s="121">
        <v>167607</v>
      </c>
      <c r="D71" s="121">
        <v>145063</v>
      </c>
      <c r="E71" s="121">
        <v>190622</v>
      </c>
      <c r="F71" s="124">
        <v>152204</v>
      </c>
    </row>
    <row r="72" spans="1:6" ht="26.65" x14ac:dyDescent="0.45">
      <c r="A72" s="66" t="s">
        <v>72</v>
      </c>
      <c r="B72" s="122">
        <v>82959</v>
      </c>
      <c r="C72" s="122">
        <v>51428</v>
      </c>
      <c r="D72" s="122">
        <v>42941</v>
      </c>
      <c r="E72" s="122">
        <v>115216</v>
      </c>
      <c r="F72" s="125">
        <v>64297</v>
      </c>
    </row>
    <row r="73" spans="1:6" ht="26.65" x14ac:dyDescent="0.45">
      <c r="A73" s="66" t="s">
        <v>73</v>
      </c>
      <c r="B73" s="122">
        <v>34269</v>
      </c>
      <c r="C73" s="122">
        <v>35746</v>
      </c>
      <c r="D73" s="122">
        <v>32575</v>
      </c>
      <c r="E73" s="122">
        <v>25468</v>
      </c>
      <c r="F73" s="125">
        <v>25949</v>
      </c>
    </row>
    <row r="74" spans="1:6" ht="39.75" x14ac:dyDescent="0.45">
      <c r="A74" s="66" t="s">
        <v>74</v>
      </c>
      <c r="B74" s="122">
        <v>4715</v>
      </c>
      <c r="C74" s="122">
        <v>12285</v>
      </c>
      <c r="D74" s="122">
        <v>2688</v>
      </c>
      <c r="E74" s="122">
        <v>1716</v>
      </c>
      <c r="F74" s="125">
        <v>6938</v>
      </c>
    </row>
    <row r="75" spans="1:6" ht="26.65" x14ac:dyDescent="0.45">
      <c r="A75" s="66" t="s">
        <v>75</v>
      </c>
      <c r="B75" s="122">
        <v>15529</v>
      </c>
      <c r="C75" s="122">
        <v>13696</v>
      </c>
      <c r="D75" s="122">
        <v>12135</v>
      </c>
      <c r="E75" s="122">
        <v>12942</v>
      </c>
      <c r="F75" s="125">
        <v>16098</v>
      </c>
    </row>
    <row r="76" spans="1:6" ht="26.65" x14ac:dyDescent="0.45">
      <c r="A76" s="66" t="s">
        <v>76</v>
      </c>
      <c r="B76" s="122">
        <v>11395</v>
      </c>
      <c r="C76" s="122">
        <v>14635</v>
      </c>
      <c r="D76" s="122">
        <v>17200</v>
      </c>
      <c r="E76" s="122">
        <v>3455</v>
      </c>
      <c r="F76" s="125">
        <v>2570</v>
      </c>
    </row>
    <row r="77" spans="1:6" ht="26.65" hidden="1" x14ac:dyDescent="0.45">
      <c r="A77" s="66" t="s">
        <v>77</v>
      </c>
      <c r="B77" s="122"/>
      <c r="C77" s="122"/>
      <c r="D77" s="122"/>
      <c r="E77" s="122"/>
      <c r="F77" s="125"/>
    </row>
    <row r="78" spans="1:6" ht="39.75" hidden="1" x14ac:dyDescent="0.45">
      <c r="A78" s="66" t="s">
        <v>78</v>
      </c>
      <c r="B78" s="122"/>
      <c r="C78" s="122"/>
      <c r="D78" s="122"/>
      <c r="E78" s="122"/>
      <c r="F78" s="125"/>
    </row>
    <row r="79" spans="1:6" ht="26.65" x14ac:dyDescent="0.45">
      <c r="A79" s="66" t="s">
        <v>79</v>
      </c>
      <c r="B79" s="122">
        <v>1106</v>
      </c>
      <c r="C79" s="122"/>
      <c r="D79" s="122"/>
      <c r="E79" s="122"/>
      <c r="F79" s="125"/>
    </row>
    <row r="80" spans="1:6" ht="26.65" x14ac:dyDescent="0.45">
      <c r="A80" s="66" t="s">
        <v>80</v>
      </c>
      <c r="B80" s="122">
        <v>1862</v>
      </c>
      <c r="C80" s="122">
        <v>1855</v>
      </c>
      <c r="D80" s="122">
        <v>804</v>
      </c>
      <c r="E80" s="122">
        <v>711</v>
      </c>
      <c r="F80" s="125">
        <v>740</v>
      </c>
    </row>
    <row r="81" spans="1:6" ht="27.4" customHeight="1" x14ac:dyDescent="0.45">
      <c r="A81" s="66" t="s">
        <v>81</v>
      </c>
      <c r="B81" s="122">
        <v>33729</v>
      </c>
      <c r="C81" s="122">
        <v>35937</v>
      </c>
      <c r="D81" s="122">
        <v>35414</v>
      </c>
      <c r="E81" s="122">
        <v>26206</v>
      </c>
      <c r="F81" s="125">
        <v>31156</v>
      </c>
    </row>
    <row r="82" spans="1:6" ht="26.65" hidden="1" x14ac:dyDescent="0.45">
      <c r="A82" s="66" t="s">
        <v>82</v>
      </c>
      <c r="B82" s="122"/>
      <c r="C82" s="122"/>
      <c r="D82" s="122"/>
      <c r="E82" s="122"/>
      <c r="F82" s="125"/>
    </row>
    <row r="83" spans="1:6" ht="26.65" x14ac:dyDescent="0.45">
      <c r="A83" s="66" t="s">
        <v>83</v>
      </c>
      <c r="B83" s="122">
        <v>1861</v>
      </c>
      <c r="C83" s="122">
        <v>2025</v>
      </c>
      <c r="D83" s="122">
        <v>1306</v>
      </c>
      <c r="E83" s="122">
        <v>4910</v>
      </c>
      <c r="F83" s="125">
        <v>4457</v>
      </c>
    </row>
    <row r="84" spans="1:6" hidden="1" x14ac:dyDescent="0.45">
      <c r="A84" s="66" t="s">
        <v>84</v>
      </c>
      <c r="B84" s="122"/>
      <c r="C84" s="122"/>
      <c r="D84" s="122"/>
      <c r="E84" s="122"/>
      <c r="F84" s="125"/>
    </row>
    <row r="85" spans="1:6" ht="39.75" hidden="1" x14ac:dyDescent="0.45">
      <c r="A85" s="66" t="s">
        <v>85</v>
      </c>
      <c r="B85" s="122"/>
      <c r="C85" s="122"/>
      <c r="D85" s="122"/>
      <c r="E85" s="122"/>
      <c r="F85" s="125"/>
    </row>
    <row r="86" spans="1:6" x14ac:dyDescent="0.45">
      <c r="A86" s="64" t="s">
        <v>86</v>
      </c>
      <c r="B86" s="121">
        <v>130224</v>
      </c>
      <c r="C86" s="121">
        <v>104268</v>
      </c>
      <c r="D86" s="121">
        <v>88088</v>
      </c>
      <c r="E86" s="121">
        <v>104436</v>
      </c>
      <c r="F86" s="124">
        <v>105879</v>
      </c>
    </row>
    <row r="87" spans="1:6" ht="26.65" hidden="1" x14ac:dyDescent="0.45">
      <c r="A87" s="66" t="s">
        <v>87</v>
      </c>
      <c r="B87" s="122"/>
      <c r="C87" s="122"/>
      <c r="D87" s="122"/>
      <c r="E87" s="122"/>
      <c r="F87" s="125"/>
    </row>
    <row r="88" spans="1:6" ht="26.65" hidden="1" x14ac:dyDescent="0.45">
      <c r="A88" s="66" t="s">
        <v>88</v>
      </c>
      <c r="B88" s="122"/>
      <c r="C88" s="122"/>
      <c r="D88" s="122"/>
      <c r="E88" s="122"/>
      <c r="F88" s="125"/>
    </row>
    <row r="89" spans="1:6" ht="26.65" x14ac:dyDescent="0.45">
      <c r="A89" s="66" t="s">
        <v>89</v>
      </c>
      <c r="B89" s="122"/>
      <c r="C89" s="122"/>
      <c r="D89" s="122"/>
      <c r="E89" s="122">
        <v>16983</v>
      </c>
      <c r="F89" s="125">
        <v>20146</v>
      </c>
    </row>
    <row r="90" spans="1:6" ht="26.65" hidden="1" x14ac:dyDescent="0.45">
      <c r="A90" s="66" t="s">
        <v>90</v>
      </c>
      <c r="B90" s="122"/>
      <c r="C90" s="122"/>
      <c r="D90" s="122"/>
      <c r="E90" s="122"/>
      <c r="F90" s="125"/>
    </row>
    <row r="91" spans="1:6" ht="26.65" hidden="1" x14ac:dyDescent="0.45">
      <c r="A91" s="66" t="s">
        <v>91</v>
      </c>
      <c r="B91" s="122"/>
      <c r="C91" s="122"/>
      <c r="D91" s="122"/>
      <c r="E91" s="122"/>
      <c r="F91" s="125"/>
    </row>
    <row r="92" spans="1:6" ht="21.75" customHeight="1" x14ac:dyDescent="0.45">
      <c r="A92" s="66" t="s">
        <v>92</v>
      </c>
      <c r="B92" s="122"/>
      <c r="C92" s="122"/>
      <c r="D92" s="122"/>
      <c r="E92" s="122">
        <v>7175</v>
      </c>
      <c r="F92" s="125">
        <v>6979</v>
      </c>
    </row>
    <row r="93" spans="1:6" ht="26.65" hidden="1" x14ac:dyDescent="0.45">
      <c r="A93" s="66" t="s">
        <v>93</v>
      </c>
      <c r="B93" s="122"/>
      <c r="C93" s="122"/>
      <c r="D93" s="122"/>
      <c r="E93" s="122"/>
      <c r="F93" s="125"/>
    </row>
    <row r="94" spans="1:6" ht="26.65" x14ac:dyDescent="0.45">
      <c r="A94" s="66" t="s">
        <v>94</v>
      </c>
      <c r="B94" s="122">
        <v>129664</v>
      </c>
      <c r="C94" s="122">
        <v>103709</v>
      </c>
      <c r="D94" s="122">
        <v>87528</v>
      </c>
      <c r="E94" s="122">
        <v>80278</v>
      </c>
      <c r="F94" s="125">
        <v>78754</v>
      </c>
    </row>
    <row r="95" spans="1:6" ht="26.65" hidden="1" x14ac:dyDescent="0.45">
      <c r="A95" s="66" t="s">
        <v>95</v>
      </c>
      <c r="B95" s="122"/>
      <c r="C95" s="122"/>
      <c r="D95" s="122"/>
      <c r="E95" s="122"/>
      <c r="F95" s="125"/>
    </row>
    <row r="96" spans="1:6" ht="26.65" hidden="1" x14ac:dyDescent="0.45">
      <c r="A96" s="66" t="s">
        <v>96</v>
      </c>
      <c r="B96" s="122"/>
      <c r="C96" s="122"/>
      <c r="D96" s="122"/>
      <c r="E96" s="122"/>
      <c r="F96" s="125"/>
    </row>
    <row r="97" spans="1:6" ht="26.65" hidden="1" x14ac:dyDescent="0.45">
      <c r="A97" s="66" t="s">
        <v>97</v>
      </c>
      <c r="B97" s="122"/>
      <c r="C97" s="122"/>
      <c r="D97" s="122"/>
      <c r="E97" s="122"/>
      <c r="F97" s="125"/>
    </row>
    <row r="98" spans="1:6" ht="26.65" x14ac:dyDescent="0.45">
      <c r="A98" s="66" t="s">
        <v>98</v>
      </c>
      <c r="B98" s="122">
        <v>560</v>
      </c>
      <c r="C98" s="122">
        <v>560</v>
      </c>
      <c r="D98" s="122">
        <v>560</v>
      </c>
      <c r="E98" s="122"/>
      <c r="F98" s="125"/>
    </row>
    <row r="99" spans="1:6" ht="26.65" hidden="1" x14ac:dyDescent="0.45">
      <c r="A99" s="66" t="s">
        <v>99</v>
      </c>
      <c r="B99" s="122"/>
      <c r="C99" s="122"/>
      <c r="D99" s="122"/>
      <c r="E99" s="122"/>
      <c r="F99" s="125"/>
    </row>
    <row r="100" spans="1:6" ht="26.65" hidden="1" x14ac:dyDescent="0.45">
      <c r="A100" s="66" t="s">
        <v>100</v>
      </c>
      <c r="B100" s="122"/>
      <c r="C100" s="122"/>
      <c r="D100" s="122"/>
      <c r="E100" s="122"/>
      <c r="F100" s="125"/>
    </row>
    <row r="101" spans="1:6" ht="26.25" x14ac:dyDescent="0.45">
      <c r="A101" s="64" t="s">
        <v>101</v>
      </c>
      <c r="B101" s="121">
        <v>125416</v>
      </c>
      <c r="C101" s="121">
        <v>141854</v>
      </c>
      <c r="D101" s="121">
        <v>152800</v>
      </c>
      <c r="E101" s="121">
        <v>144295</v>
      </c>
      <c r="F101" s="124">
        <v>152965</v>
      </c>
    </row>
    <row r="102" spans="1:6" x14ac:dyDescent="0.45">
      <c r="A102" s="64" t="s">
        <v>102</v>
      </c>
      <c r="B102" s="121">
        <v>125416</v>
      </c>
      <c r="C102" s="121">
        <v>141854</v>
      </c>
      <c r="D102" s="121">
        <v>152800</v>
      </c>
      <c r="E102" s="121">
        <v>144295</v>
      </c>
      <c r="F102" s="124">
        <v>152965</v>
      </c>
    </row>
    <row r="103" spans="1:6" ht="26.65" x14ac:dyDescent="0.45">
      <c r="A103" s="66" t="s">
        <v>103</v>
      </c>
      <c r="B103" s="122">
        <v>50000</v>
      </c>
      <c r="C103" s="122">
        <v>50000</v>
      </c>
      <c r="D103" s="122">
        <v>50000</v>
      </c>
      <c r="E103" s="122">
        <v>50000</v>
      </c>
      <c r="F103" s="125">
        <v>50000</v>
      </c>
    </row>
    <row r="104" spans="1:6" ht="39.75" x14ac:dyDescent="0.45">
      <c r="A104" s="66" t="s">
        <v>104</v>
      </c>
      <c r="B104" s="122">
        <v>50000</v>
      </c>
      <c r="C104" s="122">
        <v>50000</v>
      </c>
      <c r="D104" s="122">
        <v>50000</v>
      </c>
      <c r="E104" s="122">
        <v>50000</v>
      </c>
      <c r="F104" s="125">
        <v>50000</v>
      </c>
    </row>
    <row r="105" spans="1:6" hidden="1" x14ac:dyDescent="0.45">
      <c r="A105" s="66" t="s">
        <v>105</v>
      </c>
      <c r="B105" s="122"/>
      <c r="C105" s="122"/>
      <c r="D105" s="122"/>
      <c r="E105" s="122"/>
      <c r="F105" s="125"/>
    </row>
    <row r="106" spans="1:6" ht="26.65" hidden="1" x14ac:dyDescent="0.45">
      <c r="A106" s="66" t="s">
        <v>106</v>
      </c>
      <c r="B106" s="122"/>
      <c r="C106" s="122"/>
      <c r="D106" s="122"/>
      <c r="E106" s="122"/>
      <c r="F106" s="125"/>
    </row>
    <row r="107" spans="1:6" ht="26.65" hidden="1" x14ac:dyDescent="0.45">
      <c r="A107" s="66" t="s">
        <v>107</v>
      </c>
      <c r="B107" s="122"/>
      <c r="C107" s="122"/>
      <c r="D107" s="122"/>
      <c r="E107" s="122"/>
      <c r="F107" s="125"/>
    </row>
    <row r="108" spans="1:6" ht="26.65" hidden="1" x14ac:dyDescent="0.45">
      <c r="A108" s="66" t="s">
        <v>108</v>
      </c>
      <c r="B108" s="122"/>
      <c r="C108" s="122"/>
      <c r="D108" s="122"/>
      <c r="E108" s="122"/>
      <c r="F108" s="125"/>
    </row>
    <row r="109" spans="1:6" hidden="1" x14ac:dyDescent="0.45">
      <c r="A109" s="66" t="s">
        <v>109</v>
      </c>
      <c r="B109" s="122"/>
      <c r="C109" s="122"/>
      <c r="D109" s="122"/>
      <c r="E109" s="122"/>
      <c r="F109" s="125"/>
    </row>
    <row r="110" spans="1:6" ht="26.65" hidden="1" x14ac:dyDescent="0.45">
      <c r="A110" s="66" t="s">
        <v>110</v>
      </c>
      <c r="B110" s="122"/>
      <c r="C110" s="122"/>
      <c r="D110" s="122"/>
      <c r="E110" s="122"/>
      <c r="F110" s="125"/>
    </row>
    <row r="111" spans="1:6" ht="26.65" hidden="1" x14ac:dyDescent="0.45">
      <c r="A111" s="66" t="s">
        <v>111</v>
      </c>
      <c r="B111" s="122"/>
      <c r="C111" s="122"/>
      <c r="D111" s="122"/>
      <c r="E111" s="122"/>
      <c r="F111" s="125"/>
    </row>
    <row r="112" spans="1:6" ht="26.65" x14ac:dyDescent="0.45">
      <c r="A112" s="66" t="s">
        <v>112</v>
      </c>
      <c r="B112" s="122">
        <v>31861</v>
      </c>
      <c r="C112" s="122">
        <v>34387</v>
      </c>
      <c r="D112" s="122">
        <v>40287</v>
      </c>
      <c r="E112" s="122">
        <v>48954</v>
      </c>
      <c r="F112" s="125">
        <v>50476</v>
      </c>
    </row>
    <row r="113" spans="1:6" ht="26.65" hidden="1" x14ac:dyDescent="0.45">
      <c r="A113" s="66" t="s">
        <v>113</v>
      </c>
      <c r="B113" s="122"/>
      <c r="C113" s="122"/>
      <c r="D113" s="122"/>
      <c r="E113" s="122"/>
      <c r="F113" s="125"/>
    </row>
    <row r="114" spans="1:6" ht="26.65" hidden="1" x14ac:dyDescent="0.45">
      <c r="A114" s="66" t="s">
        <v>114</v>
      </c>
      <c r="B114" s="122"/>
      <c r="C114" s="122"/>
      <c r="D114" s="122"/>
      <c r="E114" s="122"/>
      <c r="F114" s="125"/>
    </row>
    <row r="115" spans="1:6" ht="26.65" x14ac:dyDescent="0.45">
      <c r="A115" s="66" t="s">
        <v>115</v>
      </c>
      <c r="B115" s="122">
        <v>43556</v>
      </c>
      <c r="C115" s="122">
        <v>57467</v>
      </c>
      <c r="D115" s="122">
        <v>62513</v>
      </c>
      <c r="E115" s="122">
        <v>45341</v>
      </c>
      <c r="F115" s="125">
        <v>52489</v>
      </c>
    </row>
    <row r="116" spans="1:6" ht="39.75" x14ac:dyDescent="0.45">
      <c r="A116" s="66" t="s">
        <v>116</v>
      </c>
      <c r="B116" s="122">
        <v>17413</v>
      </c>
      <c r="C116" s="122">
        <v>25100</v>
      </c>
      <c r="D116" s="122">
        <v>32987</v>
      </c>
      <c r="E116" s="122">
        <v>29628</v>
      </c>
      <c r="F116" s="125">
        <v>30274</v>
      </c>
    </row>
    <row r="117" spans="1:6" ht="28.15" customHeight="1" x14ac:dyDescent="0.45">
      <c r="A117" s="66" t="s">
        <v>117</v>
      </c>
      <c r="B117" s="122">
        <v>26143</v>
      </c>
      <c r="C117" s="122">
        <v>32367</v>
      </c>
      <c r="D117" s="122">
        <v>29526</v>
      </c>
      <c r="E117" s="122">
        <v>15713</v>
      </c>
      <c r="F117" s="125">
        <v>22215</v>
      </c>
    </row>
    <row r="118" spans="1:6" ht="28.15" hidden="1" customHeight="1" x14ac:dyDescent="0.45">
      <c r="A118" s="66" t="s">
        <v>118</v>
      </c>
      <c r="B118" s="122"/>
      <c r="C118" s="122"/>
      <c r="D118" s="122"/>
      <c r="E118" s="122"/>
      <c r="F118" s="125"/>
    </row>
    <row r="119" spans="1:6" ht="28.15" hidden="1" customHeight="1" x14ac:dyDescent="0.45">
      <c r="A119" s="66" t="s">
        <v>119</v>
      </c>
      <c r="B119" s="122"/>
      <c r="C119" s="122"/>
      <c r="D119" s="122"/>
      <c r="E119" s="122"/>
      <c r="F119" s="125"/>
    </row>
    <row r="120" spans="1:6" ht="28.25" hidden="1" customHeight="1" x14ac:dyDescent="0.45">
      <c r="A120" s="66" t="s">
        <v>120</v>
      </c>
      <c r="B120" s="122"/>
      <c r="C120" s="122"/>
      <c r="D120" s="122"/>
      <c r="E120" s="122"/>
      <c r="F120" s="125"/>
    </row>
    <row r="121" spans="1:6" ht="28.15" hidden="1" customHeight="1" x14ac:dyDescent="0.45">
      <c r="A121" s="64" t="s">
        <v>121</v>
      </c>
      <c r="B121" s="121"/>
      <c r="C121" s="121"/>
      <c r="D121" s="121"/>
      <c r="E121" s="121"/>
      <c r="F121" s="124"/>
    </row>
    <row r="122" spans="1:6" ht="28.15" hidden="1" customHeight="1" x14ac:dyDescent="0.45">
      <c r="A122" s="66" t="s">
        <v>122</v>
      </c>
      <c r="B122" s="122"/>
      <c r="C122" s="122"/>
      <c r="D122" s="122"/>
      <c r="E122" s="122"/>
      <c r="F122" s="125"/>
    </row>
    <row r="123" spans="1:6" ht="28.15" hidden="1" customHeight="1" x14ac:dyDescent="0.45">
      <c r="A123" s="66" t="s">
        <v>123</v>
      </c>
      <c r="B123" s="122"/>
      <c r="C123" s="122"/>
      <c r="D123" s="122"/>
      <c r="E123" s="122"/>
      <c r="F123" s="125"/>
    </row>
    <row r="124" spans="1:6" ht="28.15" hidden="1" customHeight="1" x14ac:dyDescent="0.45">
      <c r="A124" s="64" t="s">
        <v>124</v>
      </c>
      <c r="B124" s="121"/>
      <c r="C124" s="121"/>
      <c r="D124" s="121"/>
      <c r="E124" s="121"/>
      <c r="F124" s="124"/>
    </row>
    <row r="125" spans="1:6" ht="28.25" customHeight="1" thickBot="1" x14ac:dyDescent="0.5">
      <c r="A125" s="76" t="s">
        <v>125</v>
      </c>
      <c r="B125" s="126">
        <v>443066</v>
      </c>
      <c r="C125" s="126">
        <v>413730</v>
      </c>
      <c r="D125" s="126">
        <v>385951</v>
      </c>
      <c r="E125" s="126">
        <v>439353</v>
      </c>
      <c r="F125" s="127">
        <v>411048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44E9-0E86-45ED-BBDC-48DCF00EEB8B}">
  <dimension ref="A1:M21"/>
  <sheetViews>
    <sheetView zoomScale="70" zoomScaleNormal="70" workbookViewId="0">
      <selection activeCell="G31" sqref="G31"/>
    </sheetView>
  </sheetViews>
  <sheetFormatPr defaultRowHeight="13.9" x14ac:dyDescent="0.4"/>
  <cols>
    <col min="1" max="6" width="19.19921875" style="8" customWidth="1"/>
    <col min="7" max="11" width="18.86328125" style="8" customWidth="1"/>
    <col min="12" max="16384" width="9.06640625" style="8"/>
  </cols>
  <sheetData>
    <row r="1" spans="1:13" s="101" customFormat="1" ht="14.25" thickBot="1" x14ac:dyDescent="0.45">
      <c r="A1" s="116" t="s">
        <v>0</v>
      </c>
      <c r="B1" s="117" t="s">
        <v>1</v>
      </c>
      <c r="C1" s="117" t="s">
        <v>2</v>
      </c>
      <c r="D1" s="117" t="s">
        <v>3</v>
      </c>
      <c r="E1" s="117" t="s">
        <v>4</v>
      </c>
      <c r="F1" s="117" t="s">
        <v>5</v>
      </c>
      <c r="G1" s="118">
        <v>2025</v>
      </c>
      <c r="H1" s="118">
        <v>2026</v>
      </c>
      <c r="I1" s="118">
        <v>2027</v>
      </c>
      <c r="J1" s="118">
        <v>2028</v>
      </c>
      <c r="K1" s="119">
        <v>2029</v>
      </c>
    </row>
    <row r="2" spans="1:13" s="101" customFormat="1" ht="38.65" x14ac:dyDescent="0.4">
      <c r="A2" s="113" t="s">
        <v>126</v>
      </c>
      <c r="B2" s="104">
        <v>445947</v>
      </c>
      <c r="C2" s="104">
        <v>494362</v>
      </c>
      <c r="D2" s="104">
        <v>511273</v>
      </c>
      <c r="E2" s="104">
        <v>463896</v>
      </c>
      <c r="F2" s="104">
        <v>508295</v>
      </c>
      <c r="G2" s="105">
        <f>'Doanh thu'!G30</f>
        <v>505607.97333495971</v>
      </c>
      <c r="H2" s="105">
        <f>'Doanh thu'!H30</f>
        <v>527618.11562716507</v>
      </c>
      <c r="I2" s="105">
        <f>'Doanh thu'!I30</f>
        <v>529480.10304143536</v>
      </c>
      <c r="J2" s="105">
        <f>'Doanh thu'!J30</f>
        <v>527522.51014312368</v>
      </c>
      <c r="K2" s="108">
        <f>'Doanh thu'!K30</f>
        <v>531936.82042933675</v>
      </c>
    </row>
    <row r="3" spans="1:13" s="101" customFormat="1" ht="26.25" x14ac:dyDescent="0.4">
      <c r="A3" s="114" t="s">
        <v>127</v>
      </c>
      <c r="B3" s="106"/>
      <c r="C3" s="106"/>
      <c r="D3" s="106"/>
      <c r="E3" s="106"/>
      <c r="F3" s="106"/>
      <c r="G3" s="105"/>
      <c r="H3" s="105"/>
      <c r="I3" s="105"/>
      <c r="J3" s="105"/>
      <c r="K3" s="108"/>
    </row>
    <row r="4" spans="1:13" s="101" customFormat="1" ht="38.65" x14ac:dyDescent="0.4">
      <c r="A4" s="113" t="s">
        <v>128</v>
      </c>
      <c r="B4" s="104">
        <v>445947</v>
      </c>
      <c r="C4" s="104">
        <v>494362</v>
      </c>
      <c r="D4" s="104">
        <v>511273</v>
      </c>
      <c r="E4" s="104">
        <v>463896</v>
      </c>
      <c r="F4" s="104">
        <v>508295</v>
      </c>
      <c r="G4" s="105">
        <f>G2</f>
        <v>505607.97333495971</v>
      </c>
      <c r="H4" s="105">
        <f t="shared" ref="H4:K4" si="0">H2</f>
        <v>527618.11562716507</v>
      </c>
      <c r="I4" s="105">
        <f t="shared" si="0"/>
        <v>529480.10304143536</v>
      </c>
      <c r="J4" s="105">
        <f t="shared" si="0"/>
        <v>527522.51014312368</v>
      </c>
      <c r="K4" s="108">
        <f t="shared" si="0"/>
        <v>531936.82042933675</v>
      </c>
    </row>
    <row r="5" spans="1:13" s="101" customFormat="1" x14ac:dyDescent="0.4">
      <c r="A5" s="114" t="s">
        <v>129</v>
      </c>
      <c r="B5" s="106">
        <v>381755</v>
      </c>
      <c r="C5" s="106">
        <v>421410</v>
      </c>
      <c r="D5" s="106">
        <v>438342</v>
      </c>
      <c r="E5" s="106">
        <v>410782</v>
      </c>
      <c r="F5" s="106">
        <v>445820</v>
      </c>
      <c r="G5" s="107">
        <f>'Doanh thu'!G31</f>
        <v>444019.03804113943</v>
      </c>
      <c r="H5" s="107">
        <f>'Doanh thu'!H31</f>
        <v>467274.90755955514</v>
      </c>
      <c r="I5" s="107">
        <f>'Doanh thu'!I31</f>
        <v>468895.25213926804</v>
      </c>
      <c r="J5" s="107">
        <f>'Doanh thu'!J31</f>
        <v>467173.79468131484</v>
      </c>
      <c r="K5" s="109">
        <f>'Doanh thu'!K31</f>
        <v>471069.66088425549</v>
      </c>
    </row>
    <row r="6" spans="1:13" s="101" customFormat="1" ht="38.65" x14ac:dyDescent="0.4">
      <c r="A6" s="113" t="s">
        <v>130</v>
      </c>
      <c r="B6" s="104">
        <v>64192</v>
      </c>
      <c r="C6" s="104">
        <v>72952</v>
      </c>
      <c r="D6" s="104">
        <v>72931</v>
      </c>
      <c r="E6" s="104">
        <v>53114</v>
      </c>
      <c r="F6" s="104">
        <v>62475</v>
      </c>
      <c r="G6" s="105">
        <f>G4-G5</f>
        <v>61588.935293820279</v>
      </c>
      <c r="H6" s="105">
        <f t="shared" ref="H6:K6" si="1">H4-H5</f>
        <v>60343.208067609929</v>
      </c>
      <c r="I6" s="105">
        <f t="shared" si="1"/>
        <v>60584.850902167324</v>
      </c>
      <c r="J6" s="105">
        <f t="shared" si="1"/>
        <v>60348.715461808839</v>
      </c>
      <c r="K6" s="108">
        <f t="shared" si="1"/>
        <v>60867.15954508126</v>
      </c>
    </row>
    <row r="7" spans="1:13" s="101" customFormat="1" ht="26.25" x14ac:dyDescent="0.4">
      <c r="A7" s="114" t="s">
        <v>131</v>
      </c>
      <c r="B7" s="106">
        <v>119</v>
      </c>
      <c r="C7" s="106">
        <v>157</v>
      </c>
      <c r="D7" s="106">
        <v>45</v>
      </c>
      <c r="E7" s="106">
        <v>97</v>
      </c>
      <c r="F7" s="106">
        <v>59</v>
      </c>
      <c r="G7" s="107">
        <f>'Doanh thu'!G38</f>
        <v>53.6</v>
      </c>
      <c r="H7" s="107">
        <f>'Doanh thu'!H38</f>
        <v>55.893333333333331</v>
      </c>
      <c r="I7" s="107">
        <f>'Doanh thu'!I38</f>
        <v>44.931555555555562</v>
      </c>
      <c r="J7" s="107">
        <f>'Doanh thu'!J38</f>
        <v>41.179970370370377</v>
      </c>
      <c r="K7" s="109">
        <f>'Doanh thu'!K38</f>
        <v>37.867962469135804</v>
      </c>
    </row>
    <row r="8" spans="1:13" s="101" customFormat="1" x14ac:dyDescent="0.4">
      <c r="A8" s="114" t="s">
        <v>132</v>
      </c>
      <c r="B8" s="106">
        <v>11890</v>
      </c>
      <c r="C8" s="106">
        <v>9845</v>
      </c>
      <c r="D8" s="106">
        <v>7931</v>
      </c>
      <c r="E8" s="106">
        <v>6640</v>
      </c>
      <c r="F8" s="106">
        <v>6304</v>
      </c>
      <c r="G8" s="107">
        <f>'Doanh thu'!G39</f>
        <v>7883.1381999999994</v>
      </c>
      <c r="H8" s="107">
        <f>'Doanh thu'!H39</f>
        <v>7883.1381999999985</v>
      </c>
      <c r="I8" s="107">
        <f>'Doanh thu'!I39</f>
        <v>7883.1381999999985</v>
      </c>
      <c r="J8" s="107">
        <f>'Doanh thu'!J39</f>
        <v>7883.1381999999985</v>
      </c>
      <c r="K8" s="109">
        <f>'Doanh thu'!K39</f>
        <v>7883.1381999999985</v>
      </c>
    </row>
    <row r="9" spans="1:13" s="101" customFormat="1" ht="26.25" x14ac:dyDescent="0.4">
      <c r="A9" s="114" t="s">
        <v>133</v>
      </c>
      <c r="B9" s="106">
        <v>11226</v>
      </c>
      <c r="C9" s="106">
        <v>9845</v>
      </c>
      <c r="D9" s="106">
        <v>7931</v>
      </c>
      <c r="E9" s="106">
        <v>6640</v>
      </c>
      <c r="F9" s="106">
        <v>6304</v>
      </c>
      <c r="G9" s="107">
        <f>G8</f>
        <v>7883.1381999999994</v>
      </c>
      <c r="H9" s="107">
        <f t="shared" ref="H9:K9" si="2">H8</f>
        <v>7883.1381999999985</v>
      </c>
      <c r="I9" s="107">
        <f t="shared" si="2"/>
        <v>7883.1381999999985</v>
      </c>
      <c r="J9" s="107">
        <f t="shared" si="2"/>
        <v>7883.1381999999985</v>
      </c>
      <c r="K9" s="109">
        <f t="shared" si="2"/>
        <v>7883.1381999999985</v>
      </c>
    </row>
    <row r="10" spans="1:13" s="101" customFormat="1" ht="39.4" x14ac:dyDescent="0.4">
      <c r="A10" s="114" t="s">
        <v>134</v>
      </c>
      <c r="B10" s="106"/>
      <c r="C10" s="106"/>
      <c r="D10" s="106"/>
      <c r="E10" s="106"/>
      <c r="F10" s="106"/>
      <c r="G10" s="107"/>
      <c r="H10" s="107"/>
      <c r="I10" s="107"/>
      <c r="J10" s="107"/>
      <c r="K10" s="109"/>
    </row>
    <row r="11" spans="1:13" s="101" customFormat="1" x14ac:dyDescent="0.4">
      <c r="A11" s="114" t="s">
        <v>135</v>
      </c>
      <c r="B11" s="106">
        <v>18</v>
      </c>
      <c r="C11" s="106">
        <v>53</v>
      </c>
      <c r="D11" s="106">
        <v>112</v>
      </c>
      <c r="E11" s="106">
        <v>758</v>
      </c>
      <c r="F11" s="106">
        <v>668</v>
      </c>
      <c r="G11" s="107">
        <f>G2*$M$11</f>
        <v>910.09435200292739</v>
      </c>
      <c r="H11" s="107">
        <f t="shared" ref="H11:K11" si="3">H2*$M$11</f>
        <v>949.71260812889705</v>
      </c>
      <c r="I11" s="107">
        <f t="shared" si="3"/>
        <v>953.06418547458361</v>
      </c>
      <c r="J11" s="107">
        <f t="shared" si="3"/>
        <v>949.54051825762258</v>
      </c>
      <c r="K11" s="109">
        <f t="shared" si="3"/>
        <v>957.48627677280615</v>
      </c>
      <c r="M11" s="102">
        <v>1.8E-3</v>
      </c>
    </row>
    <row r="12" spans="1:13" s="101" customFormat="1" ht="26.25" x14ac:dyDescent="0.4">
      <c r="A12" s="114" t="s">
        <v>136</v>
      </c>
      <c r="B12" s="106">
        <v>22192</v>
      </c>
      <c r="C12" s="106">
        <v>26210</v>
      </c>
      <c r="D12" s="106">
        <v>29956</v>
      </c>
      <c r="E12" s="106">
        <v>26924</v>
      </c>
      <c r="F12" s="106">
        <v>27633</v>
      </c>
      <c r="G12" s="107">
        <f>G2*$M$12</f>
        <v>29325.262453427666</v>
      </c>
      <c r="H12" s="107">
        <f t="shared" ref="H12:K12" si="4">H2*$M$12</f>
        <v>30601.850706375575</v>
      </c>
      <c r="I12" s="107">
        <f t="shared" si="4"/>
        <v>30709.845976403252</v>
      </c>
      <c r="J12" s="107">
        <f t="shared" si="4"/>
        <v>30596.305588301177</v>
      </c>
      <c r="K12" s="109">
        <f t="shared" si="4"/>
        <v>30852.335584901532</v>
      </c>
      <c r="M12" s="103">
        <v>5.8000000000000003E-2</v>
      </c>
    </row>
    <row r="13" spans="1:13" s="101" customFormat="1" ht="38.65" x14ac:dyDescent="0.4">
      <c r="A13" s="113" t="s">
        <v>137</v>
      </c>
      <c r="B13" s="104">
        <v>30210</v>
      </c>
      <c r="C13" s="104">
        <v>37001</v>
      </c>
      <c r="D13" s="104">
        <v>34976</v>
      </c>
      <c r="E13" s="104">
        <v>18889</v>
      </c>
      <c r="F13" s="104">
        <v>27928</v>
      </c>
      <c r="G13" s="105">
        <f>G6+G7-G8-G11-G12</f>
        <v>23524.040288389686</v>
      </c>
      <c r="H13" s="105">
        <f t="shared" ref="H13:K13" si="5">H6+H7-H8-H11-H12</f>
        <v>20964.39988643879</v>
      </c>
      <c r="I13" s="105">
        <f t="shared" si="5"/>
        <v>21083.734095845044</v>
      </c>
      <c r="J13" s="105">
        <f t="shared" si="5"/>
        <v>20960.911125620412</v>
      </c>
      <c r="K13" s="108">
        <f t="shared" si="5"/>
        <v>21212.067445876059</v>
      </c>
    </row>
    <row r="14" spans="1:13" s="101" customFormat="1" x14ac:dyDescent="0.4">
      <c r="A14" s="114" t="s">
        <v>138</v>
      </c>
      <c r="B14" s="106">
        <v>831</v>
      </c>
      <c r="C14" s="106">
        <v>1309</v>
      </c>
      <c r="D14" s="106">
        <v>1603</v>
      </c>
      <c r="E14" s="106">
        <v>2072</v>
      </c>
      <c r="F14" s="106">
        <v>972</v>
      </c>
      <c r="G14" s="107">
        <f>'Doanh thu'!G43</f>
        <v>1357.4</v>
      </c>
      <c r="H14" s="107">
        <f>'Doanh thu'!H43</f>
        <v>1462.6799999999998</v>
      </c>
      <c r="I14" s="107">
        <f>'Doanh thu'!I43</f>
        <v>1493.4159999999999</v>
      </c>
      <c r="J14" s="107">
        <f>'Doanh thu'!J43</f>
        <v>1471.4992</v>
      </c>
      <c r="K14" s="109">
        <f>'Doanh thu'!K43</f>
        <v>1351.39904</v>
      </c>
    </row>
    <row r="15" spans="1:13" s="101" customFormat="1" x14ac:dyDescent="0.4">
      <c r="A15" s="114" t="s">
        <v>139</v>
      </c>
      <c r="B15" s="106">
        <v>818</v>
      </c>
      <c r="C15" s="106">
        <v>1045</v>
      </c>
      <c r="D15" s="106">
        <v>995</v>
      </c>
      <c r="E15" s="106">
        <v>1038</v>
      </c>
      <c r="F15" s="106">
        <v>912</v>
      </c>
      <c r="G15" s="107">
        <f>'Doanh thu'!G44</f>
        <v>961.6</v>
      </c>
      <c r="H15" s="107">
        <f>'Doanh thu'!H44</f>
        <v>990.32</v>
      </c>
      <c r="I15" s="107">
        <f>'Doanh thu'!I44</f>
        <v>979.38400000000001</v>
      </c>
      <c r="J15" s="107">
        <f>'Doanh thu'!J44</f>
        <v>976.26080000000002</v>
      </c>
      <c r="K15" s="109">
        <f>'Doanh thu'!K44</f>
        <v>963.91296</v>
      </c>
    </row>
    <row r="16" spans="1:13" s="101" customFormat="1" ht="12" customHeight="1" x14ac:dyDescent="0.4">
      <c r="A16" s="113" t="s">
        <v>140</v>
      </c>
      <c r="B16" s="104">
        <v>13</v>
      </c>
      <c r="C16" s="104">
        <v>265</v>
      </c>
      <c r="D16" s="104">
        <v>609</v>
      </c>
      <c r="E16" s="104">
        <v>1033</v>
      </c>
      <c r="F16" s="104">
        <v>60</v>
      </c>
      <c r="G16" s="105">
        <f>G14-G15</f>
        <v>395.80000000000007</v>
      </c>
      <c r="H16" s="105">
        <f t="shared" ref="H16:K16" si="6">H14-H15</f>
        <v>472.35999999999979</v>
      </c>
      <c r="I16" s="105">
        <f t="shared" si="6"/>
        <v>514.03199999999993</v>
      </c>
      <c r="J16" s="105">
        <f t="shared" si="6"/>
        <v>495.23839999999996</v>
      </c>
      <c r="K16" s="108">
        <f t="shared" si="6"/>
        <v>387.48608000000002</v>
      </c>
    </row>
    <row r="17" spans="1:11" s="101" customFormat="1" ht="38.65" hidden="1" x14ac:dyDescent="0.4">
      <c r="A17" s="113" t="s">
        <v>141</v>
      </c>
      <c r="B17" s="104"/>
      <c r="C17" s="104"/>
      <c r="D17" s="104"/>
      <c r="E17" s="104"/>
      <c r="F17" s="104"/>
      <c r="G17" s="107"/>
      <c r="H17" s="107"/>
      <c r="I17" s="107"/>
      <c r="J17" s="107"/>
      <c r="K17" s="109"/>
    </row>
    <row r="18" spans="1:11" s="101" customFormat="1" ht="25.9" x14ac:dyDescent="0.4">
      <c r="A18" s="113" t="s">
        <v>142</v>
      </c>
      <c r="B18" s="104">
        <v>30223</v>
      </c>
      <c r="C18" s="104">
        <v>37266</v>
      </c>
      <c r="D18" s="104">
        <v>35585</v>
      </c>
      <c r="E18" s="104">
        <v>19923</v>
      </c>
      <c r="F18" s="104">
        <v>27988</v>
      </c>
      <c r="G18" s="105">
        <f>G13+G16</f>
        <v>23919.840288389685</v>
      </c>
      <c r="H18" s="105">
        <f t="shared" ref="H18:K18" si="7">H13+H16</f>
        <v>21436.759886438791</v>
      </c>
      <c r="I18" s="105">
        <f t="shared" si="7"/>
        <v>21597.766095845043</v>
      </c>
      <c r="J18" s="105">
        <f t="shared" si="7"/>
        <v>21456.149525620411</v>
      </c>
      <c r="K18" s="108">
        <f t="shared" si="7"/>
        <v>21599.553525876057</v>
      </c>
    </row>
    <row r="19" spans="1:11" s="101" customFormat="1" ht="26.25" x14ac:dyDescent="0.4">
      <c r="A19" s="114" t="s">
        <v>143</v>
      </c>
      <c r="B19" s="106">
        <v>4080</v>
      </c>
      <c r="C19" s="106">
        <v>4898</v>
      </c>
      <c r="D19" s="106">
        <v>6059</v>
      </c>
      <c r="E19" s="106">
        <v>4210</v>
      </c>
      <c r="F19" s="106">
        <v>5773</v>
      </c>
      <c r="G19" s="107">
        <f>F19*G18/F18</f>
        <v>4933.8730164668304</v>
      </c>
      <c r="H19" s="107">
        <f t="shared" ref="H19:K19" si="8">G19*H18/G18</f>
        <v>4421.6955418183197</v>
      </c>
      <c r="I19" s="107">
        <f t="shared" si="8"/>
        <v>4454.9058050347803</v>
      </c>
      <c r="J19" s="107">
        <f t="shared" si="8"/>
        <v>4425.6949839719382</v>
      </c>
      <c r="K19" s="109">
        <f t="shared" si="8"/>
        <v>4455.274492814151</v>
      </c>
    </row>
    <row r="20" spans="1:11" s="101" customFormat="1" ht="26.25" x14ac:dyDescent="0.4">
      <c r="A20" s="114" t="s">
        <v>144</v>
      </c>
      <c r="B20" s="106"/>
      <c r="C20" s="106"/>
      <c r="D20" s="106"/>
      <c r="E20" s="106"/>
      <c r="F20" s="106"/>
      <c r="G20" s="107"/>
      <c r="H20" s="107"/>
      <c r="I20" s="107"/>
      <c r="J20" s="107"/>
      <c r="K20" s="109"/>
    </row>
    <row r="21" spans="1:11" s="101" customFormat="1" ht="39" thickBot="1" x14ac:dyDescent="0.45">
      <c r="A21" s="115" t="s">
        <v>145</v>
      </c>
      <c r="B21" s="110">
        <v>26143</v>
      </c>
      <c r="C21" s="110">
        <v>32367</v>
      </c>
      <c r="D21" s="110">
        <v>29526</v>
      </c>
      <c r="E21" s="110">
        <v>15713</v>
      </c>
      <c r="F21" s="110">
        <v>22215</v>
      </c>
      <c r="G21" s="111">
        <f>G18-G19</f>
        <v>18985.967271922855</v>
      </c>
      <c r="H21" s="111">
        <f t="shared" ref="H21:K21" si="9">H18-H19</f>
        <v>17015.06434462047</v>
      </c>
      <c r="I21" s="111">
        <f t="shared" si="9"/>
        <v>17142.860290810262</v>
      </c>
      <c r="J21" s="111">
        <f t="shared" si="9"/>
        <v>17030.454541648473</v>
      </c>
      <c r="K21" s="112">
        <f t="shared" si="9"/>
        <v>17144.279033061906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EEB-513F-4EAF-8B2A-7B07A4CF2922}">
  <dimension ref="A1:M44"/>
  <sheetViews>
    <sheetView topLeftCell="A22" zoomScale="85" zoomScaleNormal="85" workbookViewId="0">
      <selection activeCell="B23" sqref="B23"/>
    </sheetView>
  </sheetViews>
  <sheetFormatPr defaultRowHeight="13.9" x14ac:dyDescent="0.4"/>
  <cols>
    <col min="1" max="1" width="19.59765625" style="8" customWidth="1"/>
    <col min="2" max="11" width="11.59765625" style="8" customWidth="1"/>
    <col min="12" max="12" width="9.06640625" style="8"/>
    <col min="13" max="13" width="34.265625" style="8" customWidth="1"/>
    <col min="14" max="16384" width="9.06640625" style="8"/>
  </cols>
  <sheetData>
    <row r="1" spans="1:12" ht="14.25" thickBot="1" x14ac:dyDescent="0.45">
      <c r="A1" s="7" t="s">
        <v>149</v>
      </c>
    </row>
    <row r="2" spans="1:12" x14ac:dyDescent="0.4">
      <c r="A2" s="87" t="s">
        <v>152</v>
      </c>
      <c r="B2" s="91">
        <v>0.1</v>
      </c>
    </row>
    <row r="3" spans="1:12" ht="14.25" thickBot="1" x14ac:dyDescent="0.45">
      <c r="A3" s="92" t="s">
        <v>151</v>
      </c>
      <c r="B3" s="93">
        <v>0.88</v>
      </c>
    </row>
    <row r="4" spans="1:12" ht="14.25" thickBot="1" x14ac:dyDescent="0.45">
      <c r="A4" s="17"/>
      <c r="B4" s="84" t="str">
        <f>BS!B1</f>
        <v>2020</v>
      </c>
      <c r="C4" s="84" t="str">
        <f>BS!C1</f>
        <v>2021</v>
      </c>
      <c r="D4" s="84" t="str">
        <f>BS!D1</f>
        <v>2022</v>
      </c>
      <c r="E4" s="84" t="str">
        <f>BS!E1</f>
        <v>2023</v>
      </c>
      <c r="F4" s="84" t="str">
        <f>BS!F1</f>
        <v>2024</v>
      </c>
      <c r="G4" s="85">
        <f>IS!G1</f>
        <v>2025</v>
      </c>
      <c r="H4" s="85">
        <f>IS!H1</f>
        <v>2026</v>
      </c>
      <c r="I4" s="85">
        <f>IS!I1</f>
        <v>2027</v>
      </c>
      <c r="J4" s="85">
        <f>IS!J1</f>
        <v>2028</v>
      </c>
      <c r="K4" s="86">
        <f>IS!K1</f>
        <v>2029</v>
      </c>
    </row>
    <row r="5" spans="1:12" x14ac:dyDescent="0.4">
      <c r="A5" s="18" t="s">
        <v>148</v>
      </c>
      <c r="B5" s="10">
        <v>452003</v>
      </c>
      <c r="C5" s="10">
        <v>478460</v>
      </c>
      <c r="D5" s="10">
        <v>501127</v>
      </c>
      <c r="E5" s="10">
        <v>432932</v>
      </c>
      <c r="F5" s="10">
        <v>464959</v>
      </c>
      <c r="G5" s="10">
        <v>465896.2</v>
      </c>
      <c r="H5" s="10">
        <v>468674.84</v>
      </c>
      <c r="I5" s="10">
        <v>466717.80800000002</v>
      </c>
      <c r="J5" s="10">
        <v>459835.96960000007</v>
      </c>
      <c r="K5" s="21">
        <v>465216.76352000004</v>
      </c>
    </row>
    <row r="6" spans="1:12" x14ac:dyDescent="0.4">
      <c r="A6" s="18" t="s">
        <v>150</v>
      </c>
      <c r="B6" s="10">
        <v>297800</v>
      </c>
      <c r="C6" s="10">
        <v>332777</v>
      </c>
      <c r="D6" s="10">
        <v>346458</v>
      </c>
      <c r="E6" s="10">
        <v>293067</v>
      </c>
      <c r="F6" s="10">
        <v>312084</v>
      </c>
      <c r="G6" s="10">
        <f>F6*(1+B2)*G5/F5</f>
        <v>343984.36130686791</v>
      </c>
      <c r="H6" s="10">
        <f t="shared" ref="H6:K6" si="0">G6*(1+C2)*H5/G5</f>
        <v>346035.90992585581</v>
      </c>
      <c r="I6" s="10">
        <f t="shared" si="0"/>
        <v>344590.97776590876</v>
      </c>
      <c r="J6" s="10">
        <f t="shared" si="0"/>
        <v>339509.92154213815</v>
      </c>
      <c r="K6" s="21">
        <f t="shared" si="0"/>
        <v>343482.71410815412</v>
      </c>
    </row>
    <row r="7" spans="1:12" ht="14.25" thickBot="1" x14ac:dyDescent="0.45">
      <c r="A7" s="81" t="s">
        <v>151</v>
      </c>
      <c r="B7" s="82">
        <f>B6*$B$3</f>
        <v>262064</v>
      </c>
      <c r="C7" s="82">
        <f t="shared" ref="C7:K7" si="1">C6*$B$3</f>
        <v>292843.76</v>
      </c>
      <c r="D7" s="82">
        <f t="shared" si="1"/>
        <v>304883.03999999998</v>
      </c>
      <c r="E7" s="82">
        <f t="shared" si="1"/>
        <v>257898.96</v>
      </c>
      <c r="F7" s="82">
        <f t="shared" si="1"/>
        <v>274633.92</v>
      </c>
      <c r="G7" s="82">
        <f t="shared" si="1"/>
        <v>302706.23795004375</v>
      </c>
      <c r="H7" s="82">
        <f t="shared" si="1"/>
        <v>304511.60073475313</v>
      </c>
      <c r="I7" s="82">
        <f t="shared" si="1"/>
        <v>303240.06043399969</v>
      </c>
      <c r="J7" s="82">
        <f t="shared" si="1"/>
        <v>298768.7309570816</v>
      </c>
      <c r="K7" s="83">
        <f t="shared" si="1"/>
        <v>302264.78841517563</v>
      </c>
    </row>
    <row r="9" spans="1:12" ht="14.25" thickBot="1" x14ac:dyDescent="0.45">
      <c r="A9" s="7" t="s">
        <v>182</v>
      </c>
    </row>
    <row r="10" spans="1:12" ht="14.25" thickBot="1" x14ac:dyDescent="0.45">
      <c r="A10" s="61"/>
      <c r="B10" s="84" t="str">
        <f>B4</f>
        <v>2020</v>
      </c>
      <c r="C10" s="84" t="str">
        <f t="shared" ref="C10:K10" si="2">C4</f>
        <v>2021</v>
      </c>
      <c r="D10" s="84" t="str">
        <f t="shared" si="2"/>
        <v>2022</v>
      </c>
      <c r="E10" s="84" t="str">
        <f t="shared" si="2"/>
        <v>2023</v>
      </c>
      <c r="F10" s="84" t="str">
        <f t="shared" si="2"/>
        <v>2024</v>
      </c>
      <c r="G10" s="85">
        <f t="shared" si="2"/>
        <v>2025</v>
      </c>
      <c r="H10" s="85">
        <f t="shared" si="2"/>
        <v>2026</v>
      </c>
      <c r="I10" s="85">
        <f t="shared" si="2"/>
        <v>2027</v>
      </c>
      <c r="J10" s="85">
        <f t="shared" si="2"/>
        <v>2028</v>
      </c>
      <c r="K10" s="86">
        <f t="shared" si="2"/>
        <v>2029</v>
      </c>
    </row>
    <row r="11" spans="1:12" x14ac:dyDescent="0.4">
      <c r="A11" s="18" t="s">
        <v>154</v>
      </c>
      <c r="G11" s="10"/>
      <c r="H11" s="10">
        <v>14976</v>
      </c>
      <c r="I11" s="10">
        <f t="shared" ref="I11:K11" si="3">H11</f>
        <v>14976</v>
      </c>
      <c r="J11" s="10">
        <f t="shared" si="3"/>
        <v>14976</v>
      </c>
      <c r="K11" s="21">
        <f t="shared" si="3"/>
        <v>14976</v>
      </c>
    </row>
    <row r="12" spans="1:12" ht="14.25" thickBot="1" x14ac:dyDescent="0.45">
      <c r="A12" s="81" t="s">
        <v>151</v>
      </c>
      <c r="B12" s="55"/>
      <c r="C12" s="55"/>
      <c r="D12" s="55"/>
      <c r="E12" s="55"/>
      <c r="F12" s="55"/>
      <c r="G12" s="89"/>
      <c r="H12" s="89">
        <v>17099</v>
      </c>
      <c r="I12" s="89">
        <f>H12</f>
        <v>17099</v>
      </c>
      <c r="J12" s="89">
        <f t="shared" ref="J12:K12" si="4">I12</f>
        <v>17099</v>
      </c>
      <c r="K12" s="90">
        <f t="shared" si="4"/>
        <v>17099</v>
      </c>
      <c r="L12" s="80"/>
    </row>
    <row r="14" spans="1:12" ht="14.25" thickBot="1" x14ac:dyDescent="0.45">
      <c r="A14" s="7" t="s">
        <v>146</v>
      </c>
    </row>
    <row r="15" spans="1:12" ht="14.25" thickBot="1" x14ac:dyDescent="0.45">
      <c r="A15" s="87" t="s">
        <v>152</v>
      </c>
      <c r="B15" s="88">
        <v>0</v>
      </c>
    </row>
    <row r="16" spans="1:12" ht="14.25" thickBot="1" x14ac:dyDescent="0.45">
      <c r="A16" s="87" t="s">
        <v>151</v>
      </c>
      <c r="B16" s="88">
        <v>0.88</v>
      </c>
    </row>
    <row r="17" spans="1:11" ht="14.25" thickBot="1" x14ac:dyDescent="0.45">
      <c r="A17" s="61"/>
      <c r="B17" s="84" t="str">
        <f t="shared" ref="B17:K17" si="5">B4</f>
        <v>2020</v>
      </c>
      <c r="C17" s="84" t="str">
        <f t="shared" si="5"/>
        <v>2021</v>
      </c>
      <c r="D17" s="84" t="str">
        <f t="shared" si="5"/>
        <v>2022</v>
      </c>
      <c r="E17" s="84" t="str">
        <f t="shared" si="5"/>
        <v>2023</v>
      </c>
      <c r="F17" s="84" t="str">
        <f t="shared" si="5"/>
        <v>2024</v>
      </c>
      <c r="G17" s="85">
        <f t="shared" si="5"/>
        <v>2025</v>
      </c>
      <c r="H17" s="85">
        <f t="shared" si="5"/>
        <v>2026</v>
      </c>
      <c r="I17" s="85">
        <f t="shared" si="5"/>
        <v>2027</v>
      </c>
      <c r="J17" s="85">
        <f t="shared" si="5"/>
        <v>2028</v>
      </c>
      <c r="K17" s="86">
        <f t="shared" si="5"/>
        <v>2029</v>
      </c>
    </row>
    <row r="18" spans="1:11" x14ac:dyDescent="0.4">
      <c r="A18" s="18" t="s">
        <v>153</v>
      </c>
      <c r="B18" s="10">
        <v>11494873</v>
      </c>
      <c r="C18" s="10">
        <v>12417115</v>
      </c>
      <c r="D18" s="10">
        <f>C18*98.56/100</f>
        <v>12238308.544000002</v>
      </c>
      <c r="E18" s="10">
        <v>13870000</v>
      </c>
      <c r="F18" s="10">
        <f>E18*F19/E19</f>
        <v>17082240.276014168</v>
      </c>
      <c r="G18" s="10">
        <f>AVERAGE(B18:F18)</f>
        <v>13420507.364002833</v>
      </c>
      <c r="H18" s="10">
        <f t="shared" ref="H18:K18" si="6">AVERAGE(C18:G18)</f>
        <v>13805634.236803401</v>
      </c>
      <c r="I18" s="10">
        <f t="shared" si="6"/>
        <v>14083338.084164079</v>
      </c>
      <c r="J18" s="10">
        <f t="shared" si="6"/>
        <v>14452343.992196897</v>
      </c>
      <c r="K18" s="21">
        <f t="shared" si="6"/>
        <v>14568812.790636277</v>
      </c>
    </row>
    <row r="19" spans="1:11" x14ac:dyDescent="0.4">
      <c r="A19" s="18" t="s">
        <v>147</v>
      </c>
      <c r="B19" s="10">
        <v>110642</v>
      </c>
      <c r="C19" s="10">
        <v>118678.37659371384</v>
      </c>
      <c r="D19" s="10">
        <v>116141</v>
      </c>
      <c r="E19" s="10">
        <v>119704</v>
      </c>
      <c r="F19" s="10">
        <v>147427</v>
      </c>
      <c r="G19" s="10">
        <f>F19*G18/F18</f>
        <v>115824.68734683454</v>
      </c>
      <c r="H19" s="10">
        <f t="shared" ref="H19:K19" si="7">G19*H18/G18</f>
        <v>119148.49608380061</v>
      </c>
      <c r="I19" s="10">
        <f t="shared" si="7"/>
        <v>121545.1984157734</v>
      </c>
      <c r="J19" s="10">
        <f t="shared" si="7"/>
        <v>124729.87636928172</v>
      </c>
      <c r="K19" s="21">
        <f t="shared" si="7"/>
        <v>125735.05164313807</v>
      </c>
    </row>
    <row r="20" spans="1:11" ht="14.25" thickBot="1" x14ac:dyDescent="0.45">
      <c r="A20" s="81" t="s">
        <v>151</v>
      </c>
      <c r="B20" s="82">
        <f>B19*$B$16</f>
        <v>97364.96</v>
      </c>
      <c r="C20" s="82">
        <f t="shared" ref="C20:K20" si="8">C19*$B$16</f>
        <v>104436.97140246817</v>
      </c>
      <c r="D20" s="82">
        <f t="shared" si="8"/>
        <v>102204.08</v>
      </c>
      <c r="E20" s="82">
        <f t="shared" si="8"/>
        <v>105339.52</v>
      </c>
      <c r="F20" s="82">
        <f t="shared" si="8"/>
        <v>129735.76</v>
      </c>
      <c r="G20" s="82">
        <f t="shared" si="8"/>
        <v>101925.7248652144</v>
      </c>
      <c r="H20" s="82">
        <f t="shared" si="8"/>
        <v>104850.67655374453</v>
      </c>
      <c r="I20" s="82">
        <f t="shared" si="8"/>
        <v>106959.77460588059</v>
      </c>
      <c r="J20" s="82">
        <f t="shared" si="8"/>
        <v>109762.29120496791</v>
      </c>
      <c r="K20" s="83">
        <f t="shared" si="8"/>
        <v>110646.8454459615</v>
      </c>
    </row>
    <row r="21" spans="1:11" x14ac:dyDescent="0.4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4.25" thickBot="1" x14ac:dyDescent="0.45">
      <c r="A22" s="7" t="s">
        <v>160</v>
      </c>
    </row>
    <row r="23" spans="1:11" ht="14.25" thickBot="1" x14ac:dyDescent="0.45">
      <c r="A23" s="87" t="s">
        <v>151</v>
      </c>
      <c r="B23" s="88">
        <v>0.86</v>
      </c>
    </row>
    <row r="24" spans="1:11" ht="14.25" thickBot="1" x14ac:dyDescent="0.45">
      <c r="A24" s="61"/>
      <c r="B24" s="84" t="str">
        <f>B17</f>
        <v>2020</v>
      </c>
      <c r="C24" s="84" t="str">
        <f t="shared" ref="C24:K24" si="9">C17</f>
        <v>2021</v>
      </c>
      <c r="D24" s="84" t="str">
        <f t="shared" si="9"/>
        <v>2022</v>
      </c>
      <c r="E24" s="84" t="str">
        <f t="shared" si="9"/>
        <v>2023</v>
      </c>
      <c r="F24" s="84" t="str">
        <f t="shared" si="9"/>
        <v>2024</v>
      </c>
      <c r="G24" s="85">
        <f t="shared" si="9"/>
        <v>2025</v>
      </c>
      <c r="H24" s="85">
        <f t="shared" si="9"/>
        <v>2026</v>
      </c>
      <c r="I24" s="85">
        <f t="shared" si="9"/>
        <v>2027</v>
      </c>
      <c r="J24" s="85">
        <f t="shared" si="9"/>
        <v>2028</v>
      </c>
      <c r="K24" s="86">
        <f t="shared" si="9"/>
        <v>2029</v>
      </c>
    </row>
    <row r="25" spans="1:11" x14ac:dyDescent="0.4">
      <c r="A25" s="18" t="s">
        <v>147</v>
      </c>
      <c r="B25" s="10">
        <f t="shared" ref="B25:F26" si="10">B30-B19-B6</f>
        <v>37505</v>
      </c>
      <c r="C25" s="10">
        <f t="shared" si="10"/>
        <v>42906.623406286177</v>
      </c>
      <c r="D25" s="10">
        <f t="shared" si="10"/>
        <v>48674</v>
      </c>
      <c r="E25" s="10">
        <f t="shared" si="10"/>
        <v>51125</v>
      </c>
      <c r="F25" s="10">
        <f t="shared" si="10"/>
        <v>48784</v>
      </c>
      <c r="G25" s="10">
        <v>45798.924681257238</v>
      </c>
      <c r="H25" s="10">
        <v>47457.709617508677</v>
      </c>
      <c r="I25" s="10">
        <v>48367.926859753185</v>
      </c>
      <c r="J25" s="10">
        <v>48306.712231703816</v>
      </c>
      <c r="K25" s="21">
        <v>47743.054678044587</v>
      </c>
    </row>
    <row r="26" spans="1:11" ht="14.25" thickBot="1" x14ac:dyDescent="0.45">
      <c r="A26" s="81" t="s">
        <v>151</v>
      </c>
      <c r="B26" s="82">
        <f t="shared" si="10"/>
        <v>22326.039999999979</v>
      </c>
      <c r="C26" s="82">
        <f t="shared" si="10"/>
        <v>24129.268597531831</v>
      </c>
      <c r="D26" s="82">
        <f t="shared" si="10"/>
        <v>31254.880000000005</v>
      </c>
      <c r="E26" s="82">
        <f t="shared" si="10"/>
        <v>47543.51999999999</v>
      </c>
      <c r="F26" s="82">
        <f t="shared" si="10"/>
        <v>41450.320000000007</v>
      </c>
      <c r="G26" s="82">
        <f>G25*$B$23</f>
        <v>39387.075225881221</v>
      </c>
      <c r="H26" s="82">
        <f t="shared" ref="H26:K26" si="11">H25*$B$23</f>
        <v>40813.63027105746</v>
      </c>
      <c r="I26" s="82">
        <f t="shared" si="11"/>
        <v>41596.417099387741</v>
      </c>
      <c r="J26" s="82">
        <f t="shared" si="11"/>
        <v>41543.77251926528</v>
      </c>
      <c r="K26" s="83">
        <f t="shared" si="11"/>
        <v>41059.027023118346</v>
      </c>
    </row>
    <row r="28" spans="1:11" ht="14.25" thickBot="1" x14ac:dyDescent="0.45">
      <c r="A28" s="7" t="s">
        <v>156</v>
      </c>
    </row>
    <row r="29" spans="1:11" ht="14.25" thickBot="1" x14ac:dyDescent="0.45">
      <c r="A29" s="61"/>
      <c r="B29" s="84" t="str">
        <f>B17</f>
        <v>2020</v>
      </c>
      <c r="C29" s="84" t="str">
        <f t="shared" ref="C29:K29" si="12">C17</f>
        <v>2021</v>
      </c>
      <c r="D29" s="84" t="str">
        <f t="shared" si="12"/>
        <v>2022</v>
      </c>
      <c r="E29" s="84" t="str">
        <f t="shared" si="12"/>
        <v>2023</v>
      </c>
      <c r="F29" s="84" t="str">
        <f t="shared" si="12"/>
        <v>2024</v>
      </c>
      <c r="G29" s="85">
        <f t="shared" si="12"/>
        <v>2025</v>
      </c>
      <c r="H29" s="85">
        <f t="shared" si="12"/>
        <v>2026</v>
      </c>
      <c r="I29" s="85">
        <f t="shared" si="12"/>
        <v>2027</v>
      </c>
      <c r="J29" s="85">
        <f t="shared" si="12"/>
        <v>2028</v>
      </c>
      <c r="K29" s="86">
        <f t="shared" si="12"/>
        <v>2029</v>
      </c>
    </row>
    <row r="30" spans="1:11" x14ac:dyDescent="0.4">
      <c r="A30" s="18" t="s">
        <v>157</v>
      </c>
      <c r="B30" s="10">
        <f>IS!B4</f>
        <v>445947</v>
      </c>
      <c r="C30" s="10">
        <f>IS!C4</f>
        <v>494362</v>
      </c>
      <c r="D30" s="10">
        <f>IS!D4</f>
        <v>511273</v>
      </c>
      <c r="E30" s="10">
        <f>IS!E4</f>
        <v>463896</v>
      </c>
      <c r="F30" s="10">
        <f>IS!F4</f>
        <v>508295</v>
      </c>
      <c r="G30" s="10">
        <f t="shared" ref="G30:K31" si="13">G6+G11+G19+G25</f>
        <v>505607.97333495971</v>
      </c>
      <c r="H30" s="10">
        <f t="shared" si="13"/>
        <v>527618.11562716507</v>
      </c>
      <c r="I30" s="10">
        <f t="shared" si="13"/>
        <v>529480.10304143536</v>
      </c>
      <c r="J30" s="10">
        <f t="shared" si="13"/>
        <v>527522.51014312368</v>
      </c>
      <c r="K30" s="21">
        <f t="shared" si="13"/>
        <v>531936.82042933675</v>
      </c>
    </row>
    <row r="31" spans="1:11" ht="14.25" thickBot="1" x14ac:dyDescent="0.45">
      <c r="A31" s="81" t="s">
        <v>151</v>
      </c>
      <c r="B31" s="82">
        <f>IS!B5</f>
        <v>381755</v>
      </c>
      <c r="C31" s="82">
        <f>IS!C5</f>
        <v>421410</v>
      </c>
      <c r="D31" s="82">
        <f>IS!D5</f>
        <v>438342</v>
      </c>
      <c r="E31" s="82">
        <f>IS!E5</f>
        <v>410782</v>
      </c>
      <c r="F31" s="82">
        <f>IS!F5</f>
        <v>445820</v>
      </c>
      <c r="G31" s="82">
        <f t="shared" si="13"/>
        <v>444019.03804113943</v>
      </c>
      <c r="H31" s="82">
        <f t="shared" si="13"/>
        <v>467274.90755955514</v>
      </c>
      <c r="I31" s="82">
        <f t="shared" si="13"/>
        <v>468895.25213926804</v>
      </c>
      <c r="J31" s="82">
        <f t="shared" si="13"/>
        <v>467173.79468131484</v>
      </c>
      <c r="K31" s="83">
        <f t="shared" si="13"/>
        <v>471069.66088425549</v>
      </c>
    </row>
    <row r="33" spans="1:13" x14ac:dyDescent="0.4">
      <c r="A33" s="7" t="s">
        <v>158</v>
      </c>
    </row>
    <row r="34" spans="1:13" x14ac:dyDescent="0.4">
      <c r="G34" s="79"/>
      <c r="H34" s="79"/>
      <c r="I34" s="79"/>
      <c r="J34" s="79"/>
      <c r="K34" s="79"/>
    </row>
    <row r="35" spans="1:13" ht="14.25" thickBot="1" x14ac:dyDescent="0.45">
      <c r="A35" s="7" t="s">
        <v>159</v>
      </c>
    </row>
    <row r="36" spans="1:13" ht="27.75" thickBot="1" x14ac:dyDescent="0.45">
      <c r="A36" s="97" t="s">
        <v>211</v>
      </c>
      <c r="B36" s="98">
        <v>0.09</v>
      </c>
    </row>
    <row r="37" spans="1:13" ht="14.25" thickBot="1" x14ac:dyDescent="0.45">
      <c r="A37" s="61"/>
      <c r="B37" s="84" t="str">
        <f>B29</f>
        <v>2020</v>
      </c>
      <c r="C37" s="84" t="str">
        <f t="shared" ref="C37:K37" si="14">C29</f>
        <v>2021</v>
      </c>
      <c r="D37" s="84" t="str">
        <f t="shared" si="14"/>
        <v>2022</v>
      </c>
      <c r="E37" s="84" t="str">
        <f t="shared" si="14"/>
        <v>2023</v>
      </c>
      <c r="F37" s="84" t="str">
        <f t="shared" si="14"/>
        <v>2024</v>
      </c>
      <c r="G37" s="85">
        <f t="shared" si="14"/>
        <v>2025</v>
      </c>
      <c r="H37" s="85">
        <f t="shared" si="14"/>
        <v>2026</v>
      </c>
      <c r="I37" s="85">
        <f t="shared" si="14"/>
        <v>2027</v>
      </c>
      <c r="J37" s="85">
        <f t="shared" si="14"/>
        <v>2028</v>
      </c>
      <c r="K37" s="86">
        <f t="shared" si="14"/>
        <v>2029</v>
      </c>
    </row>
    <row r="38" spans="1:13" x14ac:dyDescent="0.4">
      <c r="A38" s="18" t="s">
        <v>147</v>
      </c>
      <c r="B38" s="23">
        <f>IS!B7</f>
        <v>119</v>
      </c>
      <c r="C38" s="23">
        <f>IS!C7</f>
        <v>157</v>
      </c>
      <c r="D38" s="23">
        <f>IS!D7</f>
        <v>45</v>
      </c>
      <c r="E38" s="23">
        <f>IS!E7</f>
        <v>97</v>
      </c>
      <c r="F38" s="23">
        <f>IS!F7</f>
        <v>59</v>
      </c>
      <c r="G38" s="23">
        <f>AVERAGE(D38:F38)*0.8</f>
        <v>53.6</v>
      </c>
      <c r="H38" s="23">
        <f t="shared" ref="H38:K38" si="15">AVERAGE(E38:G38)*0.8</f>
        <v>55.893333333333331</v>
      </c>
      <c r="I38" s="23">
        <f t="shared" si="15"/>
        <v>44.931555555555562</v>
      </c>
      <c r="J38" s="23">
        <f t="shared" si="15"/>
        <v>41.179970370370377</v>
      </c>
      <c r="K38" s="24">
        <f t="shared" si="15"/>
        <v>37.867962469135804</v>
      </c>
    </row>
    <row r="39" spans="1:13" ht="14.25" thickBot="1" x14ac:dyDescent="0.45">
      <c r="A39" s="81" t="s">
        <v>155</v>
      </c>
      <c r="B39" s="99">
        <f>IS!B8</f>
        <v>11890</v>
      </c>
      <c r="C39" s="99">
        <f>IS!C8</f>
        <v>9845</v>
      </c>
      <c r="D39" s="99">
        <f>IS!D8</f>
        <v>7931</v>
      </c>
      <c r="E39" s="99">
        <f>IS!E8</f>
        <v>6640</v>
      </c>
      <c r="F39" s="99">
        <f>IS!F8</f>
        <v>6304</v>
      </c>
      <c r="G39" s="99">
        <f>F39+(CAPEX!C8+CAPEX!C4)*30%*'Doanh thu'!$B$36</f>
        <v>7883.1381999999994</v>
      </c>
      <c r="H39" s="99">
        <f>G39*(CAPEX!D4+CAPEX!D8)/(CAPEX!C8+CAPEX!C4)</f>
        <v>7883.1381999999985</v>
      </c>
      <c r="I39" s="99">
        <f>H39*(CAPEX!E4+CAPEX!E8)/(CAPEX!D8+CAPEX!D4)</f>
        <v>7883.1381999999985</v>
      </c>
      <c r="J39" s="99">
        <f>I39*(CAPEX!F4+CAPEX!F8)/(CAPEX!E8+CAPEX!E4)</f>
        <v>7883.1381999999985</v>
      </c>
      <c r="K39" s="100">
        <f>J39*(CAPEX!G4+CAPEX!G8)/(CAPEX!F8+CAPEX!F4)</f>
        <v>7883.1381999999985</v>
      </c>
    </row>
    <row r="40" spans="1:13" ht="41.65" x14ac:dyDescent="0.4">
      <c r="M40" s="11" t="s">
        <v>236</v>
      </c>
    </row>
    <row r="41" spans="1:13" ht="14.25" thickBot="1" x14ac:dyDescent="0.45">
      <c r="A41" s="7" t="s">
        <v>160</v>
      </c>
    </row>
    <row r="42" spans="1:13" ht="14.25" thickBot="1" x14ac:dyDescent="0.45">
      <c r="A42" s="61"/>
      <c r="B42" s="84" t="str">
        <f>B37</f>
        <v>2020</v>
      </c>
      <c r="C42" s="84" t="str">
        <f t="shared" ref="C42:K42" si="16">C37</f>
        <v>2021</v>
      </c>
      <c r="D42" s="84" t="str">
        <f t="shared" si="16"/>
        <v>2022</v>
      </c>
      <c r="E42" s="84" t="str">
        <f t="shared" si="16"/>
        <v>2023</v>
      </c>
      <c r="F42" s="84" t="str">
        <f t="shared" si="16"/>
        <v>2024</v>
      </c>
      <c r="G42" s="85">
        <f t="shared" si="16"/>
        <v>2025</v>
      </c>
      <c r="H42" s="85">
        <f t="shared" si="16"/>
        <v>2026</v>
      </c>
      <c r="I42" s="85">
        <f t="shared" si="16"/>
        <v>2027</v>
      </c>
      <c r="J42" s="85">
        <f t="shared" si="16"/>
        <v>2028</v>
      </c>
      <c r="K42" s="86">
        <f t="shared" si="16"/>
        <v>2029</v>
      </c>
    </row>
    <row r="43" spans="1:13" x14ac:dyDescent="0.4">
      <c r="A43" s="18" t="s">
        <v>147</v>
      </c>
      <c r="B43" s="23">
        <f>IS!B14</f>
        <v>831</v>
      </c>
      <c r="C43" s="23">
        <f>IS!C14</f>
        <v>1309</v>
      </c>
      <c r="D43" s="23">
        <f>IS!D14</f>
        <v>1603</v>
      </c>
      <c r="E43" s="23">
        <f>IS!E14</f>
        <v>2072</v>
      </c>
      <c r="F43" s="23">
        <f>IS!F14</f>
        <v>972</v>
      </c>
      <c r="G43" s="23">
        <f>AVERAGE(B43:F43)</f>
        <v>1357.4</v>
      </c>
      <c r="H43" s="23">
        <f t="shared" ref="H43:K43" si="17">AVERAGE(C43:G43)</f>
        <v>1462.6799999999998</v>
      </c>
      <c r="I43" s="23">
        <f t="shared" si="17"/>
        <v>1493.4159999999999</v>
      </c>
      <c r="J43" s="23">
        <f t="shared" si="17"/>
        <v>1471.4992</v>
      </c>
      <c r="K43" s="24">
        <f t="shared" si="17"/>
        <v>1351.39904</v>
      </c>
    </row>
    <row r="44" spans="1:13" ht="14.25" thickBot="1" x14ac:dyDescent="0.45">
      <c r="A44" s="81" t="s">
        <v>155</v>
      </c>
      <c r="B44" s="99">
        <f>IS!B15</f>
        <v>818</v>
      </c>
      <c r="C44" s="99">
        <f>IS!C15</f>
        <v>1045</v>
      </c>
      <c r="D44" s="99">
        <f>IS!D15</f>
        <v>995</v>
      </c>
      <c r="E44" s="99">
        <f>IS!E15</f>
        <v>1038</v>
      </c>
      <c r="F44" s="99">
        <f>IS!F15</f>
        <v>912</v>
      </c>
      <c r="G44" s="99">
        <f>AVERAGE(B44:F44)</f>
        <v>961.6</v>
      </c>
      <c r="H44" s="99">
        <f t="shared" ref="H44:K44" si="18">AVERAGE(C44:G44)</f>
        <v>990.32</v>
      </c>
      <c r="I44" s="99">
        <f t="shared" si="18"/>
        <v>979.38400000000001</v>
      </c>
      <c r="J44" s="99">
        <f t="shared" si="18"/>
        <v>976.26080000000002</v>
      </c>
      <c r="K44" s="100">
        <f t="shared" si="18"/>
        <v>963.91296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9B92-E91C-4C90-A6E8-183815987EDB}">
  <dimension ref="A1:L39"/>
  <sheetViews>
    <sheetView zoomScale="85" zoomScaleNormal="85" workbookViewId="0">
      <selection activeCell="F38" sqref="F38"/>
    </sheetView>
  </sheetViews>
  <sheetFormatPr defaultRowHeight="13.9" x14ac:dyDescent="0.4"/>
  <cols>
    <col min="1" max="1" width="23.59765625" style="8" customWidth="1"/>
    <col min="2" max="6" width="17.33203125" style="8" customWidth="1"/>
    <col min="7" max="11" width="15.86328125" style="8" customWidth="1"/>
    <col min="12" max="16384" width="9.06640625" style="8"/>
  </cols>
  <sheetData>
    <row r="1" spans="1:12" ht="14.25" thickBot="1" x14ac:dyDescent="0.45">
      <c r="A1" s="17"/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28">
        <v>2025</v>
      </c>
      <c r="H1" s="28">
        <v>2026</v>
      </c>
      <c r="I1" s="28">
        <v>2027</v>
      </c>
      <c r="J1" s="28">
        <v>2028</v>
      </c>
      <c r="K1" s="29">
        <v>2029</v>
      </c>
    </row>
    <row r="2" spans="1:12" ht="25.9" x14ac:dyDescent="0.4">
      <c r="A2" s="64" t="s">
        <v>233</v>
      </c>
      <c r="B2" s="94">
        <f>BS!B11</f>
        <v>77619</v>
      </c>
      <c r="C2" s="163">
        <f>BS!C11</f>
        <v>103755</v>
      </c>
      <c r="D2" s="163">
        <f>BS!D11</f>
        <v>72444</v>
      </c>
      <c r="E2" s="163">
        <f>BS!E11</f>
        <v>96002</v>
      </c>
      <c r="F2" s="163">
        <f>BS!F11</f>
        <v>127653</v>
      </c>
      <c r="G2" s="163">
        <f>SUM(G3:G9)</f>
        <v>126973.38032629763</v>
      </c>
      <c r="H2" s="163">
        <f t="shared" ref="H2:K2" si="0">SUM(H3:H9)</f>
        <v>132532.13259876732</v>
      </c>
      <c r="I2" s="163">
        <f t="shared" si="0"/>
        <v>133002.38520472389</v>
      </c>
      <c r="J2" s="163">
        <f t="shared" si="0"/>
        <v>132507.98703920571</v>
      </c>
      <c r="K2" s="65">
        <f t="shared" si="0"/>
        <v>133622.83931999098</v>
      </c>
      <c r="L2" s="12"/>
    </row>
    <row r="3" spans="1:12" ht="26.25" x14ac:dyDescent="0.4">
      <c r="A3" s="66" t="s">
        <v>16</v>
      </c>
      <c r="B3" s="95">
        <f>BS!B12</f>
        <v>73980</v>
      </c>
      <c r="C3" s="164">
        <f>BS!C12</f>
        <v>99656</v>
      </c>
      <c r="D3" s="164">
        <f>BS!D12</f>
        <v>68668</v>
      </c>
      <c r="E3" s="164">
        <f>BS!E12</f>
        <v>94635</v>
      </c>
      <c r="F3" s="164">
        <f>BS!F12</f>
        <v>125879</v>
      </c>
      <c r="G3" s="164">
        <f>F3*'Doanh thu'!G30/'Doanh thu'!F30</f>
        <v>125213.55920367384</v>
      </c>
      <c r="H3" s="164">
        <f>G3*'Doanh thu'!H30/'Doanh thu'!G30</f>
        <v>130664.35982457415</v>
      </c>
      <c r="I3" s="164">
        <f>H3*'Doanh thu'!I30/'Doanh thu'!H30</f>
        <v>131125.48006719098</v>
      </c>
      <c r="J3" s="164">
        <f>I3*'Doanh thu'!J30/'Doanh thu'!I30</f>
        <v>130640.68317474352</v>
      </c>
      <c r="K3" s="68">
        <f>J3*'Doanh thu'!K30/'Doanh thu'!J30</f>
        <v>131733.88488736752</v>
      </c>
      <c r="L3" s="12"/>
    </row>
    <row r="4" spans="1:12" ht="26.25" x14ac:dyDescent="0.4">
      <c r="A4" s="66" t="s">
        <v>17</v>
      </c>
      <c r="B4" s="95">
        <f>BS!B13</f>
        <v>1204</v>
      </c>
      <c r="C4" s="164">
        <f>BS!C13</f>
        <v>1941</v>
      </c>
      <c r="D4" s="164">
        <f>BS!D13</f>
        <v>945</v>
      </c>
      <c r="E4" s="164">
        <f>BS!E13</f>
        <v>1050</v>
      </c>
      <c r="F4" s="164">
        <f>BS!F13</f>
        <v>1562</v>
      </c>
      <c r="G4" s="164">
        <f>F4*'Doanh thu'!G30/'Doanh thu'!F30</f>
        <v>1553.7427170230026</v>
      </c>
      <c r="H4" s="164">
        <f>G4*'Doanh thu'!H30/'Doanh thu'!G30</f>
        <v>1621.3802941394897</v>
      </c>
      <c r="I4" s="164">
        <f>H4*'Doanh thu'!I30/'Doanh thu'!H30</f>
        <v>1627.1022161357521</v>
      </c>
      <c r="J4" s="164">
        <f>I4*'Doanh thu'!J30/'Doanh thu'!I30</f>
        <v>1621.0864967067535</v>
      </c>
      <c r="K4" s="68">
        <f>J4*'Doanh thu'!K30/'Doanh thu'!J30</f>
        <v>1634.6517544154951</v>
      </c>
      <c r="L4" s="12"/>
    </row>
    <row r="5" spans="1:12" hidden="1" x14ac:dyDescent="0.4">
      <c r="A5" s="66" t="s">
        <v>18</v>
      </c>
      <c r="B5" s="95">
        <f>BS!B14</f>
        <v>0</v>
      </c>
      <c r="C5" s="164">
        <f>BS!C14</f>
        <v>0</v>
      </c>
      <c r="D5" s="164">
        <f>BS!D14</f>
        <v>0</v>
      </c>
      <c r="E5" s="164">
        <f>BS!E14</f>
        <v>0</v>
      </c>
      <c r="F5" s="164">
        <f>BS!F14</f>
        <v>0</v>
      </c>
      <c r="G5" s="164"/>
      <c r="H5" s="164"/>
      <c r="I5" s="164"/>
      <c r="J5" s="164"/>
      <c r="K5" s="68"/>
      <c r="L5" s="12"/>
    </row>
    <row r="6" spans="1:12" ht="26.25" hidden="1" x14ac:dyDescent="0.4">
      <c r="A6" s="66" t="s">
        <v>19</v>
      </c>
      <c r="B6" s="95">
        <f>BS!B15</f>
        <v>0</v>
      </c>
      <c r="C6" s="164">
        <f>BS!C15</f>
        <v>0</v>
      </c>
      <c r="D6" s="164">
        <f>BS!D15</f>
        <v>0</v>
      </c>
      <c r="E6" s="164">
        <f>BS!E15</f>
        <v>0</v>
      </c>
      <c r="F6" s="164">
        <f>BS!F15</f>
        <v>0</v>
      </c>
      <c r="G6" s="164"/>
      <c r="H6" s="164"/>
      <c r="I6" s="164"/>
      <c r="J6" s="164"/>
      <c r="K6" s="68"/>
      <c r="L6" s="12"/>
    </row>
    <row r="7" spans="1:12" ht="26.25" hidden="1" x14ac:dyDescent="0.4">
      <c r="A7" s="66" t="s">
        <v>20</v>
      </c>
      <c r="B7" s="95">
        <f>BS!B16</f>
        <v>0</v>
      </c>
      <c r="C7" s="164">
        <f>BS!C16</f>
        <v>0</v>
      </c>
      <c r="D7" s="164">
        <f>BS!D16</f>
        <v>0</v>
      </c>
      <c r="E7" s="164">
        <f>BS!E16</f>
        <v>0</v>
      </c>
      <c r="F7" s="164">
        <f>BS!F16</f>
        <v>0</v>
      </c>
      <c r="G7" s="164"/>
      <c r="H7" s="164"/>
      <c r="I7" s="164"/>
      <c r="J7" s="164"/>
      <c r="K7" s="68"/>
      <c r="L7" s="12"/>
    </row>
    <row r="8" spans="1:12" x14ac:dyDescent="0.4">
      <c r="A8" s="66" t="s">
        <v>21</v>
      </c>
      <c r="B8" s="95">
        <f>BS!B17</f>
        <v>2825</v>
      </c>
      <c r="C8" s="164">
        <f>BS!C17</f>
        <v>2670</v>
      </c>
      <c r="D8" s="164">
        <f>BS!D17</f>
        <v>3550</v>
      </c>
      <c r="E8" s="164">
        <f>BS!E17</f>
        <v>1037</v>
      </c>
      <c r="F8" s="164">
        <f>BS!F17</f>
        <v>931</v>
      </c>
      <c r="G8" s="164">
        <f>F8*'Doanh thu'!G30/'Doanh thu'!F30</f>
        <v>926.07840560077807</v>
      </c>
      <c r="H8" s="164">
        <f>G8*'Doanh thu'!H30/'Doanh thu'!G30</f>
        <v>966.39248005369063</v>
      </c>
      <c r="I8" s="164">
        <f>H8*'Doanh thu'!I30/'Doanh thu'!H30</f>
        <v>969.80292139717358</v>
      </c>
      <c r="J8" s="164">
        <f>I8*'Doanh thu'!J30/'Doanh thu'!I30</f>
        <v>966.21736775543377</v>
      </c>
      <c r="K8" s="68">
        <f>J8*'Doanh thu'!K30/'Doanh thu'!J30</f>
        <v>974.30267820795518</v>
      </c>
      <c r="L8" s="12"/>
    </row>
    <row r="9" spans="1:12" ht="23.65" customHeight="1" x14ac:dyDescent="0.4">
      <c r="A9" s="66" t="s">
        <v>22</v>
      </c>
      <c r="B9" s="95">
        <f>BS!B18</f>
        <v>-388</v>
      </c>
      <c r="C9" s="164">
        <f>BS!C18</f>
        <v>-513</v>
      </c>
      <c r="D9" s="164">
        <f>BS!D18</f>
        <v>-720</v>
      </c>
      <c r="E9" s="164">
        <f>BS!E18</f>
        <v>-720</v>
      </c>
      <c r="F9" s="164">
        <f>BS!F18</f>
        <v>-720</v>
      </c>
      <c r="G9" s="164">
        <f>F9</f>
        <v>-720</v>
      </c>
      <c r="H9" s="164">
        <f t="shared" ref="H9:K9" si="1">G9</f>
        <v>-720</v>
      </c>
      <c r="I9" s="164">
        <f t="shared" si="1"/>
        <v>-720</v>
      </c>
      <c r="J9" s="164">
        <f t="shared" si="1"/>
        <v>-720</v>
      </c>
      <c r="K9" s="68">
        <f t="shared" si="1"/>
        <v>-720</v>
      </c>
      <c r="L9" s="12"/>
    </row>
    <row r="10" spans="1:12" hidden="1" x14ac:dyDescent="0.4">
      <c r="A10" s="66" t="s">
        <v>23</v>
      </c>
      <c r="B10" s="95">
        <f>BS!B19</f>
        <v>0</v>
      </c>
      <c r="C10" s="164">
        <f>BS!C19</f>
        <v>0</v>
      </c>
      <c r="D10" s="164">
        <f>BS!D19</f>
        <v>0</v>
      </c>
      <c r="E10" s="164">
        <f>BS!E19</f>
        <v>0</v>
      </c>
      <c r="F10" s="164">
        <f>BS!F19</f>
        <v>0</v>
      </c>
      <c r="G10" s="164"/>
      <c r="H10" s="164"/>
      <c r="I10" s="164"/>
      <c r="J10" s="164"/>
      <c r="K10" s="68"/>
      <c r="L10" s="12"/>
    </row>
    <row r="11" spans="1:12" x14ac:dyDescent="0.4">
      <c r="A11" s="64" t="s">
        <v>234</v>
      </c>
      <c r="B11" s="94">
        <f>BS!B20</f>
        <v>8764</v>
      </c>
      <c r="C11" s="163">
        <f>BS!C20</f>
        <v>9369</v>
      </c>
      <c r="D11" s="163">
        <f>BS!D20</f>
        <v>3264</v>
      </c>
      <c r="E11" s="163">
        <f>BS!E20</f>
        <v>3999</v>
      </c>
      <c r="F11" s="163">
        <f>BS!F20</f>
        <v>4644</v>
      </c>
      <c r="G11" s="163">
        <f>SUM(G12:G13)</f>
        <v>4624.7025362759032</v>
      </c>
      <c r="H11" s="163">
        <f t="shared" ref="H11:K11" si="2">SUM(H12:H13)</f>
        <v>4873.8911969225137</v>
      </c>
      <c r="I11" s="163">
        <f t="shared" si="2"/>
        <v>4891.2533297503114</v>
      </c>
      <c r="J11" s="163">
        <f t="shared" si="2"/>
        <v>4872.8077636549306</v>
      </c>
      <c r="K11" s="65">
        <f t="shared" si="2"/>
        <v>4914.5523082053041</v>
      </c>
      <c r="L11" s="12"/>
    </row>
    <row r="12" spans="1:12" x14ac:dyDescent="0.4">
      <c r="A12" s="66" t="s">
        <v>25</v>
      </c>
      <c r="B12" s="95">
        <f>BS!B21</f>
        <v>8764</v>
      </c>
      <c r="C12" s="164">
        <f>BS!C21</f>
        <v>9502</v>
      </c>
      <c r="D12" s="164">
        <f>BS!D21</f>
        <v>3397</v>
      </c>
      <c r="E12" s="164">
        <f>BS!E21</f>
        <v>4132</v>
      </c>
      <c r="F12" s="164">
        <f>BS!F21</f>
        <v>4777</v>
      </c>
      <c r="G12" s="164">
        <f>F12*'Doanh thu'!G31/'Doanh thu'!F31</f>
        <v>4757.7025362759032</v>
      </c>
      <c r="H12" s="164">
        <f>G12*'Doanh thu'!H31/'Doanh thu'!G31</f>
        <v>5006.8911969225137</v>
      </c>
      <c r="I12" s="164">
        <f>H12*'Doanh thu'!I31/'Doanh thu'!H31</f>
        <v>5024.2533297503114</v>
      </c>
      <c r="J12" s="164">
        <f>I12*'Doanh thu'!J31/'Doanh thu'!I31</f>
        <v>5005.8077636549306</v>
      </c>
      <c r="K12" s="68">
        <f>J12*'Doanh thu'!K31/'Doanh thu'!J31</f>
        <v>5047.5523082053041</v>
      </c>
      <c r="L12" s="12"/>
    </row>
    <row r="13" spans="1:12" ht="26.65" thickBot="1" x14ac:dyDescent="0.45">
      <c r="A13" s="66" t="s">
        <v>26</v>
      </c>
      <c r="B13" s="96">
        <f>BS!B22</f>
        <v>0</v>
      </c>
      <c r="C13" s="73">
        <f>BS!C22</f>
        <v>-133</v>
      </c>
      <c r="D13" s="73">
        <f>BS!D22</f>
        <v>-133</v>
      </c>
      <c r="E13" s="73">
        <f>BS!E22</f>
        <v>-133</v>
      </c>
      <c r="F13" s="73">
        <f>BS!F22</f>
        <v>-133</v>
      </c>
      <c r="G13" s="73">
        <f>F13</f>
        <v>-133</v>
      </c>
      <c r="H13" s="73">
        <f t="shared" ref="H13:K13" si="3">G13</f>
        <v>-133</v>
      </c>
      <c r="I13" s="73">
        <f t="shared" si="3"/>
        <v>-133</v>
      </c>
      <c r="J13" s="73">
        <f t="shared" si="3"/>
        <v>-133</v>
      </c>
      <c r="K13" s="74">
        <f t="shared" si="3"/>
        <v>-133</v>
      </c>
      <c r="L13" s="12"/>
    </row>
    <row r="14" spans="1:12" hidden="1" x14ac:dyDescent="0.4">
      <c r="A14" s="64" t="s">
        <v>27</v>
      </c>
      <c r="B14" s="94">
        <f>BS!B23</f>
        <v>365</v>
      </c>
      <c r="C14" s="163">
        <f>BS!C23</f>
        <v>246</v>
      </c>
      <c r="D14" s="163">
        <f>BS!D23</f>
        <v>0</v>
      </c>
      <c r="E14" s="163">
        <f>BS!E23</f>
        <v>0</v>
      </c>
      <c r="F14" s="163">
        <f>BS!F23</f>
        <v>17</v>
      </c>
      <c r="G14" s="164"/>
      <c r="H14" s="164"/>
      <c r="I14" s="164"/>
      <c r="J14" s="164"/>
      <c r="K14" s="68"/>
      <c r="L14" s="12"/>
    </row>
    <row r="15" spans="1:12" ht="26.25" hidden="1" x14ac:dyDescent="0.4">
      <c r="A15" s="66" t="s">
        <v>28</v>
      </c>
      <c r="B15" s="95">
        <f>BS!B24</f>
        <v>365</v>
      </c>
      <c r="C15" s="164">
        <f>BS!C24</f>
        <v>90</v>
      </c>
      <c r="D15" s="164">
        <f>BS!D24</f>
        <v>0</v>
      </c>
      <c r="E15" s="164">
        <f>BS!E24</f>
        <v>0</v>
      </c>
      <c r="F15" s="164">
        <f>BS!F24</f>
        <v>17</v>
      </c>
      <c r="G15" s="164"/>
      <c r="H15" s="164"/>
      <c r="I15" s="164"/>
      <c r="J15" s="164"/>
      <c r="K15" s="68"/>
      <c r="L15" s="12"/>
    </row>
    <row r="16" spans="1:12" ht="26.25" hidden="1" x14ac:dyDescent="0.4">
      <c r="A16" s="66" t="s">
        <v>29</v>
      </c>
      <c r="B16" s="95">
        <f>BS!B25</f>
        <v>0</v>
      </c>
      <c r="C16" s="164">
        <f>BS!C25</f>
        <v>0</v>
      </c>
      <c r="D16" s="164">
        <f>BS!D25</f>
        <v>0</v>
      </c>
      <c r="E16" s="164">
        <f>BS!E25</f>
        <v>0</v>
      </c>
      <c r="F16" s="164">
        <f>BS!F25</f>
        <v>0</v>
      </c>
      <c r="G16" s="164"/>
      <c r="H16" s="164"/>
      <c r="I16" s="164"/>
      <c r="J16" s="164"/>
      <c r="K16" s="68"/>
      <c r="L16" s="12"/>
    </row>
    <row r="17" spans="1:12" ht="26.25" hidden="1" x14ac:dyDescent="0.4">
      <c r="A17" s="66" t="s">
        <v>30</v>
      </c>
      <c r="B17" s="95">
        <f>BS!B26</f>
        <v>0</v>
      </c>
      <c r="C17" s="164">
        <f>BS!C26</f>
        <v>156</v>
      </c>
      <c r="D17" s="164">
        <f>BS!D26</f>
        <v>0</v>
      </c>
      <c r="E17" s="164">
        <f>BS!E26</f>
        <v>0</v>
      </c>
      <c r="F17" s="164">
        <f>BS!F26</f>
        <v>0</v>
      </c>
      <c r="G17" s="164"/>
      <c r="H17" s="164"/>
      <c r="I17" s="164"/>
      <c r="J17" s="164"/>
      <c r="K17" s="68"/>
      <c r="L17" s="12"/>
    </row>
    <row r="18" spans="1:12" ht="25.9" x14ac:dyDescent="0.4">
      <c r="A18" s="69" t="s">
        <v>235</v>
      </c>
      <c r="B18" s="165">
        <f>SUM(B19:B30)</f>
        <v>187425</v>
      </c>
      <c r="C18" s="70">
        <f t="shared" ref="C18:K18" si="4">SUM(C19:C30)</f>
        <v>167607</v>
      </c>
      <c r="D18" s="70">
        <f t="shared" si="4"/>
        <v>145063</v>
      </c>
      <c r="E18" s="70">
        <f t="shared" si="4"/>
        <v>190624</v>
      </c>
      <c r="F18" s="70">
        <f t="shared" si="4"/>
        <v>152205</v>
      </c>
      <c r="G18" s="70">
        <f t="shared" si="4"/>
        <v>148926.13200504638</v>
      </c>
      <c r="H18" s="70">
        <f t="shared" si="4"/>
        <v>151629.66565320088</v>
      </c>
      <c r="I18" s="70">
        <f t="shared" si="4"/>
        <v>148252.30491573256</v>
      </c>
      <c r="J18" s="70">
        <f t="shared" si="4"/>
        <v>146171.30201563088</v>
      </c>
      <c r="K18" s="71">
        <f t="shared" si="4"/>
        <v>147355.131728329</v>
      </c>
    </row>
    <row r="19" spans="1:12" ht="26.25" x14ac:dyDescent="0.4">
      <c r="A19" s="66" t="s">
        <v>72</v>
      </c>
      <c r="B19" s="95">
        <f>BS!B72</f>
        <v>82959</v>
      </c>
      <c r="C19" s="164">
        <f>BS!C72</f>
        <v>51428</v>
      </c>
      <c r="D19" s="164">
        <f>BS!D72</f>
        <v>42941</v>
      </c>
      <c r="E19" s="164">
        <f>BS!E72</f>
        <v>115216</v>
      </c>
      <c r="F19" s="164">
        <f>BS!F72</f>
        <v>64297</v>
      </c>
      <c r="G19" s="164">
        <f>F19*'Doanh thu'!G31/'Doanh thu'!F31</f>
        <v>64037.261874593198</v>
      </c>
      <c r="H19" s="164">
        <f>G19*'Doanh thu'!H31/'Doanh thu'!G31*1.01</f>
        <v>68065.179845386665</v>
      </c>
      <c r="I19" s="164">
        <f>H19*'Doanh thu'!I31/'Doanh thu'!H31</f>
        <v>68301.205883689603</v>
      </c>
      <c r="J19" s="164">
        <f>I19*'Doanh thu'!J31/'Doanh thu'!I31</f>
        <v>68050.451328766634</v>
      </c>
      <c r="K19" s="68">
        <f>J19*'Doanh thu'!K31/'Doanh thu'!J31</f>
        <v>68617.939181135254</v>
      </c>
    </row>
    <row r="20" spans="1:12" ht="26.25" x14ac:dyDescent="0.4">
      <c r="A20" s="66" t="s">
        <v>73</v>
      </c>
      <c r="B20" s="95">
        <f>BS!B73</f>
        <v>34269</v>
      </c>
      <c r="C20" s="164">
        <f>BS!C73</f>
        <v>35746</v>
      </c>
      <c r="D20" s="164">
        <f>BS!D73</f>
        <v>32575</v>
      </c>
      <c r="E20" s="164">
        <f>BS!E73</f>
        <v>25468</v>
      </c>
      <c r="F20" s="164">
        <f>BS!F73</f>
        <v>25949</v>
      </c>
      <c r="G20" s="164">
        <f>F20*'Doanh thu'!G30/'Doanh thu'!F30*0.9</f>
        <v>23230.641989517862</v>
      </c>
      <c r="H20" s="164">
        <f>G20*'Doanh thu'!H30/'Doanh thu'!G30*0.8</f>
        <v>19393.535225281972</v>
      </c>
      <c r="I20" s="164">
        <f>H20*'Doanh thu'!I30/'Doanh thu'!H30*0.8</f>
        <v>15569.580687674659</v>
      </c>
      <c r="J20" s="164">
        <f>I20*'Doanh thu'!J30/'Doanh thu'!I30*0.9</f>
        <v>13960.815175401904</v>
      </c>
      <c r="K20" s="68">
        <f>J20*'Doanh thu'!K30/'Doanh thu'!J30</f>
        <v>14077.63932763756</v>
      </c>
    </row>
    <row r="21" spans="1:12" ht="26.25" x14ac:dyDescent="0.4">
      <c r="A21" s="66" t="s">
        <v>74</v>
      </c>
      <c r="B21" s="95">
        <f>BS!B74</f>
        <v>4715</v>
      </c>
      <c r="C21" s="164">
        <f>BS!C74</f>
        <v>12285</v>
      </c>
      <c r="D21" s="164">
        <f>BS!D74</f>
        <v>2688</v>
      </c>
      <c r="E21" s="164">
        <f>BS!E74</f>
        <v>1716</v>
      </c>
      <c r="F21" s="164">
        <f>BS!F74</f>
        <v>6938</v>
      </c>
      <c r="G21" s="164">
        <f>F21*'Doanh thu'!G30/'Doanh thu'!F30</f>
        <v>6901.3232847026838</v>
      </c>
      <c r="H21" s="164">
        <f>G21*'Doanh thu'!H30/'Doanh thu'!G30</f>
        <v>7201.75190828411</v>
      </c>
      <c r="I21" s="164">
        <f>H21*'Doanh thu'!I30/'Doanh thu'!H30</f>
        <v>7227.1672058577769</v>
      </c>
      <c r="J21" s="164">
        <f>I21*'Doanh thu'!J30/'Doanh thu'!I30</f>
        <v>7200.446936076476</v>
      </c>
      <c r="K21" s="68">
        <f>J21*'Doanh thu'!K30/'Doanh thu'!J30</f>
        <v>7260.7003022629351</v>
      </c>
    </row>
    <row r="22" spans="1:12" x14ac:dyDescent="0.4">
      <c r="A22" s="66" t="s">
        <v>75</v>
      </c>
      <c r="B22" s="95">
        <f>BS!B75</f>
        <v>15529</v>
      </c>
      <c r="C22" s="164">
        <f>BS!C75</f>
        <v>13696</v>
      </c>
      <c r="D22" s="164">
        <f>BS!D75</f>
        <v>12135</v>
      </c>
      <c r="E22" s="164">
        <f>BS!E75</f>
        <v>12942</v>
      </c>
      <c r="F22" s="164">
        <f>BS!F75</f>
        <v>16098</v>
      </c>
      <c r="G22" s="164">
        <f>F22*'Doanh thu'!G30/'Doanh thu'!F30</f>
        <v>16012.900293621187</v>
      </c>
      <c r="H22" s="164">
        <f>G22*'Doanh thu'!H30/'Doanh thu'!G30</f>
        <v>16709.974375837071</v>
      </c>
      <c r="I22" s="164">
        <f>H22*'Doanh thu'!I30/'Doanh thu'!H30</f>
        <v>16768.944606500216</v>
      </c>
      <c r="J22" s="164">
        <f>I22*'Doanh thu'!J30/'Doanh thu'!I30</f>
        <v>16706.946494228756</v>
      </c>
      <c r="K22" s="68">
        <f>J22*'Doanh thu'!K30/'Doanh thu'!J30</f>
        <v>16846.750283342277</v>
      </c>
    </row>
    <row r="23" spans="1:12" x14ac:dyDescent="0.4">
      <c r="A23" s="66" t="s">
        <v>76</v>
      </c>
      <c r="B23" s="95">
        <f>BS!B76</f>
        <v>11395</v>
      </c>
      <c r="C23" s="164">
        <f>BS!C76</f>
        <v>14635</v>
      </c>
      <c r="D23" s="164">
        <f>BS!D76</f>
        <v>17200</v>
      </c>
      <c r="E23" s="164">
        <f>BS!E76</f>
        <v>3455</v>
      </c>
      <c r="F23" s="164">
        <f>BS!F76</f>
        <v>2570</v>
      </c>
      <c r="G23" s="164">
        <f>F23*'Doanh thu'!G31/'Doanh thu'!F31</f>
        <v>2559.6180695476387</v>
      </c>
      <c r="H23" s="164">
        <f>G23*'Doanh thu'!H31/'Doanh thu'!G31</f>
        <v>2693.6802127048063</v>
      </c>
      <c r="I23" s="164">
        <f>H23*'Doanh thu'!I31/'Doanh thu'!H31</f>
        <v>2703.0209456684738</v>
      </c>
      <c r="J23" s="164">
        <f>I23*'Doanh thu'!J31/'Doanh thu'!I31</f>
        <v>2693.0973315036995</v>
      </c>
      <c r="K23" s="68">
        <f>J23*'Doanh thu'!K31/'Doanh thu'!J31</f>
        <v>2715.555669266827</v>
      </c>
    </row>
    <row r="24" spans="1:12" hidden="1" x14ac:dyDescent="0.4">
      <c r="A24" s="66" t="s">
        <v>77</v>
      </c>
      <c r="B24" s="95">
        <f>BS!B77</f>
        <v>0</v>
      </c>
      <c r="C24" s="164">
        <f>BS!C77</f>
        <v>0</v>
      </c>
      <c r="D24" s="164">
        <f>BS!D77</f>
        <v>0</v>
      </c>
      <c r="E24" s="164">
        <f>BS!E77</f>
        <v>0</v>
      </c>
      <c r="F24" s="164">
        <f>BS!F77</f>
        <v>0</v>
      </c>
      <c r="G24" s="164"/>
      <c r="H24" s="164"/>
      <c r="I24" s="164"/>
      <c r="J24" s="164"/>
      <c r="K24" s="68"/>
    </row>
    <row r="25" spans="1:12" ht="26.25" hidden="1" x14ac:dyDescent="0.4">
      <c r="A25" s="66" t="s">
        <v>78</v>
      </c>
      <c r="B25" s="95">
        <f>BS!B78</f>
        <v>0</v>
      </c>
      <c r="C25" s="164">
        <f>BS!C78</f>
        <v>0</v>
      </c>
      <c r="D25" s="164">
        <f>BS!D78</f>
        <v>0</v>
      </c>
      <c r="E25" s="164">
        <f>BS!E78</f>
        <v>0</v>
      </c>
      <c r="F25" s="164">
        <f>BS!F78</f>
        <v>0</v>
      </c>
      <c r="G25" s="164"/>
      <c r="H25" s="164"/>
      <c r="I25" s="164"/>
      <c r="J25" s="164"/>
      <c r="K25" s="68"/>
    </row>
    <row r="26" spans="1:12" ht="26.25" hidden="1" x14ac:dyDescent="0.4">
      <c r="A26" s="66" t="s">
        <v>79</v>
      </c>
      <c r="B26" s="95">
        <f>BS!B79</f>
        <v>1106</v>
      </c>
      <c r="C26" s="164">
        <f>BS!C79</f>
        <v>0</v>
      </c>
      <c r="D26" s="164">
        <f>BS!D79</f>
        <v>0</v>
      </c>
      <c r="E26" s="164">
        <f>BS!E79</f>
        <v>0</v>
      </c>
      <c r="F26" s="164">
        <f>BS!F79</f>
        <v>0</v>
      </c>
      <c r="G26" s="164"/>
      <c r="H26" s="164"/>
      <c r="I26" s="164"/>
      <c r="J26" s="164"/>
      <c r="K26" s="68"/>
    </row>
    <row r="27" spans="1:12" x14ac:dyDescent="0.4">
      <c r="A27" s="66" t="s">
        <v>80</v>
      </c>
      <c r="B27" s="95">
        <f>BS!B80</f>
        <v>1862</v>
      </c>
      <c r="C27" s="164">
        <f>BS!C80</f>
        <v>1855</v>
      </c>
      <c r="D27" s="164">
        <f>BS!D80</f>
        <v>804</v>
      </c>
      <c r="E27" s="164">
        <f>BS!E80</f>
        <v>711</v>
      </c>
      <c r="F27" s="164">
        <f>BS!F80</f>
        <v>740</v>
      </c>
      <c r="G27" s="164">
        <f>F27*'Doanh thu'!G30/'Doanh thu'!F30</f>
        <v>736.08809897376557</v>
      </c>
      <c r="H27" s="164">
        <f>G27*'Doanh thu'!H30/'Doanh thu'!G30</f>
        <v>768.13150938746617</v>
      </c>
      <c r="I27" s="164">
        <f>H27*'Doanh thu'!I30/'Doanh thu'!H30</f>
        <v>770.84227909120125</v>
      </c>
      <c r="J27" s="164">
        <f>I27*'Doanh thu'!J30/'Doanh thu'!I30</f>
        <v>767.992322383481</v>
      </c>
      <c r="K27" s="68">
        <f>J27*'Doanh thu'!K30/'Doanh thu'!J30</f>
        <v>774.41888493435727</v>
      </c>
    </row>
    <row r="28" spans="1:12" ht="26.25" x14ac:dyDescent="0.4">
      <c r="A28" s="66" t="s">
        <v>82</v>
      </c>
      <c r="B28" s="95">
        <f>BS!B81</f>
        <v>33729</v>
      </c>
      <c r="C28" s="164">
        <f>BS!C81</f>
        <v>35937</v>
      </c>
      <c r="D28" s="164">
        <f>BS!D81</f>
        <v>35414</v>
      </c>
      <c r="E28" s="164">
        <f>BS!E81</f>
        <v>26206</v>
      </c>
      <c r="F28" s="164">
        <f>BS!F81</f>
        <v>31156</v>
      </c>
      <c r="G28" s="164">
        <f>F28*'Doanh thu'!G30/'Doanh thu'!F30</f>
        <v>30991.298394090056</v>
      </c>
      <c r="H28" s="164">
        <f>G28*'Doanh thu'!H30/'Doanh thu'!G30</f>
        <v>32340.41257631878</v>
      </c>
      <c r="I28" s="164">
        <f>H28*'Doanh thu'!I30/'Doanh thu'!H30</f>
        <v>32454.543307250631</v>
      </c>
      <c r="J28" s="164">
        <f>I28*'Doanh thu'!J30/'Doanh thu'!I30</f>
        <v>32334.552427269915</v>
      </c>
      <c r="K28" s="68">
        <f>J28*'Doanh thu'!K30/'Doanh thu'!J30</f>
        <v>32605.128079749782</v>
      </c>
    </row>
    <row r="29" spans="1:12" ht="26.25" hidden="1" x14ac:dyDescent="0.4">
      <c r="A29" s="66" t="s">
        <v>83</v>
      </c>
      <c r="B29" s="95">
        <f>BS!B82</f>
        <v>0</v>
      </c>
      <c r="C29" s="164">
        <f>BS!C82</f>
        <v>0</v>
      </c>
      <c r="D29" s="164">
        <f>BS!D82</f>
        <v>0</v>
      </c>
      <c r="E29" s="164">
        <f>BS!E82</f>
        <v>0</v>
      </c>
      <c r="F29" s="164">
        <f>BS!F82</f>
        <v>0</v>
      </c>
      <c r="G29" s="164"/>
      <c r="H29" s="164"/>
      <c r="I29" s="164"/>
      <c r="J29" s="164"/>
      <c r="K29" s="68"/>
    </row>
    <row r="30" spans="1:12" ht="14.25" thickBot="1" x14ac:dyDescent="0.45">
      <c r="A30" s="72" t="s">
        <v>84</v>
      </c>
      <c r="B30" s="96">
        <f>BS!B83</f>
        <v>1861</v>
      </c>
      <c r="C30" s="73">
        <f>BS!C83</f>
        <v>2025</v>
      </c>
      <c r="D30" s="73">
        <f>BS!D83</f>
        <v>1306</v>
      </c>
      <c r="E30" s="73">
        <f>BS!E83</f>
        <v>4910</v>
      </c>
      <c r="F30" s="73">
        <f>BS!F83</f>
        <v>4457</v>
      </c>
      <c r="G30" s="73">
        <f>F30</f>
        <v>4457</v>
      </c>
      <c r="H30" s="73">
        <f t="shared" ref="H30:K30" si="5">G30</f>
        <v>4457</v>
      </c>
      <c r="I30" s="73">
        <f t="shared" si="5"/>
        <v>4457</v>
      </c>
      <c r="J30" s="73">
        <f t="shared" si="5"/>
        <v>4457</v>
      </c>
      <c r="K30" s="74">
        <f t="shared" si="5"/>
        <v>4457</v>
      </c>
    </row>
    <row r="31" spans="1:12" ht="26.25" hidden="1" x14ac:dyDescent="0.4">
      <c r="A31" s="75" t="s">
        <v>85</v>
      </c>
      <c r="B31" s="67">
        <f>BS!B84</f>
        <v>0</v>
      </c>
      <c r="C31" s="67">
        <f>BS!C84</f>
        <v>0</v>
      </c>
      <c r="D31" s="67">
        <f>BS!D84</f>
        <v>0</v>
      </c>
      <c r="E31" s="67">
        <f>BS!E84</f>
        <v>0</v>
      </c>
      <c r="F31" s="67">
        <f>BS!F84</f>
        <v>0</v>
      </c>
      <c r="G31" s="67"/>
      <c r="H31" s="67"/>
      <c r="I31" s="67"/>
      <c r="J31" s="67"/>
      <c r="K31" s="67"/>
    </row>
    <row r="32" spans="1:12" ht="14.25" thickBot="1" x14ac:dyDescent="0.45">
      <c r="B32" s="67"/>
      <c r="C32" s="67"/>
      <c r="D32" s="67"/>
      <c r="E32" s="67"/>
      <c r="F32" s="67"/>
      <c r="G32" s="67"/>
      <c r="H32" s="67"/>
      <c r="I32" s="67"/>
      <c r="J32" s="67"/>
      <c r="K32" s="67"/>
    </row>
    <row r="33" spans="1:11" x14ac:dyDescent="0.4">
      <c r="A33" s="69" t="s">
        <v>199</v>
      </c>
      <c r="B33" s="70">
        <f>B2+B11-SUM(B19:B30)</f>
        <v>-101042</v>
      </c>
      <c r="C33" s="70">
        <f t="shared" ref="C33:K33" si="6">C2+C11-SUM(C19:C30)</f>
        <v>-54483</v>
      </c>
      <c r="D33" s="70">
        <f t="shared" si="6"/>
        <v>-69355</v>
      </c>
      <c r="E33" s="70">
        <f t="shared" si="6"/>
        <v>-90623</v>
      </c>
      <c r="F33" s="70">
        <f t="shared" si="6"/>
        <v>-19908</v>
      </c>
      <c r="G33" s="70">
        <f t="shared" si="6"/>
        <v>-17328.049142472853</v>
      </c>
      <c r="H33" s="70">
        <f t="shared" si="6"/>
        <v>-14223.641857511044</v>
      </c>
      <c r="I33" s="70">
        <f t="shared" si="6"/>
        <v>-10358.666381258343</v>
      </c>
      <c r="J33" s="70">
        <f t="shared" si="6"/>
        <v>-8790.5072127702297</v>
      </c>
      <c r="K33" s="71">
        <f t="shared" si="6"/>
        <v>-8817.7401001327089</v>
      </c>
    </row>
    <row r="34" spans="1:11" ht="14.25" thickBot="1" x14ac:dyDescent="0.45">
      <c r="A34" s="76" t="s">
        <v>198</v>
      </c>
      <c r="B34" s="77"/>
      <c r="C34" s="77">
        <f>C33-B33</f>
        <v>46559</v>
      </c>
      <c r="D34" s="77">
        <f t="shared" ref="D34:K34" si="7">D33-C33</f>
        <v>-14872</v>
      </c>
      <c r="E34" s="77">
        <f t="shared" si="7"/>
        <v>-21268</v>
      </c>
      <c r="F34" s="77">
        <f t="shared" si="7"/>
        <v>70715</v>
      </c>
      <c r="G34" s="77">
        <f t="shared" si="7"/>
        <v>2579.9508575271466</v>
      </c>
      <c r="H34" s="77">
        <f t="shared" si="7"/>
        <v>3104.4072849618096</v>
      </c>
      <c r="I34" s="77">
        <f t="shared" si="7"/>
        <v>3864.9754762527009</v>
      </c>
      <c r="J34" s="77">
        <f t="shared" si="7"/>
        <v>1568.1591684881132</v>
      </c>
      <c r="K34" s="78">
        <f t="shared" si="7"/>
        <v>-27.232887362479232</v>
      </c>
    </row>
    <row r="39" spans="1:11" x14ac:dyDescent="0.4">
      <c r="E3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5AEC-AE45-48B1-AF94-DF701C86AE94}">
  <dimension ref="A1:AK24"/>
  <sheetViews>
    <sheetView workbookViewId="0">
      <selection activeCell="C8" sqref="C8"/>
    </sheetView>
  </sheetViews>
  <sheetFormatPr defaultRowHeight="13.9" x14ac:dyDescent="0.4"/>
  <cols>
    <col min="1" max="1" width="26" style="8" customWidth="1"/>
    <col min="2" max="2" width="17.796875" style="8" customWidth="1"/>
    <col min="3" max="7" width="11.796875" style="8" customWidth="1"/>
    <col min="8" max="16384" width="9.06640625" style="8"/>
  </cols>
  <sheetData>
    <row r="1" spans="1:37" ht="14.25" thickBot="1" x14ac:dyDescent="0.45">
      <c r="A1" s="30"/>
      <c r="B1" s="16">
        <v>2024</v>
      </c>
      <c r="C1" s="28">
        <v>2025</v>
      </c>
      <c r="D1" s="28">
        <v>2026</v>
      </c>
      <c r="E1" s="28">
        <v>2027</v>
      </c>
      <c r="F1" s="28">
        <v>2028</v>
      </c>
      <c r="G1" s="29">
        <v>2029</v>
      </c>
    </row>
    <row r="2" spans="1:37" x14ac:dyDescent="0.4">
      <c r="A2" s="19" t="s">
        <v>161</v>
      </c>
      <c r="B2" s="47">
        <f>BS!E40</f>
        <v>337891</v>
      </c>
      <c r="C2" s="47">
        <f>B5</f>
        <v>338945</v>
      </c>
      <c r="D2" s="47">
        <f>C5</f>
        <v>344041</v>
      </c>
      <c r="E2" s="47">
        <f t="shared" ref="E2:G2" si="0">D5</f>
        <v>402527.6</v>
      </c>
      <c r="F2" s="47">
        <f t="shared" si="0"/>
        <v>461014.19999999995</v>
      </c>
      <c r="G2" s="48">
        <f t="shared" si="0"/>
        <v>519500.79999999993</v>
      </c>
    </row>
    <row r="3" spans="1:37" x14ac:dyDescent="0.4">
      <c r="A3" s="18" t="s">
        <v>162</v>
      </c>
      <c r="B3" s="12">
        <f>B5-B2</f>
        <v>1054</v>
      </c>
      <c r="C3" s="10">
        <f>C9</f>
        <v>2096</v>
      </c>
      <c r="D3" s="10">
        <f t="shared" ref="D3:G3" si="1">D9</f>
        <v>55486.6</v>
      </c>
      <c r="E3" s="10">
        <f t="shared" si="1"/>
        <v>55486.6</v>
      </c>
      <c r="F3" s="10">
        <f t="shared" si="1"/>
        <v>55486.6</v>
      </c>
      <c r="G3" s="21">
        <f t="shared" si="1"/>
        <v>55486.6</v>
      </c>
    </row>
    <row r="4" spans="1:37" x14ac:dyDescent="0.4">
      <c r="A4" s="18" t="s">
        <v>164</v>
      </c>
      <c r="C4" s="10">
        <v>3000</v>
      </c>
      <c r="D4" s="10">
        <v>3000</v>
      </c>
      <c r="E4" s="10">
        <v>3000</v>
      </c>
      <c r="F4" s="10">
        <v>3000</v>
      </c>
      <c r="G4" s="21">
        <v>3000</v>
      </c>
    </row>
    <row r="5" spans="1:37" ht="14.25" thickBot="1" x14ac:dyDescent="0.45">
      <c r="A5" s="20" t="s">
        <v>163</v>
      </c>
      <c r="B5" s="49">
        <f>BS!F40</f>
        <v>338945</v>
      </c>
      <c r="C5" s="49">
        <f>C2+C3+C4</f>
        <v>344041</v>
      </c>
      <c r="D5" s="49">
        <f t="shared" ref="D5:G5" si="2">D2+D3+D4</f>
        <v>402527.6</v>
      </c>
      <c r="E5" s="49">
        <f t="shared" si="2"/>
        <v>461014.19999999995</v>
      </c>
      <c r="F5" s="49">
        <f t="shared" si="2"/>
        <v>519500.79999999993</v>
      </c>
      <c r="G5" s="50">
        <f t="shared" si="2"/>
        <v>577987.39999999991</v>
      </c>
    </row>
    <row r="6" spans="1:37" ht="14.25" thickBot="1" x14ac:dyDescent="0.45">
      <c r="B6" s="12"/>
      <c r="C6" s="12"/>
      <c r="D6" s="12"/>
      <c r="E6" s="12"/>
      <c r="F6" s="12"/>
      <c r="G6" s="12"/>
    </row>
    <row r="7" spans="1:37" ht="14.25" thickBot="1" x14ac:dyDescent="0.45">
      <c r="A7" s="17" t="s">
        <v>189</v>
      </c>
      <c r="B7" s="51">
        <f>BS!E53</f>
        <v>71145</v>
      </c>
      <c r="C7" s="51">
        <f>B10</f>
        <v>73241</v>
      </c>
      <c r="D7" s="51">
        <f t="shared" ref="D7:G7" si="3">C10</f>
        <v>128727.6</v>
      </c>
      <c r="E7" s="51">
        <f t="shared" si="3"/>
        <v>184214.2</v>
      </c>
      <c r="F7" s="51">
        <f t="shared" si="3"/>
        <v>239700.80000000002</v>
      </c>
      <c r="G7" s="52">
        <f t="shared" si="3"/>
        <v>295187.40000000002</v>
      </c>
    </row>
    <row r="8" spans="1:37" x14ac:dyDescent="0.4">
      <c r="A8" s="18" t="s">
        <v>190</v>
      </c>
      <c r="B8" s="12">
        <f>B10-B7</f>
        <v>2096</v>
      </c>
      <c r="C8" s="10">
        <f>C13</f>
        <v>55486.6</v>
      </c>
      <c r="D8" s="10">
        <f>D13</f>
        <v>55486.6</v>
      </c>
      <c r="E8" s="10">
        <f>E13</f>
        <v>55486.6</v>
      </c>
      <c r="F8" s="10">
        <f>F13</f>
        <v>55486.6</v>
      </c>
      <c r="G8" s="21">
        <f>G13</f>
        <v>55486.6</v>
      </c>
      <c r="H8" s="10"/>
      <c r="I8" s="10"/>
      <c r="J8" s="10"/>
      <c r="K8" s="10"/>
      <c r="L8" s="10"/>
      <c r="M8" s="10"/>
    </row>
    <row r="9" spans="1:37" x14ac:dyDescent="0.4">
      <c r="A9" s="18" t="s">
        <v>192</v>
      </c>
      <c r="B9" s="12"/>
      <c r="C9" s="10">
        <f>B8</f>
        <v>2096</v>
      </c>
      <c r="D9" s="10">
        <f t="shared" ref="D9:G9" si="4">C8</f>
        <v>55486.6</v>
      </c>
      <c r="E9" s="10">
        <f t="shared" si="4"/>
        <v>55486.6</v>
      </c>
      <c r="F9" s="10">
        <f t="shared" si="4"/>
        <v>55486.6</v>
      </c>
      <c r="G9" s="21">
        <f t="shared" si="4"/>
        <v>55486.6</v>
      </c>
      <c r="H9" s="10"/>
      <c r="I9" s="10"/>
      <c r="J9" s="10"/>
      <c r="K9" s="10"/>
      <c r="L9" s="10"/>
      <c r="M9" s="10"/>
    </row>
    <row r="10" spans="1:37" ht="14.25" thickBot="1" x14ac:dyDescent="0.45">
      <c r="A10" s="20" t="s">
        <v>191</v>
      </c>
      <c r="B10" s="49">
        <f>BS!F53</f>
        <v>73241</v>
      </c>
      <c r="C10" s="49">
        <f>C7+C8</f>
        <v>128727.6</v>
      </c>
      <c r="D10" s="49">
        <f t="shared" ref="D10:G10" si="5">D7+D8</f>
        <v>184214.2</v>
      </c>
      <c r="E10" s="49">
        <f t="shared" si="5"/>
        <v>239700.80000000002</v>
      </c>
      <c r="F10" s="49">
        <f t="shared" si="5"/>
        <v>295187.40000000002</v>
      </c>
      <c r="G10" s="50">
        <f t="shared" si="5"/>
        <v>350674</v>
      </c>
    </row>
    <row r="11" spans="1:37" ht="14.25" thickBot="1" x14ac:dyDescent="0.45"/>
    <row r="12" spans="1:37" ht="14.25" thickBot="1" x14ac:dyDescent="0.45">
      <c r="A12" s="30"/>
      <c r="B12" s="16">
        <v>2024</v>
      </c>
      <c r="C12" s="28">
        <v>2025</v>
      </c>
      <c r="D12" s="28">
        <v>2026</v>
      </c>
      <c r="E12" s="28">
        <v>2027</v>
      </c>
      <c r="F12" s="28">
        <v>2028</v>
      </c>
      <c r="G12" s="29">
        <v>2029</v>
      </c>
      <c r="H12" s="7"/>
      <c r="I12" s="7"/>
      <c r="J12" s="7"/>
      <c r="K12" s="7"/>
      <c r="L12" s="7"/>
      <c r="M12" s="7"/>
      <c r="N12" s="7"/>
      <c r="O12" s="53"/>
      <c r="P12" s="53"/>
      <c r="Q12" s="53"/>
      <c r="R12" s="53"/>
      <c r="S12" s="53"/>
      <c r="T12" s="7"/>
      <c r="U12" s="53"/>
      <c r="V12" s="53"/>
      <c r="W12" s="53"/>
      <c r="X12" s="53"/>
      <c r="Y12" s="53"/>
      <c r="Z12" s="7"/>
      <c r="AA12" s="53"/>
      <c r="AB12" s="53"/>
      <c r="AC12" s="53"/>
      <c r="AD12" s="53"/>
      <c r="AE12" s="53"/>
      <c r="AF12" s="7"/>
      <c r="AG12" s="53"/>
      <c r="AH12" s="53"/>
      <c r="AI12" s="53"/>
      <c r="AJ12" s="53"/>
      <c r="AK12" s="53"/>
    </row>
    <row r="13" spans="1:37" x14ac:dyDescent="0.4">
      <c r="A13" s="18" t="s">
        <v>165</v>
      </c>
      <c r="B13" s="10"/>
      <c r="C13" s="10">
        <f>C14/10</f>
        <v>55486.6</v>
      </c>
      <c r="D13" s="10">
        <f>C13</f>
        <v>55486.6</v>
      </c>
      <c r="E13" s="10">
        <f t="shared" ref="E13:G13" si="6">D13</f>
        <v>55486.6</v>
      </c>
      <c r="F13" s="10">
        <f t="shared" si="6"/>
        <v>55486.6</v>
      </c>
      <c r="G13" s="21">
        <f t="shared" si="6"/>
        <v>55486.6</v>
      </c>
      <c r="H13" s="10"/>
      <c r="I13" s="10"/>
      <c r="J13" s="10"/>
      <c r="K13" s="10"/>
      <c r="L13" s="10"/>
      <c r="M13" s="10"/>
    </row>
    <row r="14" spans="1:37" ht="28.15" thickBot="1" x14ac:dyDescent="0.45">
      <c r="A14" s="54" t="s">
        <v>232</v>
      </c>
      <c r="B14" s="55"/>
      <c r="C14" s="56">
        <v>554866</v>
      </c>
      <c r="D14" s="55"/>
      <c r="E14" s="55"/>
      <c r="F14" s="55"/>
      <c r="G14" s="57"/>
    </row>
    <row r="15" spans="1:37" ht="14.25" thickBot="1" x14ac:dyDescent="0.45"/>
    <row r="16" spans="1:37" ht="14.25" thickBot="1" x14ac:dyDescent="0.45">
      <c r="A16" s="58" t="s">
        <v>228</v>
      </c>
      <c r="B16" s="59"/>
      <c r="C16" s="60">
        <v>15</v>
      </c>
    </row>
    <row r="17" spans="1:8" ht="14.25" thickBot="1" x14ac:dyDescent="0.45">
      <c r="A17" s="61" t="s">
        <v>193</v>
      </c>
      <c r="B17" s="16">
        <v>2024</v>
      </c>
      <c r="C17" s="28">
        <v>2025</v>
      </c>
      <c r="D17" s="28">
        <v>2026</v>
      </c>
      <c r="E17" s="28">
        <v>2027</v>
      </c>
      <c r="F17" s="28">
        <v>2028</v>
      </c>
      <c r="G17" s="29">
        <v>2029</v>
      </c>
    </row>
    <row r="18" spans="1:8" x14ac:dyDescent="0.4">
      <c r="A18" s="18">
        <v>2024</v>
      </c>
      <c r="B18" s="8">
        <v>28237</v>
      </c>
      <c r="C18" s="8">
        <v>28237</v>
      </c>
      <c r="D18" s="8">
        <v>28237</v>
      </c>
      <c r="E18" s="8">
        <v>28237</v>
      </c>
      <c r="F18" s="8">
        <v>28237</v>
      </c>
      <c r="G18" s="62">
        <v>28237</v>
      </c>
    </row>
    <row r="19" spans="1:8" x14ac:dyDescent="0.4">
      <c r="A19" s="18">
        <v>2025</v>
      </c>
      <c r="C19" s="10">
        <f>(C3+C4)/C16</f>
        <v>339.73333333333335</v>
      </c>
      <c r="D19" s="10">
        <f>C19</f>
        <v>339.73333333333335</v>
      </c>
      <c r="E19" s="10">
        <f>D19</f>
        <v>339.73333333333335</v>
      </c>
      <c r="F19" s="10">
        <f t="shared" ref="F19:G19" si="7">E19</f>
        <v>339.73333333333335</v>
      </c>
      <c r="G19" s="21">
        <f t="shared" si="7"/>
        <v>339.73333333333335</v>
      </c>
      <c r="H19" s="10"/>
    </row>
    <row r="20" spans="1:8" x14ac:dyDescent="0.4">
      <c r="A20" s="18">
        <v>2026</v>
      </c>
      <c r="C20" s="10"/>
      <c r="D20" s="10">
        <f>(D3+D4)/C16</f>
        <v>3899.1066666666666</v>
      </c>
      <c r="E20" s="10">
        <f>D20</f>
        <v>3899.1066666666666</v>
      </c>
      <c r="F20" s="10">
        <f t="shared" ref="F20:G20" si="8">E20</f>
        <v>3899.1066666666666</v>
      </c>
      <c r="G20" s="21">
        <f t="shared" si="8"/>
        <v>3899.1066666666666</v>
      </c>
      <c r="H20" s="10"/>
    </row>
    <row r="21" spans="1:8" x14ac:dyDescent="0.4">
      <c r="A21" s="18">
        <v>2027</v>
      </c>
      <c r="C21" s="10"/>
      <c r="D21" s="10"/>
      <c r="E21" s="10">
        <f>D20</f>
        <v>3899.1066666666666</v>
      </c>
      <c r="F21" s="10">
        <f>E21</f>
        <v>3899.1066666666666</v>
      </c>
      <c r="G21" s="21">
        <f t="shared" ref="G21" si="9">F21</f>
        <v>3899.1066666666666</v>
      </c>
      <c r="H21" s="10"/>
    </row>
    <row r="22" spans="1:8" x14ac:dyDescent="0.4">
      <c r="A22" s="18">
        <v>2028</v>
      </c>
      <c r="C22" s="10"/>
      <c r="D22" s="10"/>
      <c r="E22" s="10"/>
      <c r="F22" s="10">
        <f>E21</f>
        <v>3899.1066666666666</v>
      </c>
      <c r="G22" s="21">
        <f>F22</f>
        <v>3899.1066666666666</v>
      </c>
      <c r="H22" s="10"/>
    </row>
    <row r="23" spans="1:8" x14ac:dyDescent="0.4">
      <c r="A23" s="18">
        <v>2029</v>
      </c>
      <c r="C23" s="10"/>
      <c r="D23" s="10"/>
      <c r="E23" s="10"/>
      <c r="F23" s="10"/>
      <c r="G23" s="21">
        <f>F22</f>
        <v>3899.1066666666666</v>
      </c>
      <c r="H23" s="10"/>
    </row>
    <row r="24" spans="1:8" ht="14.25" thickBot="1" x14ac:dyDescent="0.45">
      <c r="A24" s="63" t="s">
        <v>194</v>
      </c>
      <c r="B24" s="26">
        <f t="shared" ref="B24:G24" si="10">SUM(B18:B23)</f>
        <v>28237</v>
      </c>
      <c r="C24" s="26">
        <f t="shared" si="10"/>
        <v>28576.733333333334</v>
      </c>
      <c r="D24" s="26">
        <f t="shared" si="10"/>
        <v>32475.84</v>
      </c>
      <c r="E24" s="26">
        <f t="shared" si="10"/>
        <v>36374.94666666667</v>
      </c>
      <c r="F24" s="26">
        <f t="shared" si="10"/>
        <v>40274.053333333337</v>
      </c>
      <c r="G24" s="27">
        <f t="shared" si="10"/>
        <v>44173.16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Định giá quyền mua</vt:lpstr>
      <vt:lpstr>DCF</vt:lpstr>
      <vt:lpstr>Thống kê giá 60 phiên</vt:lpstr>
      <vt:lpstr>BVPS</vt:lpstr>
      <vt:lpstr>BS</vt:lpstr>
      <vt:lpstr>IS</vt:lpstr>
      <vt:lpstr>Doanh thu</vt:lpstr>
      <vt:lpstr>Vốn lưu động</vt:lpstr>
      <vt:lpstr>CAPEX</vt:lpstr>
      <vt:lpstr>XLCT QT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2025-05-19T09:10:37Z</dcterms:modified>
</cp:coreProperties>
</file>