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ustomProperty5.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  <sheet name="DV-IDENTITY-0" sheetId="5" state="veryHidden" r:id="rId5"/>
  </sheets>
  <externalReferences>
    <externalReference r:id="rId6"/>
  </externalReferences>
  <definedNames>
    <definedName name="_xlnm._FilterDatabase" localSheetId="2" hidden="1">Plan!$A$18:$BH$113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F2" i="3"/>
  <c r="F3"/>
  <c r="F4"/>
  <c r="F5"/>
  <c r="F6"/>
  <c r="F7"/>
  <c r="F8"/>
  <c r="F9"/>
  <c r="F10"/>
  <c r="F11"/>
  <c r="F12"/>
  <c r="F13"/>
  <c r="F14"/>
  <c r="F15"/>
  <c r="F16"/>
  <c r="F17"/>
  <c r="I1"/>
  <c r="I11"/>
  <c r="A57" i="5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D16" i="3" l="1"/>
  <c r="I3"/>
  <c r="I5"/>
  <c r="I6"/>
  <c r="I7"/>
  <c r="I9"/>
  <c r="I10"/>
  <c r="H14" s="1"/>
  <c r="I2"/>
  <c r="I4"/>
  <c r="N14"/>
  <c r="A56" i="5"/>
  <c r="B56"/>
  <c r="C56"/>
  <c r="D56"/>
  <c r="E56"/>
  <c r="F56"/>
  <c r="G56"/>
  <c r="H56"/>
  <c r="I56"/>
  <c r="J56"/>
  <c r="K56"/>
  <c r="L56"/>
  <c r="M56"/>
  <c r="N56"/>
  <c r="O56"/>
  <c r="P56"/>
  <c r="A55"/>
  <c r="B55"/>
  <c r="C55"/>
  <c r="D55"/>
  <c r="E55"/>
  <c r="F55"/>
  <c r="G55"/>
  <c r="H55"/>
  <c r="I55"/>
  <c r="J55"/>
  <c r="K55"/>
  <c r="L55"/>
  <c r="M55"/>
  <c r="N55"/>
  <c r="O55"/>
  <c r="P55"/>
  <c r="Q55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D4" i="3"/>
  <c r="D2"/>
  <c r="A53" i="5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15" i="3"/>
  <c r="A51" i="5"/>
  <c r="B51"/>
  <c r="C51"/>
  <c r="D51"/>
  <c r="E51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A48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S47"/>
  <c r="HT47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D5" i="3"/>
  <c r="D3"/>
  <c r="D6"/>
  <c r="D7"/>
  <c r="D8"/>
  <c r="D9"/>
  <c r="D10"/>
  <c r="D11"/>
  <c r="D12"/>
  <c r="D13"/>
  <c r="D14"/>
  <c r="D17"/>
  <c r="I8" l="1"/>
  <c r="G14"/>
  <c r="I14" s="1"/>
  <c r="E3" s="1"/>
  <c r="O18"/>
  <c r="O120" s="1"/>
  <c r="N120"/>
  <c r="E16" l="1"/>
  <c r="E14"/>
  <c r="E6"/>
  <c r="E5"/>
  <c r="E4"/>
  <c r="E15"/>
  <c r="E7"/>
  <c r="E8"/>
  <c r="E9"/>
  <c r="E11"/>
  <c r="E2"/>
  <c r="E17"/>
  <c r="E12"/>
  <c r="E10"/>
  <c r="E13"/>
  <c r="P18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BO18" s="1"/>
  <c r="BP18" s="1"/>
  <c r="BQ18" s="1"/>
  <c r="BR18" s="1"/>
  <c r="BS18" s="1"/>
  <c r="BT18" s="1"/>
  <c r="BU18" s="1"/>
  <c r="BV18" s="1"/>
  <c r="BW18" s="1"/>
  <c r="BX18" s="1"/>
  <c r="BY18" s="1"/>
  <c r="BZ18" s="1"/>
  <c r="CA18" s="1"/>
  <c r="CB18" s="1"/>
  <c r="CC18" s="1"/>
  <c r="CD18" s="1"/>
  <c r="CE18" s="1"/>
  <c r="CF18" s="1"/>
  <c r="CG18" s="1"/>
  <c r="CH18" s="1"/>
  <c r="CI18" s="1"/>
  <c r="CJ18" s="1"/>
  <c r="CK18" s="1"/>
  <c r="CL18" s="1"/>
  <c r="CM18" s="1"/>
  <c r="CN18" s="1"/>
  <c r="CO18" s="1"/>
  <c r="CP18" s="1"/>
  <c r="CQ18" s="1"/>
  <c r="CR18" s="1"/>
  <c r="CS18" s="1"/>
  <c r="CT18" s="1"/>
  <c r="CU18" s="1"/>
  <c r="CV18" s="1"/>
  <c r="CW18" s="1"/>
  <c r="O14"/>
  <c r="BI14" l="1"/>
  <c r="P14"/>
  <c r="P120"/>
  <c r="BJ14" l="1"/>
  <c r="Q120"/>
  <c r="Q14"/>
  <c r="BK14" l="1"/>
  <c r="R120"/>
  <c r="R14"/>
  <c r="BL14" l="1"/>
  <c r="S120"/>
  <c r="S14"/>
  <c r="BM14" l="1"/>
  <c r="T14"/>
  <c r="T120"/>
  <c r="BN14" l="1"/>
  <c r="U120"/>
  <c r="U14"/>
  <c r="V120" l="1"/>
  <c r="V14"/>
  <c r="W120" l="1"/>
  <c r="W14"/>
  <c r="X14" l="1"/>
  <c r="X120"/>
  <c r="Y120" l="1"/>
  <c r="Y14"/>
  <c r="Z120" l="1"/>
  <c r="Z14"/>
  <c r="AA120" l="1"/>
  <c r="AA14"/>
  <c r="AB14" l="1"/>
  <c r="AB120"/>
  <c r="AC120" l="1"/>
  <c r="AC14"/>
  <c r="AD120" l="1"/>
  <c r="AD14"/>
  <c r="AE120" l="1"/>
  <c r="AE14"/>
  <c r="AF14" l="1"/>
  <c r="AF120"/>
  <c r="AG120" l="1"/>
  <c r="AG14"/>
  <c r="AH120" l="1"/>
  <c r="AH14"/>
  <c r="AI120" l="1"/>
  <c r="AI14"/>
  <c r="AJ14" l="1"/>
  <c r="AJ120"/>
  <c r="AK120" l="1"/>
  <c r="AK14"/>
  <c r="AL120" l="1"/>
  <c r="AL14"/>
  <c r="AM120" l="1"/>
  <c r="AM14"/>
  <c r="AN14" l="1"/>
  <c r="AN120"/>
  <c r="AO120" l="1"/>
  <c r="AO14"/>
  <c r="AP120" l="1"/>
  <c r="AP14"/>
  <c r="AQ120" l="1"/>
  <c r="AQ14"/>
  <c r="AR14" l="1"/>
  <c r="AR120"/>
  <c r="AS120" l="1"/>
  <c r="AS14"/>
  <c r="AT120" l="1"/>
  <c r="AT14"/>
  <c r="AU120" l="1"/>
  <c r="AU14"/>
  <c r="AV120" l="1"/>
  <c r="AV14"/>
  <c r="AW120" l="1"/>
  <c r="AW14"/>
  <c r="AX120" l="1"/>
  <c r="AX14"/>
  <c r="AY120" l="1"/>
  <c r="AY14"/>
  <c r="AZ14" l="1"/>
  <c r="AZ120"/>
  <c r="BA14" l="1"/>
  <c r="BA120" l="1"/>
  <c r="BB14"/>
  <c r="BB120" l="1"/>
  <c r="BC14"/>
  <c r="BC120" l="1"/>
  <c r="BD14"/>
  <c r="BD120" l="1"/>
  <c r="BE14"/>
  <c r="BE120" l="1"/>
  <c r="BF14"/>
  <c r="BF120" l="1"/>
  <c r="BG14"/>
  <c r="BG120" l="1"/>
  <c r="BH120" l="1"/>
  <c r="BI47" i="5" s="1"/>
  <c r="BH14" i="3"/>
</calcChain>
</file>

<file path=xl/sharedStrings.xml><?xml version="1.0" encoding="utf-8"?>
<sst xmlns="http://schemas.openxmlformats.org/spreadsheetml/2006/main" count="575" uniqueCount="195">
  <si>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</si>
  <si>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</si>
  <si>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</si>
  <si>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</si>
  <si>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</si>
  <si>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</si>
  <si>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</si>
  <si>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</si>
  <si>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</si>
  <si>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</si>
  <si>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</si>
  <si>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</si>
  <si>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</si>
  <si>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</si>
  <si>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</si>
  <si>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</si>
  <si>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</si>
  <si>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</si>
  <si>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</si>
  <si>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</si>
  <si>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</si>
  <si>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</si>
  <si>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</si>
  <si>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</si>
  <si>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</si>
  <si>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</si>
  <si>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</si>
  <si>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</si>
  <si>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</si>
  <si>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</si>
  <si>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</si>
  <si>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</si>
  <si>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</si>
  <si>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</si>
  <si>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</si>
  <si>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</si>
  <si>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</si>
  <si>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</si>
  <si>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</si>
  <si>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</si>
  <si>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</si>
  <si>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</si>
  <si>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</si>
  <si>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</si>
  <si>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</si>
  <si>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</si>
  <si>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</si>
  <si>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</si>
  <si>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</si>
  <si>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</si>
  <si>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</si>
  <si>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</si>
  <si>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</si>
  <si>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</si>
  <si>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</si>
  <si>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</si>
  <si>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</si>
  <si>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</si>
  <si>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</si>
  <si>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</si>
  <si>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</si>
  <si>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</si>
  <si>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</si>
  <si>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</si>
  <si>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</si>
  <si>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</si>
  <si>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</si>
  <si>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</si>
  <si>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</si>
  <si>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</si>
  <si>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</si>
  <si>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</si>
  <si>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</si>
  <si>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</si>
  <si>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Coder</t>
  </si>
  <si>
    <t>Design</t>
  </si>
  <si>
    <t>UyVQ</t>
  </si>
  <si>
    <t>HungVQ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</si>
  <si>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</si>
  <si>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</si>
  <si>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</si>
  <si>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</si>
  <si>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</si>
  <si>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</si>
  <si>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</si>
  <si>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</si>
  <si>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</si>
  <si>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</si>
  <si>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</si>
  <si>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</si>
  <si>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</si>
  <si>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</si>
  <si>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</si>
  <si>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</si>
  <si>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</si>
  <si>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</si>
  <si>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</si>
  <si>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</si>
  <si>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</si>
  <si>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</si>
  <si>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</si>
  <si>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</si>
  <si>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</si>
  <si>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</si>
  <si>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Phân quyền người sử dụng</t>
  </si>
  <si>
    <t>Danh mục từ điển</t>
  </si>
  <si>
    <t>Danh mục loại từ điển</t>
  </si>
  <si>
    <t>Trang chủ hệ thống</t>
  </si>
  <si>
    <t>Danh mục ngày làm việc</t>
  </si>
  <si>
    <t>Quản lý phong tỏa</t>
  </si>
  <si>
    <t>Quản lý giải tỏa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</si>
  <si>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</si>
  <si>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</si>
  <si>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</si>
  <si>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</si>
  <si>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</si>
  <si>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</si>
  <si>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</si>
  <si>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</si>
  <si>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</si>
  <si>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</si>
  <si>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</si>
  <si>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</si>
  <si>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</si>
  <si>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</si>
  <si>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</si>
  <si>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</si>
  <si>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</si>
  <si>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</si>
  <si>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</si>
  <si>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</si>
  <si>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</si>
  <si>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</si>
  <si>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</si>
  <si>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</si>
  <si>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</si>
  <si>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</si>
  <si>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</si>
  <si>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</si>
  <si>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</si>
  <si>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</si>
  <si>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</si>
  <si>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</si>
  <si>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</si>
  <si>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</si>
  <si>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</si>
  <si>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29/10</t>
  </si>
  <si>
    <t>Lần 9</t>
  </si>
  <si>
    <t>Hệ số</t>
  </si>
  <si>
    <t>Người phụ trách 1</t>
  </si>
  <si>
    <t>Người phụ trách 2</t>
  </si>
  <si>
    <t>Người phụ trách 3</t>
  </si>
  <si>
    <t>Lần 10</t>
  </si>
  <si>
    <t>AAAAAGV/8uE=</t>
  </si>
  <si>
    <t>Lần 11</t>
  </si>
  <si>
    <t>Lần 12</t>
  </si>
  <si>
    <t>Lần 13</t>
  </si>
  <si>
    <t>Phạt</t>
  </si>
  <si>
    <t>Tạo mới nhóm người dùng</t>
  </si>
  <si>
    <t>Tạo mới người sử dùng</t>
  </si>
  <si>
    <t>Tham số hệ thống</t>
  </si>
  <si>
    <t>Tham số nhắc việc</t>
  </si>
  <si>
    <t>Lịch sử truy cập</t>
  </si>
  <si>
    <t>Danh mục đợt phát hành</t>
  </si>
  <si>
    <t>Quản lý trả lãi</t>
  </si>
  <si>
    <t>Cập nhật lãi suất</t>
  </si>
  <si>
    <t>Chi tiết giao dịch chốt lãi (tính lãi)</t>
  </si>
  <si>
    <t>Sổ đăng ký sở hữu trái phiếu</t>
  </si>
  <si>
    <t>LuyenNT</t>
  </si>
  <si>
    <t>Báo cáo xác nhận yêu cầu, biên bản cài đặt</t>
  </si>
  <si>
    <t>Làm hướng dẫn (bản cứng, bản mềm) và training</t>
  </si>
  <si>
    <t>Quỹ nhóm</t>
  </si>
  <si>
    <t>Bán hàng ( môi giới)</t>
  </si>
  <si>
    <t>Quản lý dự án</t>
  </si>
  <si>
    <t>Họp</t>
  </si>
  <si>
    <t>Feedback</t>
  </si>
  <si>
    <t>Thưởng nóng</t>
  </si>
  <si>
    <t>Cổ đông</t>
  </si>
  <si>
    <t>Văn phòng</t>
  </si>
  <si>
    <t>Chi phí phát triển</t>
  </si>
  <si>
    <t>Tổng công</t>
  </si>
  <si>
    <t>Phí/công</t>
  </si>
  <si>
    <t>Lương</t>
  </si>
  <si>
    <t>AAAAAHfvv3U=</t>
  </si>
  <si>
    <t>AAAAAHfvv3Y=</t>
  </si>
  <si>
    <t>Báo cáo + nghiệm thu</t>
  </si>
  <si>
    <t>Xuất phần mềm</t>
  </si>
  <si>
    <t>Sửa lỗi phát sinh</t>
  </si>
  <si>
    <t>Thưởng</t>
  </si>
  <si>
    <t>Đã chi 1 triệu</t>
  </si>
  <si>
    <t>Cập nhật lãi suất thỏa thuận</t>
  </si>
  <si>
    <t>Sửa</t>
  </si>
  <si>
    <t>Phí phát triển</t>
  </si>
  <si>
    <t>Phần cuối</t>
  </si>
  <si>
    <t xml:space="preserve">Đã nhận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</si>
</sst>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dd\-mm"/>
    <numFmt numFmtId="165" formatCode="ddd"/>
    <numFmt numFmtId="166" formatCode="&quot;$&quot;#,##0"/>
    <numFmt numFmtId="167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0" fillId="0" borderId="0" xfId="0" applyNumberFormat="1"/>
    <xf numFmtId="0" fontId="0" fillId="2" borderId="1" xfId="0" applyFill="1" applyBorder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16" fontId="0" fillId="6" borderId="1" xfId="0" applyNumberFormat="1" applyFill="1" applyBorder="1"/>
    <xf numFmtId="0" fontId="5" fillId="2" borderId="0" xfId="0" applyFont="1" applyFill="1" applyBorder="1"/>
    <xf numFmtId="0" fontId="0" fillId="0" borderId="2" xfId="0" applyBorder="1" applyAlignment="1"/>
    <xf numFmtId="0" fontId="0" fillId="0" borderId="0" xfId="0" applyNumberFormat="1"/>
    <xf numFmtId="166" fontId="0" fillId="0" borderId="0" xfId="0" applyNumberFormat="1"/>
    <xf numFmtId="0" fontId="0" fillId="9" borderId="0" xfId="0" applyNumberFormat="1" applyFill="1"/>
    <xf numFmtId="166" fontId="0" fillId="9" borderId="0" xfId="0" applyNumberFormat="1" applyFill="1"/>
    <xf numFmtId="44" fontId="0" fillId="0" borderId="0" xfId="1" applyFont="1"/>
    <xf numFmtId="167" fontId="0" fillId="0" borderId="0" xfId="1" applyNumberFormat="1" applyFont="1"/>
    <xf numFmtId="44" fontId="0" fillId="2" borderId="0" xfId="0" applyNumberFormat="1" applyFill="1" applyBorder="1"/>
    <xf numFmtId="9" fontId="0" fillId="9" borderId="0" xfId="2" applyFont="1" applyFill="1"/>
    <xf numFmtId="9" fontId="0" fillId="0" borderId="0" xfId="2" applyFont="1"/>
    <xf numFmtId="164" fontId="7" fillId="0" borderId="0" xfId="0" applyNumberFormat="1" applyFont="1"/>
    <xf numFmtId="167" fontId="7" fillId="0" borderId="0" xfId="1" applyNumberFormat="1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 wrapText="1"/>
    </xf>
    <xf numFmtId="44" fontId="0" fillId="0" borderId="0" xfId="0" applyNumberFormat="1"/>
    <xf numFmtId="0" fontId="0" fillId="0" borderId="0" xfId="0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4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4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4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49"/>
      <c r="B6" s="1" t="s">
        <v>3</v>
      </c>
      <c r="C6" s="1" t="s">
        <v>14</v>
      </c>
      <c r="D6" s="2" t="s">
        <v>10</v>
      </c>
      <c r="E6" s="2"/>
    </row>
    <row r="7" spans="1:10">
      <c r="A7" s="4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W120"/>
  <sheetViews>
    <sheetView tabSelected="1" workbookViewId="0">
      <selection activeCell="C7" sqref="C7"/>
    </sheetView>
  </sheetViews>
  <sheetFormatPr defaultRowHeight="15"/>
  <cols>
    <col min="1" max="1" width="9.140625" customWidth="1"/>
    <col min="2" max="2" width="10.85546875" customWidth="1"/>
    <col min="3" max="3" width="50" style="29" customWidth="1"/>
    <col min="4" max="4" width="14.5703125" bestFit="1" customWidth="1"/>
    <col min="5" max="5" width="15.140625" bestFit="1" customWidth="1"/>
    <col min="6" max="6" width="16.140625" customWidth="1"/>
    <col min="7" max="7" width="15.85546875" customWidth="1"/>
    <col min="8" max="8" width="16.140625" bestFit="1" customWidth="1"/>
    <col min="9" max="9" width="13.28515625" customWidth="1"/>
    <col min="10" max="10" width="12" style="14" bestFit="1" customWidth="1"/>
    <col min="11" max="11" width="13.140625" style="14" bestFit="1" customWidth="1"/>
    <col min="12" max="12" width="10.5703125" style="14" bestFit="1" customWidth="1"/>
    <col min="13" max="13" width="10.5703125" bestFit="1" customWidth="1"/>
    <col min="14" max="52" width="5.7109375" hidden="1" customWidth="1"/>
    <col min="53" max="66" width="6.140625" hidden="1" customWidth="1"/>
    <col min="67" max="67" width="6.140625" bestFit="1" customWidth="1"/>
    <col min="68" max="101" width="6.42578125" customWidth="1"/>
  </cols>
  <sheetData>
    <row r="1" spans="1:66" ht="14.25" customHeight="1">
      <c r="A1" s="53" t="s">
        <v>194</v>
      </c>
      <c r="B1" s="47" t="s">
        <v>188</v>
      </c>
      <c r="C1" s="24" t="s">
        <v>36</v>
      </c>
      <c r="D1" s="13" t="s">
        <v>37</v>
      </c>
      <c r="E1" s="36" t="s">
        <v>182</v>
      </c>
      <c r="G1" s="38"/>
      <c r="H1" s="39">
        <v>34500000</v>
      </c>
      <c r="I1" s="39">
        <f>H1*0.75</f>
        <v>25875000</v>
      </c>
      <c r="J1" s="39"/>
      <c r="K1" s="24" t="s">
        <v>36</v>
      </c>
      <c r="L1" s="31" t="s">
        <v>157</v>
      </c>
    </row>
    <row r="2" spans="1:66" ht="14.25" customHeight="1">
      <c r="A2" s="53"/>
      <c r="B2" s="48"/>
      <c r="C2" s="25" t="s">
        <v>60</v>
      </c>
      <c r="D2" s="15">
        <f t="shared" ref="D2:D17" si="0">SUMIF($D$21:$D$152,C2,$E$21:$E$152)+SUMIF($F$21:$F$152,C2,$G$21:$G$152)+ SUMIF($H$21:$H$152,C2,$I$21:$I$152)</f>
        <v>17</v>
      </c>
      <c r="E2" s="44">
        <f>D2*$I$14</f>
        <v>263277.96094344411</v>
      </c>
      <c r="F2" s="52">
        <f>ROUND(E2/10000,0)*10000</f>
        <v>260000</v>
      </c>
      <c r="G2" s="40" t="s">
        <v>171</v>
      </c>
      <c r="H2" s="45">
        <v>0.15</v>
      </c>
      <c r="I2" s="41">
        <f>H2*$I$1</f>
        <v>3881250</v>
      </c>
      <c r="K2" s="25" t="s">
        <v>60</v>
      </c>
      <c r="L2" s="43"/>
    </row>
    <row r="3" spans="1:66" ht="14.25" customHeight="1">
      <c r="A3" s="53"/>
      <c r="B3" s="48">
        <v>50000</v>
      </c>
      <c r="C3" s="25" t="s">
        <v>57</v>
      </c>
      <c r="D3" s="15">
        <f t="shared" si="0"/>
        <v>33</v>
      </c>
      <c r="E3" s="44">
        <f>D3*$I$14</f>
        <v>511068.98300786206</v>
      </c>
      <c r="F3" s="52">
        <f t="shared" ref="F3:F17" si="1">ROUND(E3/10000,0)*10000</f>
        <v>510000</v>
      </c>
      <c r="G3" s="40" t="s">
        <v>172</v>
      </c>
      <c r="H3" s="45">
        <v>0.02</v>
      </c>
      <c r="I3" s="41">
        <f t="shared" ref="I3:I10" si="2">H3*$I$1</f>
        <v>517500</v>
      </c>
      <c r="J3" s="25" t="s">
        <v>63</v>
      </c>
      <c r="K3" s="25" t="s">
        <v>57</v>
      </c>
      <c r="L3" s="43">
        <v>10000</v>
      </c>
    </row>
    <row r="4" spans="1:66" ht="14.25" customHeight="1">
      <c r="A4" s="53"/>
      <c r="B4" s="48"/>
      <c r="C4" s="25" t="s">
        <v>77</v>
      </c>
      <c r="D4" s="15">
        <f t="shared" si="0"/>
        <v>5</v>
      </c>
      <c r="E4" s="44">
        <f t="shared" ref="E4:E17" si="3">D4*$I$14</f>
        <v>77434.694395130617</v>
      </c>
      <c r="F4" s="52">
        <f t="shared" si="1"/>
        <v>80000</v>
      </c>
      <c r="G4" s="40" t="s">
        <v>173</v>
      </c>
      <c r="H4" s="45">
        <v>0.05</v>
      </c>
      <c r="I4" s="41">
        <f t="shared" si="2"/>
        <v>1293750</v>
      </c>
      <c r="J4" s="25" t="s">
        <v>56</v>
      </c>
      <c r="K4" s="25" t="s">
        <v>77</v>
      </c>
      <c r="L4" s="43">
        <v>10000</v>
      </c>
    </row>
    <row r="5" spans="1:66" ht="14.25" customHeight="1">
      <c r="A5" s="53"/>
      <c r="B5" s="48"/>
      <c r="C5" s="25" t="s">
        <v>71</v>
      </c>
      <c r="D5" s="15">
        <f t="shared" si="0"/>
        <v>3</v>
      </c>
      <c r="E5" s="44">
        <f t="shared" si="3"/>
        <v>46460.816637078373</v>
      </c>
      <c r="F5" s="52">
        <f t="shared" si="1"/>
        <v>50000</v>
      </c>
      <c r="G5" s="40" t="s">
        <v>174</v>
      </c>
      <c r="H5" s="45">
        <v>0.05</v>
      </c>
      <c r="I5" s="41">
        <f t="shared" si="2"/>
        <v>1293750</v>
      </c>
      <c r="J5" s="14" t="s">
        <v>189</v>
      </c>
      <c r="K5" s="25" t="s">
        <v>71</v>
      </c>
      <c r="L5" s="43"/>
    </row>
    <row r="6" spans="1:66" ht="14.25" customHeight="1">
      <c r="A6" s="53"/>
      <c r="B6" s="48">
        <v>250000</v>
      </c>
      <c r="C6" s="25" t="s">
        <v>67</v>
      </c>
      <c r="D6" s="15">
        <f t="shared" si="0"/>
        <v>235.4</v>
      </c>
      <c r="E6" s="44">
        <f t="shared" si="3"/>
        <v>3645625.4121227497</v>
      </c>
      <c r="F6" s="52">
        <f t="shared" si="1"/>
        <v>3650000</v>
      </c>
      <c r="G6" s="40" t="s">
        <v>175</v>
      </c>
      <c r="H6" s="45">
        <v>0.05</v>
      </c>
      <c r="I6" s="41">
        <f t="shared" si="2"/>
        <v>1293750</v>
      </c>
      <c r="K6" s="25" t="s">
        <v>67</v>
      </c>
      <c r="L6" s="43">
        <v>95000</v>
      </c>
    </row>
    <row r="7" spans="1:66" ht="14.25" customHeight="1">
      <c r="A7" s="53"/>
      <c r="B7" s="47"/>
      <c r="C7" s="25" t="s">
        <v>66</v>
      </c>
      <c r="D7" s="15">
        <f t="shared" si="0"/>
        <v>8</v>
      </c>
      <c r="E7" s="44">
        <f t="shared" si="3"/>
        <v>123895.51103220899</v>
      </c>
      <c r="F7" s="52">
        <f t="shared" si="1"/>
        <v>120000</v>
      </c>
      <c r="G7" s="40" t="s">
        <v>176</v>
      </c>
      <c r="H7" s="45">
        <v>0.02</v>
      </c>
      <c r="I7" s="41">
        <f t="shared" si="2"/>
        <v>517500</v>
      </c>
      <c r="K7" s="25" t="s">
        <v>66</v>
      </c>
      <c r="L7" s="43"/>
    </row>
    <row r="8" spans="1:66" ht="14.25" customHeight="1">
      <c r="A8" s="53"/>
      <c r="B8" s="48">
        <v>150000</v>
      </c>
      <c r="C8" s="25" t="s">
        <v>55</v>
      </c>
      <c r="D8" s="15">
        <f t="shared" si="0"/>
        <v>246.4</v>
      </c>
      <c r="E8" s="44">
        <f t="shared" si="3"/>
        <v>3815981.7397920368</v>
      </c>
      <c r="F8" s="52">
        <f t="shared" si="1"/>
        <v>3820000</v>
      </c>
      <c r="G8" s="40" t="s">
        <v>177</v>
      </c>
      <c r="H8" s="45">
        <v>0.05</v>
      </c>
      <c r="I8" s="41">
        <f t="shared" si="2"/>
        <v>1293750</v>
      </c>
      <c r="K8" s="25" t="s">
        <v>55</v>
      </c>
      <c r="L8" s="43">
        <v>100000</v>
      </c>
    </row>
    <row r="9" spans="1:66" ht="14.25" customHeight="1">
      <c r="A9" s="53"/>
      <c r="B9" s="48"/>
      <c r="C9" s="25" t="s">
        <v>58</v>
      </c>
      <c r="D9" s="15">
        <f t="shared" si="0"/>
        <v>58</v>
      </c>
      <c r="E9" s="44">
        <f t="shared" si="3"/>
        <v>898242.4549835152</v>
      </c>
      <c r="F9" s="52">
        <f t="shared" si="1"/>
        <v>900000</v>
      </c>
      <c r="G9" s="40" t="s">
        <v>178</v>
      </c>
      <c r="H9" s="45">
        <v>0.02</v>
      </c>
      <c r="I9" s="41">
        <f t="shared" si="2"/>
        <v>517500</v>
      </c>
      <c r="K9" s="25" t="s">
        <v>58</v>
      </c>
      <c r="L9" s="43">
        <v>10000</v>
      </c>
    </row>
    <row r="10" spans="1:66" ht="14.25" customHeight="1">
      <c r="A10" s="53"/>
      <c r="B10" s="48"/>
      <c r="C10" s="25" t="s">
        <v>78</v>
      </c>
      <c r="D10" s="15">
        <f t="shared" si="0"/>
        <v>5</v>
      </c>
      <c r="E10" s="44">
        <f t="shared" si="3"/>
        <v>77434.694395130617</v>
      </c>
      <c r="F10" s="52">
        <f t="shared" si="1"/>
        <v>80000</v>
      </c>
      <c r="G10" s="40" t="s">
        <v>179</v>
      </c>
      <c r="H10" s="45">
        <v>0.59</v>
      </c>
      <c r="I10" s="41">
        <f t="shared" si="2"/>
        <v>15266250</v>
      </c>
      <c r="K10" s="25" t="s">
        <v>78</v>
      </c>
      <c r="L10" s="43">
        <v>10000</v>
      </c>
    </row>
    <row r="11" spans="1:66" ht="14.25" customHeight="1">
      <c r="A11" s="53"/>
      <c r="B11" s="48"/>
      <c r="C11" s="25" t="s">
        <v>56</v>
      </c>
      <c r="D11" s="15">
        <f t="shared" si="0"/>
        <v>188.55</v>
      </c>
      <c r="E11" s="44">
        <f t="shared" si="3"/>
        <v>2920062.3256403757</v>
      </c>
      <c r="F11" s="52">
        <f t="shared" si="1"/>
        <v>2920000</v>
      </c>
      <c r="I11" s="39">
        <f>I4+I5+I7+I9+300000</f>
        <v>3922500</v>
      </c>
      <c r="K11" s="25" t="s">
        <v>56</v>
      </c>
      <c r="L11" s="43">
        <v>10000</v>
      </c>
    </row>
    <row r="12" spans="1:66" ht="14.25" customHeight="1">
      <c r="A12" s="53"/>
      <c r="B12" s="48"/>
      <c r="C12" s="25" t="s">
        <v>70</v>
      </c>
      <c r="D12" s="15">
        <f t="shared" si="0"/>
        <v>3</v>
      </c>
      <c r="E12" s="44">
        <f t="shared" si="3"/>
        <v>46460.816637078373</v>
      </c>
      <c r="F12" s="52">
        <f t="shared" si="1"/>
        <v>50000</v>
      </c>
      <c r="K12" s="25" t="s">
        <v>70</v>
      </c>
      <c r="L12" s="43">
        <v>10000</v>
      </c>
    </row>
    <row r="13" spans="1:66" ht="14.25" customHeight="1">
      <c r="A13" s="53"/>
      <c r="B13" s="48"/>
      <c r="C13" s="25" t="s">
        <v>54</v>
      </c>
      <c r="D13" s="15">
        <f t="shared" si="0"/>
        <v>6</v>
      </c>
      <c r="E13" s="44">
        <f t="shared" si="3"/>
        <v>92921.633274156746</v>
      </c>
      <c r="F13" s="52">
        <f t="shared" si="1"/>
        <v>90000</v>
      </c>
      <c r="G13" s="31" t="s">
        <v>180</v>
      </c>
      <c r="H13" s="31" t="s">
        <v>192</v>
      </c>
      <c r="I13" s="31" t="s">
        <v>181</v>
      </c>
      <c r="J13" s="31"/>
      <c r="K13" s="25" t="s">
        <v>54</v>
      </c>
      <c r="L13" s="43">
        <v>10000</v>
      </c>
    </row>
    <row r="14" spans="1:66" s="31" customFormat="1" ht="14.25" customHeight="1">
      <c r="A14" s="53"/>
      <c r="B14" s="48"/>
      <c r="C14" s="25" t="s">
        <v>63</v>
      </c>
      <c r="D14" s="15">
        <f t="shared" si="0"/>
        <v>115.4</v>
      </c>
      <c r="E14" s="44">
        <f t="shared" si="3"/>
        <v>1787192.7466396147</v>
      </c>
      <c r="F14" s="52">
        <f t="shared" si="1"/>
        <v>1790000</v>
      </c>
      <c r="G14" s="38">
        <f>SUM(D2:D17)</f>
        <v>985.74999999999989</v>
      </c>
      <c r="H14" s="43">
        <f>I10</f>
        <v>15266250</v>
      </c>
      <c r="I14" s="42">
        <f>H14/G14</f>
        <v>15486.938879026124</v>
      </c>
      <c r="K14" s="25" t="s">
        <v>63</v>
      </c>
      <c r="L14" s="43"/>
      <c r="N14" s="31">
        <f t="shared" ref="N14:BH14" si="4">N18</f>
        <v>41133</v>
      </c>
      <c r="O14" s="31">
        <f t="shared" si="4"/>
        <v>41134</v>
      </c>
      <c r="P14" s="31">
        <f t="shared" si="4"/>
        <v>41135</v>
      </c>
      <c r="Q14" s="31">
        <f t="shared" si="4"/>
        <v>41136</v>
      </c>
      <c r="R14" s="31">
        <f t="shared" si="4"/>
        <v>41137</v>
      </c>
      <c r="S14" s="31">
        <f t="shared" si="4"/>
        <v>41138</v>
      </c>
      <c r="T14" s="31">
        <f t="shared" si="4"/>
        <v>41139</v>
      </c>
      <c r="U14" s="31">
        <f t="shared" si="4"/>
        <v>41140</v>
      </c>
      <c r="V14" s="31">
        <f t="shared" si="4"/>
        <v>41141</v>
      </c>
      <c r="W14" s="31">
        <f t="shared" si="4"/>
        <v>41142</v>
      </c>
      <c r="X14" s="31">
        <f t="shared" si="4"/>
        <v>41143</v>
      </c>
      <c r="Y14" s="31">
        <f t="shared" si="4"/>
        <v>41144</v>
      </c>
      <c r="Z14" s="31">
        <f t="shared" si="4"/>
        <v>41145</v>
      </c>
      <c r="AA14" s="31">
        <f t="shared" si="4"/>
        <v>41146</v>
      </c>
      <c r="AB14" s="31">
        <f t="shared" si="4"/>
        <v>41147</v>
      </c>
      <c r="AC14" s="31">
        <f t="shared" si="4"/>
        <v>41148</v>
      </c>
      <c r="AD14" s="31">
        <f t="shared" si="4"/>
        <v>41149</v>
      </c>
      <c r="AE14" s="31">
        <f t="shared" si="4"/>
        <v>41150</v>
      </c>
      <c r="AF14" s="31">
        <f t="shared" si="4"/>
        <v>41151</v>
      </c>
      <c r="AG14" s="31">
        <f t="shared" si="4"/>
        <v>41152</v>
      </c>
      <c r="AH14" s="31">
        <f t="shared" si="4"/>
        <v>41153</v>
      </c>
      <c r="AI14" s="31">
        <f t="shared" si="4"/>
        <v>41154</v>
      </c>
      <c r="AJ14" s="31">
        <f t="shared" si="4"/>
        <v>41155</v>
      </c>
      <c r="AK14" s="31">
        <f t="shared" si="4"/>
        <v>41156</v>
      </c>
      <c r="AL14" s="31">
        <f t="shared" si="4"/>
        <v>41157</v>
      </c>
      <c r="AM14" s="31">
        <f t="shared" si="4"/>
        <v>41158</v>
      </c>
      <c r="AN14" s="31">
        <f t="shared" si="4"/>
        <v>41159</v>
      </c>
      <c r="AO14" s="31">
        <f t="shared" si="4"/>
        <v>41160</v>
      </c>
      <c r="AP14" s="31">
        <f t="shared" si="4"/>
        <v>41161</v>
      </c>
      <c r="AQ14" s="31">
        <f t="shared" si="4"/>
        <v>41162</v>
      </c>
      <c r="AR14" s="31">
        <f t="shared" si="4"/>
        <v>41163</v>
      </c>
      <c r="AS14" s="31">
        <f t="shared" si="4"/>
        <v>41164</v>
      </c>
      <c r="AT14" s="31">
        <f t="shared" si="4"/>
        <v>41165</v>
      </c>
      <c r="AU14" s="31">
        <f t="shared" si="4"/>
        <v>41166</v>
      </c>
      <c r="AV14" s="31">
        <f t="shared" si="4"/>
        <v>41167</v>
      </c>
      <c r="AW14" s="31">
        <f t="shared" si="4"/>
        <v>41168</v>
      </c>
      <c r="AX14" s="31">
        <f t="shared" si="4"/>
        <v>41169</v>
      </c>
      <c r="AY14" s="31">
        <f t="shared" si="4"/>
        <v>41170</v>
      </c>
      <c r="AZ14" s="31">
        <f t="shared" si="4"/>
        <v>41171</v>
      </c>
      <c r="BA14" s="31">
        <f t="shared" si="4"/>
        <v>41172</v>
      </c>
      <c r="BB14" s="31">
        <f t="shared" si="4"/>
        <v>41173</v>
      </c>
      <c r="BC14" s="31">
        <f t="shared" si="4"/>
        <v>41174</v>
      </c>
      <c r="BD14" s="31">
        <f t="shared" si="4"/>
        <v>41175</v>
      </c>
      <c r="BE14" s="31">
        <f t="shared" si="4"/>
        <v>41176</v>
      </c>
      <c r="BF14" s="31">
        <f t="shared" si="4"/>
        <v>41177</v>
      </c>
      <c r="BG14" s="31">
        <f t="shared" si="4"/>
        <v>41178</v>
      </c>
      <c r="BH14" s="31">
        <f t="shared" si="4"/>
        <v>41179</v>
      </c>
      <c r="BI14" s="31">
        <f t="shared" ref="BI14:BN14" si="5">BI18</f>
        <v>41180</v>
      </c>
      <c r="BJ14" s="31">
        <f t="shared" si="5"/>
        <v>41181</v>
      </c>
      <c r="BK14" s="31">
        <f t="shared" si="5"/>
        <v>41182</v>
      </c>
      <c r="BL14" s="31">
        <f t="shared" si="5"/>
        <v>41183</v>
      </c>
      <c r="BM14" s="31">
        <f t="shared" si="5"/>
        <v>41184</v>
      </c>
      <c r="BN14" s="31">
        <f t="shared" si="5"/>
        <v>41185</v>
      </c>
    </row>
    <row r="15" spans="1:66" s="31" customFormat="1" ht="14.25" customHeight="1">
      <c r="A15" s="53"/>
      <c r="B15" s="48">
        <v>50000</v>
      </c>
      <c r="C15" s="25" t="s">
        <v>168</v>
      </c>
      <c r="D15" s="15">
        <f t="shared" si="0"/>
        <v>15</v>
      </c>
      <c r="E15" s="44">
        <f t="shared" si="3"/>
        <v>232304.08318539185</v>
      </c>
      <c r="F15" s="52">
        <f t="shared" si="1"/>
        <v>230000</v>
      </c>
      <c r="K15" s="25" t="s">
        <v>168</v>
      </c>
      <c r="L15" s="43"/>
    </row>
    <row r="16" spans="1:66" s="31" customFormat="1" ht="14.25" customHeight="1">
      <c r="A16" s="53"/>
      <c r="B16" s="48"/>
      <c r="C16" s="25" t="s">
        <v>85</v>
      </c>
      <c r="D16" s="15">
        <f t="shared" si="0"/>
        <v>5</v>
      </c>
      <c r="E16" s="44">
        <f t="shared" si="3"/>
        <v>77434.694395130617</v>
      </c>
      <c r="F16" s="52">
        <f t="shared" si="1"/>
        <v>80000</v>
      </c>
      <c r="K16" s="25"/>
      <c r="L16" s="43"/>
    </row>
    <row r="17" spans="1:101" ht="14.25" customHeight="1">
      <c r="A17" s="53"/>
      <c r="B17" s="48"/>
      <c r="C17" s="25" t="s">
        <v>76</v>
      </c>
      <c r="D17" s="15">
        <f t="shared" si="0"/>
        <v>42</v>
      </c>
      <c r="E17" s="44">
        <f t="shared" si="3"/>
        <v>650451.43291909725</v>
      </c>
      <c r="F17" s="52">
        <f t="shared" si="1"/>
        <v>650000</v>
      </c>
      <c r="G17" s="39"/>
      <c r="H17" s="39"/>
      <c r="I17" s="39"/>
      <c r="J17" s="31"/>
      <c r="K17" s="25" t="s">
        <v>76</v>
      </c>
      <c r="L17" s="43">
        <v>25000</v>
      </c>
    </row>
    <row r="18" spans="1:101" s="16" customFormat="1" ht="13.5" customHeight="1">
      <c r="A18" s="51"/>
      <c r="B18" s="17" t="s">
        <v>39</v>
      </c>
      <c r="C18" s="17" t="s">
        <v>40</v>
      </c>
      <c r="D18" s="17" t="s">
        <v>149</v>
      </c>
      <c r="E18" s="17" t="s">
        <v>148</v>
      </c>
      <c r="F18" s="17" t="s">
        <v>150</v>
      </c>
      <c r="G18" s="17" t="s">
        <v>148</v>
      </c>
      <c r="H18" s="17" t="s">
        <v>151</v>
      </c>
      <c r="I18" s="17" t="s">
        <v>41</v>
      </c>
      <c r="J18" s="17" t="s">
        <v>42</v>
      </c>
      <c r="K18" s="17" t="s">
        <v>43</v>
      </c>
      <c r="L18" s="17" t="s">
        <v>44</v>
      </c>
      <c r="M18" s="17" t="s">
        <v>45</v>
      </c>
      <c r="N18" s="17">
        <v>41133</v>
      </c>
      <c r="O18" s="17">
        <f>N18+1</f>
        <v>41134</v>
      </c>
      <c r="P18" s="17">
        <f t="shared" ref="P18:AZ18" si="6">O18+1</f>
        <v>41135</v>
      </c>
      <c r="Q18" s="17">
        <f t="shared" si="6"/>
        <v>41136</v>
      </c>
      <c r="R18" s="17">
        <f t="shared" si="6"/>
        <v>41137</v>
      </c>
      <c r="S18" s="17">
        <f t="shared" si="6"/>
        <v>41138</v>
      </c>
      <c r="T18" s="17">
        <f t="shared" si="6"/>
        <v>41139</v>
      </c>
      <c r="U18" s="17">
        <f t="shared" si="6"/>
        <v>41140</v>
      </c>
      <c r="V18" s="17">
        <f t="shared" si="6"/>
        <v>41141</v>
      </c>
      <c r="W18" s="17">
        <f t="shared" si="6"/>
        <v>41142</v>
      </c>
      <c r="X18" s="17">
        <f t="shared" si="6"/>
        <v>41143</v>
      </c>
      <c r="Y18" s="17">
        <f t="shared" si="6"/>
        <v>41144</v>
      </c>
      <c r="Z18" s="17">
        <f t="shared" si="6"/>
        <v>41145</v>
      </c>
      <c r="AA18" s="17">
        <f t="shared" si="6"/>
        <v>41146</v>
      </c>
      <c r="AB18" s="17">
        <f t="shared" si="6"/>
        <v>41147</v>
      </c>
      <c r="AC18" s="17">
        <f t="shared" si="6"/>
        <v>41148</v>
      </c>
      <c r="AD18" s="17">
        <f t="shared" si="6"/>
        <v>41149</v>
      </c>
      <c r="AE18" s="17">
        <f t="shared" si="6"/>
        <v>41150</v>
      </c>
      <c r="AF18" s="17">
        <f t="shared" si="6"/>
        <v>41151</v>
      </c>
      <c r="AG18" s="17">
        <f t="shared" si="6"/>
        <v>41152</v>
      </c>
      <c r="AH18" s="17">
        <f t="shared" si="6"/>
        <v>41153</v>
      </c>
      <c r="AI18" s="17">
        <f t="shared" si="6"/>
        <v>41154</v>
      </c>
      <c r="AJ18" s="17">
        <f t="shared" si="6"/>
        <v>41155</v>
      </c>
      <c r="AK18" s="17">
        <f t="shared" si="6"/>
        <v>41156</v>
      </c>
      <c r="AL18" s="17">
        <f t="shared" si="6"/>
        <v>41157</v>
      </c>
      <c r="AM18" s="17">
        <f t="shared" si="6"/>
        <v>41158</v>
      </c>
      <c r="AN18" s="17">
        <f t="shared" si="6"/>
        <v>41159</v>
      </c>
      <c r="AO18" s="17">
        <f t="shared" si="6"/>
        <v>41160</v>
      </c>
      <c r="AP18" s="17">
        <f t="shared" si="6"/>
        <v>41161</v>
      </c>
      <c r="AQ18" s="17">
        <f t="shared" si="6"/>
        <v>41162</v>
      </c>
      <c r="AR18" s="17">
        <f t="shared" si="6"/>
        <v>41163</v>
      </c>
      <c r="AS18" s="17">
        <f t="shared" si="6"/>
        <v>41164</v>
      </c>
      <c r="AT18" s="17">
        <f t="shared" si="6"/>
        <v>41165</v>
      </c>
      <c r="AU18" s="17">
        <f t="shared" si="6"/>
        <v>41166</v>
      </c>
      <c r="AV18" s="17">
        <f t="shared" si="6"/>
        <v>41167</v>
      </c>
      <c r="AW18" s="17">
        <f t="shared" si="6"/>
        <v>41168</v>
      </c>
      <c r="AX18" s="17">
        <f t="shared" si="6"/>
        <v>41169</v>
      </c>
      <c r="AY18" s="17">
        <f t="shared" si="6"/>
        <v>41170</v>
      </c>
      <c r="AZ18" s="17">
        <f t="shared" si="6"/>
        <v>41171</v>
      </c>
      <c r="BA18" s="17">
        <f>AZ18+1</f>
        <v>41172</v>
      </c>
      <c r="BB18" s="17">
        <f>BA18+1</f>
        <v>41173</v>
      </c>
      <c r="BC18" s="17">
        <f t="shared" ref="BC18:BD18" si="7">BB18+1</f>
        <v>41174</v>
      </c>
      <c r="BD18" s="17">
        <f t="shared" si="7"/>
        <v>41175</v>
      </c>
      <c r="BE18" s="17">
        <f t="shared" ref="BE18:BO18" si="8">BD18+1</f>
        <v>41176</v>
      </c>
      <c r="BF18" s="17">
        <f t="shared" si="8"/>
        <v>41177</v>
      </c>
      <c r="BG18" s="17">
        <f t="shared" si="8"/>
        <v>41178</v>
      </c>
      <c r="BH18" s="17">
        <f t="shared" si="8"/>
        <v>41179</v>
      </c>
      <c r="BI18" s="17">
        <f t="shared" si="8"/>
        <v>41180</v>
      </c>
      <c r="BJ18" s="17">
        <f t="shared" si="8"/>
        <v>41181</v>
      </c>
      <c r="BK18" s="17">
        <f t="shared" si="8"/>
        <v>41182</v>
      </c>
      <c r="BL18" s="17">
        <f t="shared" si="8"/>
        <v>41183</v>
      </c>
      <c r="BM18" s="17">
        <f t="shared" si="8"/>
        <v>41184</v>
      </c>
      <c r="BN18" s="17">
        <f t="shared" si="8"/>
        <v>41185</v>
      </c>
      <c r="BO18" s="17">
        <f t="shared" si="8"/>
        <v>41186</v>
      </c>
      <c r="BP18" s="17">
        <f t="shared" ref="BP18:CW18" si="9">BO18+1</f>
        <v>41187</v>
      </c>
      <c r="BQ18" s="17">
        <f t="shared" si="9"/>
        <v>41188</v>
      </c>
      <c r="BR18" s="17">
        <f t="shared" si="9"/>
        <v>41189</v>
      </c>
      <c r="BS18" s="17">
        <f t="shared" si="9"/>
        <v>41190</v>
      </c>
      <c r="BT18" s="17">
        <f t="shared" si="9"/>
        <v>41191</v>
      </c>
      <c r="BU18" s="17">
        <f t="shared" si="9"/>
        <v>41192</v>
      </c>
      <c r="BV18" s="17">
        <f t="shared" si="9"/>
        <v>41193</v>
      </c>
      <c r="BW18" s="17">
        <f t="shared" si="9"/>
        <v>41194</v>
      </c>
      <c r="BX18" s="17">
        <f t="shared" si="9"/>
        <v>41195</v>
      </c>
      <c r="BY18" s="17">
        <f t="shared" si="9"/>
        <v>41196</v>
      </c>
      <c r="BZ18" s="17">
        <f t="shared" si="9"/>
        <v>41197</v>
      </c>
      <c r="CA18" s="17">
        <f t="shared" si="9"/>
        <v>41198</v>
      </c>
      <c r="CB18" s="17">
        <f t="shared" si="9"/>
        <v>41199</v>
      </c>
      <c r="CC18" s="17">
        <f t="shared" si="9"/>
        <v>41200</v>
      </c>
      <c r="CD18" s="17">
        <f t="shared" si="9"/>
        <v>41201</v>
      </c>
      <c r="CE18" s="17">
        <f t="shared" si="9"/>
        <v>41202</v>
      </c>
      <c r="CF18" s="17">
        <f t="shared" si="9"/>
        <v>41203</v>
      </c>
      <c r="CG18" s="17">
        <f t="shared" si="9"/>
        <v>41204</v>
      </c>
      <c r="CH18" s="17">
        <f t="shared" si="9"/>
        <v>41205</v>
      </c>
      <c r="CI18" s="17">
        <f t="shared" si="9"/>
        <v>41206</v>
      </c>
      <c r="CJ18" s="17">
        <f t="shared" si="9"/>
        <v>41207</v>
      </c>
      <c r="CK18" s="17">
        <f t="shared" si="9"/>
        <v>41208</v>
      </c>
      <c r="CL18" s="17">
        <f t="shared" si="9"/>
        <v>41209</v>
      </c>
      <c r="CM18" s="17">
        <f t="shared" si="9"/>
        <v>41210</v>
      </c>
      <c r="CN18" s="17">
        <f t="shared" si="9"/>
        <v>41211</v>
      </c>
      <c r="CO18" s="17">
        <f t="shared" si="9"/>
        <v>41212</v>
      </c>
      <c r="CP18" s="17">
        <f t="shared" si="9"/>
        <v>41213</v>
      </c>
      <c r="CQ18" s="17">
        <f t="shared" si="9"/>
        <v>41214</v>
      </c>
      <c r="CR18" s="17">
        <f t="shared" si="9"/>
        <v>41215</v>
      </c>
      <c r="CS18" s="17">
        <f t="shared" si="9"/>
        <v>41216</v>
      </c>
      <c r="CT18" s="17">
        <f t="shared" si="9"/>
        <v>41217</v>
      </c>
      <c r="CU18" s="17">
        <f t="shared" si="9"/>
        <v>41218</v>
      </c>
      <c r="CV18" s="17">
        <f t="shared" si="9"/>
        <v>41219</v>
      </c>
      <c r="CW18" s="17">
        <f t="shared" si="9"/>
        <v>41220</v>
      </c>
    </row>
    <row r="19" spans="1:101" s="18" customFormat="1">
      <c r="A19" s="51"/>
      <c r="B19" s="19"/>
      <c r="C19" s="28" t="s">
        <v>80</v>
      </c>
      <c r="D19" s="32"/>
      <c r="E19" s="32"/>
      <c r="F19" s="32"/>
      <c r="G19" s="3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</row>
    <row r="20" spans="1:101" s="18" customFormat="1">
      <c r="A20" s="51"/>
      <c r="B20" s="19"/>
      <c r="C20" s="28"/>
      <c r="D20" s="32"/>
      <c r="E20" s="32"/>
      <c r="F20" s="32"/>
      <c r="G20" s="32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</row>
    <row r="21" spans="1:101">
      <c r="A21" s="51"/>
      <c r="B21" s="20"/>
      <c r="C21" s="27" t="s">
        <v>81</v>
      </c>
      <c r="D21" s="20" t="s">
        <v>54</v>
      </c>
      <c r="E21" s="20">
        <v>3</v>
      </c>
      <c r="F21" s="20" t="s">
        <v>55</v>
      </c>
      <c r="G21" s="20">
        <v>3</v>
      </c>
      <c r="H21" s="20"/>
      <c r="I21" s="20"/>
      <c r="J21" s="21"/>
      <c r="K21" s="21"/>
      <c r="L21" s="21" t="s">
        <v>38</v>
      </c>
      <c r="M21" s="2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1:101">
      <c r="A22" s="51"/>
      <c r="B22" s="20"/>
      <c r="C22" s="27" t="s">
        <v>82</v>
      </c>
      <c r="D22" s="20" t="s">
        <v>85</v>
      </c>
      <c r="E22" s="20">
        <v>5</v>
      </c>
      <c r="F22" s="20" t="s">
        <v>67</v>
      </c>
      <c r="G22" s="20">
        <v>3</v>
      </c>
      <c r="H22" s="20" t="s">
        <v>54</v>
      </c>
      <c r="I22" s="20">
        <v>3</v>
      </c>
      <c r="J22" s="21"/>
      <c r="K22" s="21"/>
      <c r="L22" s="21" t="s">
        <v>38</v>
      </c>
      <c r="M22" s="2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1:101">
      <c r="A23" s="51"/>
      <c r="B23" s="20"/>
      <c r="C23" s="27" t="s">
        <v>83</v>
      </c>
      <c r="D23" s="20" t="s">
        <v>63</v>
      </c>
      <c r="E23" s="20">
        <v>5</v>
      </c>
      <c r="F23" s="20" t="s">
        <v>67</v>
      </c>
      <c r="G23" s="20">
        <v>3</v>
      </c>
      <c r="H23" s="20" t="s">
        <v>56</v>
      </c>
      <c r="I23" s="20">
        <v>3</v>
      </c>
      <c r="J23" s="21"/>
      <c r="K23" s="21"/>
      <c r="L23" s="21" t="s">
        <v>38</v>
      </c>
      <c r="M23" s="2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1:101">
      <c r="A24" s="51"/>
      <c r="B24" s="20"/>
      <c r="C24" s="27" t="s">
        <v>84</v>
      </c>
      <c r="D24" s="20" t="s">
        <v>63</v>
      </c>
      <c r="E24" s="20">
        <v>5</v>
      </c>
      <c r="F24" s="20" t="s">
        <v>67</v>
      </c>
      <c r="G24" s="20">
        <v>3</v>
      </c>
      <c r="H24" s="20" t="s">
        <v>56</v>
      </c>
      <c r="I24" s="20">
        <v>3</v>
      </c>
      <c r="J24" s="21"/>
      <c r="K24" s="21"/>
      <c r="L24" s="21" t="s">
        <v>38</v>
      </c>
      <c r="M24" s="2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1:101">
      <c r="A25" s="51"/>
      <c r="B25" s="20"/>
      <c r="C25" s="27" t="s">
        <v>137</v>
      </c>
      <c r="D25" s="20" t="s">
        <v>67</v>
      </c>
      <c r="E25" s="20">
        <v>3</v>
      </c>
      <c r="F25" s="20" t="s">
        <v>56</v>
      </c>
      <c r="G25" s="20">
        <v>3</v>
      </c>
      <c r="H25" s="20"/>
      <c r="I25" s="20"/>
      <c r="J25" s="21"/>
      <c r="K25" s="21"/>
      <c r="L25" s="21" t="s">
        <v>38</v>
      </c>
      <c r="M25" s="2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1:101">
      <c r="A26" s="51"/>
      <c r="B26" s="20"/>
      <c r="C26" s="27" t="s">
        <v>139</v>
      </c>
      <c r="D26" s="20" t="s">
        <v>67</v>
      </c>
      <c r="E26" s="20">
        <v>3</v>
      </c>
      <c r="F26" s="20" t="s">
        <v>56</v>
      </c>
      <c r="G26" s="20">
        <v>3</v>
      </c>
      <c r="H26" s="20"/>
      <c r="I26" s="20"/>
      <c r="J26" s="21"/>
      <c r="K26" s="21"/>
      <c r="L26" s="21" t="s">
        <v>38</v>
      </c>
      <c r="M26" s="2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1:101">
      <c r="A27" s="51"/>
      <c r="B27" s="20"/>
      <c r="C27" s="27" t="s">
        <v>140</v>
      </c>
      <c r="D27" s="20" t="s">
        <v>67</v>
      </c>
      <c r="E27" s="20">
        <v>3</v>
      </c>
      <c r="F27" s="20" t="s">
        <v>56</v>
      </c>
      <c r="G27" s="20">
        <v>3</v>
      </c>
      <c r="H27" s="20"/>
      <c r="I27" s="20"/>
      <c r="J27" s="21"/>
      <c r="K27" s="21"/>
      <c r="L27" s="21" t="s">
        <v>38</v>
      </c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1:101">
      <c r="A28" s="51"/>
      <c r="B28" s="20"/>
      <c r="C28" s="27" t="s">
        <v>138</v>
      </c>
      <c r="D28" s="20" t="s">
        <v>67</v>
      </c>
      <c r="E28" s="20">
        <v>3</v>
      </c>
      <c r="F28" s="20" t="s">
        <v>56</v>
      </c>
      <c r="G28" s="20">
        <v>3</v>
      </c>
      <c r="H28" s="20"/>
      <c r="I28" s="20"/>
      <c r="J28" s="21"/>
      <c r="K28" s="21"/>
      <c r="L28" s="21"/>
      <c r="M28" s="2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1:101">
      <c r="A29" s="51"/>
      <c r="B29" s="20"/>
      <c r="C29" s="27" t="s">
        <v>141</v>
      </c>
      <c r="D29" s="20" t="s">
        <v>67</v>
      </c>
      <c r="E29" s="20">
        <v>3</v>
      </c>
      <c r="F29" s="20" t="s">
        <v>56</v>
      </c>
      <c r="G29" s="20">
        <v>3</v>
      </c>
      <c r="H29" s="20"/>
      <c r="I29" s="20"/>
      <c r="J29" s="21"/>
      <c r="K29" s="21"/>
      <c r="L29" s="21"/>
      <c r="M29" s="2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1:101">
      <c r="A30" s="51"/>
      <c r="B30" s="20"/>
      <c r="C30" s="27" t="s">
        <v>142</v>
      </c>
      <c r="D30" s="20" t="s">
        <v>67</v>
      </c>
      <c r="E30" s="20">
        <v>3</v>
      </c>
      <c r="F30" s="20" t="s">
        <v>56</v>
      </c>
      <c r="G30" s="20">
        <v>3</v>
      </c>
      <c r="H30" s="20"/>
      <c r="I30" s="20"/>
      <c r="J30" s="20" t="s">
        <v>143</v>
      </c>
      <c r="K30" s="21"/>
      <c r="L30" s="21"/>
      <c r="M30" s="2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1:101">
      <c r="A31" s="51"/>
      <c r="B31" s="20"/>
      <c r="C31" s="27" t="s">
        <v>138</v>
      </c>
      <c r="D31" s="20" t="s">
        <v>67</v>
      </c>
      <c r="E31" s="20">
        <v>3</v>
      </c>
      <c r="F31" s="20" t="s">
        <v>56</v>
      </c>
      <c r="G31" s="20">
        <v>3</v>
      </c>
      <c r="H31" s="20"/>
      <c r="I31" s="20"/>
      <c r="J31" s="20" t="s">
        <v>146</v>
      </c>
      <c r="K31" s="21"/>
      <c r="L31" s="21" t="s">
        <v>38</v>
      </c>
      <c r="M31" s="2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1:101">
      <c r="A32" s="51"/>
      <c r="B32" s="20"/>
      <c r="C32" s="27" t="s">
        <v>147</v>
      </c>
      <c r="D32" s="20" t="s">
        <v>67</v>
      </c>
      <c r="E32" s="20">
        <v>3</v>
      </c>
      <c r="F32" s="20" t="s">
        <v>56</v>
      </c>
      <c r="G32" s="20">
        <v>3</v>
      </c>
      <c r="H32" s="20"/>
      <c r="I32" s="20"/>
      <c r="J32" s="35">
        <v>41218</v>
      </c>
      <c r="K32" s="21"/>
      <c r="L32" s="21" t="s">
        <v>38</v>
      </c>
      <c r="M32" s="2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1:101">
      <c r="A33" s="51"/>
      <c r="B33" s="20"/>
      <c r="C33" s="27" t="s">
        <v>138</v>
      </c>
      <c r="D33" s="20" t="s">
        <v>55</v>
      </c>
      <c r="E33" s="20">
        <v>3</v>
      </c>
      <c r="F33" s="20" t="s">
        <v>56</v>
      </c>
      <c r="G33" s="20">
        <v>3</v>
      </c>
      <c r="H33" s="20"/>
      <c r="I33" s="20"/>
      <c r="J33" s="35">
        <v>41101</v>
      </c>
      <c r="K33" s="21"/>
      <c r="L33" s="21"/>
      <c r="M33" s="2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1:101">
      <c r="A34" s="51"/>
      <c r="B34" s="20"/>
      <c r="C34" s="27" t="s">
        <v>152</v>
      </c>
      <c r="D34" s="20" t="s">
        <v>67</v>
      </c>
      <c r="E34" s="20">
        <v>3</v>
      </c>
      <c r="F34" s="20" t="s">
        <v>56</v>
      </c>
      <c r="G34" s="20">
        <v>3</v>
      </c>
      <c r="H34" s="20"/>
      <c r="I34" s="20"/>
      <c r="J34" s="35"/>
      <c r="K34" s="21"/>
      <c r="L34" s="21"/>
      <c r="M34" s="2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1:101">
      <c r="A35" s="51"/>
      <c r="B35" s="20"/>
      <c r="C35" s="27" t="s">
        <v>138</v>
      </c>
      <c r="D35" s="20" t="s">
        <v>67</v>
      </c>
      <c r="E35" s="20">
        <v>5</v>
      </c>
      <c r="F35" s="20" t="s">
        <v>55</v>
      </c>
      <c r="G35" s="20">
        <v>5</v>
      </c>
      <c r="H35" s="20" t="s">
        <v>56</v>
      </c>
      <c r="I35" s="20">
        <v>5</v>
      </c>
      <c r="J35" s="35">
        <v>41229</v>
      </c>
      <c r="K35" s="21"/>
      <c r="L35" s="21"/>
      <c r="M35" s="2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1:101">
      <c r="A36" s="51"/>
      <c r="B36" s="20"/>
      <c r="C36" s="27" t="s">
        <v>138</v>
      </c>
      <c r="D36" s="20" t="s">
        <v>67</v>
      </c>
      <c r="E36" s="20">
        <v>3</v>
      </c>
      <c r="F36" s="20" t="s">
        <v>55</v>
      </c>
      <c r="G36" s="20">
        <v>3</v>
      </c>
      <c r="H36" s="20" t="s">
        <v>56</v>
      </c>
      <c r="I36" s="20">
        <v>3</v>
      </c>
      <c r="J36" s="21"/>
      <c r="K36" s="21"/>
      <c r="L36" s="21"/>
      <c r="M36" s="2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1:101">
      <c r="A37" s="51"/>
      <c r="B37" s="20"/>
      <c r="C37" s="27" t="s">
        <v>154</v>
      </c>
      <c r="D37" s="20" t="s">
        <v>67</v>
      </c>
      <c r="E37" s="20">
        <v>3</v>
      </c>
      <c r="F37" s="20"/>
      <c r="G37" s="20"/>
      <c r="H37" s="35"/>
      <c r="I37" s="20"/>
      <c r="J37" s="21"/>
      <c r="K37" s="21"/>
      <c r="L37" s="21"/>
      <c r="M37" s="2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1:101">
      <c r="A38" s="51"/>
      <c r="B38" s="20"/>
      <c r="C38" s="27" t="s">
        <v>155</v>
      </c>
      <c r="D38" s="20" t="s">
        <v>67</v>
      </c>
      <c r="E38" s="20">
        <v>3</v>
      </c>
      <c r="F38" s="20"/>
      <c r="G38" s="20"/>
      <c r="H38" s="35"/>
      <c r="I38" s="20"/>
      <c r="J38" s="21"/>
      <c r="K38" s="21"/>
      <c r="L38" s="21"/>
      <c r="M38" s="2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1:101">
      <c r="A39" s="51"/>
      <c r="B39" s="20"/>
      <c r="C39" s="27" t="s">
        <v>156</v>
      </c>
      <c r="D39" s="20" t="s">
        <v>67</v>
      </c>
      <c r="E39" s="20">
        <v>3</v>
      </c>
      <c r="F39" s="20"/>
      <c r="G39" s="20"/>
      <c r="H39" s="35"/>
      <c r="I39" s="20"/>
      <c r="J39" s="21"/>
      <c r="K39" s="21"/>
      <c r="L39" s="21"/>
      <c r="M39" s="2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1:101">
      <c r="A40" s="51"/>
      <c r="B40" s="20"/>
      <c r="C40" s="27"/>
      <c r="D40" s="20"/>
      <c r="E40" s="20"/>
      <c r="F40" s="20"/>
      <c r="G40" s="20"/>
      <c r="H40" s="20"/>
      <c r="I40" s="20"/>
      <c r="J40" s="21"/>
      <c r="K40" s="21"/>
      <c r="L40" s="21" t="s">
        <v>38</v>
      </c>
      <c r="M40" s="2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1:101" s="18" customFormat="1">
      <c r="A41" s="51"/>
      <c r="B41" s="19"/>
      <c r="C41" s="28" t="s">
        <v>61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</row>
    <row r="42" spans="1:101">
      <c r="A42" s="51"/>
      <c r="B42" s="20"/>
      <c r="C42" s="27" t="s">
        <v>62</v>
      </c>
      <c r="D42" s="20" t="s">
        <v>63</v>
      </c>
      <c r="E42" s="20">
        <v>15</v>
      </c>
      <c r="F42" s="20"/>
      <c r="G42" s="20"/>
      <c r="H42" s="20"/>
      <c r="I42" s="20"/>
      <c r="J42" s="21"/>
      <c r="K42" s="21"/>
      <c r="L42" s="21" t="s">
        <v>38</v>
      </c>
      <c r="M42" s="2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1:101">
      <c r="A43" s="51"/>
      <c r="B43" s="20"/>
      <c r="C43" s="27" t="s">
        <v>64</v>
      </c>
      <c r="D43" s="20" t="s">
        <v>66</v>
      </c>
      <c r="E43" s="20">
        <v>3</v>
      </c>
      <c r="F43" s="20" t="s">
        <v>67</v>
      </c>
      <c r="G43" s="20">
        <v>1</v>
      </c>
      <c r="H43" s="20"/>
      <c r="I43" s="20"/>
      <c r="J43" s="21"/>
      <c r="K43" s="21"/>
      <c r="L43" s="21" t="s">
        <v>38</v>
      </c>
      <c r="M43" s="2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1:101">
      <c r="A44" s="51"/>
      <c r="B44" s="20"/>
      <c r="C44" s="27" t="s">
        <v>65</v>
      </c>
      <c r="D44" s="20" t="s">
        <v>56</v>
      </c>
      <c r="E44" s="20">
        <v>5</v>
      </c>
      <c r="F44" s="20" t="s">
        <v>63</v>
      </c>
      <c r="G44" s="20">
        <v>5</v>
      </c>
      <c r="H44" s="20"/>
      <c r="I44" s="20"/>
      <c r="J44" s="21"/>
      <c r="K44" s="21"/>
      <c r="L44" s="21" t="s">
        <v>38</v>
      </c>
      <c r="M44" s="2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1:101">
      <c r="A45" s="51"/>
      <c r="B45" s="20"/>
      <c r="C45" s="27" t="s">
        <v>68</v>
      </c>
      <c r="D45" s="20" t="s">
        <v>63</v>
      </c>
      <c r="E45" s="20">
        <v>50</v>
      </c>
      <c r="F45" s="20" t="s">
        <v>55</v>
      </c>
      <c r="G45" s="20">
        <v>5</v>
      </c>
      <c r="H45" s="20" t="s">
        <v>56</v>
      </c>
      <c r="I45" s="20">
        <v>2</v>
      </c>
      <c r="J45" s="21"/>
      <c r="K45" s="21"/>
      <c r="L45" s="21" t="s">
        <v>38</v>
      </c>
      <c r="M45" s="2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1:101">
      <c r="A46" s="51"/>
      <c r="B46" s="20"/>
      <c r="C46" s="27" t="s">
        <v>89</v>
      </c>
      <c r="D46" s="20" t="s">
        <v>55</v>
      </c>
      <c r="E46" s="20">
        <v>2</v>
      </c>
      <c r="F46" s="20"/>
      <c r="G46" s="20"/>
      <c r="H46" s="20"/>
      <c r="I46" s="20"/>
      <c r="J46" s="21"/>
      <c r="K46" s="21"/>
      <c r="L46" s="21" t="s">
        <v>38</v>
      </c>
      <c r="M46" s="2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1:101">
      <c r="A47" s="51"/>
      <c r="B47" s="20"/>
      <c r="C47" s="27" t="s">
        <v>90</v>
      </c>
      <c r="D47" s="20" t="s">
        <v>56</v>
      </c>
      <c r="E47" s="20">
        <v>5</v>
      </c>
      <c r="F47" s="20"/>
      <c r="G47" s="20"/>
      <c r="H47" s="20"/>
      <c r="I47" s="20"/>
      <c r="J47" s="21"/>
      <c r="K47" s="21"/>
      <c r="L47" s="21" t="s">
        <v>38</v>
      </c>
      <c r="M47" s="2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1:101">
      <c r="A48" s="51"/>
      <c r="B48" s="20"/>
      <c r="C48" s="27" t="s">
        <v>69</v>
      </c>
      <c r="D48" s="20" t="s">
        <v>70</v>
      </c>
      <c r="E48" s="20">
        <v>3</v>
      </c>
      <c r="F48" s="20" t="s">
        <v>71</v>
      </c>
      <c r="G48" s="20">
        <v>3</v>
      </c>
      <c r="H48" s="20" t="s">
        <v>56</v>
      </c>
      <c r="I48" s="20">
        <v>3</v>
      </c>
      <c r="J48" s="21"/>
      <c r="K48" s="21"/>
      <c r="L48" s="21" t="s">
        <v>38</v>
      </c>
      <c r="M48" s="2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1:101">
      <c r="A49" s="51"/>
      <c r="B49" s="20"/>
      <c r="C49" s="27"/>
      <c r="D49" s="27"/>
      <c r="E49" s="27"/>
      <c r="F49" s="20"/>
      <c r="G49" s="20"/>
      <c r="H49" s="20"/>
      <c r="I49" s="20"/>
      <c r="J49" s="21"/>
      <c r="K49" s="21"/>
      <c r="L49" s="21"/>
      <c r="M49" s="20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1:101" s="18" customFormat="1">
      <c r="A50" s="51"/>
      <c r="B50" s="19"/>
      <c r="C50" s="28" t="s">
        <v>46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</row>
    <row r="51" spans="1:101">
      <c r="A51" s="51"/>
      <c r="B51" s="20"/>
      <c r="C51" s="27" t="s">
        <v>53</v>
      </c>
      <c r="D51" s="20" t="s">
        <v>55</v>
      </c>
      <c r="E51" s="20">
        <v>5</v>
      </c>
      <c r="F51" s="20" t="s">
        <v>56</v>
      </c>
      <c r="G51" s="20">
        <v>5</v>
      </c>
      <c r="H51" s="20"/>
      <c r="I51" s="20"/>
      <c r="J51" s="21"/>
      <c r="K51" s="21"/>
      <c r="L51" s="21" t="s">
        <v>38</v>
      </c>
      <c r="M51" s="2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1:101">
      <c r="A52" s="51"/>
      <c r="B52" s="20"/>
      <c r="C52" s="27" t="s">
        <v>47</v>
      </c>
      <c r="D52" s="20" t="s">
        <v>55</v>
      </c>
      <c r="E52" s="20">
        <v>2</v>
      </c>
      <c r="F52" s="20"/>
      <c r="G52" s="20"/>
      <c r="H52" s="20"/>
      <c r="I52" s="20"/>
      <c r="J52" s="21"/>
      <c r="K52" s="21"/>
      <c r="L52" s="21" t="s">
        <v>38</v>
      </c>
      <c r="M52" s="2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1:101">
      <c r="A53" s="51"/>
      <c r="B53" s="20"/>
      <c r="C53" s="27" t="s">
        <v>48</v>
      </c>
      <c r="D53" s="20" t="s">
        <v>55</v>
      </c>
      <c r="E53" s="20">
        <v>2</v>
      </c>
      <c r="F53" s="20"/>
      <c r="G53" s="20"/>
      <c r="H53" s="20"/>
      <c r="I53" s="20"/>
      <c r="J53" s="21"/>
      <c r="K53" s="21"/>
      <c r="L53" s="21" t="s">
        <v>38</v>
      </c>
      <c r="M53" s="2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1:101">
      <c r="A54" s="51"/>
      <c r="B54" s="20"/>
      <c r="C54" s="27" t="s">
        <v>91</v>
      </c>
      <c r="D54" s="27" t="s">
        <v>55</v>
      </c>
      <c r="E54" s="20">
        <v>2</v>
      </c>
      <c r="F54" s="20"/>
      <c r="G54" s="20"/>
      <c r="H54" s="20"/>
      <c r="I54" s="20"/>
      <c r="J54" s="21"/>
      <c r="K54" s="21"/>
      <c r="L54" s="21" t="s">
        <v>38</v>
      </c>
      <c r="M54" s="2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1:101">
      <c r="A55" s="51"/>
      <c r="B55" s="20"/>
      <c r="C55" s="27"/>
      <c r="D55" s="20"/>
      <c r="E55" s="20"/>
      <c r="F55" s="20"/>
      <c r="G55" s="20"/>
      <c r="H55" s="20"/>
      <c r="I55" s="20"/>
      <c r="J55" s="21"/>
      <c r="K55" s="21"/>
      <c r="L55" s="21"/>
      <c r="M55" s="20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spans="1:101" s="18" customFormat="1">
      <c r="A56" s="51"/>
      <c r="B56" s="19"/>
      <c r="C56" s="28" t="s">
        <v>117</v>
      </c>
      <c r="D56" s="19" t="s">
        <v>114</v>
      </c>
      <c r="E56" s="19"/>
      <c r="F56" s="19" t="s">
        <v>115</v>
      </c>
      <c r="G56" s="19"/>
      <c r="H56" s="19" t="s">
        <v>191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</row>
    <row r="57" spans="1:101">
      <c r="A57" s="51"/>
      <c r="B57" s="20"/>
      <c r="C57" s="27" t="s">
        <v>86</v>
      </c>
      <c r="D57" s="20" t="s">
        <v>76</v>
      </c>
      <c r="E57" s="20">
        <v>1</v>
      </c>
      <c r="F57" s="20" t="s">
        <v>56</v>
      </c>
      <c r="G57" s="20">
        <v>5</v>
      </c>
      <c r="H57" s="20" t="s">
        <v>67</v>
      </c>
      <c r="I57" s="20">
        <v>5</v>
      </c>
      <c r="J57" s="21"/>
      <c r="K57" s="21"/>
      <c r="L57" s="21" t="s">
        <v>38</v>
      </c>
      <c r="M57" s="20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1:101">
      <c r="A58" s="51"/>
      <c r="B58" s="20"/>
      <c r="C58" s="27" t="s">
        <v>163</v>
      </c>
      <c r="D58" s="20" t="s">
        <v>56</v>
      </c>
      <c r="E58" s="20">
        <v>1</v>
      </c>
      <c r="F58" s="20" t="s">
        <v>57</v>
      </c>
      <c r="G58" s="20">
        <v>5</v>
      </c>
      <c r="H58" s="20" t="s">
        <v>67</v>
      </c>
      <c r="I58" s="20">
        <v>5</v>
      </c>
      <c r="J58" s="21"/>
      <c r="K58" s="21"/>
      <c r="L58" s="21" t="s">
        <v>38</v>
      </c>
      <c r="M58" s="20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1:101">
      <c r="A59" s="51"/>
      <c r="B59" s="20"/>
      <c r="C59" s="27" t="s">
        <v>88</v>
      </c>
      <c r="D59" s="20" t="s">
        <v>76</v>
      </c>
      <c r="E59" s="20">
        <v>2</v>
      </c>
      <c r="F59" s="20" t="s">
        <v>57</v>
      </c>
      <c r="G59" s="20">
        <v>7</v>
      </c>
      <c r="H59" s="20" t="s">
        <v>67</v>
      </c>
      <c r="I59" s="20">
        <v>7</v>
      </c>
      <c r="J59" s="21"/>
      <c r="K59" s="21"/>
      <c r="L59" s="21" t="s">
        <v>38</v>
      </c>
      <c r="M59" s="2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1:101">
      <c r="A60" s="51"/>
      <c r="B60" s="20"/>
      <c r="C60" s="27" t="s">
        <v>116</v>
      </c>
      <c r="D60" s="20" t="s">
        <v>58</v>
      </c>
      <c r="E60" s="20">
        <v>1</v>
      </c>
      <c r="F60" s="20" t="s">
        <v>58</v>
      </c>
      <c r="G60" s="20">
        <v>5</v>
      </c>
      <c r="H60" s="20" t="s">
        <v>67</v>
      </c>
      <c r="I60" s="20">
        <v>5</v>
      </c>
      <c r="J60" s="21"/>
      <c r="K60" s="21"/>
      <c r="L60" s="21" t="s">
        <v>38</v>
      </c>
      <c r="M60" s="2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 t="s">
        <v>119</v>
      </c>
      <c r="BP60" s="1" t="s">
        <v>121</v>
      </c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1:101">
      <c r="A61" s="51"/>
      <c r="B61" s="20"/>
      <c r="C61" s="27" t="s">
        <v>87</v>
      </c>
      <c r="D61" s="20" t="s">
        <v>76</v>
      </c>
      <c r="E61" s="20">
        <v>1</v>
      </c>
      <c r="F61" s="20" t="s">
        <v>55</v>
      </c>
      <c r="G61" s="20">
        <v>10</v>
      </c>
      <c r="H61" s="20"/>
      <c r="I61" s="20"/>
      <c r="J61" s="21"/>
      <c r="K61" s="21"/>
      <c r="L61" s="21" t="s">
        <v>38</v>
      </c>
      <c r="M61" s="2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 t="s">
        <v>119</v>
      </c>
      <c r="BP61" s="1" t="s">
        <v>121</v>
      </c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1:101">
      <c r="A62" s="51"/>
      <c r="B62" s="20"/>
      <c r="C62" s="27" t="s">
        <v>105</v>
      </c>
      <c r="D62" s="20" t="s">
        <v>67</v>
      </c>
      <c r="E62" s="20">
        <v>1</v>
      </c>
      <c r="F62" s="20"/>
      <c r="G62" s="20"/>
      <c r="H62" s="20"/>
      <c r="I62" s="20"/>
      <c r="J62" s="21"/>
      <c r="K62" s="21"/>
      <c r="L62" s="21" t="s">
        <v>38</v>
      </c>
      <c r="M62" s="2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 t="s">
        <v>119</v>
      </c>
      <c r="BP62" s="1" t="s">
        <v>120</v>
      </c>
      <c r="BQ62" s="1" t="s">
        <v>120</v>
      </c>
      <c r="BR62" s="1" t="s">
        <v>120</v>
      </c>
      <c r="BS62" s="1" t="s">
        <v>121</v>
      </c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1:101">
      <c r="A63" s="51"/>
      <c r="B63" s="20"/>
      <c r="C63" s="27" t="s">
        <v>106</v>
      </c>
      <c r="D63" s="20" t="s">
        <v>67</v>
      </c>
      <c r="E63" s="20">
        <v>1</v>
      </c>
      <c r="F63" s="20"/>
      <c r="G63" s="20"/>
      <c r="H63" s="20"/>
      <c r="I63" s="20"/>
      <c r="J63" s="21"/>
      <c r="K63" s="21"/>
      <c r="L63" s="21" t="s">
        <v>38</v>
      </c>
      <c r="M63" s="20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1:101">
      <c r="A64" s="51"/>
      <c r="B64" s="20"/>
      <c r="C64" s="27" t="s">
        <v>107</v>
      </c>
      <c r="D64" s="20" t="s">
        <v>67</v>
      </c>
      <c r="E64" s="20">
        <v>0.5</v>
      </c>
      <c r="F64" s="20"/>
      <c r="G64" s="20"/>
      <c r="H64" s="20"/>
      <c r="I64" s="20"/>
      <c r="J64" s="21"/>
      <c r="K64" s="21"/>
      <c r="L64" s="21" t="s">
        <v>38</v>
      </c>
      <c r="M64" s="2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 t="s">
        <v>119</v>
      </c>
      <c r="BP64" s="1" t="s">
        <v>120</v>
      </c>
      <c r="BQ64" s="1" t="s">
        <v>120</v>
      </c>
      <c r="BR64" s="1" t="s">
        <v>120</v>
      </c>
      <c r="BS64" s="1" t="s">
        <v>121</v>
      </c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1:101">
      <c r="A65" s="51"/>
      <c r="B65" s="20"/>
      <c r="C65" s="27" t="s">
        <v>108</v>
      </c>
      <c r="D65" s="20" t="s">
        <v>67</v>
      </c>
      <c r="E65" s="20">
        <v>0.5</v>
      </c>
      <c r="F65" s="20"/>
      <c r="G65" s="20"/>
      <c r="H65" s="20"/>
      <c r="I65" s="20"/>
      <c r="J65" s="21"/>
      <c r="K65" s="21"/>
      <c r="L65" s="21" t="s">
        <v>38</v>
      </c>
      <c r="M65" s="2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1:101">
      <c r="A66" s="51"/>
      <c r="B66" s="20"/>
      <c r="C66" s="27"/>
      <c r="D66" s="20"/>
      <c r="E66" s="20"/>
      <c r="F66" s="20"/>
      <c r="G66" s="20"/>
      <c r="H66" s="20"/>
      <c r="I66" s="20"/>
      <c r="J66" s="21"/>
      <c r="K66" s="21"/>
      <c r="L66" s="21"/>
      <c r="M66" s="20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</row>
    <row r="67" spans="1:101" s="18" customFormat="1">
      <c r="A67" s="51"/>
      <c r="B67" s="19"/>
      <c r="C67" s="28" t="s">
        <v>112</v>
      </c>
      <c r="D67" s="19" t="s">
        <v>75</v>
      </c>
      <c r="E67" s="19"/>
      <c r="F67" s="19" t="s">
        <v>74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</row>
    <row r="68" spans="1:101">
      <c r="A68" s="51"/>
      <c r="B68" s="20"/>
      <c r="C68" s="27" t="s">
        <v>109</v>
      </c>
      <c r="D68" s="20" t="s">
        <v>57</v>
      </c>
      <c r="E68" s="20">
        <v>5</v>
      </c>
      <c r="F68" s="20" t="s">
        <v>76</v>
      </c>
      <c r="G68" s="20">
        <v>15</v>
      </c>
      <c r="H68" s="20" t="s">
        <v>55</v>
      </c>
      <c r="I68" s="20">
        <v>15</v>
      </c>
      <c r="J68" s="21"/>
      <c r="K68" s="21"/>
      <c r="L68" s="21" t="s">
        <v>38</v>
      </c>
      <c r="M68" s="2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1:101">
      <c r="A69" s="51"/>
      <c r="B69" s="20"/>
      <c r="C69" s="27" t="s">
        <v>110</v>
      </c>
      <c r="D69" s="20" t="s">
        <v>57</v>
      </c>
      <c r="E69" s="20">
        <v>5</v>
      </c>
      <c r="F69" s="20" t="s">
        <v>76</v>
      </c>
      <c r="G69" s="20">
        <v>15</v>
      </c>
      <c r="H69" s="20" t="s">
        <v>55</v>
      </c>
      <c r="I69" s="20">
        <v>15</v>
      </c>
      <c r="J69" s="21"/>
      <c r="K69" s="21"/>
      <c r="L69" s="21" t="s">
        <v>38</v>
      </c>
      <c r="M69" s="2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1:101">
      <c r="A70" s="51"/>
      <c r="B70" s="20"/>
      <c r="C70" s="27" t="s">
        <v>164</v>
      </c>
      <c r="D70" s="20" t="s">
        <v>58</v>
      </c>
      <c r="E70" s="20">
        <v>5</v>
      </c>
      <c r="F70" s="20" t="s">
        <v>58</v>
      </c>
      <c r="G70" s="20">
        <v>10</v>
      </c>
      <c r="H70" s="20"/>
      <c r="I70" s="20"/>
      <c r="J70" s="21"/>
      <c r="K70" s="21"/>
      <c r="L70" s="21" t="s">
        <v>38</v>
      </c>
      <c r="M70" s="2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 t="s">
        <v>119</v>
      </c>
      <c r="BP70" s="1" t="s">
        <v>120</v>
      </c>
      <c r="BQ70" s="1" t="s">
        <v>120</v>
      </c>
      <c r="BR70" s="1" t="s">
        <v>120</v>
      </c>
      <c r="BS70" s="1" t="s">
        <v>121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1:101">
      <c r="A71" s="51"/>
      <c r="B71" s="20"/>
      <c r="C71" s="27" t="s">
        <v>111</v>
      </c>
      <c r="D71" s="20" t="s">
        <v>58</v>
      </c>
      <c r="E71" s="20">
        <v>5</v>
      </c>
      <c r="F71" s="20" t="s">
        <v>58</v>
      </c>
      <c r="G71" s="20">
        <v>10</v>
      </c>
      <c r="H71" s="20"/>
      <c r="I71" s="20"/>
      <c r="J71" s="21"/>
      <c r="K71" s="21"/>
      <c r="L71" s="21" t="s">
        <v>38</v>
      </c>
      <c r="M71" s="2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 t="s">
        <v>119</v>
      </c>
      <c r="BP71" s="1" t="s">
        <v>120</v>
      </c>
      <c r="BQ71" s="1" t="s">
        <v>120</v>
      </c>
      <c r="BR71" s="1" t="s">
        <v>120</v>
      </c>
      <c r="BS71" s="1" t="s">
        <v>121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1:101">
      <c r="A72" s="51"/>
      <c r="B72" s="20"/>
      <c r="C72" s="27" t="s">
        <v>165</v>
      </c>
      <c r="D72" s="20" t="s">
        <v>55</v>
      </c>
      <c r="E72" s="20">
        <v>5</v>
      </c>
      <c r="F72" s="20" t="s">
        <v>55</v>
      </c>
      <c r="G72" s="20">
        <v>15</v>
      </c>
      <c r="H72" s="20"/>
      <c r="I72" s="20"/>
      <c r="J72" s="21"/>
      <c r="K72" s="21"/>
      <c r="L72" s="21" t="s">
        <v>38</v>
      </c>
      <c r="M72" s="20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 t="s">
        <v>119</v>
      </c>
      <c r="BP72" s="1" t="s">
        <v>120</v>
      </c>
      <c r="BQ72" s="1" t="s">
        <v>120</v>
      </c>
      <c r="BR72" s="1" t="s">
        <v>120</v>
      </c>
      <c r="BS72" s="1" t="s">
        <v>121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1:101">
      <c r="A73" s="51"/>
      <c r="B73" s="20"/>
      <c r="C73" s="27" t="s">
        <v>190</v>
      </c>
      <c r="D73" s="20" t="s">
        <v>55</v>
      </c>
      <c r="E73" s="20">
        <v>5</v>
      </c>
      <c r="F73" s="20" t="s">
        <v>55</v>
      </c>
      <c r="G73" s="20">
        <v>25</v>
      </c>
      <c r="H73" s="20"/>
      <c r="I73" s="20"/>
      <c r="J73" s="21"/>
      <c r="K73" s="21"/>
      <c r="L73" s="21" t="s">
        <v>38</v>
      </c>
      <c r="M73" s="2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 t="s">
        <v>119</v>
      </c>
      <c r="BP73" s="1" t="s">
        <v>120</v>
      </c>
      <c r="BQ73" s="1" t="s">
        <v>120</v>
      </c>
      <c r="BR73" s="1" t="s">
        <v>120</v>
      </c>
      <c r="BS73" s="1" t="s">
        <v>121</v>
      </c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1:101">
      <c r="A74" s="51"/>
      <c r="B74" s="20"/>
      <c r="C74" s="27" t="s">
        <v>72</v>
      </c>
      <c r="D74" s="20" t="s">
        <v>55</v>
      </c>
      <c r="E74" s="20">
        <v>7</v>
      </c>
      <c r="F74" s="20" t="s">
        <v>55</v>
      </c>
      <c r="G74" s="20">
        <v>15</v>
      </c>
      <c r="H74" s="20"/>
      <c r="I74" s="20"/>
      <c r="J74" s="21"/>
      <c r="K74" s="21"/>
      <c r="L74" s="21" t="s">
        <v>38</v>
      </c>
      <c r="M74" s="2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 t="s">
        <v>119</v>
      </c>
      <c r="BP74" s="1" t="s">
        <v>120</v>
      </c>
      <c r="BQ74" s="1" t="s">
        <v>120</v>
      </c>
      <c r="BR74" s="1" t="s">
        <v>120</v>
      </c>
      <c r="BS74" s="1" t="s">
        <v>121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1:101">
      <c r="A75" s="51"/>
      <c r="B75" s="20"/>
      <c r="C75" s="27" t="s">
        <v>73</v>
      </c>
      <c r="D75" s="20" t="s">
        <v>77</v>
      </c>
      <c r="E75" s="20">
        <v>5</v>
      </c>
      <c r="F75" s="20" t="s">
        <v>67</v>
      </c>
      <c r="G75" s="20">
        <v>15</v>
      </c>
      <c r="H75" s="20"/>
      <c r="I75" s="20"/>
      <c r="J75" s="21"/>
      <c r="K75" s="21"/>
      <c r="L75" s="21" t="s">
        <v>38</v>
      </c>
      <c r="M75" s="2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 t="s">
        <v>119</v>
      </c>
      <c r="BP75" s="1" t="s">
        <v>120</v>
      </c>
      <c r="BQ75" s="1" t="s">
        <v>120</v>
      </c>
      <c r="BR75" s="1" t="s">
        <v>120</v>
      </c>
      <c r="BS75" s="1" t="s">
        <v>121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1:101">
      <c r="A76" s="51"/>
      <c r="B76" s="20"/>
      <c r="C76" s="27" t="s">
        <v>166</v>
      </c>
      <c r="D76" s="20" t="s">
        <v>57</v>
      </c>
      <c r="E76" s="20">
        <v>5</v>
      </c>
      <c r="F76" s="20" t="s">
        <v>55</v>
      </c>
      <c r="G76" s="20">
        <v>30</v>
      </c>
      <c r="H76" s="20"/>
      <c r="I76" s="20"/>
      <c r="J76" s="21"/>
      <c r="K76" s="21"/>
      <c r="L76" s="21" t="s">
        <v>38</v>
      </c>
      <c r="M76" s="20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 t="s">
        <v>119</v>
      </c>
      <c r="BP76" s="1" t="s">
        <v>120</v>
      </c>
      <c r="BQ76" s="1" t="s">
        <v>120</v>
      </c>
      <c r="BR76" s="1" t="s">
        <v>120</v>
      </c>
      <c r="BS76" s="1" t="s">
        <v>121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>
      <c r="A77" s="51"/>
      <c r="B77" s="20"/>
      <c r="C77" s="27" t="s">
        <v>113</v>
      </c>
      <c r="D77" s="20" t="s">
        <v>78</v>
      </c>
      <c r="E77" s="20">
        <v>5</v>
      </c>
      <c r="F77" s="20" t="s">
        <v>63</v>
      </c>
      <c r="G77" s="20">
        <v>20</v>
      </c>
      <c r="H77" s="20" t="s">
        <v>67</v>
      </c>
      <c r="I77" s="20">
        <v>15</v>
      </c>
      <c r="J77" s="21"/>
      <c r="K77" s="21"/>
      <c r="L77" s="21" t="s">
        <v>38</v>
      </c>
      <c r="M77" s="2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 t="s">
        <v>119</v>
      </c>
      <c r="BP77" s="1" t="s">
        <v>120</v>
      </c>
      <c r="BQ77" s="1" t="s">
        <v>120</v>
      </c>
      <c r="BR77" s="1" t="s">
        <v>120</v>
      </c>
      <c r="BS77" s="1" t="s">
        <v>121</v>
      </c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>
      <c r="A78" s="51"/>
      <c r="B78" s="20"/>
      <c r="C78" s="27" t="s">
        <v>118</v>
      </c>
      <c r="D78" s="20" t="s">
        <v>67</v>
      </c>
      <c r="E78" s="20">
        <v>5</v>
      </c>
      <c r="F78" s="20" t="s">
        <v>67</v>
      </c>
      <c r="G78" s="20">
        <v>15</v>
      </c>
      <c r="H78" s="20"/>
      <c r="I78" s="20"/>
      <c r="J78" s="21"/>
      <c r="K78" s="21"/>
      <c r="L78" s="21" t="s">
        <v>38</v>
      </c>
      <c r="M78" s="2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 t="s">
        <v>119</v>
      </c>
      <c r="BP78" s="1" t="s">
        <v>120</v>
      </c>
      <c r="BQ78" s="1" t="s">
        <v>120</v>
      </c>
      <c r="BR78" s="1" t="s">
        <v>120</v>
      </c>
      <c r="BS78" s="1" t="s">
        <v>121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>
      <c r="A79" s="51"/>
      <c r="B79" s="20"/>
      <c r="C79" s="27"/>
      <c r="D79" s="20"/>
      <c r="E79" s="20"/>
      <c r="F79" s="20"/>
      <c r="G79" s="20"/>
      <c r="H79" s="20"/>
      <c r="I79" s="20"/>
      <c r="J79" s="21"/>
      <c r="K79" s="21"/>
      <c r="L79" s="21" t="s">
        <v>38</v>
      </c>
      <c r="M79" s="2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 t="s">
        <v>119</v>
      </c>
      <c r="BP79" s="1" t="s">
        <v>120</v>
      </c>
      <c r="BQ79" s="1" t="s">
        <v>120</v>
      </c>
      <c r="BR79" s="1" t="s">
        <v>120</v>
      </c>
      <c r="BS79" s="1" t="s">
        <v>121</v>
      </c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>
      <c r="A80" s="51"/>
      <c r="B80" s="20"/>
      <c r="C80" s="27"/>
      <c r="D80" s="20"/>
      <c r="E80" s="20"/>
      <c r="F80" s="20"/>
      <c r="G80" s="20"/>
      <c r="H80" s="20"/>
      <c r="I80" s="20"/>
      <c r="J80" s="21"/>
      <c r="K80" s="21"/>
      <c r="L80" s="21"/>
      <c r="M80" s="20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1:101" s="18" customFormat="1">
      <c r="A81" s="51"/>
      <c r="B81" s="19"/>
      <c r="C81" s="28" t="s">
        <v>99</v>
      </c>
      <c r="D81" s="19"/>
      <c r="E81" s="19"/>
      <c r="F81" s="19"/>
      <c r="G81" s="19"/>
      <c r="H81" s="19" t="s">
        <v>54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</row>
    <row r="82" spans="1:101">
      <c r="A82" s="51"/>
      <c r="B82" s="37"/>
      <c r="C82" s="34" t="s">
        <v>100</v>
      </c>
      <c r="D82" s="20"/>
      <c r="E82" s="20"/>
      <c r="F82" s="20"/>
      <c r="G82" s="20"/>
      <c r="H82" s="20"/>
      <c r="I82" s="20"/>
      <c r="J82" s="21"/>
      <c r="K82" s="21"/>
      <c r="L82" s="21"/>
      <c r="M82" s="2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>
      <c r="A83" s="51"/>
      <c r="B83" s="20">
        <v>651</v>
      </c>
      <c r="C83" s="27" t="s">
        <v>101</v>
      </c>
      <c r="D83" s="20" t="s">
        <v>56</v>
      </c>
      <c r="E83" s="20">
        <v>5</v>
      </c>
      <c r="F83" s="20"/>
      <c r="G83" s="20"/>
      <c r="H83" s="20"/>
      <c r="I83" s="33" t="s">
        <v>127</v>
      </c>
      <c r="J83" s="21"/>
      <c r="K83" s="21"/>
      <c r="L83" s="21" t="s">
        <v>38</v>
      </c>
      <c r="M83" s="2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 t="s">
        <v>119</v>
      </c>
      <c r="BP83" s="1" t="s">
        <v>120</v>
      </c>
      <c r="BQ83" s="1" t="s">
        <v>120</v>
      </c>
      <c r="BR83" s="1" t="s">
        <v>120</v>
      </c>
      <c r="BS83" s="1" t="s">
        <v>121</v>
      </c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>
      <c r="A84" s="51"/>
      <c r="B84" s="20">
        <v>652</v>
      </c>
      <c r="C84" s="27" t="s">
        <v>92</v>
      </c>
      <c r="D84" s="20" t="s">
        <v>56</v>
      </c>
      <c r="E84" s="20">
        <v>5</v>
      </c>
      <c r="F84" s="20"/>
      <c r="G84" s="20"/>
      <c r="H84" s="20"/>
      <c r="I84" s="33" t="s">
        <v>128</v>
      </c>
      <c r="J84" s="21"/>
      <c r="K84" s="21"/>
      <c r="L84" s="21" t="s">
        <v>38</v>
      </c>
      <c r="M84" s="2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 t="s">
        <v>119</v>
      </c>
      <c r="BP84" s="1" t="s">
        <v>120</v>
      </c>
      <c r="BQ84" s="1" t="s">
        <v>120</v>
      </c>
      <c r="BR84" s="1" t="s">
        <v>120</v>
      </c>
      <c r="BS84" s="1" t="s">
        <v>121</v>
      </c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>
      <c r="A85" s="51"/>
      <c r="B85" s="20"/>
      <c r="C85" s="34" t="s">
        <v>102</v>
      </c>
      <c r="D85" s="20"/>
      <c r="E85" s="20"/>
      <c r="F85" s="20"/>
      <c r="G85" s="20"/>
      <c r="H85" s="20"/>
      <c r="I85" s="20"/>
      <c r="J85" s="21"/>
      <c r="K85" s="21"/>
      <c r="L85" s="21" t="s">
        <v>38</v>
      </c>
      <c r="M85" s="2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>
      <c r="A86" s="51"/>
      <c r="B86" s="20">
        <v>653</v>
      </c>
      <c r="C86" s="27" t="s">
        <v>93</v>
      </c>
      <c r="D86" s="20" t="s">
        <v>56</v>
      </c>
      <c r="E86" s="20">
        <v>5</v>
      </c>
      <c r="F86" s="20"/>
      <c r="G86" s="20"/>
      <c r="H86" s="20"/>
      <c r="I86" s="20" t="s">
        <v>129</v>
      </c>
      <c r="J86" s="21"/>
      <c r="K86" s="21"/>
      <c r="L86" s="21" t="s">
        <v>38</v>
      </c>
      <c r="M86" s="2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 t="s">
        <v>119</v>
      </c>
      <c r="BP86" s="1" t="s">
        <v>120</v>
      </c>
      <c r="BQ86" s="1" t="s">
        <v>120</v>
      </c>
      <c r="BR86" s="1" t="s">
        <v>120</v>
      </c>
      <c r="BS86" s="1" t="s">
        <v>121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>
      <c r="A87" s="51"/>
      <c r="B87" s="20">
        <v>654</v>
      </c>
      <c r="C87" s="27" t="s">
        <v>94</v>
      </c>
      <c r="D87" s="20" t="s">
        <v>58</v>
      </c>
      <c r="E87" s="20">
        <v>5</v>
      </c>
      <c r="F87" s="20"/>
      <c r="G87" s="20"/>
      <c r="H87" s="20"/>
      <c r="I87" s="20" t="s">
        <v>130</v>
      </c>
      <c r="J87" s="21"/>
      <c r="K87" s="21"/>
      <c r="L87" s="21" t="s">
        <v>38</v>
      </c>
      <c r="M87" s="2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 t="s">
        <v>119</v>
      </c>
      <c r="BP87" s="1" t="s">
        <v>120</v>
      </c>
      <c r="BQ87" s="1" t="s">
        <v>120</v>
      </c>
      <c r="BR87" s="1" t="s">
        <v>120</v>
      </c>
      <c r="BS87" s="1" t="s">
        <v>121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>
      <c r="A88" s="51"/>
      <c r="B88" s="20">
        <v>655</v>
      </c>
      <c r="C88" s="27" t="s">
        <v>95</v>
      </c>
      <c r="D88" s="20" t="s">
        <v>58</v>
      </c>
      <c r="E88" s="20">
        <v>5</v>
      </c>
      <c r="F88" s="20"/>
      <c r="G88" s="20"/>
      <c r="H88" s="20"/>
      <c r="I88" s="20" t="s">
        <v>131</v>
      </c>
      <c r="J88" s="21"/>
      <c r="K88" s="21"/>
      <c r="L88" s="21" t="s">
        <v>38</v>
      </c>
      <c r="M88" s="20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 t="s">
        <v>119</v>
      </c>
      <c r="BP88" s="1" t="s">
        <v>120</v>
      </c>
      <c r="BQ88" s="1" t="s">
        <v>120</v>
      </c>
      <c r="BR88" s="1" t="s">
        <v>120</v>
      </c>
      <c r="BS88" s="1" t="s">
        <v>121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>
      <c r="A89" s="51"/>
      <c r="B89" s="20">
        <v>656</v>
      </c>
      <c r="C89" s="27" t="s">
        <v>96</v>
      </c>
      <c r="D89" s="20" t="s">
        <v>58</v>
      </c>
      <c r="E89" s="20">
        <v>5</v>
      </c>
      <c r="F89" s="20"/>
      <c r="G89" s="20"/>
      <c r="H89" s="20"/>
      <c r="I89" s="20" t="s">
        <v>132</v>
      </c>
      <c r="J89" s="21"/>
      <c r="K89" s="21"/>
      <c r="L89" s="21" t="s">
        <v>38</v>
      </c>
      <c r="M89" s="2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 t="s">
        <v>119</v>
      </c>
      <c r="BP89" s="1" t="s">
        <v>120</v>
      </c>
      <c r="BQ89" s="1" t="s">
        <v>120</v>
      </c>
      <c r="BR89" s="1" t="s">
        <v>120</v>
      </c>
      <c r="BS89" s="1" t="s">
        <v>121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>
      <c r="A90" s="51"/>
      <c r="B90" s="20">
        <v>657</v>
      </c>
      <c r="C90" s="34" t="s">
        <v>97</v>
      </c>
      <c r="D90" s="20" t="s">
        <v>55</v>
      </c>
      <c r="E90" s="20">
        <v>5</v>
      </c>
      <c r="F90" s="20"/>
      <c r="G90" s="20"/>
      <c r="H90" s="20"/>
      <c r="I90" s="20" t="s">
        <v>133</v>
      </c>
      <c r="J90" s="21"/>
      <c r="K90" s="21"/>
      <c r="L90" s="21" t="s">
        <v>38</v>
      </c>
      <c r="M90" s="20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 t="s">
        <v>119</v>
      </c>
      <c r="BP90" s="1" t="s">
        <v>120</v>
      </c>
      <c r="BQ90" s="1" t="s">
        <v>120</v>
      </c>
      <c r="BR90" s="1" t="s">
        <v>120</v>
      </c>
      <c r="BS90" s="1" t="s">
        <v>121</v>
      </c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>
      <c r="A91" s="51"/>
      <c r="B91" s="20">
        <v>658</v>
      </c>
      <c r="C91" s="34" t="s">
        <v>144</v>
      </c>
      <c r="D91" s="20" t="s">
        <v>58</v>
      </c>
      <c r="E91" s="20">
        <v>5</v>
      </c>
      <c r="F91" s="20"/>
      <c r="G91" s="20"/>
      <c r="H91" s="20"/>
      <c r="I91" s="20" t="s">
        <v>145</v>
      </c>
      <c r="J91" s="21"/>
      <c r="K91" s="21"/>
      <c r="L91" s="21" t="s">
        <v>38</v>
      </c>
      <c r="M91" s="20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 t="s">
        <v>119</v>
      </c>
      <c r="BP91" s="1" t="s">
        <v>120</v>
      </c>
      <c r="BQ91" s="1" t="s">
        <v>120</v>
      </c>
      <c r="BR91" s="1" t="s">
        <v>120</v>
      </c>
      <c r="BS91" s="1" t="s">
        <v>121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>
      <c r="A92" s="51"/>
      <c r="B92" s="20">
        <v>659</v>
      </c>
      <c r="C92" s="34" t="s">
        <v>125</v>
      </c>
      <c r="D92" s="20" t="s">
        <v>67</v>
      </c>
      <c r="E92" s="20">
        <v>3</v>
      </c>
      <c r="F92" s="20"/>
      <c r="G92" s="20"/>
      <c r="H92" s="20"/>
      <c r="I92" s="20" t="s">
        <v>136</v>
      </c>
      <c r="J92" s="21"/>
      <c r="K92" s="21"/>
      <c r="L92" s="21" t="s">
        <v>38</v>
      </c>
      <c r="M92" s="2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 t="s">
        <v>119</v>
      </c>
      <c r="BP92" s="1" t="s">
        <v>120</v>
      </c>
      <c r="BQ92" s="1" t="s">
        <v>120</v>
      </c>
      <c r="BR92" s="1" t="s">
        <v>120</v>
      </c>
      <c r="BS92" s="1" t="s">
        <v>121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>
      <c r="A93" s="51"/>
      <c r="B93" s="20">
        <v>660</v>
      </c>
      <c r="C93" s="34" t="s">
        <v>126</v>
      </c>
      <c r="D93" s="20" t="s">
        <v>67</v>
      </c>
      <c r="E93" s="20">
        <v>3</v>
      </c>
      <c r="F93" s="20"/>
      <c r="G93" s="20"/>
      <c r="H93" s="20"/>
      <c r="I93" s="20" t="s">
        <v>135</v>
      </c>
      <c r="J93" s="21"/>
      <c r="K93" s="21"/>
      <c r="L93" s="21" t="s">
        <v>38</v>
      </c>
      <c r="M93" s="20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 t="s">
        <v>119</v>
      </c>
      <c r="BP93" s="1" t="s">
        <v>120</v>
      </c>
      <c r="BQ93" s="1" t="s">
        <v>120</v>
      </c>
      <c r="BR93" s="1" t="s">
        <v>120</v>
      </c>
      <c r="BS93" s="1" t="s">
        <v>121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>
      <c r="A94" s="51"/>
      <c r="B94" s="20">
        <v>601</v>
      </c>
      <c r="C94" s="34" t="s">
        <v>98</v>
      </c>
      <c r="D94" s="20" t="s">
        <v>76</v>
      </c>
      <c r="E94" s="20">
        <v>3</v>
      </c>
      <c r="F94" s="20"/>
      <c r="G94" s="20"/>
      <c r="H94" s="20"/>
      <c r="I94" s="20" t="s">
        <v>134</v>
      </c>
      <c r="J94" s="21"/>
      <c r="K94" s="21"/>
      <c r="L94" s="21" t="s">
        <v>38</v>
      </c>
      <c r="M94" s="20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 t="s">
        <v>119</v>
      </c>
      <c r="BP94" s="1" t="s">
        <v>120</v>
      </c>
      <c r="BQ94" s="1" t="s">
        <v>120</v>
      </c>
      <c r="BR94" s="1" t="s">
        <v>120</v>
      </c>
      <c r="BS94" s="1" t="s">
        <v>121</v>
      </c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>
      <c r="A95" s="51"/>
      <c r="B95" s="20">
        <v>662</v>
      </c>
      <c r="C95" s="27" t="s">
        <v>167</v>
      </c>
      <c r="D95" s="20" t="s">
        <v>55</v>
      </c>
      <c r="E95" s="20">
        <v>9</v>
      </c>
      <c r="F95" s="20"/>
      <c r="G95" s="20"/>
      <c r="H95" s="20"/>
      <c r="I95" s="20"/>
      <c r="J95" s="21"/>
      <c r="K95" s="21"/>
      <c r="L95" s="21"/>
      <c r="M95" s="20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1:101" s="18" customFormat="1">
      <c r="A96" s="51"/>
      <c r="B96" s="19"/>
      <c r="C96" s="28" t="s">
        <v>103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</row>
    <row r="97" spans="1:101">
      <c r="A97" s="51"/>
      <c r="B97" s="20"/>
      <c r="C97" s="33" t="s">
        <v>158</v>
      </c>
      <c r="D97" s="20" t="s">
        <v>67</v>
      </c>
      <c r="E97" s="20">
        <v>5</v>
      </c>
      <c r="F97" s="20"/>
      <c r="G97" s="20"/>
      <c r="H97" s="20"/>
      <c r="I97" s="20"/>
      <c r="J97" s="21"/>
      <c r="K97" s="21"/>
      <c r="L97" s="21"/>
      <c r="M97" s="20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>
      <c r="A98" s="51"/>
      <c r="B98" s="20"/>
      <c r="C98" s="33" t="s">
        <v>159</v>
      </c>
      <c r="D98" s="20" t="s">
        <v>67</v>
      </c>
      <c r="E98" s="20">
        <v>5</v>
      </c>
      <c r="F98" s="20"/>
      <c r="G98" s="20"/>
      <c r="H98" s="20"/>
      <c r="I98" s="20"/>
      <c r="J98" s="21"/>
      <c r="K98" s="21"/>
      <c r="L98" s="21"/>
      <c r="M98" s="20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>
      <c r="A99" s="51"/>
      <c r="B99" s="20"/>
      <c r="C99" s="33" t="s">
        <v>104</v>
      </c>
      <c r="D99" s="20" t="s">
        <v>55</v>
      </c>
      <c r="E99" s="20">
        <v>15</v>
      </c>
      <c r="F99" s="20" t="s">
        <v>63</v>
      </c>
      <c r="G99" s="20">
        <v>15</v>
      </c>
      <c r="H99" s="20"/>
      <c r="I99" s="20"/>
      <c r="J99" s="21"/>
      <c r="K99" s="21"/>
      <c r="L99" s="21"/>
      <c r="M99" s="20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>
      <c r="A100" s="51"/>
      <c r="B100" s="20"/>
      <c r="C100" s="33" t="s">
        <v>160</v>
      </c>
      <c r="D100" s="20" t="s">
        <v>67</v>
      </c>
      <c r="E100" s="20">
        <v>5</v>
      </c>
      <c r="F100" s="20"/>
      <c r="G100" s="20"/>
      <c r="H100" s="20"/>
      <c r="I100" s="20"/>
      <c r="J100" s="21"/>
      <c r="K100" s="21"/>
      <c r="L100" s="21"/>
      <c r="M100" s="20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>
      <c r="A101" s="51"/>
      <c r="B101" s="20"/>
      <c r="C101" s="33" t="s">
        <v>161</v>
      </c>
      <c r="D101" s="20" t="s">
        <v>67</v>
      </c>
      <c r="E101" s="20">
        <v>5</v>
      </c>
      <c r="F101" s="20"/>
      <c r="G101" s="20"/>
      <c r="H101" s="20"/>
      <c r="I101" s="20"/>
      <c r="J101" s="21"/>
      <c r="K101" s="21"/>
      <c r="L101" s="21"/>
      <c r="M101" s="20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>
      <c r="A102" s="51"/>
      <c r="B102" s="20"/>
      <c r="C102" s="33" t="s">
        <v>162</v>
      </c>
      <c r="D102" s="20" t="s">
        <v>67</v>
      </c>
      <c r="E102" s="20">
        <v>15</v>
      </c>
      <c r="F102" s="20"/>
      <c r="G102" s="20"/>
      <c r="H102" s="20"/>
      <c r="I102" s="20"/>
      <c r="J102" s="21"/>
      <c r="K102" s="21"/>
      <c r="L102" s="21"/>
      <c r="M102" s="20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</row>
    <row r="103" spans="1:101" s="18" customFormat="1">
      <c r="A103" s="51"/>
      <c r="B103" s="19"/>
      <c r="C103" s="28" t="s">
        <v>51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</row>
    <row r="104" spans="1:101">
      <c r="A104" s="51"/>
      <c r="B104" s="20"/>
      <c r="C104" s="27" t="s">
        <v>79</v>
      </c>
      <c r="D104" s="20" t="s">
        <v>60</v>
      </c>
      <c r="E104" s="20">
        <v>10</v>
      </c>
      <c r="F104" s="20" t="s">
        <v>66</v>
      </c>
      <c r="G104" s="20">
        <v>5</v>
      </c>
      <c r="H104" s="20"/>
      <c r="I104" s="20"/>
      <c r="J104" s="21"/>
      <c r="K104" s="21"/>
      <c r="L104" s="21" t="s">
        <v>38</v>
      </c>
      <c r="M104" s="20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>
      <c r="A105" s="51"/>
      <c r="B105" s="20"/>
      <c r="C105" s="27"/>
      <c r="D105" s="20"/>
      <c r="E105" s="20"/>
      <c r="F105" s="20"/>
      <c r="G105" s="20"/>
      <c r="H105" s="20"/>
      <c r="I105" s="20"/>
      <c r="J105" s="21"/>
      <c r="K105" s="21"/>
      <c r="L105" s="21"/>
      <c r="M105" s="20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</row>
    <row r="106" spans="1:101" s="18" customFormat="1">
      <c r="A106" s="51"/>
      <c r="B106" s="19"/>
      <c r="C106" s="26" t="s">
        <v>59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</row>
    <row r="107" spans="1:101">
      <c r="A107" s="51"/>
      <c r="B107" s="20"/>
      <c r="C107" s="27" t="s">
        <v>122</v>
      </c>
      <c r="D107" s="20" t="s">
        <v>56</v>
      </c>
      <c r="E107" s="20">
        <v>25</v>
      </c>
      <c r="F107" s="20" t="s">
        <v>60</v>
      </c>
      <c r="G107" s="20">
        <v>5</v>
      </c>
      <c r="H107" s="20"/>
      <c r="I107" s="20"/>
      <c r="J107" s="21"/>
      <c r="K107" s="21"/>
      <c r="L107" s="21" t="s">
        <v>38</v>
      </c>
      <c r="M107" s="20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 t="s">
        <v>119</v>
      </c>
      <c r="BP107" s="1" t="s">
        <v>120</v>
      </c>
      <c r="BQ107" s="1" t="s">
        <v>120</v>
      </c>
      <c r="BR107" s="1" t="s">
        <v>120</v>
      </c>
      <c r="BS107" s="1" t="s">
        <v>121</v>
      </c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>
      <c r="A108" s="51"/>
      <c r="B108" s="20"/>
      <c r="C108" s="27" t="s">
        <v>123</v>
      </c>
      <c r="D108" s="20" t="s">
        <v>56</v>
      </c>
      <c r="E108" s="20">
        <v>25</v>
      </c>
      <c r="F108" s="20" t="s">
        <v>168</v>
      </c>
      <c r="G108" s="20">
        <v>15</v>
      </c>
      <c r="H108" s="20" t="s">
        <v>60</v>
      </c>
      <c r="I108" s="20">
        <v>2</v>
      </c>
      <c r="J108" s="21"/>
      <c r="K108" s="21"/>
      <c r="L108" s="21" t="s">
        <v>38</v>
      </c>
      <c r="M108" s="20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 t="s">
        <v>119</v>
      </c>
      <c r="BP108" s="1" t="s">
        <v>120</v>
      </c>
      <c r="BQ108" s="1" t="s">
        <v>120</v>
      </c>
      <c r="BR108" s="1" t="s">
        <v>120</v>
      </c>
      <c r="BS108" s="1" t="s">
        <v>121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>
      <c r="A109" s="51"/>
      <c r="B109" s="20"/>
      <c r="C109" s="27" t="s">
        <v>124</v>
      </c>
      <c r="D109" s="20" t="s">
        <v>56</v>
      </c>
      <c r="E109" s="20">
        <v>25</v>
      </c>
      <c r="F109" s="20"/>
      <c r="G109" s="20"/>
      <c r="H109" s="20"/>
      <c r="I109" s="20"/>
      <c r="J109" s="21"/>
      <c r="K109" s="21"/>
      <c r="L109" s="21" t="s">
        <v>38</v>
      </c>
      <c r="M109" s="20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 t="s">
        <v>119</v>
      </c>
      <c r="BP109" s="1" t="s">
        <v>120</v>
      </c>
      <c r="BQ109" s="1" t="s">
        <v>120</v>
      </c>
      <c r="BR109" s="1" t="s">
        <v>120</v>
      </c>
      <c r="BS109" s="1" t="s">
        <v>121</v>
      </c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</row>
    <row r="110" spans="1:101" s="26" customFormat="1">
      <c r="A110" s="51"/>
      <c r="C110" s="26" t="s">
        <v>185</v>
      </c>
      <c r="L110" s="21" t="s">
        <v>38</v>
      </c>
    </row>
    <row r="111" spans="1:101">
      <c r="A111" s="51"/>
      <c r="B111" s="20"/>
      <c r="C111" s="27" t="s">
        <v>169</v>
      </c>
      <c r="D111" s="20" t="s">
        <v>56</v>
      </c>
      <c r="E111" s="20">
        <v>10</v>
      </c>
      <c r="F111" s="20" t="s">
        <v>67</v>
      </c>
      <c r="G111" s="20">
        <v>10</v>
      </c>
      <c r="H111" s="20"/>
      <c r="I111" s="20"/>
      <c r="J111" s="21"/>
      <c r="K111" s="21"/>
      <c r="L111" s="21" t="s">
        <v>38</v>
      </c>
      <c r="M111" s="20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 t="s">
        <v>49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 t="s">
        <v>119</v>
      </c>
      <c r="BP111" s="1" t="s">
        <v>120</v>
      </c>
      <c r="BQ111" s="1" t="s">
        <v>120</v>
      </c>
      <c r="BR111" s="1" t="s">
        <v>120</v>
      </c>
      <c r="BS111" s="1" t="s">
        <v>120</v>
      </c>
      <c r="BT111" s="1" t="s">
        <v>120</v>
      </c>
      <c r="BU111" s="1" t="s">
        <v>120</v>
      </c>
      <c r="BV111" s="1" t="s">
        <v>120</v>
      </c>
      <c r="BW111" s="1" t="s">
        <v>120</v>
      </c>
      <c r="BX111" s="1" t="s">
        <v>120</v>
      </c>
      <c r="BY111" s="1" t="s">
        <v>120</v>
      </c>
      <c r="BZ111" s="1" t="s">
        <v>120</v>
      </c>
      <c r="CA111" s="1" t="s">
        <v>120</v>
      </c>
      <c r="CB111" s="1" t="s">
        <v>121</v>
      </c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>
      <c r="A112" s="51"/>
      <c r="B112" s="20"/>
      <c r="C112" s="27" t="s">
        <v>186</v>
      </c>
      <c r="D112" s="20" t="s">
        <v>76</v>
      </c>
      <c r="E112" s="20">
        <v>5</v>
      </c>
      <c r="F112" s="20" t="s">
        <v>67</v>
      </c>
      <c r="G112" s="20">
        <v>5</v>
      </c>
      <c r="H112" s="20"/>
      <c r="I112" s="20"/>
      <c r="J112" s="21"/>
      <c r="K112" s="21"/>
      <c r="L112" s="21"/>
      <c r="M112" s="20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</row>
    <row r="113" spans="1:101" s="18" customFormat="1">
      <c r="A113" s="51"/>
      <c r="B113" s="19"/>
      <c r="C113" s="26" t="s">
        <v>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</row>
    <row r="114" spans="1:101">
      <c r="A114" s="51"/>
      <c r="B114" s="20"/>
      <c r="C114" s="27" t="s">
        <v>170</v>
      </c>
      <c r="D114" s="20" t="s">
        <v>56</v>
      </c>
      <c r="E114" s="20">
        <v>10</v>
      </c>
      <c r="F114" s="20" t="s">
        <v>67</v>
      </c>
      <c r="G114" s="20">
        <v>10</v>
      </c>
    </row>
    <row r="115" spans="1:101">
      <c r="A115" s="50" t="s">
        <v>193</v>
      </c>
      <c r="B115" s="19"/>
      <c r="C115" s="26" t="s">
        <v>187</v>
      </c>
      <c r="D115" s="19"/>
      <c r="E115" s="19"/>
      <c r="F115" s="19"/>
      <c r="G115" s="19"/>
    </row>
    <row r="116" spans="1:101">
      <c r="A116" s="50"/>
      <c r="B116" s="20"/>
      <c r="C116" s="27" t="s">
        <v>187</v>
      </c>
      <c r="D116" s="20" t="s">
        <v>55</v>
      </c>
      <c r="E116" s="20">
        <v>43.4</v>
      </c>
      <c r="F116" s="20" t="s">
        <v>56</v>
      </c>
      <c r="G116" s="20">
        <v>8.5500000000000007</v>
      </c>
    </row>
    <row r="117" spans="1:101">
      <c r="A117" s="50"/>
      <c r="B117" s="20"/>
      <c r="C117" s="27"/>
      <c r="D117" s="20" t="s">
        <v>57</v>
      </c>
      <c r="E117" s="20">
        <v>6</v>
      </c>
      <c r="F117" s="20" t="s">
        <v>58</v>
      </c>
      <c r="G117" s="20">
        <v>2</v>
      </c>
    </row>
    <row r="118" spans="1:101">
      <c r="A118" s="50"/>
      <c r="B118" s="20"/>
      <c r="C118" s="27"/>
      <c r="D118" s="20" t="s">
        <v>67</v>
      </c>
      <c r="E118" s="20">
        <v>40.4</v>
      </c>
      <c r="F118" s="20" t="s">
        <v>63</v>
      </c>
      <c r="G118" s="20">
        <v>0.4</v>
      </c>
    </row>
    <row r="119" spans="1:101">
      <c r="A119" s="50"/>
      <c r="B119" s="20"/>
      <c r="C119" s="27"/>
      <c r="D119" s="20"/>
      <c r="E119" s="20"/>
      <c r="F119" s="20"/>
      <c r="G119" s="20"/>
    </row>
    <row r="120" spans="1:101" s="22" customFormat="1">
      <c r="A120" s="50"/>
      <c r="C120" s="30" t="s">
        <v>50</v>
      </c>
      <c r="J120" s="23"/>
      <c r="K120" s="23"/>
      <c r="L120" s="23"/>
      <c r="N120" s="23">
        <f>N18</f>
        <v>41133</v>
      </c>
      <c r="O120" s="23">
        <f t="shared" ref="O120:BH120" si="10">O18</f>
        <v>41134</v>
      </c>
      <c r="P120" s="23">
        <f t="shared" si="10"/>
        <v>41135</v>
      </c>
      <c r="Q120" s="23">
        <f t="shared" si="10"/>
        <v>41136</v>
      </c>
      <c r="R120" s="23">
        <f t="shared" si="10"/>
        <v>41137</v>
      </c>
      <c r="S120" s="23">
        <f t="shared" si="10"/>
        <v>41138</v>
      </c>
      <c r="T120" s="23">
        <f t="shared" si="10"/>
        <v>41139</v>
      </c>
      <c r="U120" s="23">
        <f t="shared" si="10"/>
        <v>41140</v>
      </c>
      <c r="V120" s="23">
        <f t="shared" si="10"/>
        <v>41141</v>
      </c>
      <c r="W120" s="23">
        <f t="shared" si="10"/>
        <v>41142</v>
      </c>
      <c r="X120" s="23">
        <f t="shared" si="10"/>
        <v>41143</v>
      </c>
      <c r="Y120" s="23">
        <f t="shared" si="10"/>
        <v>41144</v>
      </c>
      <c r="Z120" s="23">
        <f t="shared" si="10"/>
        <v>41145</v>
      </c>
      <c r="AA120" s="23">
        <f t="shared" si="10"/>
        <v>41146</v>
      </c>
      <c r="AB120" s="23">
        <f t="shared" si="10"/>
        <v>41147</v>
      </c>
      <c r="AC120" s="23">
        <f t="shared" si="10"/>
        <v>41148</v>
      </c>
      <c r="AD120" s="23">
        <f t="shared" si="10"/>
        <v>41149</v>
      </c>
      <c r="AE120" s="23">
        <f t="shared" si="10"/>
        <v>41150</v>
      </c>
      <c r="AF120" s="23">
        <f t="shared" si="10"/>
        <v>41151</v>
      </c>
      <c r="AG120" s="23">
        <f t="shared" si="10"/>
        <v>41152</v>
      </c>
      <c r="AH120" s="23">
        <f t="shared" si="10"/>
        <v>41153</v>
      </c>
      <c r="AI120" s="23">
        <f t="shared" si="10"/>
        <v>41154</v>
      </c>
      <c r="AJ120" s="23">
        <f t="shared" si="10"/>
        <v>41155</v>
      </c>
      <c r="AK120" s="23">
        <f t="shared" si="10"/>
        <v>41156</v>
      </c>
      <c r="AL120" s="23">
        <f t="shared" si="10"/>
        <v>41157</v>
      </c>
      <c r="AM120" s="23">
        <f t="shared" si="10"/>
        <v>41158</v>
      </c>
      <c r="AN120" s="23">
        <f t="shared" si="10"/>
        <v>41159</v>
      </c>
      <c r="AO120" s="23">
        <f t="shared" si="10"/>
        <v>41160</v>
      </c>
      <c r="AP120" s="23">
        <f t="shared" si="10"/>
        <v>41161</v>
      </c>
      <c r="AQ120" s="23">
        <f t="shared" si="10"/>
        <v>41162</v>
      </c>
      <c r="AR120" s="23">
        <f t="shared" si="10"/>
        <v>41163</v>
      </c>
      <c r="AS120" s="23">
        <f t="shared" si="10"/>
        <v>41164</v>
      </c>
      <c r="AT120" s="23">
        <f t="shared" si="10"/>
        <v>41165</v>
      </c>
      <c r="AU120" s="23">
        <f t="shared" si="10"/>
        <v>41166</v>
      </c>
      <c r="AV120" s="23">
        <f t="shared" si="10"/>
        <v>41167</v>
      </c>
      <c r="AW120" s="23">
        <f t="shared" si="10"/>
        <v>41168</v>
      </c>
      <c r="AX120" s="23">
        <f t="shared" si="10"/>
        <v>41169</v>
      </c>
      <c r="AY120" s="23">
        <f t="shared" si="10"/>
        <v>41170</v>
      </c>
      <c r="AZ120" s="23">
        <f t="shared" si="10"/>
        <v>41171</v>
      </c>
      <c r="BA120" s="23">
        <f t="shared" si="10"/>
        <v>41172</v>
      </c>
      <c r="BB120" s="23">
        <f t="shared" si="10"/>
        <v>41173</v>
      </c>
      <c r="BC120" s="23">
        <f t="shared" si="10"/>
        <v>41174</v>
      </c>
      <c r="BD120" s="23">
        <f t="shared" si="10"/>
        <v>41175</v>
      </c>
      <c r="BE120" s="23">
        <f t="shared" si="10"/>
        <v>41176</v>
      </c>
      <c r="BF120" s="23">
        <f t="shared" si="10"/>
        <v>41177</v>
      </c>
      <c r="BG120" s="23">
        <f t="shared" si="10"/>
        <v>41178</v>
      </c>
      <c r="BH120" s="23">
        <f t="shared" si="10"/>
        <v>41179</v>
      </c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</row>
  </sheetData>
  <autoFilter ref="A18:BH113">
    <filterColumn colId="4"/>
    <filterColumn colId="6"/>
  </autoFilter>
  <sortState ref="C2:D16">
    <sortCondition ref="C2"/>
  </sortState>
  <mergeCells count="2">
    <mergeCell ref="A18:A114"/>
    <mergeCell ref="A115:A120"/>
  </mergeCells>
  <conditionalFormatting sqref="N114:BA114 N104:CW105 N97:CW102 N82:CW95 N68:CW80 N107:CW109 N111:CW112 N42:CW49 N51:CW55 N57:BN66 BT57:CW66 BO62:BS66 BQ57:BS60 BO57:BP61 N21:CW40">
    <cfRule type="cellIs" dxfId="5" priority="201" operator="equal">
      <formula>"-"</formula>
    </cfRule>
    <cfRule type="cellIs" dxfId="4" priority="202" operator="equal">
      <formula>"E"</formula>
    </cfRule>
    <cfRule type="cellIs" dxfId="3" priority="203" operator="equal">
      <formula>"B"</formula>
    </cfRule>
  </conditionalFormatting>
  <conditionalFormatting sqref="N104:CW105 N97:CW102 N82:CW95 N68:CW80 N107:CW109 N111:CW112 N42:CW49 N51:CW55 N57:BN66 BT57:CW66 BO62:BS66 BQ57:BS60 BO57:BP61 N21:CW40">
    <cfRule type="cellIs" dxfId="2" priority="200" operator="equal">
      <formula>"BE"</formula>
    </cfRule>
  </conditionalFormatting>
  <conditionalFormatting sqref="L104 L83:L94 L42:L48 L51:L54 L21:L40 L57:L65 L68:L79 L107:L112">
    <cfRule type="cellIs" dxfId="1" priority="274" operator="equal">
      <formula>$K$3</formula>
    </cfRule>
  </conditionalFormatting>
  <conditionalFormatting sqref="L42:L48 L51:L54 L21:L40 L104 L83:L94 L57:L65 L68:L79 L107:L112">
    <cfRule type="expression" dxfId="0" priority="281">
      <formula>AND(L21&lt;&gt;$K$3,$K21&lt;TODAY())</formula>
    </cfRule>
  </conditionalFormatting>
  <dataValidations count="4">
    <dataValidation type="list" allowBlank="1" showInputMessage="1" showErrorMessage="1" sqref="E68:E78 E114 G114 I108 E97:E102 D19:E40 I77 E83:E95 E104 G104 E107:E109 G107:G109 E111:E112 G111:G112 G57:G61 E57:E65 G51 E51:E54 I42:I48 G42:G48 E42:E48 G19:G36 F19:F24 G68:G78 G116:G119 E116:E119 G99 I57:I61 I68:I69">
      <formula1>members</formula1>
    </dataValidation>
    <dataValidation type="list" allowBlank="1" showInputMessage="1" showErrorMessage="1" sqref="H57:H65 H67:H113 G79:G98 F110:F119 E115 F57:F61 E96 D76:D87 D89:D119 G110 G113 D68:D74 G49 E103 E79:E82 F68:F108 E105:E106 G105:G106 E113 E110 G115 F62:G65 G100:G103 G52:G55 H51:H55 F51:F55 E55 D51:D55 H42:H49 F42:F49 E49 D42:D49 D57:D65">
      <formula1>$C$2:$C$17</formula1>
    </dataValidation>
    <dataValidation type="list" allowBlank="1" showInputMessage="1" showErrorMessage="1" sqref="L21:L40 L102:L105 L68:L79 L83:L94 L57:L65 L42:L48 L51:L54 L107:L112">
      <formula1>$K$3:$K$12</formula1>
    </dataValidation>
    <dataValidation type="list" allowBlank="1" showInputMessage="1" showErrorMessage="1" sqref="K19:K40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>
  <dimension ref="A1:IV57"/>
  <sheetViews>
    <sheetView workbookViewId="0">
      <selection activeCell="DO52" sqref="DO52"/>
    </sheetView>
  </sheetViews>
  <sheetFormatPr defaultRowHeight="15"/>
  <sheetData>
    <row r="1" spans="1:256">
      <c r="A1" t="e">
        <f>IF('Yêu cầu'!1:1,"AAAAAHzUvQA=",0)</f>
        <v>#VALUE!</v>
      </c>
      <c r="B1" t="e">
        <f>AND('Yêu cầu'!A1,"AAAAAHzUvQE=")</f>
        <v>#VALUE!</v>
      </c>
      <c r="C1">
        <f>IF('Yêu cầu'!2:2,"AAAAAHzUvQI=",0)</f>
        <v>0</v>
      </c>
      <c r="D1" t="e">
        <f>AND('Yêu cầu'!A2,"AAAAAHzUvQM=")</f>
        <v>#VALUE!</v>
      </c>
      <c r="E1">
        <f>IF('Yêu cầu'!3:3,"AAAAAHzUvQQ=",0)</f>
        <v>0</v>
      </c>
      <c r="F1" t="e">
        <f>AND('Yêu cầu'!A3,"AAAAAHzUvQU=")</f>
        <v>#VALUE!</v>
      </c>
      <c r="G1">
        <f>IF('Yêu cầu'!4:4,"AAAAAHzUvQY=",0)</f>
        <v>0</v>
      </c>
      <c r="H1" t="e">
        <f>AND('Yêu cầu'!A4,"AAAAAHzUvQc=")</f>
        <v>#VALUE!</v>
      </c>
      <c r="I1">
        <f>IF('Yêu cầu'!5:5,"AAAAAHzUvQg=",0)</f>
        <v>0</v>
      </c>
      <c r="J1" t="e">
        <f>AND('Yêu cầu'!A5,"AAAAAHzUvQk=")</f>
        <v>#VALUE!</v>
      </c>
      <c r="K1">
        <f>IF('Yêu cầu'!6:6,"AAAAAHzUvQo=",0)</f>
        <v>0</v>
      </c>
      <c r="L1" t="e">
        <f>AND('Yêu cầu'!A6,"AAAAAHzUvQs=")</f>
        <v>#VALUE!</v>
      </c>
      <c r="M1">
        <f>IF('Yêu cầu'!7:7,"AAAAAHzUvQw=",0)</f>
        <v>0</v>
      </c>
      <c r="N1" t="e">
        <f>AND('Yêu cầu'!A7,"AAAAAHzUvQ0=")</f>
        <v>#VALUE!</v>
      </c>
      <c r="O1">
        <f>IF('Yêu cầu'!8:8,"AAAAAHzUvQ4=",0)</f>
        <v>0</v>
      </c>
      <c r="P1" t="e">
        <f>AND('Yêu cầu'!A8,"AAAAAHzUvQ8=")</f>
        <v>#VALUE!</v>
      </c>
      <c r="Q1">
        <f>IF('Yêu cầu'!9:9,"AAAAAHzUvRA=",0)</f>
        <v>0</v>
      </c>
      <c r="R1" t="e">
        <f>AND('Yêu cầu'!A9,"AAAAAHzUvRE=")</f>
        <v>#VALUE!</v>
      </c>
      <c r="S1">
        <f>IF('Yêu cầu'!10:10,"AAAAAHzUvRI=",0)</f>
        <v>0</v>
      </c>
      <c r="T1" t="e">
        <f>AND('Yêu cầu'!A10,"AAAAAHzUvRM=")</f>
        <v>#VALUE!</v>
      </c>
      <c r="U1">
        <f>IF('Yêu cầu'!11:11,"AAAAAHzUvRQ=",0)</f>
        <v>0</v>
      </c>
      <c r="V1" t="e">
        <f>AND('Yêu cầu'!A11,"AAAAAHzUvRU=")</f>
        <v>#VALUE!</v>
      </c>
      <c r="W1">
        <f>IF('Yêu cầu'!12:12,"AAAAAHzUvRY=",0)</f>
        <v>0</v>
      </c>
      <c r="X1" t="e">
        <f>AND('Yêu cầu'!A12,"AAAAAHzUvRc=")</f>
        <v>#VALUE!</v>
      </c>
      <c r="Y1">
        <f>IF('Yêu cầu'!13:13,"AAAAAHzUvRg=",0)</f>
        <v>0</v>
      </c>
      <c r="Z1" t="e">
        <f>AND('Yêu cầu'!A13,"AAAAAHzUvRk=")</f>
        <v>#VALUE!</v>
      </c>
      <c r="AA1">
        <f>IF('Yêu cầu'!14:14,"AAAAAHzUvRo=",0)</f>
        <v>0</v>
      </c>
      <c r="AB1">
        <f>IF('Yêu cầu'!15:15,"AAAAAHzUvRs=",0)</f>
        <v>0</v>
      </c>
      <c r="AC1">
        <f>IF('Yêu cầu'!16:16,"AAAAAHzUvRw=",0)</f>
        <v>0</v>
      </c>
      <c r="AD1">
        <f>IF('Yêu cầu'!17:17,"AAAAAHzUvR0=",0)</f>
        <v>0</v>
      </c>
      <c r="AE1" t="e">
        <f>IF('Yêu cầu'!A:A,"AAAAAHzUvR4=",0)</f>
        <v>#VALUE!</v>
      </c>
      <c r="AF1">
        <f>IF('Khao sat thong tin GV'!1:1,"AAAAAHzUvR8=",0)</f>
        <v>0</v>
      </c>
      <c r="AG1" t="e">
        <f>AND('Khao sat thong tin GV'!A1,"AAAAAHzUvSA=")</f>
        <v>#VALUE!</v>
      </c>
      <c r="AH1" t="e">
        <f>AND('Khao sat thong tin GV'!B1,"AAAAAHzUvSE=")</f>
        <v>#VALUE!</v>
      </c>
      <c r="AI1" t="e">
        <f>AND('Khao sat thong tin GV'!C1,"AAAAAHzUvSI=")</f>
        <v>#VALUE!</v>
      </c>
      <c r="AJ1" t="e">
        <f>AND('Khao sat thong tin GV'!D1,"AAAAAHzUvSM=")</f>
        <v>#VALUE!</v>
      </c>
      <c r="AK1" t="e">
        <f>AND('Khao sat thong tin GV'!E1,"AAAAAHzUvSQ=")</f>
        <v>#VALUE!</v>
      </c>
      <c r="AL1" t="e">
        <f>AND('Khao sat thong tin GV'!F1,"AAAAAHzUvSU=")</f>
        <v>#VALUE!</v>
      </c>
      <c r="AM1" t="e">
        <f>AND('Khao sat thong tin GV'!G1,"AAAAAHzUvSY=")</f>
        <v>#VALUE!</v>
      </c>
      <c r="AN1" t="e">
        <f>AND('Khao sat thong tin GV'!H1,"AAAAAHzUvSc=")</f>
        <v>#VALUE!</v>
      </c>
      <c r="AO1" t="e">
        <f>AND('Khao sat thong tin GV'!I1,"AAAAAHzUvSg=")</f>
        <v>#VALUE!</v>
      </c>
      <c r="AP1" t="e">
        <f>AND('Khao sat thong tin GV'!J1,"AAAAAHzUvSk=")</f>
        <v>#VALUE!</v>
      </c>
      <c r="AQ1">
        <f>IF('Khao sat thong tin GV'!2:2,"AAAAAHzUvSo=",0)</f>
        <v>0</v>
      </c>
      <c r="AR1" t="e">
        <f>AND('Khao sat thong tin GV'!A2,"AAAAAHzUvSs=")</f>
        <v>#VALUE!</v>
      </c>
      <c r="AS1" t="e">
        <f>AND('Khao sat thong tin GV'!B2,"AAAAAHzUvSw=")</f>
        <v>#VALUE!</v>
      </c>
      <c r="AT1" t="e">
        <f>AND('Khao sat thong tin GV'!C2,"AAAAAHzUvS0=")</f>
        <v>#VALUE!</v>
      </c>
      <c r="AU1" t="e">
        <f>AND('Khao sat thong tin GV'!D2,"AAAAAHzUvS4=")</f>
        <v>#VALUE!</v>
      </c>
      <c r="AV1" t="e">
        <f>AND('Khao sat thong tin GV'!E2,"AAAAAHzUvS8=")</f>
        <v>#VALUE!</v>
      </c>
      <c r="AW1" t="e">
        <f>AND('Khao sat thong tin GV'!F2,"AAAAAHzUvTA=")</f>
        <v>#VALUE!</v>
      </c>
      <c r="AX1" t="e">
        <f>AND('Khao sat thong tin GV'!G2,"AAAAAHzUvTE=")</f>
        <v>#VALUE!</v>
      </c>
      <c r="AY1" t="e">
        <f>AND('Khao sat thong tin GV'!H2,"AAAAAHzUvTI=")</f>
        <v>#VALUE!</v>
      </c>
      <c r="AZ1" t="e">
        <f>AND('Khao sat thong tin GV'!I2,"AAAAAHzUvTM=")</f>
        <v>#VALUE!</v>
      </c>
      <c r="BA1" t="e">
        <f>AND('Khao sat thong tin GV'!J2,"AAAAAHzUvTQ=")</f>
        <v>#VALUE!</v>
      </c>
      <c r="BB1">
        <f>IF('Khao sat thong tin GV'!3:3,"AAAAAHzUvTU=",0)</f>
        <v>0</v>
      </c>
      <c r="BC1" t="e">
        <f>AND('Khao sat thong tin GV'!A3,"AAAAAHzUvTY=")</f>
        <v>#VALUE!</v>
      </c>
      <c r="BD1" t="e">
        <f>AND('Khao sat thong tin GV'!B3,"AAAAAHzUvTc=")</f>
        <v>#VALUE!</v>
      </c>
      <c r="BE1" t="e">
        <f>AND('Khao sat thong tin GV'!C3,"AAAAAHzUvTg=")</f>
        <v>#VALUE!</v>
      </c>
      <c r="BF1" t="e">
        <f>AND('Khao sat thong tin GV'!D3,"AAAAAHzUvTk=")</f>
        <v>#VALUE!</v>
      </c>
      <c r="BG1" t="e">
        <f>AND('Khao sat thong tin GV'!E3,"AAAAAHzUvTo=")</f>
        <v>#VALUE!</v>
      </c>
      <c r="BH1" t="e">
        <f>AND('Khao sat thong tin GV'!F3,"AAAAAHzUvTs=")</f>
        <v>#VALUE!</v>
      </c>
      <c r="BI1" t="e">
        <f>AND('Khao sat thong tin GV'!G3,"AAAAAHzUvTw=")</f>
        <v>#VALUE!</v>
      </c>
      <c r="BJ1" t="e">
        <f>AND('Khao sat thong tin GV'!H3,"AAAAAHzUvT0=")</f>
        <v>#VALUE!</v>
      </c>
      <c r="BK1" t="e">
        <f>AND('Khao sat thong tin GV'!I3,"AAAAAHzUvT4=")</f>
        <v>#VALUE!</v>
      </c>
      <c r="BL1" t="e">
        <f>AND('Khao sat thong tin GV'!J3,"AAAAAHzUvT8=")</f>
        <v>#VALUE!</v>
      </c>
      <c r="BM1">
        <f>IF('Khao sat thong tin GV'!4:4,"AAAAAHzUvUA=",0)</f>
        <v>0</v>
      </c>
      <c r="BN1" t="e">
        <f>AND('Khao sat thong tin GV'!A4,"AAAAAHzUvUE=")</f>
        <v>#VALUE!</v>
      </c>
      <c r="BO1" t="e">
        <f>AND('Khao sat thong tin GV'!B4,"AAAAAHzUvUI=")</f>
        <v>#VALUE!</v>
      </c>
      <c r="BP1" t="e">
        <f>AND('Khao sat thong tin GV'!C4,"AAAAAHzUvUM=")</f>
        <v>#VALUE!</v>
      </c>
      <c r="BQ1" t="e">
        <f>AND('Khao sat thong tin GV'!D4,"AAAAAHzUvUQ=")</f>
        <v>#VALUE!</v>
      </c>
      <c r="BR1" t="e">
        <f>AND('Khao sat thong tin GV'!E4,"AAAAAHzUvUU=")</f>
        <v>#VALUE!</v>
      </c>
      <c r="BS1" t="e">
        <f>AND('Khao sat thong tin GV'!F4,"AAAAAHzUvUY=")</f>
        <v>#VALUE!</v>
      </c>
      <c r="BT1" t="e">
        <f>AND('Khao sat thong tin GV'!G4,"AAAAAHzUvUc=")</f>
        <v>#VALUE!</v>
      </c>
      <c r="BU1" t="e">
        <f>AND('Khao sat thong tin GV'!H4,"AAAAAHzUvUg=")</f>
        <v>#VALUE!</v>
      </c>
      <c r="BV1" t="e">
        <f>AND('Khao sat thong tin GV'!I4,"AAAAAHzUvUk=")</f>
        <v>#VALUE!</v>
      </c>
      <c r="BW1" t="e">
        <f>AND('Khao sat thong tin GV'!J4,"AAAAAHzUvUo=")</f>
        <v>#VALUE!</v>
      </c>
      <c r="BX1">
        <f>IF('Khao sat thong tin GV'!5:5,"AAAAAHzUvUs=",0)</f>
        <v>0</v>
      </c>
      <c r="BY1" t="e">
        <f>AND('Khao sat thong tin GV'!A5,"AAAAAHzUvUw=")</f>
        <v>#VALUE!</v>
      </c>
      <c r="BZ1" t="e">
        <f>AND('Khao sat thong tin GV'!B5,"AAAAAHzUvU0=")</f>
        <v>#VALUE!</v>
      </c>
      <c r="CA1" t="e">
        <f>AND('Khao sat thong tin GV'!C5,"AAAAAHzUvU4=")</f>
        <v>#VALUE!</v>
      </c>
      <c r="CB1" t="e">
        <f>AND('Khao sat thong tin GV'!D5,"AAAAAHzUvU8=")</f>
        <v>#VALUE!</v>
      </c>
      <c r="CC1" t="e">
        <f>AND('Khao sat thong tin GV'!E5,"AAAAAHzUvVA=")</f>
        <v>#VALUE!</v>
      </c>
      <c r="CD1" t="e">
        <f>AND('Khao sat thong tin GV'!F5,"AAAAAHzUvVE=")</f>
        <v>#VALUE!</v>
      </c>
      <c r="CE1" t="e">
        <f>AND('Khao sat thong tin GV'!G5,"AAAAAHzUvVI=")</f>
        <v>#VALUE!</v>
      </c>
      <c r="CF1" t="e">
        <f>AND('Khao sat thong tin GV'!H5,"AAAAAHzUvVM=")</f>
        <v>#VALUE!</v>
      </c>
      <c r="CG1" t="e">
        <f>AND('Khao sat thong tin GV'!I5,"AAAAAHzUvVQ=")</f>
        <v>#VALUE!</v>
      </c>
      <c r="CH1" t="e">
        <f>AND('Khao sat thong tin GV'!J5,"AAAAAHzUvVU=")</f>
        <v>#VALUE!</v>
      </c>
      <c r="CI1">
        <f>IF('Khao sat thong tin GV'!6:6,"AAAAAHzUvVY=",0)</f>
        <v>0</v>
      </c>
      <c r="CJ1" t="e">
        <f>AND('Khao sat thong tin GV'!A6,"AAAAAHzUvVc=")</f>
        <v>#VALUE!</v>
      </c>
      <c r="CK1" t="e">
        <f>AND('Khao sat thong tin GV'!B6,"AAAAAHzUvVg=")</f>
        <v>#VALUE!</v>
      </c>
      <c r="CL1" t="e">
        <f>AND('Khao sat thong tin GV'!C6,"AAAAAHzUvVk=")</f>
        <v>#VALUE!</v>
      </c>
      <c r="CM1" t="e">
        <f>AND('Khao sat thong tin GV'!D6,"AAAAAHzUvVo=")</f>
        <v>#VALUE!</v>
      </c>
      <c r="CN1" t="e">
        <f>AND('Khao sat thong tin GV'!E6,"AAAAAHzUvVs=")</f>
        <v>#VALUE!</v>
      </c>
      <c r="CO1" t="e">
        <f>AND('Khao sat thong tin GV'!F6,"AAAAAHzUvVw=")</f>
        <v>#VALUE!</v>
      </c>
      <c r="CP1" t="e">
        <f>AND('Khao sat thong tin GV'!G6,"AAAAAHzUvV0=")</f>
        <v>#VALUE!</v>
      </c>
      <c r="CQ1" t="e">
        <f>AND('Khao sat thong tin GV'!H6,"AAAAAHzUvV4=")</f>
        <v>#VALUE!</v>
      </c>
      <c r="CR1" t="e">
        <f>AND('Khao sat thong tin GV'!I6,"AAAAAHzUvV8=")</f>
        <v>#VALUE!</v>
      </c>
      <c r="CS1" t="e">
        <f>AND('Khao sat thong tin GV'!J6,"AAAAAHzUvWA=")</f>
        <v>#VALUE!</v>
      </c>
      <c r="CT1">
        <f>IF('Khao sat thong tin GV'!7:7,"AAAAAHzUvWE=",0)</f>
        <v>0</v>
      </c>
      <c r="CU1" t="e">
        <f>AND('Khao sat thong tin GV'!A7,"AAAAAHzUvWI=")</f>
        <v>#VALUE!</v>
      </c>
      <c r="CV1" t="e">
        <f>AND('Khao sat thong tin GV'!B7,"AAAAAHzUvWM=")</f>
        <v>#VALUE!</v>
      </c>
      <c r="CW1" t="e">
        <f>AND('Khao sat thong tin GV'!C7,"AAAAAHzUvWQ=")</f>
        <v>#VALUE!</v>
      </c>
      <c r="CX1" t="e">
        <f>AND('Khao sat thong tin GV'!D7,"AAAAAHzUvWU=")</f>
        <v>#VALUE!</v>
      </c>
      <c r="CY1" t="e">
        <f>AND('Khao sat thong tin GV'!E7,"AAAAAHzUvWY=")</f>
        <v>#VALUE!</v>
      </c>
      <c r="CZ1" t="e">
        <f>AND('Khao sat thong tin GV'!F7,"AAAAAHzUvWc=")</f>
        <v>#VALUE!</v>
      </c>
      <c r="DA1" t="e">
        <f>AND('Khao sat thong tin GV'!G7,"AAAAAHzUvWg=")</f>
        <v>#VALUE!</v>
      </c>
      <c r="DB1" t="e">
        <f>AND('Khao sat thong tin GV'!H7,"AAAAAHzUvWk=")</f>
        <v>#VALUE!</v>
      </c>
      <c r="DC1" t="e">
        <f>AND('Khao sat thong tin GV'!I7,"AAAAAHzUvWo=")</f>
        <v>#VALUE!</v>
      </c>
      <c r="DD1" t="e">
        <f>AND('Khao sat thong tin GV'!J7,"AAAAAHzUvWs=")</f>
        <v>#VALUE!</v>
      </c>
      <c r="DE1">
        <f>IF('Khao sat thong tin GV'!8:8,"AAAAAHzUvWw=",0)</f>
        <v>0</v>
      </c>
      <c r="DF1" t="e">
        <f>AND('Khao sat thong tin GV'!A8,"AAAAAHzUvW0=")</f>
        <v>#VALUE!</v>
      </c>
      <c r="DG1" t="e">
        <f>AND('Khao sat thong tin GV'!B8,"AAAAAHzUvW4=")</f>
        <v>#VALUE!</v>
      </c>
      <c r="DH1" t="e">
        <f>AND('Khao sat thong tin GV'!C8,"AAAAAHzUvW8=")</f>
        <v>#VALUE!</v>
      </c>
      <c r="DI1" t="e">
        <f>AND('Khao sat thong tin GV'!D8,"AAAAAHzUvXA=")</f>
        <v>#VALUE!</v>
      </c>
      <c r="DJ1" t="e">
        <f>AND('Khao sat thong tin GV'!E8,"AAAAAHzUvXE=")</f>
        <v>#VALUE!</v>
      </c>
      <c r="DK1" t="e">
        <f>AND('Khao sat thong tin GV'!F8,"AAAAAHzUvXI=")</f>
        <v>#VALUE!</v>
      </c>
      <c r="DL1" t="e">
        <f>AND('Khao sat thong tin GV'!G8,"AAAAAHzUvXM=")</f>
        <v>#VALUE!</v>
      </c>
      <c r="DM1" t="e">
        <f>AND('Khao sat thong tin GV'!H8,"AAAAAHzUvXQ=")</f>
        <v>#VALUE!</v>
      </c>
      <c r="DN1" t="e">
        <f>AND('Khao sat thong tin GV'!I8,"AAAAAHzUvXU=")</f>
        <v>#VALUE!</v>
      </c>
      <c r="DO1" t="e">
        <f>AND('Khao sat thong tin GV'!J8,"AAAAAHzUvXY=")</f>
        <v>#VALUE!</v>
      </c>
      <c r="DP1">
        <f>IF('Khao sat thong tin GV'!9:9,"AAAAAHzUvXc=",0)</f>
        <v>0</v>
      </c>
      <c r="DQ1" t="e">
        <f>AND('Khao sat thong tin GV'!A9,"AAAAAHzUvXg=")</f>
        <v>#VALUE!</v>
      </c>
      <c r="DR1" t="e">
        <f>AND('Khao sat thong tin GV'!B9,"AAAAAHzUvXk=")</f>
        <v>#VALUE!</v>
      </c>
      <c r="DS1">
        <f>IF('Khao sat thong tin GV'!10:10,"AAAAAHzUvXo=",0)</f>
        <v>0</v>
      </c>
      <c r="DT1" t="e">
        <f>AND('Khao sat thong tin GV'!A10,"AAAAAHzUvXs=")</f>
        <v>#VALUE!</v>
      </c>
      <c r="DU1" t="e">
        <f>AND('Khao sat thong tin GV'!B10,"AAAAAHzUvXw=")</f>
        <v>#VALUE!</v>
      </c>
      <c r="DV1">
        <f>IF('Khao sat thong tin GV'!11:11,"AAAAAHzUvX0=",0)</f>
        <v>0</v>
      </c>
      <c r="DW1" t="e">
        <f>AND('Khao sat thong tin GV'!A11,"AAAAAHzUvX4=")</f>
        <v>#VALUE!</v>
      </c>
      <c r="DX1" t="e">
        <f>AND('Khao sat thong tin GV'!B11,"AAAAAHzUvX8=")</f>
        <v>#VALUE!</v>
      </c>
      <c r="DY1">
        <f>IF('Khao sat thong tin GV'!12:12,"AAAAAHzUvYA=",0)</f>
        <v>0</v>
      </c>
      <c r="DZ1" t="e">
        <f>AND('Khao sat thong tin GV'!A12,"AAAAAHzUvYE=")</f>
        <v>#VALUE!</v>
      </c>
      <c r="EA1" t="e">
        <f>AND('Khao sat thong tin GV'!B12,"AAAAAHzUvYI=")</f>
        <v>#VALUE!</v>
      </c>
      <c r="EB1">
        <f>IF('Khao sat thong tin GV'!13:13,"AAAAAHzUvYM=",0)</f>
        <v>0</v>
      </c>
      <c r="EC1" t="e">
        <f>AND('Khao sat thong tin GV'!A13,"AAAAAHzUvYQ=")</f>
        <v>#VALUE!</v>
      </c>
      <c r="ED1" t="e">
        <f>AND('Khao sat thong tin GV'!B13,"AAAAAHzUvYU=")</f>
        <v>#VALUE!</v>
      </c>
      <c r="EE1">
        <f>IF('Khao sat thong tin GV'!14:14,"AAAAAHzUvYY=",0)</f>
        <v>0</v>
      </c>
      <c r="EF1" t="e">
        <f>AND('Khao sat thong tin GV'!A14,"AAAAAHzUvYc=")</f>
        <v>#VALUE!</v>
      </c>
      <c r="EG1" t="e">
        <f>AND('Khao sat thong tin GV'!B14,"AAAAAHzUvYg=")</f>
        <v>#VALUE!</v>
      </c>
      <c r="EH1">
        <f>IF('Khao sat thong tin GV'!15:15,"AAAAAHzUvYk=",0)</f>
        <v>0</v>
      </c>
      <c r="EI1" t="e">
        <f>AND('Khao sat thong tin GV'!A15,"AAAAAHzUvYo=")</f>
        <v>#VALUE!</v>
      </c>
      <c r="EJ1" t="e">
        <f>AND('Khao sat thong tin GV'!B15,"AAAAAHzUvYs=")</f>
        <v>#VALUE!</v>
      </c>
      <c r="EK1">
        <f>IF('Khao sat thong tin GV'!16:16,"AAAAAHzUvYw=",0)</f>
        <v>0</v>
      </c>
      <c r="EL1" t="e">
        <f>AND('Khao sat thong tin GV'!A16,"AAAAAHzUvY0=")</f>
        <v>#VALUE!</v>
      </c>
      <c r="EM1" t="e">
        <f>AND('Khao sat thong tin GV'!B16,"AAAAAHzUvY4=")</f>
        <v>#VALUE!</v>
      </c>
      <c r="EN1">
        <f>IF('Khao sat thong tin GV'!17:17,"AAAAAHzUvY8=",0)</f>
        <v>0</v>
      </c>
      <c r="EO1" t="e">
        <f>AND('Khao sat thong tin GV'!A17,"AAAAAHzUvZA=")</f>
        <v>#VALUE!</v>
      </c>
      <c r="EP1" t="e">
        <f>AND('Khao sat thong tin GV'!B17,"AAAAAHzUvZE=")</f>
        <v>#VALUE!</v>
      </c>
      <c r="EQ1">
        <f>IF('Khao sat thong tin GV'!18:18,"AAAAAHzUvZI=",0)</f>
        <v>0</v>
      </c>
      <c r="ER1" t="e">
        <f>AND('Khao sat thong tin GV'!A18,"AAAAAHzUvZM=")</f>
        <v>#VALUE!</v>
      </c>
      <c r="ES1" t="e">
        <f>AND('Khao sat thong tin GV'!B18,"AAAAAHzUvZQ=")</f>
        <v>#VALUE!</v>
      </c>
      <c r="ET1">
        <f>IF('Khao sat thong tin GV'!19:19,"AAAAAHzUvZU=",0)</f>
        <v>0</v>
      </c>
      <c r="EU1" t="e">
        <f>AND('Khao sat thong tin GV'!A19,"AAAAAHzUvZY=")</f>
        <v>#VALUE!</v>
      </c>
      <c r="EV1" t="e">
        <f>AND('Khao sat thong tin GV'!B19,"AAAAAHzUvZc=")</f>
        <v>#VALUE!</v>
      </c>
      <c r="EW1">
        <f>IF('Khao sat thong tin GV'!20:20,"AAAAAHzUvZg=",0)</f>
        <v>0</v>
      </c>
      <c r="EX1" t="e">
        <f>AND('Khao sat thong tin GV'!A20,"AAAAAHzUvZk=")</f>
        <v>#VALUE!</v>
      </c>
      <c r="EY1" t="e">
        <f>AND('Khao sat thong tin GV'!B20,"AAAAAHzUvZo=")</f>
        <v>#VALUE!</v>
      </c>
      <c r="EZ1">
        <f>IF('Khao sat thong tin GV'!21:21,"AAAAAHzUvZs=",0)</f>
        <v>0</v>
      </c>
      <c r="FA1" t="e">
        <f>AND('Khao sat thong tin GV'!A21,"AAAAAHzUvZw=")</f>
        <v>#VALUE!</v>
      </c>
      <c r="FB1" t="e">
        <f>AND('Khao sat thong tin GV'!B21,"AAAAAHzUvZ0=")</f>
        <v>#VALUE!</v>
      </c>
      <c r="FC1">
        <f>IF('Khao sat thong tin GV'!A:A,"AAAAAHzUvZ4=",0)</f>
        <v>0</v>
      </c>
      <c r="FD1">
        <f>IF('Khao sat thong tin GV'!B:B,"AAAAAHzUvZ8=",0)</f>
        <v>0</v>
      </c>
      <c r="FE1">
        <f>IF('Khao sat thong tin GV'!C:C,"AAAAAHzUvaA=",0)</f>
        <v>0</v>
      </c>
      <c r="FF1">
        <f>IF('Khao sat thong tin GV'!D:D,"AAAAAHzUvaE=",0)</f>
        <v>0</v>
      </c>
      <c r="FG1">
        <f>IF('Khao sat thong tin GV'!E:E,"AAAAAHzUvaI=",0)</f>
        <v>0</v>
      </c>
      <c r="FH1">
        <f>IF('Khao sat thong tin GV'!F:F,"AAAAAHzUvaM=",0)</f>
        <v>0</v>
      </c>
      <c r="FI1">
        <f>IF('Khao sat thong tin GV'!G:G,"AAAAAHzUvaQ=",0)</f>
        <v>0</v>
      </c>
      <c r="FJ1">
        <f>IF('Khao sat thong tin GV'!H:H,"AAAAAHzUvaU=",0)</f>
        <v>0</v>
      </c>
      <c r="FK1">
        <f>IF('Khao sat thong tin GV'!I:I,"AAAAAHzUvaY=",0)</f>
        <v>0</v>
      </c>
      <c r="FL1">
        <f>IF('Khao sat thong tin GV'!J:J,"AAAAAHzUvac=",0)</f>
        <v>0</v>
      </c>
      <c r="FM1">
        <f>IF(Plan!1:1,"AAAAAHzUvag=",0)</f>
        <v>0</v>
      </c>
      <c r="FN1" t="e">
        <f>AND(Plan!A1,"AAAAAHzUvak=")</f>
        <v>#VALUE!</v>
      </c>
      <c r="FO1" t="e">
        <f>AND(Plan!#REF!,"AAAAAHzUvao=")</f>
        <v>#REF!</v>
      </c>
      <c r="FP1" t="e">
        <f>AND(Plan!C1,"AAAAAHzUvas=")</f>
        <v>#VALUE!</v>
      </c>
      <c r="FQ1" t="e">
        <f>AND(Plan!D1,"AAAAAHzUvaw=")</f>
        <v>#VALUE!</v>
      </c>
      <c r="FR1" t="e">
        <f>AND(Plan!E1,"AAAAAHzUva0=")</f>
        <v>#VALUE!</v>
      </c>
      <c r="FS1" t="e">
        <f>AND(Plan!L1,"AAAAAHzUva4=")</f>
        <v>#VALUE!</v>
      </c>
      <c r="FT1" t="e">
        <f>AND(Plan!G1,"AAAAAHzUva8=")</f>
        <v>#VALUE!</v>
      </c>
      <c r="FU1" t="e">
        <f>AND(Plan!H1,"AAAAAHzUvbA=")</f>
        <v>#VALUE!</v>
      </c>
      <c r="FV1" t="e">
        <f>AND(Plan!J1,"AAAAAHzUvbE=")</f>
        <v>#VALUE!</v>
      </c>
      <c r="FW1" t="e">
        <f>AND(Plan!#REF!,"AAAAAHzUvbI=")</f>
        <v>#REF!</v>
      </c>
      <c r="FX1" t="e">
        <f>AND(Plan!K1,"AAAAAHzUvbM=")</f>
        <v>#VALUE!</v>
      </c>
      <c r="FY1" t="e">
        <f>AND(Plan!B1,"AAAAAHzUvbQ=")</f>
        <v>#VALUE!</v>
      </c>
      <c r="FZ1" t="e">
        <f>AND(Plan!#REF!,"AAAAAHzUvbU=")</f>
        <v>#REF!</v>
      </c>
      <c r="GA1" t="e">
        <f>AND(Plan!N1,"AAAAAHzUvbY=")</f>
        <v>#VALUE!</v>
      </c>
      <c r="GB1" t="e">
        <f>AND(Plan!O1,"AAAAAHzUvbc=")</f>
        <v>#VALUE!</v>
      </c>
      <c r="GC1" t="e">
        <f>AND(Plan!P1,"AAAAAHzUvbg=")</f>
        <v>#VALUE!</v>
      </c>
      <c r="GD1" t="e">
        <f>AND(Plan!Q1,"AAAAAHzUvbk=")</f>
        <v>#VALUE!</v>
      </c>
      <c r="GE1" t="e">
        <f>AND(Plan!R1,"AAAAAHzUvbo=")</f>
        <v>#VALUE!</v>
      </c>
      <c r="GF1" t="e">
        <f>AND(Plan!S1,"AAAAAHzUvbs=")</f>
        <v>#VALUE!</v>
      </c>
      <c r="GG1" t="e">
        <f>AND(Plan!T1,"AAAAAHzUvbw=")</f>
        <v>#VALUE!</v>
      </c>
      <c r="GH1" t="e">
        <f>AND(Plan!U1,"AAAAAHzUvb0=")</f>
        <v>#VALUE!</v>
      </c>
      <c r="GI1" t="e">
        <f>AND(Plan!V1,"AAAAAHzUvb4=")</f>
        <v>#VALUE!</v>
      </c>
      <c r="GJ1" t="e">
        <f>AND(Plan!W1,"AAAAAHzUvb8=")</f>
        <v>#VALUE!</v>
      </c>
      <c r="GK1" t="e">
        <f>AND(Plan!X1,"AAAAAHzUvcA=")</f>
        <v>#VALUE!</v>
      </c>
      <c r="GL1" t="e">
        <f>AND(Plan!Y1,"AAAAAHzUvcE=")</f>
        <v>#VALUE!</v>
      </c>
      <c r="GM1" t="e">
        <f>AND(Plan!Z1,"AAAAAHzUvcI=")</f>
        <v>#VALUE!</v>
      </c>
      <c r="GN1" t="e">
        <f>AND(Plan!AA1,"AAAAAHzUvcM=")</f>
        <v>#VALUE!</v>
      </c>
      <c r="GO1" t="e">
        <f>AND(Plan!AB1,"AAAAAHzUvcQ=")</f>
        <v>#VALUE!</v>
      </c>
      <c r="GP1" t="e">
        <f>AND(Plan!AC1,"AAAAAHzUvcU=")</f>
        <v>#VALUE!</v>
      </c>
      <c r="GQ1" t="e">
        <f>AND(Plan!AD1,"AAAAAHzUvcY=")</f>
        <v>#VALUE!</v>
      </c>
      <c r="GR1" t="e">
        <f>AND(Plan!AE1,"AAAAAHzUvcc=")</f>
        <v>#VALUE!</v>
      </c>
      <c r="GS1" t="e">
        <f>AND(Plan!AF1,"AAAAAHzUvcg=")</f>
        <v>#VALUE!</v>
      </c>
      <c r="GT1" t="e">
        <f>AND(Plan!AG1,"AAAAAHzUvck=")</f>
        <v>#VALUE!</v>
      </c>
      <c r="GU1" t="e">
        <f>AND(Plan!AH1,"AAAAAHzUvco=")</f>
        <v>#VALUE!</v>
      </c>
      <c r="GV1" t="e">
        <f>AND(Plan!AI1,"AAAAAHzUvcs=")</f>
        <v>#VALUE!</v>
      </c>
      <c r="GW1" t="e">
        <f>AND(Plan!AJ1,"AAAAAHzUvcw=")</f>
        <v>#VALUE!</v>
      </c>
      <c r="GX1" t="e">
        <f>AND(Plan!AK1,"AAAAAHzUvc0=")</f>
        <v>#VALUE!</v>
      </c>
      <c r="GY1" t="e">
        <f>AND(Plan!AL1,"AAAAAHzUvc4=")</f>
        <v>#VALUE!</v>
      </c>
      <c r="GZ1" t="e">
        <f>AND(Plan!AM1,"AAAAAHzUvc8=")</f>
        <v>#VALUE!</v>
      </c>
      <c r="HA1" t="e">
        <f>AND(Plan!AN1,"AAAAAHzUvdA=")</f>
        <v>#VALUE!</v>
      </c>
      <c r="HB1" t="e">
        <f>AND(Plan!AO1,"AAAAAHzUvdE=")</f>
        <v>#VALUE!</v>
      </c>
      <c r="HC1" t="e">
        <f>AND(Plan!AP1,"AAAAAHzUvdI=")</f>
        <v>#VALUE!</v>
      </c>
      <c r="HD1" t="e">
        <f>AND(Plan!AQ1,"AAAAAHzUvdM=")</f>
        <v>#VALUE!</v>
      </c>
      <c r="HE1" t="e">
        <f>AND(Plan!AR1,"AAAAAHzUvdQ=")</f>
        <v>#VALUE!</v>
      </c>
      <c r="HF1" t="e">
        <f>AND(Plan!AS1,"AAAAAHzUvdU=")</f>
        <v>#VALUE!</v>
      </c>
      <c r="HG1" t="e">
        <f>AND(Plan!AT1,"AAAAAHzUvdY=")</f>
        <v>#VALUE!</v>
      </c>
      <c r="HH1" t="e">
        <f>AND(Plan!AU1,"AAAAAHzUvdc=")</f>
        <v>#VALUE!</v>
      </c>
      <c r="HI1" t="e">
        <f>AND(Plan!AV1,"AAAAAHzUvdg=")</f>
        <v>#VALUE!</v>
      </c>
      <c r="HJ1" t="e">
        <f>AND(Plan!AW1,"AAAAAHzUvdk=")</f>
        <v>#VALUE!</v>
      </c>
      <c r="HK1" t="e">
        <f>AND(Plan!AX1,"AAAAAHzUvdo=")</f>
        <v>#VALUE!</v>
      </c>
      <c r="HL1" t="e">
        <f>AND(Plan!AY1,"AAAAAHzUvds=")</f>
        <v>#VALUE!</v>
      </c>
      <c r="HM1" t="e">
        <f>AND(Plan!AZ1,"AAAAAHzUvdw=")</f>
        <v>#VALUE!</v>
      </c>
      <c r="HN1" t="e">
        <f>AND(Plan!BA1,"AAAAAHzUvd0=")</f>
        <v>#VALUE!</v>
      </c>
      <c r="HO1" t="e">
        <f>AND(Plan!BB1,"AAAAAHzUvd4=")</f>
        <v>#VALUE!</v>
      </c>
      <c r="HP1" t="e">
        <f>AND(Plan!BC1,"AAAAAHzUvd8=")</f>
        <v>#VALUE!</v>
      </c>
      <c r="HQ1" t="e">
        <f>AND(Plan!BD1,"AAAAAHzUveA=")</f>
        <v>#VALUE!</v>
      </c>
      <c r="HR1" t="e">
        <f>AND(Plan!BE1,"AAAAAHzUveE=")</f>
        <v>#VALUE!</v>
      </c>
      <c r="HS1" t="e">
        <f>AND(Plan!BF1,"AAAAAHzUveI=")</f>
        <v>#VALUE!</v>
      </c>
      <c r="HT1" t="e">
        <f>AND(Plan!BG1,"AAAAAHzUveM=")</f>
        <v>#VALUE!</v>
      </c>
      <c r="HU1" t="e">
        <f>AND(Plan!BH1,"AAAAAHzUveQ=")</f>
        <v>#VALUE!</v>
      </c>
      <c r="HV1" t="e">
        <f>AND(Plan!BI1,"AAAAAHzUveU=")</f>
        <v>#VALUE!</v>
      </c>
      <c r="HW1" t="e">
        <f>AND(Plan!BJ1,"AAAAAHzUveY=")</f>
        <v>#VALUE!</v>
      </c>
      <c r="HX1" t="e">
        <f>AND(Plan!BK1,"AAAAAHzUvec=")</f>
        <v>#VALUE!</v>
      </c>
      <c r="HY1" t="e">
        <f>AND(Plan!BL1,"AAAAAHzUveg=")</f>
        <v>#VALUE!</v>
      </c>
      <c r="HZ1" t="e">
        <f>AND(Plan!BM1,"AAAAAHzUvek=")</f>
        <v>#VALUE!</v>
      </c>
      <c r="IA1" t="e">
        <f>AND(Plan!BN1,"AAAAAHzUveo=")</f>
        <v>#VALUE!</v>
      </c>
      <c r="IB1" t="e">
        <f>AND(Plan!BO1,"AAAAAHzUves=")</f>
        <v>#VALUE!</v>
      </c>
      <c r="IC1" t="e">
        <f>AND(Plan!BP1,"AAAAAHzUvew=")</f>
        <v>#VALUE!</v>
      </c>
      <c r="ID1" t="e">
        <f>AND(Plan!BQ1,"AAAAAHzUve0=")</f>
        <v>#VALUE!</v>
      </c>
      <c r="IE1" t="e">
        <f>AND(Plan!BR1,"AAAAAHzUve4=")</f>
        <v>#VALUE!</v>
      </c>
      <c r="IF1" t="e">
        <f>AND(Plan!BS1,"AAAAAHzUve8=")</f>
        <v>#VALUE!</v>
      </c>
      <c r="IG1" t="e">
        <f>AND(Plan!BT1,"AAAAAHzUvfA=")</f>
        <v>#VALUE!</v>
      </c>
      <c r="IH1" t="e">
        <f>AND(Plan!BU1,"AAAAAHzUvfE=")</f>
        <v>#VALUE!</v>
      </c>
      <c r="II1" t="e">
        <f>AND(Plan!BV1,"AAAAAHzUvfI=")</f>
        <v>#VALUE!</v>
      </c>
      <c r="IJ1" t="e">
        <f>AND(Plan!BW1,"AAAAAHzUvfM=")</f>
        <v>#VALUE!</v>
      </c>
      <c r="IK1" t="e">
        <f>AND(Plan!BX1,"AAAAAHzUvfQ=")</f>
        <v>#VALUE!</v>
      </c>
      <c r="IL1" t="e">
        <f>AND(Plan!BY1,"AAAAAHzUvfU=")</f>
        <v>#VALUE!</v>
      </c>
      <c r="IM1" t="e">
        <f>AND(Plan!BZ1,"AAAAAHzUvfY=")</f>
        <v>#VALUE!</v>
      </c>
      <c r="IN1" t="e">
        <f>AND(Plan!CA1,"AAAAAHzUvfc=")</f>
        <v>#VALUE!</v>
      </c>
      <c r="IO1" t="e">
        <f>AND(Plan!CB1,"AAAAAHzUvfg=")</f>
        <v>#VALUE!</v>
      </c>
      <c r="IP1" t="e">
        <f>AND(Plan!CC1,"AAAAAHzUvfk=")</f>
        <v>#VALUE!</v>
      </c>
      <c r="IQ1" t="e">
        <f>AND(Plan!CD1,"AAAAAHzUvfo=")</f>
        <v>#VALUE!</v>
      </c>
      <c r="IR1" t="e">
        <f>AND(Plan!CE1,"AAAAAHzUvfs=")</f>
        <v>#VALUE!</v>
      </c>
      <c r="IS1" t="e">
        <f>AND(Plan!CF1,"AAAAAHzUvfw=")</f>
        <v>#VALUE!</v>
      </c>
      <c r="IT1" t="e">
        <f>AND(Plan!CG1,"AAAAAHzUvf0=")</f>
        <v>#VALUE!</v>
      </c>
      <c r="IU1" t="e">
        <f>AND(Plan!CH1,"AAAAAHzUvf4=")</f>
        <v>#VALUE!</v>
      </c>
      <c r="IV1" t="e">
        <f>AND(Plan!CI1,"AAAAAHzUvf8=")</f>
        <v>#VALUE!</v>
      </c>
    </row>
    <row r="2" spans="1:256">
      <c r="A2" t="e">
        <f>AND(Plan!CJ1,"AAAAAH//twA=")</f>
        <v>#VALUE!</v>
      </c>
      <c r="B2" t="e">
        <f>AND(Plan!CK1,"AAAAAH//twE=")</f>
        <v>#VALUE!</v>
      </c>
      <c r="C2" t="e">
        <f>AND(Plan!CL1,"AAAAAH//twI=")</f>
        <v>#VALUE!</v>
      </c>
      <c r="D2" t="e">
        <f>AND(Plan!CM1,"AAAAAH//twM=")</f>
        <v>#VALUE!</v>
      </c>
      <c r="E2" t="e">
        <f>AND(Plan!CN1,"AAAAAH//twQ=")</f>
        <v>#VALUE!</v>
      </c>
      <c r="F2" t="e">
        <f>AND(Plan!CO1,"AAAAAH//twU=")</f>
        <v>#VALUE!</v>
      </c>
      <c r="G2" t="e">
        <f>AND(Plan!CP1,"AAAAAH//twY=")</f>
        <v>#VALUE!</v>
      </c>
      <c r="H2" t="e">
        <f>AND(Plan!CQ1,"AAAAAH//twc=")</f>
        <v>#VALUE!</v>
      </c>
      <c r="I2" t="e">
        <f>AND(Plan!CR1,"AAAAAH//twg=")</f>
        <v>#VALUE!</v>
      </c>
      <c r="J2" t="e">
        <f>AND(Plan!CS1,"AAAAAH//twk=")</f>
        <v>#VALUE!</v>
      </c>
      <c r="K2" t="e">
        <f>AND(Plan!CT1,"AAAAAH//two=")</f>
        <v>#VALUE!</v>
      </c>
      <c r="L2" t="e">
        <f>AND(Plan!CU1,"AAAAAH//tws=")</f>
        <v>#VALUE!</v>
      </c>
      <c r="M2" t="e">
        <f>AND(Plan!CV1,"AAAAAH//tww=")</f>
        <v>#VALUE!</v>
      </c>
      <c r="N2" t="e">
        <f>AND(Plan!CW1,"AAAAAH//tw0=")</f>
        <v>#VALUE!</v>
      </c>
      <c r="O2">
        <f>IF(Plan!2:2,"AAAAAH//tw4=",0)</f>
        <v>0</v>
      </c>
      <c r="P2" t="e">
        <f>AND(Plan!A2,"AAAAAH//tw8=")</f>
        <v>#VALUE!</v>
      </c>
      <c r="Q2" t="e">
        <f>AND(Plan!L2,"AAAAAH//txA=")</f>
        <v>#VALUE!</v>
      </c>
      <c r="R2" t="e">
        <f>AND(Plan!C2,"AAAAAH//txE=")</f>
        <v>#VALUE!</v>
      </c>
      <c r="S2" t="e">
        <f>AND(Plan!D2,"AAAAAH//txI=")</f>
        <v>#VALUE!</v>
      </c>
      <c r="T2" t="e">
        <f>AND(Plan!E2,"AAAAAH//txM=")</f>
        <v>#VALUE!</v>
      </c>
      <c r="U2" t="e">
        <f>AND(Plan!#REF!,"AAAAAH//txQ=")</f>
        <v>#REF!</v>
      </c>
      <c r="V2" t="e">
        <f>AND(Plan!G2,"AAAAAH//txU=")</f>
        <v>#VALUE!</v>
      </c>
      <c r="W2" t="e">
        <f>AND(Plan!#REF!,"AAAAAH//txY=")</f>
        <v>#REF!</v>
      </c>
      <c r="X2" t="e">
        <f>AND(Plan!I2,"AAAAAH//txc=")</f>
        <v>#VALUE!</v>
      </c>
      <c r="Y2" t="e">
        <f>AND(Plan!H2,"AAAAAH//txg=")</f>
        <v>#VALUE!</v>
      </c>
      <c r="Z2" t="e">
        <f>AND(Plan!K2,"AAAAAH//txk=")</f>
        <v>#VALUE!</v>
      </c>
      <c r="AA2" t="e">
        <f>AND(Plan!B2,"AAAAAH//txo=")</f>
        <v>#VALUE!</v>
      </c>
      <c r="AB2" t="e">
        <f>AND(Plan!#REF!,"AAAAAH//txs=")</f>
        <v>#REF!</v>
      </c>
      <c r="AC2" t="e">
        <f>AND(Plan!N2,"AAAAAH//txw=")</f>
        <v>#VALUE!</v>
      </c>
      <c r="AD2" t="e">
        <f>AND(Plan!O2,"AAAAAH//tx0=")</f>
        <v>#VALUE!</v>
      </c>
      <c r="AE2" t="e">
        <f>AND(Plan!P2,"AAAAAH//tx4=")</f>
        <v>#VALUE!</v>
      </c>
      <c r="AF2" t="e">
        <f>AND(Plan!Q2,"AAAAAH//tx8=")</f>
        <v>#VALUE!</v>
      </c>
      <c r="AG2" t="e">
        <f>AND(Plan!R2,"AAAAAH//tyA=")</f>
        <v>#VALUE!</v>
      </c>
      <c r="AH2" t="e">
        <f>AND(Plan!S2,"AAAAAH//tyE=")</f>
        <v>#VALUE!</v>
      </c>
      <c r="AI2" t="e">
        <f>AND(Plan!T2,"AAAAAH//tyI=")</f>
        <v>#VALUE!</v>
      </c>
      <c r="AJ2" t="e">
        <f>AND(Plan!U2,"AAAAAH//tyM=")</f>
        <v>#VALUE!</v>
      </c>
      <c r="AK2" t="e">
        <f>AND(Plan!V2,"AAAAAH//tyQ=")</f>
        <v>#VALUE!</v>
      </c>
      <c r="AL2" t="e">
        <f>AND(Plan!W2,"AAAAAH//tyU=")</f>
        <v>#VALUE!</v>
      </c>
      <c r="AM2" t="e">
        <f>AND(Plan!X2,"AAAAAH//tyY=")</f>
        <v>#VALUE!</v>
      </c>
      <c r="AN2" t="e">
        <f>AND(Plan!Y2,"AAAAAH//tyc=")</f>
        <v>#VALUE!</v>
      </c>
      <c r="AO2" t="e">
        <f>AND(Plan!Z2,"AAAAAH//tyg=")</f>
        <v>#VALUE!</v>
      </c>
      <c r="AP2" t="e">
        <f>AND(Plan!AA2,"AAAAAH//tyk=")</f>
        <v>#VALUE!</v>
      </c>
      <c r="AQ2" t="e">
        <f>AND(Plan!AB2,"AAAAAH//tyo=")</f>
        <v>#VALUE!</v>
      </c>
      <c r="AR2" t="e">
        <f>AND(Plan!AC2,"AAAAAH//tys=")</f>
        <v>#VALUE!</v>
      </c>
      <c r="AS2" t="e">
        <f>AND(Plan!AD2,"AAAAAH//tyw=")</f>
        <v>#VALUE!</v>
      </c>
      <c r="AT2" t="e">
        <f>AND(Plan!AE2,"AAAAAH//ty0=")</f>
        <v>#VALUE!</v>
      </c>
      <c r="AU2" t="e">
        <f>AND(Plan!AF2,"AAAAAH//ty4=")</f>
        <v>#VALUE!</v>
      </c>
      <c r="AV2" t="e">
        <f>AND(Plan!AG2,"AAAAAH//ty8=")</f>
        <v>#VALUE!</v>
      </c>
      <c r="AW2" t="e">
        <f>AND(Plan!AH2,"AAAAAH//tzA=")</f>
        <v>#VALUE!</v>
      </c>
      <c r="AX2" t="e">
        <f>AND(Plan!AI2,"AAAAAH//tzE=")</f>
        <v>#VALUE!</v>
      </c>
      <c r="AY2" t="e">
        <f>AND(Plan!AJ2,"AAAAAH//tzI=")</f>
        <v>#VALUE!</v>
      </c>
      <c r="AZ2" t="e">
        <f>AND(Plan!AK2,"AAAAAH//tzM=")</f>
        <v>#VALUE!</v>
      </c>
      <c r="BA2" t="e">
        <f>AND(Plan!AL2,"AAAAAH//tzQ=")</f>
        <v>#VALUE!</v>
      </c>
      <c r="BB2" t="e">
        <f>AND(Plan!AM2,"AAAAAH//tzU=")</f>
        <v>#VALUE!</v>
      </c>
      <c r="BC2" t="e">
        <f>AND(Plan!AN2,"AAAAAH//tzY=")</f>
        <v>#VALUE!</v>
      </c>
      <c r="BD2" t="e">
        <f>AND(Plan!AO2,"AAAAAH//tzc=")</f>
        <v>#VALUE!</v>
      </c>
      <c r="BE2" t="e">
        <f>AND(Plan!AP2,"AAAAAH//tzg=")</f>
        <v>#VALUE!</v>
      </c>
      <c r="BF2" t="e">
        <f>AND(Plan!AQ2,"AAAAAH//tzk=")</f>
        <v>#VALUE!</v>
      </c>
      <c r="BG2" t="e">
        <f>AND(Plan!AR2,"AAAAAH//tzo=")</f>
        <v>#VALUE!</v>
      </c>
      <c r="BH2" t="e">
        <f>AND(Plan!AS2,"AAAAAH//tzs=")</f>
        <v>#VALUE!</v>
      </c>
      <c r="BI2" t="e">
        <f>AND(Plan!AT2,"AAAAAH//tzw=")</f>
        <v>#VALUE!</v>
      </c>
      <c r="BJ2" t="e">
        <f>AND(Plan!AU2,"AAAAAH//tz0=")</f>
        <v>#VALUE!</v>
      </c>
      <c r="BK2" t="e">
        <f>AND(Plan!AV2,"AAAAAH//tz4=")</f>
        <v>#VALUE!</v>
      </c>
      <c r="BL2" t="e">
        <f>AND(Plan!AW2,"AAAAAH//tz8=")</f>
        <v>#VALUE!</v>
      </c>
      <c r="BM2" t="e">
        <f>AND(Plan!AX2,"AAAAAH//t0A=")</f>
        <v>#VALUE!</v>
      </c>
      <c r="BN2" t="e">
        <f>AND(Plan!AY2,"AAAAAH//t0E=")</f>
        <v>#VALUE!</v>
      </c>
      <c r="BO2" t="e">
        <f>AND(Plan!AZ2,"AAAAAH//t0I=")</f>
        <v>#VALUE!</v>
      </c>
      <c r="BP2" t="e">
        <f>AND(Plan!BA2,"AAAAAH//t0M=")</f>
        <v>#VALUE!</v>
      </c>
      <c r="BQ2" t="e">
        <f>AND(Plan!BB2,"AAAAAH//t0Q=")</f>
        <v>#VALUE!</v>
      </c>
      <c r="BR2" t="e">
        <f>AND(Plan!BC2,"AAAAAH//t0U=")</f>
        <v>#VALUE!</v>
      </c>
      <c r="BS2" t="e">
        <f>AND(Plan!BD2,"AAAAAH//t0Y=")</f>
        <v>#VALUE!</v>
      </c>
      <c r="BT2" t="e">
        <f>AND(Plan!BE2,"AAAAAH//t0c=")</f>
        <v>#VALUE!</v>
      </c>
      <c r="BU2" t="e">
        <f>AND(Plan!BF2,"AAAAAH//t0g=")</f>
        <v>#VALUE!</v>
      </c>
      <c r="BV2" t="e">
        <f>AND(Plan!BG2,"AAAAAH//t0k=")</f>
        <v>#VALUE!</v>
      </c>
      <c r="BW2" t="e">
        <f>AND(Plan!BH2,"AAAAAH//t0o=")</f>
        <v>#VALUE!</v>
      </c>
      <c r="BX2" t="e">
        <f>AND(Plan!BI2,"AAAAAH//t0s=")</f>
        <v>#VALUE!</v>
      </c>
      <c r="BY2" t="e">
        <f>AND(Plan!BJ2,"AAAAAH//t0w=")</f>
        <v>#VALUE!</v>
      </c>
      <c r="BZ2" t="e">
        <f>AND(Plan!BK2,"AAAAAH//t00=")</f>
        <v>#VALUE!</v>
      </c>
      <c r="CA2" t="e">
        <f>AND(Plan!BL2,"AAAAAH//t04=")</f>
        <v>#VALUE!</v>
      </c>
      <c r="CB2" t="e">
        <f>AND(Plan!BM2,"AAAAAH//t08=")</f>
        <v>#VALUE!</v>
      </c>
      <c r="CC2" t="e">
        <f>AND(Plan!BN2,"AAAAAH//t1A=")</f>
        <v>#VALUE!</v>
      </c>
      <c r="CD2" t="e">
        <f>AND(Plan!BO2,"AAAAAH//t1E=")</f>
        <v>#VALUE!</v>
      </c>
      <c r="CE2" t="e">
        <f>AND(Plan!BP2,"AAAAAH//t1I=")</f>
        <v>#VALUE!</v>
      </c>
      <c r="CF2" t="e">
        <f>AND(Plan!BQ2,"AAAAAH//t1M=")</f>
        <v>#VALUE!</v>
      </c>
      <c r="CG2" t="e">
        <f>AND(Plan!BR2,"AAAAAH//t1Q=")</f>
        <v>#VALUE!</v>
      </c>
      <c r="CH2" t="e">
        <f>AND(Plan!BS2,"AAAAAH//t1U=")</f>
        <v>#VALUE!</v>
      </c>
      <c r="CI2" t="e">
        <f>AND(Plan!BT2,"AAAAAH//t1Y=")</f>
        <v>#VALUE!</v>
      </c>
      <c r="CJ2" t="e">
        <f>AND(Plan!BU2,"AAAAAH//t1c=")</f>
        <v>#VALUE!</v>
      </c>
      <c r="CK2" t="e">
        <f>AND(Plan!BV2,"AAAAAH//t1g=")</f>
        <v>#VALUE!</v>
      </c>
      <c r="CL2" t="e">
        <f>AND(Plan!BW2,"AAAAAH//t1k=")</f>
        <v>#VALUE!</v>
      </c>
      <c r="CM2" t="e">
        <f>AND(Plan!BX2,"AAAAAH//t1o=")</f>
        <v>#VALUE!</v>
      </c>
      <c r="CN2" t="e">
        <f>AND(Plan!BY2,"AAAAAH//t1s=")</f>
        <v>#VALUE!</v>
      </c>
      <c r="CO2" t="e">
        <f>AND(Plan!BZ2,"AAAAAH//t1w=")</f>
        <v>#VALUE!</v>
      </c>
      <c r="CP2" t="e">
        <f>AND(Plan!CA2,"AAAAAH//t10=")</f>
        <v>#VALUE!</v>
      </c>
      <c r="CQ2" t="e">
        <f>AND(Plan!CB2,"AAAAAH//t14=")</f>
        <v>#VALUE!</v>
      </c>
      <c r="CR2" t="e">
        <f>AND(Plan!CC2,"AAAAAH//t18=")</f>
        <v>#VALUE!</v>
      </c>
      <c r="CS2" t="e">
        <f>AND(Plan!CD2,"AAAAAH//t2A=")</f>
        <v>#VALUE!</v>
      </c>
      <c r="CT2" t="e">
        <f>AND(Plan!CE2,"AAAAAH//t2E=")</f>
        <v>#VALUE!</v>
      </c>
      <c r="CU2" t="e">
        <f>AND(Plan!CF2,"AAAAAH//t2I=")</f>
        <v>#VALUE!</v>
      </c>
      <c r="CV2" t="e">
        <f>AND(Plan!CG2,"AAAAAH//t2M=")</f>
        <v>#VALUE!</v>
      </c>
      <c r="CW2" t="e">
        <f>AND(Plan!CH2,"AAAAAH//t2Q=")</f>
        <v>#VALUE!</v>
      </c>
      <c r="CX2" t="e">
        <f>AND(Plan!CI2,"AAAAAH//t2U=")</f>
        <v>#VALUE!</v>
      </c>
      <c r="CY2" t="e">
        <f>AND(Plan!CJ2,"AAAAAH//t2Y=")</f>
        <v>#VALUE!</v>
      </c>
      <c r="CZ2" t="e">
        <f>AND(Plan!CK2,"AAAAAH//t2c=")</f>
        <v>#VALUE!</v>
      </c>
      <c r="DA2" t="e">
        <f>AND(Plan!CL2,"AAAAAH//t2g=")</f>
        <v>#VALUE!</v>
      </c>
      <c r="DB2" t="e">
        <f>AND(Plan!CM2,"AAAAAH//t2k=")</f>
        <v>#VALUE!</v>
      </c>
      <c r="DC2" t="e">
        <f>AND(Plan!CN2,"AAAAAH//t2o=")</f>
        <v>#VALUE!</v>
      </c>
      <c r="DD2" t="e">
        <f>AND(Plan!CO2,"AAAAAH//t2s=")</f>
        <v>#VALUE!</v>
      </c>
      <c r="DE2" t="e">
        <f>AND(Plan!CP2,"AAAAAH//t2w=")</f>
        <v>#VALUE!</v>
      </c>
      <c r="DF2" t="e">
        <f>AND(Plan!CQ2,"AAAAAH//t20=")</f>
        <v>#VALUE!</v>
      </c>
      <c r="DG2" t="e">
        <f>AND(Plan!CR2,"AAAAAH//t24=")</f>
        <v>#VALUE!</v>
      </c>
      <c r="DH2" t="e">
        <f>AND(Plan!CS2,"AAAAAH//t28=")</f>
        <v>#VALUE!</v>
      </c>
      <c r="DI2" t="e">
        <f>AND(Plan!CT2,"AAAAAH//t3A=")</f>
        <v>#VALUE!</v>
      </c>
      <c r="DJ2" t="e">
        <f>AND(Plan!CU2,"AAAAAH//t3E=")</f>
        <v>#VALUE!</v>
      </c>
      <c r="DK2" t="e">
        <f>AND(Plan!CV2,"AAAAAH//t3I=")</f>
        <v>#VALUE!</v>
      </c>
      <c r="DL2" t="e">
        <f>AND(Plan!CW2,"AAAAAH//t3M=")</f>
        <v>#VALUE!</v>
      </c>
      <c r="DM2" t="e">
        <f>IF(Plan!#REF!,"AAAAAH//t3Q=",0)</f>
        <v>#REF!</v>
      </c>
      <c r="DN2" t="e">
        <f>AND(Plan!#REF!,"AAAAAH//t3U=")</f>
        <v>#REF!</v>
      </c>
      <c r="DO2" t="e">
        <f>AND(Plan!#REF!,"AAAAAH//t3Y=")</f>
        <v>#REF!</v>
      </c>
      <c r="DP2" t="e">
        <f>AND(Plan!#REF!,"AAAAAH//t3c=")</f>
        <v>#REF!</v>
      </c>
      <c r="DQ2" t="e">
        <f>AND(Plan!#REF!,"AAAAAH//t3g=")</f>
        <v>#REF!</v>
      </c>
      <c r="DR2" t="e">
        <f>AND(Plan!#REF!,"AAAAAH//t3k=")</f>
        <v>#REF!</v>
      </c>
      <c r="DS2" t="e">
        <f>AND(Plan!#REF!,"AAAAAH//t3o=")</f>
        <v>#REF!</v>
      </c>
      <c r="DT2" t="e">
        <f>AND(Plan!#REF!,"AAAAAH//t3s=")</f>
        <v>#REF!</v>
      </c>
      <c r="DU2" t="e">
        <f>AND(Plan!#REF!,"AAAAAH//t3w=")</f>
        <v>#REF!</v>
      </c>
      <c r="DV2" t="e">
        <f>AND(Plan!#REF!,"AAAAAH//t30=")</f>
        <v>#REF!</v>
      </c>
      <c r="DW2" t="e">
        <f>AND(Plan!#REF!,"AAAAAH//t34=")</f>
        <v>#REF!</v>
      </c>
      <c r="DX2" t="e">
        <f>AND(Plan!#REF!,"AAAAAH//t38=")</f>
        <v>#REF!</v>
      </c>
      <c r="DY2" t="e">
        <f>AND(Plan!#REF!,"AAAAAH//t4A=")</f>
        <v>#REF!</v>
      </c>
      <c r="DZ2" t="e">
        <f>AND(Plan!#REF!,"AAAAAH//t4E=")</f>
        <v>#REF!</v>
      </c>
      <c r="EA2" t="e">
        <f>AND(Plan!#REF!,"AAAAAH//t4I=")</f>
        <v>#REF!</v>
      </c>
      <c r="EB2" t="e">
        <f>AND(Plan!#REF!,"AAAAAH//t4M=")</f>
        <v>#REF!</v>
      </c>
      <c r="EC2" t="e">
        <f>AND(Plan!#REF!,"AAAAAH//t4Q=")</f>
        <v>#REF!</v>
      </c>
      <c r="ED2" t="e">
        <f>AND(Plan!#REF!,"AAAAAH//t4U=")</f>
        <v>#REF!</v>
      </c>
      <c r="EE2" t="e">
        <f>AND(Plan!#REF!,"AAAAAH//t4Y=")</f>
        <v>#REF!</v>
      </c>
      <c r="EF2" t="e">
        <f>AND(Plan!#REF!,"AAAAAH//t4c=")</f>
        <v>#REF!</v>
      </c>
      <c r="EG2" t="e">
        <f>AND(Plan!#REF!,"AAAAAH//t4g=")</f>
        <v>#REF!</v>
      </c>
      <c r="EH2" t="e">
        <f>AND(Plan!#REF!,"AAAAAH//t4k=")</f>
        <v>#REF!</v>
      </c>
      <c r="EI2" t="e">
        <f>AND(Plan!#REF!,"AAAAAH//t4o=")</f>
        <v>#REF!</v>
      </c>
      <c r="EJ2" t="e">
        <f>AND(Plan!#REF!,"AAAAAH//t4s=")</f>
        <v>#REF!</v>
      </c>
      <c r="EK2" t="e">
        <f>AND(Plan!#REF!,"AAAAAH//t4w=")</f>
        <v>#REF!</v>
      </c>
      <c r="EL2" t="e">
        <f>AND(Plan!#REF!,"AAAAAH//t40=")</f>
        <v>#REF!</v>
      </c>
      <c r="EM2" t="e">
        <f>AND(Plan!#REF!,"AAAAAH//t44=")</f>
        <v>#REF!</v>
      </c>
      <c r="EN2" t="e">
        <f>AND(Plan!#REF!,"AAAAAH//t48=")</f>
        <v>#REF!</v>
      </c>
      <c r="EO2" t="e">
        <f>AND(Plan!#REF!,"AAAAAH//t5A=")</f>
        <v>#REF!</v>
      </c>
      <c r="EP2" t="e">
        <f>AND(Plan!#REF!,"AAAAAH//t5E=")</f>
        <v>#REF!</v>
      </c>
      <c r="EQ2" t="e">
        <f>AND(Plan!#REF!,"AAAAAH//t5I=")</f>
        <v>#REF!</v>
      </c>
      <c r="ER2" t="e">
        <f>AND(Plan!#REF!,"AAAAAH//t5M=")</f>
        <v>#REF!</v>
      </c>
      <c r="ES2" t="e">
        <f>AND(Plan!#REF!,"AAAAAH//t5Q=")</f>
        <v>#REF!</v>
      </c>
      <c r="ET2" t="e">
        <f>AND(Plan!#REF!,"AAAAAH//t5U=")</f>
        <v>#REF!</v>
      </c>
      <c r="EU2" t="e">
        <f>AND(Plan!#REF!,"AAAAAH//t5Y=")</f>
        <v>#REF!</v>
      </c>
      <c r="EV2" t="e">
        <f>AND(Plan!#REF!,"AAAAAH//t5c=")</f>
        <v>#REF!</v>
      </c>
      <c r="EW2" t="e">
        <f>AND(Plan!#REF!,"AAAAAH//t5g=")</f>
        <v>#REF!</v>
      </c>
      <c r="EX2" t="e">
        <f>AND(Plan!#REF!,"AAAAAH//t5k=")</f>
        <v>#REF!</v>
      </c>
      <c r="EY2" t="e">
        <f>AND(Plan!#REF!,"AAAAAH//t5o=")</f>
        <v>#REF!</v>
      </c>
      <c r="EZ2" t="e">
        <f>AND(Plan!#REF!,"AAAAAH//t5s=")</f>
        <v>#REF!</v>
      </c>
      <c r="FA2" t="e">
        <f>AND(Plan!#REF!,"AAAAAH//t5w=")</f>
        <v>#REF!</v>
      </c>
      <c r="FB2" t="e">
        <f>AND(Plan!#REF!,"AAAAAH//t50=")</f>
        <v>#REF!</v>
      </c>
      <c r="FC2" t="e">
        <f>AND(Plan!#REF!,"AAAAAH//t54=")</f>
        <v>#REF!</v>
      </c>
      <c r="FD2" t="e">
        <f>AND(Plan!#REF!,"AAAAAH//t58=")</f>
        <v>#REF!</v>
      </c>
      <c r="FE2" t="e">
        <f>AND(Plan!#REF!,"AAAAAH//t6A=")</f>
        <v>#REF!</v>
      </c>
      <c r="FF2" t="e">
        <f>AND(Plan!#REF!,"AAAAAH//t6E=")</f>
        <v>#REF!</v>
      </c>
      <c r="FG2" t="e">
        <f>AND(Plan!#REF!,"AAAAAH//t6I=")</f>
        <v>#REF!</v>
      </c>
      <c r="FH2" t="e">
        <f>AND(Plan!#REF!,"AAAAAH//t6M=")</f>
        <v>#REF!</v>
      </c>
      <c r="FI2" t="e">
        <f>AND(Plan!#REF!,"AAAAAH//t6Q=")</f>
        <v>#REF!</v>
      </c>
      <c r="FJ2" t="e">
        <f>AND(Plan!#REF!,"AAAAAH//t6U=")</f>
        <v>#REF!</v>
      </c>
      <c r="FK2" t="e">
        <f>AND(Plan!#REF!,"AAAAAH//t6Y=")</f>
        <v>#REF!</v>
      </c>
      <c r="FL2" t="e">
        <f>AND(Plan!#REF!,"AAAAAH//t6c=")</f>
        <v>#REF!</v>
      </c>
      <c r="FM2" t="e">
        <f>AND(Plan!#REF!,"AAAAAH//t6g=")</f>
        <v>#REF!</v>
      </c>
      <c r="FN2" t="e">
        <f>AND(Plan!#REF!,"AAAAAH//t6k=")</f>
        <v>#REF!</v>
      </c>
      <c r="FO2" t="e">
        <f>AND(Plan!#REF!,"AAAAAH//t6o=")</f>
        <v>#REF!</v>
      </c>
      <c r="FP2" t="e">
        <f>AND(Plan!#REF!,"AAAAAH//t6s=")</f>
        <v>#REF!</v>
      </c>
      <c r="FQ2" t="e">
        <f>AND(Plan!#REF!,"AAAAAH//t6w=")</f>
        <v>#REF!</v>
      </c>
      <c r="FR2" t="e">
        <f>AND(Plan!#REF!,"AAAAAH//t60=")</f>
        <v>#REF!</v>
      </c>
      <c r="FS2" t="e">
        <f>AND(Plan!#REF!,"AAAAAH//t64=")</f>
        <v>#REF!</v>
      </c>
      <c r="FT2" t="e">
        <f>AND(Plan!#REF!,"AAAAAH//t68=")</f>
        <v>#REF!</v>
      </c>
      <c r="FU2" t="e">
        <f>AND(Plan!#REF!,"AAAAAH//t7A=")</f>
        <v>#REF!</v>
      </c>
      <c r="FV2" t="e">
        <f>AND(Plan!#REF!,"AAAAAH//t7E=")</f>
        <v>#REF!</v>
      </c>
      <c r="FW2" t="e">
        <f>AND(Plan!#REF!,"AAAAAH//t7I=")</f>
        <v>#REF!</v>
      </c>
      <c r="FX2" t="e">
        <f>AND(Plan!#REF!,"AAAAAH//t7M=")</f>
        <v>#REF!</v>
      </c>
      <c r="FY2" t="e">
        <f>AND(Plan!#REF!,"AAAAAH//t7Q=")</f>
        <v>#REF!</v>
      </c>
      <c r="FZ2" t="e">
        <f>AND(Plan!#REF!,"AAAAAH//t7U=")</f>
        <v>#REF!</v>
      </c>
      <c r="GA2" t="e">
        <f>AND(Plan!#REF!,"AAAAAH//t7Y=")</f>
        <v>#REF!</v>
      </c>
      <c r="GB2" t="e">
        <f>AND(Plan!#REF!,"AAAAAH//t7c=")</f>
        <v>#REF!</v>
      </c>
      <c r="GC2" t="e">
        <f>AND(Plan!#REF!,"AAAAAH//t7g=")</f>
        <v>#REF!</v>
      </c>
      <c r="GD2" t="e">
        <f>AND(Plan!#REF!,"AAAAAH//t7k=")</f>
        <v>#REF!</v>
      </c>
      <c r="GE2" t="e">
        <f>AND(Plan!#REF!,"AAAAAH//t7o=")</f>
        <v>#REF!</v>
      </c>
      <c r="GF2" t="e">
        <f>AND(Plan!#REF!,"AAAAAH//t7s=")</f>
        <v>#REF!</v>
      </c>
      <c r="GG2" t="e">
        <f>AND(Plan!#REF!,"AAAAAH//t7w=")</f>
        <v>#REF!</v>
      </c>
      <c r="GH2" t="e">
        <f>AND(Plan!#REF!,"AAAAAH//t70=")</f>
        <v>#REF!</v>
      </c>
      <c r="GI2" t="e">
        <f>AND(Plan!#REF!,"AAAAAH//t74=")</f>
        <v>#REF!</v>
      </c>
      <c r="GJ2" t="e">
        <f>AND(Plan!#REF!,"AAAAAH//t78=")</f>
        <v>#REF!</v>
      </c>
      <c r="GK2" t="e">
        <f>AND(Plan!#REF!,"AAAAAH//t8A=")</f>
        <v>#REF!</v>
      </c>
      <c r="GL2" t="e">
        <f>AND(Plan!#REF!,"AAAAAH//t8E=")</f>
        <v>#REF!</v>
      </c>
      <c r="GM2" t="e">
        <f>AND(Plan!#REF!,"AAAAAH//t8I=")</f>
        <v>#REF!</v>
      </c>
      <c r="GN2" t="e">
        <f>AND(Plan!#REF!,"AAAAAH//t8M=")</f>
        <v>#REF!</v>
      </c>
      <c r="GO2" t="e">
        <f>AND(Plan!#REF!,"AAAAAH//t8Q=")</f>
        <v>#REF!</v>
      </c>
      <c r="GP2" t="e">
        <f>AND(Plan!#REF!,"AAAAAH//t8U=")</f>
        <v>#REF!</v>
      </c>
      <c r="GQ2" t="e">
        <f>AND(Plan!#REF!,"AAAAAH//t8Y=")</f>
        <v>#REF!</v>
      </c>
      <c r="GR2" t="e">
        <f>AND(Plan!#REF!,"AAAAAH//t8c=")</f>
        <v>#REF!</v>
      </c>
      <c r="GS2" t="e">
        <f>AND(Plan!#REF!,"AAAAAH//t8g=")</f>
        <v>#REF!</v>
      </c>
      <c r="GT2" t="e">
        <f>AND(Plan!#REF!,"AAAAAH//t8k=")</f>
        <v>#REF!</v>
      </c>
      <c r="GU2" t="e">
        <f>AND(Plan!#REF!,"AAAAAH//t8o=")</f>
        <v>#REF!</v>
      </c>
      <c r="GV2" t="e">
        <f>AND(Plan!#REF!,"AAAAAH//t8s=")</f>
        <v>#REF!</v>
      </c>
      <c r="GW2" t="e">
        <f>AND(Plan!#REF!,"AAAAAH//t8w=")</f>
        <v>#REF!</v>
      </c>
      <c r="GX2" t="e">
        <f>AND(Plan!#REF!,"AAAAAH//t80=")</f>
        <v>#REF!</v>
      </c>
      <c r="GY2" t="e">
        <f>AND(Plan!#REF!,"AAAAAH//t84=")</f>
        <v>#REF!</v>
      </c>
      <c r="GZ2" t="e">
        <f>AND(Plan!#REF!,"AAAAAH//t88=")</f>
        <v>#REF!</v>
      </c>
      <c r="HA2" t="e">
        <f>AND(Plan!#REF!,"AAAAAH//t9A=")</f>
        <v>#REF!</v>
      </c>
      <c r="HB2" t="e">
        <f>AND(Plan!#REF!,"AAAAAH//t9E=")</f>
        <v>#REF!</v>
      </c>
      <c r="HC2" t="e">
        <f>AND(Plan!#REF!,"AAAAAH//t9I=")</f>
        <v>#REF!</v>
      </c>
      <c r="HD2" t="e">
        <f>AND(Plan!#REF!,"AAAAAH//t9M=")</f>
        <v>#REF!</v>
      </c>
      <c r="HE2" t="e">
        <f>AND(Plan!#REF!,"AAAAAH//t9Q=")</f>
        <v>#REF!</v>
      </c>
      <c r="HF2" t="e">
        <f>AND(Plan!#REF!,"AAAAAH//t9U=")</f>
        <v>#REF!</v>
      </c>
      <c r="HG2" t="e">
        <f>AND(Plan!#REF!,"AAAAAH//t9Y=")</f>
        <v>#REF!</v>
      </c>
      <c r="HH2" t="e">
        <f>AND(Plan!#REF!,"AAAAAH//t9c=")</f>
        <v>#REF!</v>
      </c>
      <c r="HI2" t="e">
        <f>AND(Plan!#REF!,"AAAAAH//t9g=")</f>
        <v>#REF!</v>
      </c>
      <c r="HJ2" t="e">
        <f>AND(Plan!#REF!,"AAAAAH//t9k=")</f>
        <v>#REF!</v>
      </c>
      <c r="HK2" t="e">
        <f>IF(Plan!#REF!,"AAAAAH//t9o=",0)</f>
        <v>#REF!</v>
      </c>
      <c r="HL2" t="e">
        <f>AND(Plan!#REF!,"AAAAAH//t9s=")</f>
        <v>#REF!</v>
      </c>
      <c r="HM2" t="e">
        <f>AND(Plan!#REF!,"AAAAAH//t9w=")</f>
        <v>#REF!</v>
      </c>
      <c r="HN2" t="e">
        <f>AND(Plan!#REF!,"AAAAAH//t90=")</f>
        <v>#REF!</v>
      </c>
      <c r="HO2" t="e">
        <f>AND(Plan!#REF!,"AAAAAH//t94=")</f>
        <v>#REF!</v>
      </c>
      <c r="HP2" t="e">
        <f>AND(Plan!#REF!,"AAAAAH//t98=")</f>
        <v>#REF!</v>
      </c>
      <c r="HQ2" t="e">
        <f>AND(Plan!#REF!,"AAAAAH//t+A=")</f>
        <v>#REF!</v>
      </c>
      <c r="HR2" t="e">
        <f>AND(Plan!#REF!,"AAAAAH//t+E=")</f>
        <v>#REF!</v>
      </c>
      <c r="HS2" t="e">
        <f>AND(Plan!#REF!,"AAAAAH//t+I=")</f>
        <v>#REF!</v>
      </c>
      <c r="HT2" t="e">
        <f>AND(Plan!#REF!,"AAAAAH//t+M=")</f>
        <v>#REF!</v>
      </c>
      <c r="HU2" t="e">
        <f>AND(Plan!#REF!,"AAAAAH//t+Q=")</f>
        <v>#REF!</v>
      </c>
      <c r="HV2" t="e">
        <f>AND(Plan!#REF!,"AAAAAH//t+U=")</f>
        <v>#REF!</v>
      </c>
      <c r="HW2" t="e">
        <f>AND(Plan!#REF!,"AAAAAH//t+Y=")</f>
        <v>#REF!</v>
      </c>
      <c r="HX2" t="e">
        <f>AND(Plan!#REF!,"AAAAAH//t+c=")</f>
        <v>#REF!</v>
      </c>
      <c r="HY2" t="e">
        <f>AND(Plan!#REF!,"AAAAAH//t+g=")</f>
        <v>#REF!</v>
      </c>
      <c r="HZ2" t="e">
        <f>AND(Plan!#REF!,"AAAAAH//t+k=")</f>
        <v>#REF!</v>
      </c>
      <c r="IA2" t="e">
        <f>AND(Plan!#REF!,"AAAAAH//t+o=")</f>
        <v>#REF!</v>
      </c>
      <c r="IB2" t="e">
        <f>AND(Plan!#REF!,"AAAAAH//t+s=")</f>
        <v>#REF!</v>
      </c>
      <c r="IC2" t="e">
        <f>AND(Plan!#REF!,"AAAAAH//t+w=")</f>
        <v>#REF!</v>
      </c>
      <c r="ID2" t="e">
        <f>AND(Plan!#REF!,"AAAAAH//t+0=")</f>
        <v>#REF!</v>
      </c>
      <c r="IE2" t="e">
        <f>AND(Plan!#REF!,"AAAAAH//t+4=")</f>
        <v>#REF!</v>
      </c>
      <c r="IF2" t="e">
        <f>AND(Plan!#REF!,"AAAAAH//t+8=")</f>
        <v>#REF!</v>
      </c>
      <c r="IG2" t="e">
        <f>AND(Plan!#REF!,"AAAAAH//t/A=")</f>
        <v>#REF!</v>
      </c>
      <c r="IH2" t="e">
        <f>AND(Plan!#REF!,"AAAAAH//t/E=")</f>
        <v>#REF!</v>
      </c>
      <c r="II2" t="e">
        <f>AND(Plan!#REF!,"AAAAAH//t/I=")</f>
        <v>#REF!</v>
      </c>
      <c r="IJ2" t="e">
        <f>AND(Plan!#REF!,"AAAAAH//t/M=")</f>
        <v>#REF!</v>
      </c>
      <c r="IK2" t="e">
        <f>AND(Plan!#REF!,"AAAAAH//t/Q=")</f>
        <v>#REF!</v>
      </c>
      <c r="IL2" t="e">
        <f>AND(Plan!#REF!,"AAAAAH//t/U=")</f>
        <v>#REF!</v>
      </c>
      <c r="IM2" t="e">
        <f>AND(Plan!#REF!,"AAAAAH//t/Y=")</f>
        <v>#REF!</v>
      </c>
      <c r="IN2" t="e">
        <f>AND(Plan!#REF!,"AAAAAH//t/c=")</f>
        <v>#REF!</v>
      </c>
      <c r="IO2" t="e">
        <f>AND(Plan!#REF!,"AAAAAH//t/g=")</f>
        <v>#REF!</v>
      </c>
      <c r="IP2" t="e">
        <f>AND(Plan!#REF!,"AAAAAH//t/k=")</f>
        <v>#REF!</v>
      </c>
      <c r="IQ2" t="e">
        <f>AND(Plan!#REF!,"AAAAAH//t/o=")</f>
        <v>#REF!</v>
      </c>
      <c r="IR2" t="e">
        <f>AND(Plan!#REF!,"AAAAAH//t/s=")</f>
        <v>#REF!</v>
      </c>
      <c r="IS2" t="e">
        <f>AND(Plan!#REF!,"AAAAAH//t/w=")</f>
        <v>#REF!</v>
      </c>
      <c r="IT2" t="e">
        <f>AND(Plan!#REF!,"AAAAAH//t/0=")</f>
        <v>#REF!</v>
      </c>
      <c r="IU2" t="e">
        <f>AND(Plan!#REF!,"AAAAAH//t/4=")</f>
        <v>#REF!</v>
      </c>
      <c r="IV2" t="e">
        <f>AND(Plan!#REF!,"AAAAAH//t/8=")</f>
        <v>#REF!</v>
      </c>
    </row>
    <row r="3" spans="1:256">
      <c r="A3" t="e">
        <f>AND(Plan!#REF!,"AAAAAH/3XQA=")</f>
        <v>#REF!</v>
      </c>
      <c r="B3" t="e">
        <f>AND(Plan!#REF!,"AAAAAH/3XQE=")</f>
        <v>#REF!</v>
      </c>
      <c r="C3" t="e">
        <f>AND(Plan!#REF!,"AAAAAH/3XQI=")</f>
        <v>#REF!</v>
      </c>
      <c r="D3" t="e">
        <f>AND(Plan!#REF!,"AAAAAH/3XQM=")</f>
        <v>#REF!</v>
      </c>
      <c r="E3" t="e">
        <f>AND(Plan!#REF!,"AAAAAH/3XQQ=")</f>
        <v>#REF!</v>
      </c>
      <c r="F3" t="e">
        <f>AND(Plan!#REF!,"AAAAAH/3XQU=")</f>
        <v>#REF!</v>
      </c>
      <c r="G3" t="e">
        <f>AND(Plan!#REF!,"AAAAAH/3XQY=")</f>
        <v>#REF!</v>
      </c>
      <c r="H3" t="e">
        <f>AND(Plan!#REF!,"AAAAAH/3XQc=")</f>
        <v>#REF!</v>
      </c>
      <c r="I3" t="e">
        <f>AND(Plan!#REF!,"AAAAAH/3XQg=")</f>
        <v>#REF!</v>
      </c>
      <c r="J3" t="e">
        <f>AND(Plan!#REF!,"AAAAAH/3XQk=")</f>
        <v>#REF!</v>
      </c>
      <c r="K3" t="e">
        <f>AND(Plan!#REF!,"AAAAAH/3XQo=")</f>
        <v>#REF!</v>
      </c>
      <c r="L3" t="e">
        <f>AND(Plan!#REF!,"AAAAAH/3XQs=")</f>
        <v>#REF!</v>
      </c>
      <c r="M3" t="e">
        <f>AND(Plan!#REF!,"AAAAAH/3XQw=")</f>
        <v>#REF!</v>
      </c>
      <c r="N3" t="e">
        <f>AND(Plan!#REF!,"AAAAAH/3XQ0=")</f>
        <v>#REF!</v>
      </c>
      <c r="O3" t="e">
        <f>AND(Plan!#REF!,"AAAAAH/3XQ4=")</f>
        <v>#REF!</v>
      </c>
      <c r="P3" t="e">
        <f>AND(Plan!#REF!,"AAAAAH/3XQ8=")</f>
        <v>#REF!</v>
      </c>
      <c r="Q3" t="e">
        <f>AND(Plan!#REF!,"AAAAAH/3XRA=")</f>
        <v>#REF!</v>
      </c>
      <c r="R3" t="e">
        <f>AND(Plan!#REF!,"AAAAAH/3XRE=")</f>
        <v>#REF!</v>
      </c>
      <c r="S3" t="e">
        <f>AND(Plan!#REF!,"AAAAAH/3XRI=")</f>
        <v>#REF!</v>
      </c>
      <c r="T3" t="e">
        <f>AND(Plan!#REF!,"AAAAAH/3XRM=")</f>
        <v>#REF!</v>
      </c>
      <c r="U3" t="e">
        <f>AND(Plan!#REF!,"AAAAAH/3XRQ=")</f>
        <v>#REF!</v>
      </c>
      <c r="V3" t="e">
        <f>AND(Plan!#REF!,"AAAAAH/3XRU=")</f>
        <v>#REF!</v>
      </c>
      <c r="W3" t="e">
        <f>AND(Plan!#REF!,"AAAAAH/3XRY=")</f>
        <v>#REF!</v>
      </c>
      <c r="X3" t="e">
        <f>AND(Plan!#REF!,"AAAAAH/3XRc=")</f>
        <v>#REF!</v>
      </c>
      <c r="Y3" t="e">
        <f>AND(Plan!#REF!,"AAAAAH/3XRg=")</f>
        <v>#REF!</v>
      </c>
      <c r="Z3" t="e">
        <f>AND(Plan!#REF!,"AAAAAH/3XRk=")</f>
        <v>#REF!</v>
      </c>
      <c r="AA3" t="e">
        <f>AND(Plan!#REF!,"AAAAAH/3XRo=")</f>
        <v>#REF!</v>
      </c>
      <c r="AB3" t="e">
        <f>AND(Plan!#REF!,"AAAAAH/3XRs=")</f>
        <v>#REF!</v>
      </c>
      <c r="AC3" t="e">
        <f>AND(Plan!#REF!,"AAAAAH/3XRw=")</f>
        <v>#REF!</v>
      </c>
      <c r="AD3" t="e">
        <f>AND(Plan!#REF!,"AAAAAH/3XR0=")</f>
        <v>#REF!</v>
      </c>
      <c r="AE3" t="e">
        <f>AND(Plan!#REF!,"AAAAAH/3XR4=")</f>
        <v>#REF!</v>
      </c>
      <c r="AF3" t="e">
        <f>AND(Plan!#REF!,"AAAAAH/3XR8=")</f>
        <v>#REF!</v>
      </c>
      <c r="AG3" t="e">
        <f>AND(Plan!#REF!,"AAAAAH/3XSA=")</f>
        <v>#REF!</v>
      </c>
      <c r="AH3" t="e">
        <f>AND(Plan!#REF!,"AAAAAH/3XSE=")</f>
        <v>#REF!</v>
      </c>
      <c r="AI3" t="e">
        <f>AND(Plan!#REF!,"AAAAAH/3XSI=")</f>
        <v>#REF!</v>
      </c>
      <c r="AJ3" t="e">
        <f>AND(Plan!#REF!,"AAAAAH/3XSM=")</f>
        <v>#REF!</v>
      </c>
      <c r="AK3" t="e">
        <f>AND(Plan!#REF!,"AAAAAH/3XSQ=")</f>
        <v>#REF!</v>
      </c>
      <c r="AL3" t="e">
        <f>AND(Plan!#REF!,"AAAAAH/3XSU=")</f>
        <v>#REF!</v>
      </c>
      <c r="AM3" t="e">
        <f>AND(Plan!#REF!,"AAAAAH/3XSY=")</f>
        <v>#REF!</v>
      </c>
      <c r="AN3" t="e">
        <f>AND(Plan!#REF!,"AAAAAH/3XSc=")</f>
        <v>#REF!</v>
      </c>
      <c r="AO3" t="e">
        <f>AND(Plan!#REF!,"AAAAAH/3XSg=")</f>
        <v>#REF!</v>
      </c>
      <c r="AP3" t="e">
        <f>AND(Plan!#REF!,"AAAAAH/3XSk=")</f>
        <v>#REF!</v>
      </c>
      <c r="AQ3" t="e">
        <f>AND(Plan!#REF!,"AAAAAH/3XSo=")</f>
        <v>#REF!</v>
      </c>
      <c r="AR3" t="e">
        <f>AND(Plan!#REF!,"AAAAAH/3XSs=")</f>
        <v>#REF!</v>
      </c>
      <c r="AS3" t="e">
        <f>AND(Plan!#REF!,"AAAAAH/3XSw=")</f>
        <v>#REF!</v>
      </c>
      <c r="AT3" t="e">
        <f>AND(Plan!#REF!,"AAAAAH/3XS0=")</f>
        <v>#REF!</v>
      </c>
      <c r="AU3" t="e">
        <f>AND(Plan!#REF!,"AAAAAH/3XS4=")</f>
        <v>#REF!</v>
      </c>
      <c r="AV3" t="e">
        <f>AND(Plan!#REF!,"AAAAAH/3XS8=")</f>
        <v>#REF!</v>
      </c>
      <c r="AW3" t="e">
        <f>AND(Plan!#REF!,"AAAAAH/3XTA=")</f>
        <v>#REF!</v>
      </c>
      <c r="AX3" t="e">
        <f>AND(Plan!#REF!,"AAAAAH/3XTE=")</f>
        <v>#REF!</v>
      </c>
      <c r="AY3" t="e">
        <f>AND(Plan!#REF!,"AAAAAH/3XTI=")</f>
        <v>#REF!</v>
      </c>
      <c r="AZ3" t="e">
        <f>AND(Plan!#REF!,"AAAAAH/3XTM=")</f>
        <v>#REF!</v>
      </c>
      <c r="BA3" t="e">
        <f>AND(Plan!#REF!,"AAAAAH/3XTQ=")</f>
        <v>#REF!</v>
      </c>
      <c r="BB3" t="e">
        <f>AND(Plan!#REF!,"AAAAAH/3XTU=")</f>
        <v>#REF!</v>
      </c>
      <c r="BC3" t="e">
        <f>AND(Plan!#REF!,"AAAAAH/3XTY=")</f>
        <v>#REF!</v>
      </c>
      <c r="BD3" t="e">
        <f>AND(Plan!#REF!,"AAAAAH/3XTc=")</f>
        <v>#REF!</v>
      </c>
      <c r="BE3" t="e">
        <f>AND(Plan!#REF!,"AAAAAH/3XTg=")</f>
        <v>#REF!</v>
      </c>
      <c r="BF3" t="e">
        <f>AND(Plan!#REF!,"AAAAAH/3XTk=")</f>
        <v>#REF!</v>
      </c>
      <c r="BG3" t="e">
        <f>AND(Plan!#REF!,"AAAAAH/3XTo=")</f>
        <v>#REF!</v>
      </c>
      <c r="BH3" t="e">
        <f>AND(Plan!#REF!,"AAAAAH/3XTs=")</f>
        <v>#REF!</v>
      </c>
      <c r="BI3" t="e">
        <f>AND(Plan!#REF!,"AAAAAH/3XTw=")</f>
        <v>#REF!</v>
      </c>
      <c r="BJ3" t="e">
        <f>AND(Plan!#REF!,"AAAAAH/3XT0=")</f>
        <v>#REF!</v>
      </c>
      <c r="BK3" t="e">
        <f>AND(Plan!#REF!,"AAAAAH/3XT4=")</f>
        <v>#REF!</v>
      </c>
      <c r="BL3" t="e">
        <f>AND(Plan!#REF!,"AAAAAH/3XT8=")</f>
        <v>#REF!</v>
      </c>
      <c r="BM3">
        <f>IF(Plan!3:3,"AAAAAH/3XUA=",0)</f>
        <v>0</v>
      </c>
      <c r="BN3" t="e">
        <f>AND(Plan!A3,"AAAAAH/3XUE=")</f>
        <v>#VALUE!</v>
      </c>
      <c r="BO3" t="e">
        <f>AND(Plan!L3,"AAAAAH/3XUI=")</f>
        <v>#VALUE!</v>
      </c>
      <c r="BP3" t="e">
        <f>AND(Plan!C3,"AAAAAH/3XUM=")</f>
        <v>#VALUE!</v>
      </c>
      <c r="BQ3" t="e">
        <f>AND(Plan!D3,"AAAAAH/3XUQ=")</f>
        <v>#VALUE!</v>
      </c>
      <c r="BR3" t="e">
        <f>AND(Plan!E3,"AAAAAH/3XUU=")</f>
        <v>#VALUE!</v>
      </c>
      <c r="BS3" t="e">
        <f>AND(Plan!#REF!,"AAAAAH/3XUY=")</f>
        <v>#REF!</v>
      </c>
      <c r="BT3" t="e">
        <f>AND(Plan!G3,"AAAAAH/3XUc=")</f>
        <v>#VALUE!</v>
      </c>
      <c r="BU3" t="e">
        <f>AND(Plan!#REF!,"AAAAAH/3XUg=")</f>
        <v>#REF!</v>
      </c>
      <c r="BV3" t="e">
        <f>AND(Plan!I3,"AAAAAH/3XUk=")</f>
        <v>#VALUE!</v>
      </c>
      <c r="BW3" t="e">
        <f>AND(Plan!H3,"AAAAAH/3XUo=")</f>
        <v>#VALUE!</v>
      </c>
      <c r="BX3" t="e">
        <f>AND(Plan!K3,"AAAAAH/3XUs=")</f>
        <v>#VALUE!</v>
      </c>
      <c r="BY3" t="e">
        <f>AND(Plan!B3,"AAAAAH/3XUw=")</f>
        <v>#VALUE!</v>
      </c>
      <c r="BZ3" t="e">
        <f>AND(Plan!#REF!,"AAAAAH/3XU0=")</f>
        <v>#REF!</v>
      </c>
      <c r="CA3" t="e">
        <f>AND(Plan!N3,"AAAAAH/3XU4=")</f>
        <v>#VALUE!</v>
      </c>
      <c r="CB3" t="e">
        <f>AND(Plan!O3,"AAAAAH/3XU8=")</f>
        <v>#VALUE!</v>
      </c>
      <c r="CC3" t="e">
        <f>AND(Plan!P3,"AAAAAH/3XVA=")</f>
        <v>#VALUE!</v>
      </c>
      <c r="CD3" t="e">
        <f>AND(Plan!Q3,"AAAAAH/3XVE=")</f>
        <v>#VALUE!</v>
      </c>
      <c r="CE3" t="e">
        <f>AND(Plan!R3,"AAAAAH/3XVI=")</f>
        <v>#VALUE!</v>
      </c>
      <c r="CF3" t="e">
        <f>AND(Plan!S3,"AAAAAH/3XVM=")</f>
        <v>#VALUE!</v>
      </c>
      <c r="CG3" t="e">
        <f>AND(Plan!T3,"AAAAAH/3XVQ=")</f>
        <v>#VALUE!</v>
      </c>
      <c r="CH3" t="e">
        <f>AND(Plan!U3,"AAAAAH/3XVU=")</f>
        <v>#VALUE!</v>
      </c>
      <c r="CI3" t="e">
        <f>AND(Plan!V3,"AAAAAH/3XVY=")</f>
        <v>#VALUE!</v>
      </c>
      <c r="CJ3" t="e">
        <f>AND(Plan!W3,"AAAAAH/3XVc=")</f>
        <v>#VALUE!</v>
      </c>
      <c r="CK3" t="e">
        <f>AND(Plan!X3,"AAAAAH/3XVg=")</f>
        <v>#VALUE!</v>
      </c>
      <c r="CL3" t="e">
        <f>AND(Plan!Y3,"AAAAAH/3XVk=")</f>
        <v>#VALUE!</v>
      </c>
      <c r="CM3" t="e">
        <f>AND(Plan!Z3,"AAAAAH/3XVo=")</f>
        <v>#VALUE!</v>
      </c>
      <c r="CN3" t="e">
        <f>AND(Plan!AA3,"AAAAAH/3XVs=")</f>
        <v>#VALUE!</v>
      </c>
      <c r="CO3" t="e">
        <f>AND(Plan!AB3,"AAAAAH/3XVw=")</f>
        <v>#VALUE!</v>
      </c>
      <c r="CP3" t="e">
        <f>AND(Plan!AC3,"AAAAAH/3XV0=")</f>
        <v>#VALUE!</v>
      </c>
      <c r="CQ3" t="e">
        <f>AND(Plan!AD3,"AAAAAH/3XV4=")</f>
        <v>#VALUE!</v>
      </c>
      <c r="CR3" t="e">
        <f>AND(Plan!AE3,"AAAAAH/3XV8=")</f>
        <v>#VALUE!</v>
      </c>
      <c r="CS3" t="e">
        <f>AND(Plan!AF3,"AAAAAH/3XWA=")</f>
        <v>#VALUE!</v>
      </c>
      <c r="CT3" t="e">
        <f>AND(Plan!AG3,"AAAAAH/3XWE=")</f>
        <v>#VALUE!</v>
      </c>
      <c r="CU3" t="e">
        <f>AND(Plan!AH3,"AAAAAH/3XWI=")</f>
        <v>#VALUE!</v>
      </c>
      <c r="CV3" t="e">
        <f>AND(Plan!AI3,"AAAAAH/3XWM=")</f>
        <v>#VALUE!</v>
      </c>
      <c r="CW3" t="e">
        <f>AND(Plan!AJ3,"AAAAAH/3XWQ=")</f>
        <v>#VALUE!</v>
      </c>
      <c r="CX3" t="e">
        <f>AND(Plan!AK3,"AAAAAH/3XWU=")</f>
        <v>#VALUE!</v>
      </c>
      <c r="CY3" t="e">
        <f>AND(Plan!AL3,"AAAAAH/3XWY=")</f>
        <v>#VALUE!</v>
      </c>
      <c r="CZ3" t="e">
        <f>AND(Plan!AM3,"AAAAAH/3XWc=")</f>
        <v>#VALUE!</v>
      </c>
      <c r="DA3" t="e">
        <f>AND(Plan!AN3,"AAAAAH/3XWg=")</f>
        <v>#VALUE!</v>
      </c>
      <c r="DB3" t="e">
        <f>AND(Plan!AO3,"AAAAAH/3XWk=")</f>
        <v>#VALUE!</v>
      </c>
      <c r="DC3" t="e">
        <f>AND(Plan!AP3,"AAAAAH/3XWo=")</f>
        <v>#VALUE!</v>
      </c>
      <c r="DD3" t="e">
        <f>AND(Plan!AQ3,"AAAAAH/3XWs=")</f>
        <v>#VALUE!</v>
      </c>
      <c r="DE3" t="e">
        <f>AND(Plan!AR3,"AAAAAH/3XWw=")</f>
        <v>#VALUE!</v>
      </c>
      <c r="DF3" t="e">
        <f>AND(Plan!AS3,"AAAAAH/3XW0=")</f>
        <v>#VALUE!</v>
      </c>
      <c r="DG3" t="e">
        <f>AND(Plan!AT3,"AAAAAH/3XW4=")</f>
        <v>#VALUE!</v>
      </c>
      <c r="DH3" t="e">
        <f>AND(Plan!AU3,"AAAAAH/3XW8=")</f>
        <v>#VALUE!</v>
      </c>
      <c r="DI3" t="e">
        <f>AND(Plan!AV3,"AAAAAH/3XXA=")</f>
        <v>#VALUE!</v>
      </c>
      <c r="DJ3" t="e">
        <f>AND(Plan!AW3,"AAAAAH/3XXE=")</f>
        <v>#VALUE!</v>
      </c>
      <c r="DK3" t="e">
        <f>AND(Plan!AX3,"AAAAAH/3XXI=")</f>
        <v>#VALUE!</v>
      </c>
      <c r="DL3" t="e">
        <f>AND(Plan!AY3,"AAAAAH/3XXM=")</f>
        <v>#VALUE!</v>
      </c>
      <c r="DM3" t="e">
        <f>AND(Plan!AZ3,"AAAAAH/3XXQ=")</f>
        <v>#VALUE!</v>
      </c>
      <c r="DN3" t="e">
        <f>AND(Plan!BA3,"AAAAAH/3XXU=")</f>
        <v>#VALUE!</v>
      </c>
      <c r="DO3" t="e">
        <f>AND(Plan!BB3,"AAAAAH/3XXY=")</f>
        <v>#VALUE!</v>
      </c>
      <c r="DP3" t="e">
        <f>AND(Plan!BC3,"AAAAAH/3XXc=")</f>
        <v>#VALUE!</v>
      </c>
      <c r="DQ3" t="e">
        <f>AND(Plan!BD3,"AAAAAH/3XXg=")</f>
        <v>#VALUE!</v>
      </c>
      <c r="DR3" t="e">
        <f>AND(Plan!BE3,"AAAAAH/3XXk=")</f>
        <v>#VALUE!</v>
      </c>
      <c r="DS3" t="e">
        <f>AND(Plan!BF3,"AAAAAH/3XXo=")</f>
        <v>#VALUE!</v>
      </c>
      <c r="DT3" t="e">
        <f>AND(Plan!BG3,"AAAAAH/3XXs=")</f>
        <v>#VALUE!</v>
      </c>
      <c r="DU3" t="e">
        <f>AND(Plan!BH3,"AAAAAH/3XXw=")</f>
        <v>#VALUE!</v>
      </c>
      <c r="DV3" t="e">
        <f>AND(Plan!BI3,"AAAAAH/3XX0=")</f>
        <v>#VALUE!</v>
      </c>
      <c r="DW3" t="e">
        <f>AND(Plan!BJ3,"AAAAAH/3XX4=")</f>
        <v>#VALUE!</v>
      </c>
      <c r="DX3" t="e">
        <f>AND(Plan!BK3,"AAAAAH/3XX8=")</f>
        <v>#VALUE!</v>
      </c>
      <c r="DY3" t="e">
        <f>AND(Plan!BL3,"AAAAAH/3XYA=")</f>
        <v>#VALUE!</v>
      </c>
      <c r="DZ3" t="e">
        <f>AND(Plan!BM3,"AAAAAH/3XYE=")</f>
        <v>#VALUE!</v>
      </c>
      <c r="EA3" t="e">
        <f>AND(Plan!BN3,"AAAAAH/3XYI=")</f>
        <v>#VALUE!</v>
      </c>
      <c r="EB3" t="e">
        <f>AND(Plan!BO3,"AAAAAH/3XYM=")</f>
        <v>#VALUE!</v>
      </c>
      <c r="EC3" t="e">
        <f>AND(Plan!BP3,"AAAAAH/3XYQ=")</f>
        <v>#VALUE!</v>
      </c>
      <c r="ED3" t="e">
        <f>AND(Plan!BQ3,"AAAAAH/3XYU=")</f>
        <v>#VALUE!</v>
      </c>
      <c r="EE3" t="e">
        <f>AND(Plan!BR3,"AAAAAH/3XYY=")</f>
        <v>#VALUE!</v>
      </c>
      <c r="EF3" t="e">
        <f>AND(Plan!BS3,"AAAAAH/3XYc=")</f>
        <v>#VALUE!</v>
      </c>
      <c r="EG3" t="e">
        <f>AND(Plan!BT3,"AAAAAH/3XYg=")</f>
        <v>#VALUE!</v>
      </c>
      <c r="EH3" t="e">
        <f>AND(Plan!BU3,"AAAAAH/3XYk=")</f>
        <v>#VALUE!</v>
      </c>
      <c r="EI3" t="e">
        <f>AND(Plan!BV3,"AAAAAH/3XYo=")</f>
        <v>#VALUE!</v>
      </c>
      <c r="EJ3" t="e">
        <f>AND(Plan!BW3,"AAAAAH/3XYs=")</f>
        <v>#VALUE!</v>
      </c>
      <c r="EK3" t="e">
        <f>AND(Plan!BX3,"AAAAAH/3XYw=")</f>
        <v>#VALUE!</v>
      </c>
      <c r="EL3" t="e">
        <f>AND(Plan!BY3,"AAAAAH/3XY0=")</f>
        <v>#VALUE!</v>
      </c>
      <c r="EM3" t="e">
        <f>AND(Plan!BZ3,"AAAAAH/3XY4=")</f>
        <v>#VALUE!</v>
      </c>
      <c r="EN3" t="e">
        <f>AND(Plan!CA3,"AAAAAH/3XY8=")</f>
        <v>#VALUE!</v>
      </c>
      <c r="EO3" t="e">
        <f>AND(Plan!CB3,"AAAAAH/3XZA=")</f>
        <v>#VALUE!</v>
      </c>
      <c r="EP3" t="e">
        <f>AND(Plan!CC3,"AAAAAH/3XZE=")</f>
        <v>#VALUE!</v>
      </c>
      <c r="EQ3" t="e">
        <f>AND(Plan!CD3,"AAAAAH/3XZI=")</f>
        <v>#VALUE!</v>
      </c>
      <c r="ER3" t="e">
        <f>AND(Plan!CE3,"AAAAAH/3XZM=")</f>
        <v>#VALUE!</v>
      </c>
      <c r="ES3" t="e">
        <f>AND(Plan!CF3,"AAAAAH/3XZQ=")</f>
        <v>#VALUE!</v>
      </c>
      <c r="ET3" t="e">
        <f>AND(Plan!CG3,"AAAAAH/3XZU=")</f>
        <v>#VALUE!</v>
      </c>
      <c r="EU3" t="e">
        <f>AND(Plan!CH3,"AAAAAH/3XZY=")</f>
        <v>#VALUE!</v>
      </c>
      <c r="EV3" t="e">
        <f>AND(Plan!CI3,"AAAAAH/3XZc=")</f>
        <v>#VALUE!</v>
      </c>
      <c r="EW3" t="e">
        <f>AND(Plan!CJ3,"AAAAAH/3XZg=")</f>
        <v>#VALUE!</v>
      </c>
      <c r="EX3" t="e">
        <f>AND(Plan!CK3,"AAAAAH/3XZk=")</f>
        <v>#VALUE!</v>
      </c>
      <c r="EY3" t="e">
        <f>AND(Plan!CL3,"AAAAAH/3XZo=")</f>
        <v>#VALUE!</v>
      </c>
      <c r="EZ3" t="e">
        <f>AND(Plan!CM3,"AAAAAH/3XZs=")</f>
        <v>#VALUE!</v>
      </c>
      <c r="FA3" t="e">
        <f>AND(Plan!CN3,"AAAAAH/3XZw=")</f>
        <v>#VALUE!</v>
      </c>
      <c r="FB3" t="e">
        <f>AND(Plan!CO3,"AAAAAH/3XZ0=")</f>
        <v>#VALUE!</v>
      </c>
      <c r="FC3" t="e">
        <f>AND(Plan!CP3,"AAAAAH/3XZ4=")</f>
        <v>#VALUE!</v>
      </c>
      <c r="FD3" t="e">
        <f>AND(Plan!CQ3,"AAAAAH/3XZ8=")</f>
        <v>#VALUE!</v>
      </c>
      <c r="FE3" t="e">
        <f>AND(Plan!CR3,"AAAAAH/3XaA=")</f>
        <v>#VALUE!</v>
      </c>
      <c r="FF3" t="e">
        <f>AND(Plan!CS3,"AAAAAH/3XaE=")</f>
        <v>#VALUE!</v>
      </c>
      <c r="FG3" t="e">
        <f>AND(Plan!CT3,"AAAAAH/3XaI=")</f>
        <v>#VALUE!</v>
      </c>
      <c r="FH3" t="e">
        <f>AND(Plan!CU3,"AAAAAH/3XaM=")</f>
        <v>#VALUE!</v>
      </c>
      <c r="FI3" t="e">
        <f>AND(Plan!CV3,"AAAAAH/3XaQ=")</f>
        <v>#VALUE!</v>
      </c>
      <c r="FJ3" t="e">
        <f>AND(Plan!CW3,"AAAAAH/3XaU=")</f>
        <v>#VALUE!</v>
      </c>
      <c r="FK3">
        <f>IF(Plan!4:4,"AAAAAH/3XaY=",0)</f>
        <v>0</v>
      </c>
      <c r="FL3" t="e">
        <f>AND(Plan!A4,"AAAAAH/3Xac=")</f>
        <v>#VALUE!</v>
      </c>
      <c r="FM3" t="e">
        <f>AND(Plan!L4,"AAAAAH/3Xag=")</f>
        <v>#VALUE!</v>
      </c>
      <c r="FN3" t="e">
        <f>AND(Plan!C4,"AAAAAH/3Xak=")</f>
        <v>#VALUE!</v>
      </c>
      <c r="FO3" t="e">
        <f>AND(Plan!D4,"AAAAAH/3Xao=")</f>
        <v>#VALUE!</v>
      </c>
      <c r="FP3" t="e">
        <f>AND(Plan!E4,"AAAAAH/3Xas=")</f>
        <v>#VALUE!</v>
      </c>
      <c r="FQ3" t="e">
        <f>AND(Plan!#REF!,"AAAAAH/3Xaw=")</f>
        <v>#REF!</v>
      </c>
      <c r="FR3" t="e">
        <f>AND(Plan!G4,"AAAAAH/3Xa0=")</f>
        <v>#VALUE!</v>
      </c>
      <c r="FS3" t="e">
        <f>AND(Plan!#REF!,"AAAAAH/3Xa4=")</f>
        <v>#REF!</v>
      </c>
      <c r="FT3" t="e">
        <f>AND(Plan!I4,"AAAAAH/3Xa8=")</f>
        <v>#VALUE!</v>
      </c>
      <c r="FU3" t="e">
        <f>AND(Plan!H4,"AAAAAH/3XbA=")</f>
        <v>#VALUE!</v>
      </c>
      <c r="FV3" t="e">
        <f>AND(Plan!K4,"AAAAAH/3XbE=")</f>
        <v>#VALUE!</v>
      </c>
      <c r="FW3" t="e">
        <f>AND(Plan!B4,"AAAAAH/3XbI=")</f>
        <v>#VALUE!</v>
      </c>
      <c r="FX3" t="e">
        <f>AND(Plan!#REF!,"AAAAAH/3XbM=")</f>
        <v>#REF!</v>
      </c>
      <c r="FY3" t="e">
        <f>AND(Plan!N4,"AAAAAH/3XbQ=")</f>
        <v>#VALUE!</v>
      </c>
      <c r="FZ3" t="e">
        <f>AND(Plan!O4,"AAAAAH/3XbU=")</f>
        <v>#VALUE!</v>
      </c>
      <c r="GA3" t="e">
        <f>AND(Plan!P4,"AAAAAH/3XbY=")</f>
        <v>#VALUE!</v>
      </c>
      <c r="GB3" t="e">
        <f>AND(Plan!Q4,"AAAAAH/3Xbc=")</f>
        <v>#VALUE!</v>
      </c>
      <c r="GC3" t="e">
        <f>AND(Plan!R4,"AAAAAH/3Xbg=")</f>
        <v>#VALUE!</v>
      </c>
      <c r="GD3" t="e">
        <f>AND(Plan!S4,"AAAAAH/3Xbk=")</f>
        <v>#VALUE!</v>
      </c>
      <c r="GE3" t="e">
        <f>AND(Plan!T4,"AAAAAH/3Xbo=")</f>
        <v>#VALUE!</v>
      </c>
      <c r="GF3" t="e">
        <f>AND(Plan!U4,"AAAAAH/3Xbs=")</f>
        <v>#VALUE!</v>
      </c>
      <c r="GG3" t="e">
        <f>AND(Plan!V4,"AAAAAH/3Xbw=")</f>
        <v>#VALUE!</v>
      </c>
      <c r="GH3" t="e">
        <f>AND(Plan!W4,"AAAAAH/3Xb0=")</f>
        <v>#VALUE!</v>
      </c>
      <c r="GI3" t="e">
        <f>AND(Plan!X4,"AAAAAH/3Xb4=")</f>
        <v>#VALUE!</v>
      </c>
      <c r="GJ3" t="e">
        <f>AND(Plan!Y4,"AAAAAH/3Xb8=")</f>
        <v>#VALUE!</v>
      </c>
      <c r="GK3" t="e">
        <f>AND(Plan!Z4,"AAAAAH/3XcA=")</f>
        <v>#VALUE!</v>
      </c>
      <c r="GL3" t="e">
        <f>AND(Plan!AA4,"AAAAAH/3XcE=")</f>
        <v>#VALUE!</v>
      </c>
      <c r="GM3" t="e">
        <f>AND(Plan!AB4,"AAAAAH/3XcI=")</f>
        <v>#VALUE!</v>
      </c>
      <c r="GN3" t="e">
        <f>AND(Plan!AC4,"AAAAAH/3XcM=")</f>
        <v>#VALUE!</v>
      </c>
      <c r="GO3" t="e">
        <f>AND(Plan!AD4,"AAAAAH/3XcQ=")</f>
        <v>#VALUE!</v>
      </c>
      <c r="GP3" t="e">
        <f>AND(Plan!AE4,"AAAAAH/3XcU=")</f>
        <v>#VALUE!</v>
      </c>
      <c r="GQ3" t="e">
        <f>AND(Plan!AF4,"AAAAAH/3XcY=")</f>
        <v>#VALUE!</v>
      </c>
      <c r="GR3" t="e">
        <f>AND(Plan!AG4,"AAAAAH/3Xcc=")</f>
        <v>#VALUE!</v>
      </c>
      <c r="GS3" t="e">
        <f>AND(Plan!AH4,"AAAAAH/3Xcg=")</f>
        <v>#VALUE!</v>
      </c>
      <c r="GT3" t="e">
        <f>AND(Plan!AI4,"AAAAAH/3Xck=")</f>
        <v>#VALUE!</v>
      </c>
      <c r="GU3" t="e">
        <f>AND(Plan!AJ4,"AAAAAH/3Xco=")</f>
        <v>#VALUE!</v>
      </c>
      <c r="GV3" t="e">
        <f>AND(Plan!AK4,"AAAAAH/3Xcs=")</f>
        <v>#VALUE!</v>
      </c>
      <c r="GW3" t="e">
        <f>AND(Plan!AL4,"AAAAAH/3Xcw=")</f>
        <v>#VALUE!</v>
      </c>
      <c r="GX3" t="e">
        <f>AND(Plan!AM4,"AAAAAH/3Xc0=")</f>
        <v>#VALUE!</v>
      </c>
      <c r="GY3" t="e">
        <f>AND(Plan!AN4,"AAAAAH/3Xc4=")</f>
        <v>#VALUE!</v>
      </c>
      <c r="GZ3" t="e">
        <f>AND(Plan!AO4,"AAAAAH/3Xc8=")</f>
        <v>#VALUE!</v>
      </c>
      <c r="HA3" t="e">
        <f>AND(Plan!AP4,"AAAAAH/3XdA=")</f>
        <v>#VALUE!</v>
      </c>
      <c r="HB3" t="e">
        <f>AND(Plan!AQ4,"AAAAAH/3XdE=")</f>
        <v>#VALUE!</v>
      </c>
      <c r="HC3" t="e">
        <f>AND(Plan!AR4,"AAAAAH/3XdI=")</f>
        <v>#VALUE!</v>
      </c>
      <c r="HD3" t="e">
        <f>AND(Plan!AS4,"AAAAAH/3XdM=")</f>
        <v>#VALUE!</v>
      </c>
      <c r="HE3" t="e">
        <f>AND(Plan!AT4,"AAAAAH/3XdQ=")</f>
        <v>#VALUE!</v>
      </c>
      <c r="HF3" t="e">
        <f>AND(Plan!AU4,"AAAAAH/3XdU=")</f>
        <v>#VALUE!</v>
      </c>
      <c r="HG3" t="e">
        <f>AND(Plan!AV4,"AAAAAH/3XdY=")</f>
        <v>#VALUE!</v>
      </c>
      <c r="HH3" t="e">
        <f>AND(Plan!AW4,"AAAAAH/3Xdc=")</f>
        <v>#VALUE!</v>
      </c>
      <c r="HI3" t="e">
        <f>AND(Plan!AX4,"AAAAAH/3Xdg=")</f>
        <v>#VALUE!</v>
      </c>
      <c r="HJ3" t="e">
        <f>AND(Plan!AY4,"AAAAAH/3Xdk=")</f>
        <v>#VALUE!</v>
      </c>
      <c r="HK3" t="e">
        <f>AND(Plan!AZ4,"AAAAAH/3Xdo=")</f>
        <v>#VALUE!</v>
      </c>
      <c r="HL3" t="e">
        <f>AND(Plan!BA4,"AAAAAH/3Xds=")</f>
        <v>#VALUE!</v>
      </c>
      <c r="HM3" t="e">
        <f>AND(Plan!BB4,"AAAAAH/3Xdw=")</f>
        <v>#VALUE!</v>
      </c>
      <c r="HN3" t="e">
        <f>AND(Plan!BC4,"AAAAAH/3Xd0=")</f>
        <v>#VALUE!</v>
      </c>
      <c r="HO3" t="e">
        <f>AND(Plan!BD4,"AAAAAH/3Xd4=")</f>
        <v>#VALUE!</v>
      </c>
      <c r="HP3" t="e">
        <f>AND(Plan!BE4,"AAAAAH/3Xd8=")</f>
        <v>#VALUE!</v>
      </c>
      <c r="HQ3" t="e">
        <f>AND(Plan!BF4,"AAAAAH/3XeA=")</f>
        <v>#VALUE!</v>
      </c>
      <c r="HR3" t="e">
        <f>AND(Plan!BG4,"AAAAAH/3XeE=")</f>
        <v>#VALUE!</v>
      </c>
      <c r="HS3" t="e">
        <f>AND(Plan!BH4,"AAAAAH/3XeI=")</f>
        <v>#VALUE!</v>
      </c>
      <c r="HT3" t="e">
        <f>AND(Plan!BI4,"AAAAAH/3XeM=")</f>
        <v>#VALUE!</v>
      </c>
      <c r="HU3" t="e">
        <f>AND(Plan!BJ4,"AAAAAH/3XeQ=")</f>
        <v>#VALUE!</v>
      </c>
      <c r="HV3" t="e">
        <f>AND(Plan!BK4,"AAAAAH/3XeU=")</f>
        <v>#VALUE!</v>
      </c>
      <c r="HW3" t="e">
        <f>AND(Plan!BL4,"AAAAAH/3XeY=")</f>
        <v>#VALUE!</v>
      </c>
      <c r="HX3" t="e">
        <f>AND(Plan!BM4,"AAAAAH/3Xec=")</f>
        <v>#VALUE!</v>
      </c>
      <c r="HY3" t="e">
        <f>AND(Plan!BN4,"AAAAAH/3Xeg=")</f>
        <v>#VALUE!</v>
      </c>
      <c r="HZ3" t="e">
        <f>AND(Plan!BO4,"AAAAAH/3Xek=")</f>
        <v>#VALUE!</v>
      </c>
      <c r="IA3" t="e">
        <f>AND(Plan!BP4,"AAAAAH/3Xeo=")</f>
        <v>#VALUE!</v>
      </c>
      <c r="IB3" t="e">
        <f>AND(Plan!BQ4,"AAAAAH/3Xes=")</f>
        <v>#VALUE!</v>
      </c>
      <c r="IC3" t="e">
        <f>AND(Plan!BR4,"AAAAAH/3Xew=")</f>
        <v>#VALUE!</v>
      </c>
      <c r="ID3" t="e">
        <f>AND(Plan!BS4,"AAAAAH/3Xe0=")</f>
        <v>#VALUE!</v>
      </c>
      <c r="IE3" t="e">
        <f>AND(Plan!BT4,"AAAAAH/3Xe4=")</f>
        <v>#VALUE!</v>
      </c>
      <c r="IF3" t="e">
        <f>AND(Plan!BU4,"AAAAAH/3Xe8=")</f>
        <v>#VALUE!</v>
      </c>
      <c r="IG3" t="e">
        <f>AND(Plan!BV4,"AAAAAH/3XfA=")</f>
        <v>#VALUE!</v>
      </c>
      <c r="IH3" t="e">
        <f>AND(Plan!BW4,"AAAAAH/3XfE=")</f>
        <v>#VALUE!</v>
      </c>
      <c r="II3" t="e">
        <f>AND(Plan!BX4,"AAAAAH/3XfI=")</f>
        <v>#VALUE!</v>
      </c>
      <c r="IJ3" t="e">
        <f>AND(Plan!BY4,"AAAAAH/3XfM=")</f>
        <v>#VALUE!</v>
      </c>
      <c r="IK3" t="e">
        <f>AND(Plan!BZ4,"AAAAAH/3XfQ=")</f>
        <v>#VALUE!</v>
      </c>
      <c r="IL3" t="e">
        <f>AND(Plan!CA4,"AAAAAH/3XfU=")</f>
        <v>#VALUE!</v>
      </c>
      <c r="IM3" t="e">
        <f>AND(Plan!CB4,"AAAAAH/3XfY=")</f>
        <v>#VALUE!</v>
      </c>
      <c r="IN3" t="e">
        <f>AND(Plan!CC4,"AAAAAH/3Xfc=")</f>
        <v>#VALUE!</v>
      </c>
      <c r="IO3" t="e">
        <f>AND(Plan!CD4,"AAAAAH/3Xfg=")</f>
        <v>#VALUE!</v>
      </c>
      <c r="IP3" t="e">
        <f>AND(Plan!CE4,"AAAAAH/3Xfk=")</f>
        <v>#VALUE!</v>
      </c>
      <c r="IQ3" t="e">
        <f>AND(Plan!CF4,"AAAAAH/3Xfo=")</f>
        <v>#VALUE!</v>
      </c>
      <c r="IR3" t="e">
        <f>AND(Plan!CG4,"AAAAAH/3Xfs=")</f>
        <v>#VALUE!</v>
      </c>
      <c r="IS3" t="e">
        <f>AND(Plan!CH4,"AAAAAH/3Xfw=")</f>
        <v>#VALUE!</v>
      </c>
      <c r="IT3" t="e">
        <f>AND(Plan!CI4,"AAAAAH/3Xf0=")</f>
        <v>#VALUE!</v>
      </c>
      <c r="IU3" t="e">
        <f>AND(Plan!CJ4,"AAAAAH/3Xf4=")</f>
        <v>#VALUE!</v>
      </c>
      <c r="IV3" t="e">
        <f>AND(Plan!CK4,"AAAAAH/3Xf8=")</f>
        <v>#VALUE!</v>
      </c>
    </row>
    <row r="4" spans="1:256">
      <c r="A4" t="e">
        <f>AND(Plan!CL4,"AAAAADq38gA=")</f>
        <v>#VALUE!</v>
      </c>
      <c r="B4" t="e">
        <f>AND(Plan!CM4,"AAAAADq38gE=")</f>
        <v>#VALUE!</v>
      </c>
      <c r="C4" t="e">
        <f>AND(Plan!CN4,"AAAAADq38gI=")</f>
        <v>#VALUE!</v>
      </c>
      <c r="D4" t="e">
        <f>AND(Plan!CO4,"AAAAADq38gM=")</f>
        <v>#VALUE!</v>
      </c>
      <c r="E4" t="e">
        <f>AND(Plan!CP4,"AAAAADq38gQ=")</f>
        <v>#VALUE!</v>
      </c>
      <c r="F4" t="e">
        <f>AND(Plan!CQ4,"AAAAADq38gU=")</f>
        <v>#VALUE!</v>
      </c>
      <c r="G4" t="e">
        <f>AND(Plan!CR4,"AAAAADq38gY=")</f>
        <v>#VALUE!</v>
      </c>
      <c r="H4" t="e">
        <f>AND(Plan!CS4,"AAAAADq38gc=")</f>
        <v>#VALUE!</v>
      </c>
      <c r="I4" t="e">
        <f>AND(Plan!CT4,"AAAAADq38gg=")</f>
        <v>#VALUE!</v>
      </c>
      <c r="J4" t="e">
        <f>AND(Plan!CU4,"AAAAADq38gk=")</f>
        <v>#VALUE!</v>
      </c>
      <c r="K4" t="e">
        <f>AND(Plan!CV4,"AAAAADq38go=")</f>
        <v>#VALUE!</v>
      </c>
      <c r="L4" t="e">
        <f>AND(Plan!CW4,"AAAAADq38gs=")</f>
        <v>#VALUE!</v>
      </c>
      <c r="M4">
        <f>IF(Plan!5:5,"AAAAADq38gw=",0)</f>
        <v>0</v>
      </c>
      <c r="N4" t="e">
        <f>AND(Plan!A5,"AAAAADq38g0=")</f>
        <v>#VALUE!</v>
      </c>
      <c r="O4" t="e">
        <f>AND(Plan!L5,"AAAAADq38g4=")</f>
        <v>#VALUE!</v>
      </c>
      <c r="P4" t="e">
        <f>AND(Plan!C5,"AAAAADq38g8=")</f>
        <v>#VALUE!</v>
      </c>
      <c r="Q4" t="e">
        <f>AND(Plan!D5,"AAAAADq38hA=")</f>
        <v>#VALUE!</v>
      </c>
      <c r="R4" t="e">
        <f>AND(Plan!E5,"AAAAADq38hE=")</f>
        <v>#VALUE!</v>
      </c>
      <c r="S4" t="e">
        <f>AND(Plan!#REF!,"AAAAADq38hI=")</f>
        <v>#REF!</v>
      </c>
      <c r="T4" t="e">
        <f>AND(Plan!#REF!,"AAAAADq38hM=")</f>
        <v>#REF!</v>
      </c>
      <c r="U4" t="e">
        <f>AND(Plan!#REF!,"AAAAADq38hQ=")</f>
        <v>#REF!</v>
      </c>
      <c r="V4" t="e">
        <f>AND(Plan!#REF!,"AAAAADq38hU=")</f>
        <v>#REF!</v>
      </c>
      <c r="W4" t="e">
        <f>AND(Plan!#REF!,"AAAAADq38hY=")</f>
        <v>#REF!</v>
      </c>
      <c r="X4" t="e">
        <f>AND(Plan!K5,"AAAAADq38hc=")</f>
        <v>#VALUE!</v>
      </c>
      <c r="Y4" t="e">
        <f>AND(Plan!B5,"AAAAADq38hg=")</f>
        <v>#VALUE!</v>
      </c>
      <c r="Z4" t="e">
        <f>AND(Plan!#REF!,"AAAAADq38hk=")</f>
        <v>#REF!</v>
      </c>
      <c r="AA4" t="e">
        <f>AND(Plan!N5,"AAAAADq38ho=")</f>
        <v>#VALUE!</v>
      </c>
      <c r="AB4" t="e">
        <f>AND(Plan!O5,"AAAAADq38hs=")</f>
        <v>#VALUE!</v>
      </c>
      <c r="AC4" t="e">
        <f>AND(Plan!P5,"AAAAADq38hw=")</f>
        <v>#VALUE!</v>
      </c>
      <c r="AD4" t="e">
        <f>AND(Plan!Q5,"AAAAADq38h0=")</f>
        <v>#VALUE!</v>
      </c>
      <c r="AE4" t="e">
        <f>AND(Plan!R5,"AAAAADq38h4=")</f>
        <v>#VALUE!</v>
      </c>
      <c r="AF4" t="e">
        <f>AND(Plan!S5,"AAAAADq38h8=")</f>
        <v>#VALUE!</v>
      </c>
      <c r="AG4" t="e">
        <f>AND(Plan!T5,"AAAAADq38iA=")</f>
        <v>#VALUE!</v>
      </c>
      <c r="AH4" t="e">
        <f>AND(Plan!U5,"AAAAADq38iE=")</f>
        <v>#VALUE!</v>
      </c>
      <c r="AI4" t="e">
        <f>AND(Plan!V5,"AAAAADq38iI=")</f>
        <v>#VALUE!</v>
      </c>
      <c r="AJ4" t="e">
        <f>AND(Plan!W5,"AAAAADq38iM=")</f>
        <v>#VALUE!</v>
      </c>
      <c r="AK4" t="e">
        <f>AND(Plan!X5,"AAAAADq38iQ=")</f>
        <v>#VALUE!</v>
      </c>
      <c r="AL4" t="e">
        <f>AND(Plan!Y5,"AAAAADq38iU=")</f>
        <v>#VALUE!</v>
      </c>
      <c r="AM4" t="e">
        <f>AND(Plan!Z5,"AAAAADq38iY=")</f>
        <v>#VALUE!</v>
      </c>
      <c r="AN4" t="e">
        <f>AND(Plan!AA5,"AAAAADq38ic=")</f>
        <v>#VALUE!</v>
      </c>
      <c r="AO4" t="e">
        <f>AND(Plan!AB5,"AAAAADq38ig=")</f>
        <v>#VALUE!</v>
      </c>
      <c r="AP4" t="e">
        <f>AND(Plan!AC5,"AAAAADq38ik=")</f>
        <v>#VALUE!</v>
      </c>
      <c r="AQ4" t="e">
        <f>AND(Plan!AD5,"AAAAADq38io=")</f>
        <v>#VALUE!</v>
      </c>
      <c r="AR4" t="e">
        <f>AND(Plan!AE5,"AAAAADq38is=")</f>
        <v>#VALUE!</v>
      </c>
      <c r="AS4" t="e">
        <f>AND(Plan!AF5,"AAAAADq38iw=")</f>
        <v>#VALUE!</v>
      </c>
      <c r="AT4" t="e">
        <f>AND(Plan!AG5,"AAAAADq38i0=")</f>
        <v>#VALUE!</v>
      </c>
      <c r="AU4" t="e">
        <f>AND(Plan!AH5,"AAAAADq38i4=")</f>
        <v>#VALUE!</v>
      </c>
      <c r="AV4" t="e">
        <f>AND(Plan!AI5,"AAAAADq38i8=")</f>
        <v>#VALUE!</v>
      </c>
      <c r="AW4" t="e">
        <f>AND(Plan!AJ5,"AAAAADq38jA=")</f>
        <v>#VALUE!</v>
      </c>
      <c r="AX4" t="e">
        <f>AND(Plan!AK5,"AAAAADq38jE=")</f>
        <v>#VALUE!</v>
      </c>
      <c r="AY4" t="e">
        <f>AND(Plan!AL5,"AAAAADq38jI=")</f>
        <v>#VALUE!</v>
      </c>
      <c r="AZ4" t="e">
        <f>AND(Plan!AM5,"AAAAADq38jM=")</f>
        <v>#VALUE!</v>
      </c>
      <c r="BA4" t="e">
        <f>AND(Plan!AN5,"AAAAADq38jQ=")</f>
        <v>#VALUE!</v>
      </c>
      <c r="BB4" t="e">
        <f>AND(Plan!AO5,"AAAAADq38jU=")</f>
        <v>#VALUE!</v>
      </c>
      <c r="BC4" t="e">
        <f>AND(Plan!AP5,"AAAAADq38jY=")</f>
        <v>#VALUE!</v>
      </c>
      <c r="BD4" t="e">
        <f>AND(Plan!AQ5,"AAAAADq38jc=")</f>
        <v>#VALUE!</v>
      </c>
      <c r="BE4" t="e">
        <f>AND(Plan!AR5,"AAAAADq38jg=")</f>
        <v>#VALUE!</v>
      </c>
      <c r="BF4" t="e">
        <f>AND(Plan!AS5,"AAAAADq38jk=")</f>
        <v>#VALUE!</v>
      </c>
      <c r="BG4" t="e">
        <f>AND(Plan!AT5,"AAAAADq38jo=")</f>
        <v>#VALUE!</v>
      </c>
      <c r="BH4" t="e">
        <f>AND(Plan!AU5,"AAAAADq38js=")</f>
        <v>#VALUE!</v>
      </c>
      <c r="BI4" t="e">
        <f>AND(Plan!AV5,"AAAAADq38jw=")</f>
        <v>#VALUE!</v>
      </c>
      <c r="BJ4" t="e">
        <f>AND(Plan!AW5,"AAAAADq38j0=")</f>
        <v>#VALUE!</v>
      </c>
      <c r="BK4" t="e">
        <f>AND(Plan!AX5,"AAAAADq38j4=")</f>
        <v>#VALUE!</v>
      </c>
      <c r="BL4" t="e">
        <f>AND(Plan!AY5,"AAAAADq38j8=")</f>
        <v>#VALUE!</v>
      </c>
      <c r="BM4" t="e">
        <f>AND(Plan!AZ5,"AAAAADq38kA=")</f>
        <v>#VALUE!</v>
      </c>
      <c r="BN4" t="e">
        <f>AND(Plan!BA5,"AAAAADq38kE=")</f>
        <v>#VALUE!</v>
      </c>
      <c r="BO4" t="e">
        <f>AND(Plan!BB5,"AAAAADq38kI=")</f>
        <v>#VALUE!</v>
      </c>
      <c r="BP4" t="e">
        <f>AND(Plan!BC5,"AAAAADq38kM=")</f>
        <v>#VALUE!</v>
      </c>
      <c r="BQ4" t="e">
        <f>AND(Plan!BD5,"AAAAADq38kQ=")</f>
        <v>#VALUE!</v>
      </c>
      <c r="BR4" t="e">
        <f>AND(Plan!BE5,"AAAAADq38kU=")</f>
        <v>#VALUE!</v>
      </c>
      <c r="BS4" t="e">
        <f>AND(Plan!BF5,"AAAAADq38kY=")</f>
        <v>#VALUE!</v>
      </c>
      <c r="BT4" t="e">
        <f>AND(Plan!BG5,"AAAAADq38kc=")</f>
        <v>#VALUE!</v>
      </c>
      <c r="BU4" t="e">
        <f>AND(Plan!BH5,"AAAAADq38kg=")</f>
        <v>#VALUE!</v>
      </c>
      <c r="BV4" t="e">
        <f>AND(Plan!BI5,"AAAAADq38kk=")</f>
        <v>#VALUE!</v>
      </c>
      <c r="BW4" t="e">
        <f>AND(Plan!BJ5,"AAAAADq38ko=")</f>
        <v>#VALUE!</v>
      </c>
      <c r="BX4" t="e">
        <f>AND(Plan!BK5,"AAAAADq38ks=")</f>
        <v>#VALUE!</v>
      </c>
      <c r="BY4" t="e">
        <f>AND(Plan!BL5,"AAAAADq38kw=")</f>
        <v>#VALUE!</v>
      </c>
      <c r="BZ4" t="e">
        <f>AND(Plan!BM5,"AAAAADq38k0=")</f>
        <v>#VALUE!</v>
      </c>
      <c r="CA4" t="e">
        <f>AND(Plan!BN5,"AAAAADq38k4=")</f>
        <v>#VALUE!</v>
      </c>
      <c r="CB4" t="e">
        <f>AND(Plan!BO5,"AAAAADq38k8=")</f>
        <v>#VALUE!</v>
      </c>
      <c r="CC4" t="e">
        <f>AND(Plan!BP5,"AAAAADq38lA=")</f>
        <v>#VALUE!</v>
      </c>
      <c r="CD4" t="e">
        <f>AND(Plan!BQ5,"AAAAADq38lE=")</f>
        <v>#VALUE!</v>
      </c>
      <c r="CE4" t="e">
        <f>AND(Plan!BR5,"AAAAADq38lI=")</f>
        <v>#VALUE!</v>
      </c>
      <c r="CF4" t="e">
        <f>AND(Plan!BS5,"AAAAADq38lM=")</f>
        <v>#VALUE!</v>
      </c>
      <c r="CG4" t="e">
        <f>AND(Plan!BT5,"AAAAADq38lQ=")</f>
        <v>#VALUE!</v>
      </c>
      <c r="CH4" t="e">
        <f>AND(Plan!BU5,"AAAAADq38lU=")</f>
        <v>#VALUE!</v>
      </c>
      <c r="CI4" t="e">
        <f>AND(Plan!BV5,"AAAAADq38lY=")</f>
        <v>#VALUE!</v>
      </c>
      <c r="CJ4" t="e">
        <f>AND(Plan!BW5,"AAAAADq38lc=")</f>
        <v>#VALUE!</v>
      </c>
      <c r="CK4" t="e">
        <f>AND(Plan!BX5,"AAAAADq38lg=")</f>
        <v>#VALUE!</v>
      </c>
      <c r="CL4" t="e">
        <f>AND(Plan!BY5,"AAAAADq38lk=")</f>
        <v>#VALUE!</v>
      </c>
      <c r="CM4" t="e">
        <f>AND(Plan!BZ5,"AAAAADq38lo=")</f>
        <v>#VALUE!</v>
      </c>
      <c r="CN4" t="e">
        <f>AND(Plan!CA5,"AAAAADq38ls=")</f>
        <v>#VALUE!</v>
      </c>
      <c r="CO4" t="e">
        <f>AND(Plan!CB5,"AAAAADq38lw=")</f>
        <v>#VALUE!</v>
      </c>
      <c r="CP4" t="e">
        <f>AND(Plan!CC5,"AAAAADq38l0=")</f>
        <v>#VALUE!</v>
      </c>
      <c r="CQ4" t="e">
        <f>AND(Plan!CD5,"AAAAADq38l4=")</f>
        <v>#VALUE!</v>
      </c>
      <c r="CR4" t="e">
        <f>AND(Plan!CE5,"AAAAADq38l8=")</f>
        <v>#VALUE!</v>
      </c>
      <c r="CS4" t="e">
        <f>AND(Plan!CF5,"AAAAADq38mA=")</f>
        <v>#VALUE!</v>
      </c>
      <c r="CT4" t="e">
        <f>AND(Plan!CG5,"AAAAADq38mE=")</f>
        <v>#VALUE!</v>
      </c>
      <c r="CU4" t="e">
        <f>AND(Plan!CH5,"AAAAADq38mI=")</f>
        <v>#VALUE!</v>
      </c>
      <c r="CV4" t="e">
        <f>AND(Plan!CI5,"AAAAADq38mM=")</f>
        <v>#VALUE!</v>
      </c>
      <c r="CW4" t="e">
        <f>AND(Plan!CJ5,"AAAAADq38mQ=")</f>
        <v>#VALUE!</v>
      </c>
      <c r="CX4" t="e">
        <f>AND(Plan!CK5,"AAAAADq38mU=")</f>
        <v>#VALUE!</v>
      </c>
      <c r="CY4" t="e">
        <f>AND(Plan!CL5,"AAAAADq38mY=")</f>
        <v>#VALUE!</v>
      </c>
      <c r="CZ4" t="e">
        <f>AND(Plan!CM5,"AAAAADq38mc=")</f>
        <v>#VALUE!</v>
      </c>
      <c r="DA4" t="e">
        <f>AND(Plan!CN5,"AAAAADq38mg=")</f>
        <v>#VALUE!</v>
      </c>
      <c r="DB4" t="e">
        <f>AND(Plan!CO5,"AAAAADq38mk=")</f>
        <v>#VALUE!</v>
      </c>
      <c r="DC4" t="e">
        <f>AND(Plan!CP5,"AAAAADq38mo=")</f>
        <v>#VALUE!</v>
      </c>
      <c r="DD4" t="e">
        <f>AND(Plan!CQ5,"AAAAADq38ms=")</f>
        <v>#VALUE!</v>
      </c>
      <c r="DE4" t="e">
        <f>AND(Plan!CR5,"AAAAADq38mw=")</f>
        <v>#VALUE!</v>
      </c>
      <c r="DF4" t="e">
        <f>AND(Plan!CS5,"AAAAADq38m0=")</f>
        <v>#VALUE!</v>
      </c>
      <c r="DG4" t="e">
        <f>AND(Plan!CT5,"AAAAADq38m4=")</f>
        <v>#VALUE!</v>
      </c>
      <c r="DH4" t="e">
        <f>AND(Plan!CU5,"AAAAADq38m8=")</f>
        <v>#VALUE!</v>
      </c>
      <c r="DI4" t="e">
        <f>AND(Plan!CV5,"AAAAADq38nA=")</f>
        <v>#VALUE!</v>
      </c>
      <c r="DJ4" t="e">
        <f>AND(Plan!CW5,"AAAAADq38nE=")</f>
        <v>#VALUE!</v>
      </c>
      <c r="DK4">
        <f>IF(Plan!6:6,"AAAAADq38nI=",0)</f>
        <v>0</v>
      </c>
      <c r="DL4" t="e">
        <f>AND(Plan!A6,"AAAAADq38nM=")</f>
        <v>#VALUE!</v>
      </c>
      <c r="DM4" t="e">
        <f>AND(Plan!L6,"AAAAADq38nQ=")</f>
        <v>#VALUE!</v>
      </c>
      <c r="DN4" t="e">
        <f>AND(Plan!C6,"AAAAADq38nU=")</f>
        <v>#VALUE!</v>
      </c>
      <c r="DO4" t="e">
        <f>AND(Plan!D6,"AAAAADq38nY=")</f>
        <v>#VALUE!</v>
      </c>
      <c r="DP4" t="e">
        <f>AND(Plan!E6,"AAAAADq38nc=")</f>
        <v>#VALUE!</v>
      </c>
      <c r="DQ4" t="e">
        <f>AND(Plan!#REF!,"AAAAADq38ng=")</f>
        <v>#REF!</v>
      </c>
      <c r="DR4" t="e">
        <f>AND(Plan!#REF!,"AAAAADq38nk=")</f>
        <v>#REF!</v>
      </c>
      <c r="DS4" t="e">
        <f>AND(Plan!#REF!,"AAAAADq38no=")</f>
        <v>#REF!</v>
      </c>
      <c r="DT4" t="e">
        <f>AND(Plan!#REF!,"AAAAADq38ns=")</f>
        <v>#REF!</v>
      </c>
      <c r="DU4" t="e">
        <f>AND(Plan!#REF!,"AAAAADq38nw=")</f>
        <v>#REF!</v>
      </c>
      <c r="DV4" t="e">
        <f>AND(Plan!K6,"AAAAADq38n0=")</f>
        <v>#VALUE!</v>
      </c>
      <c r="DW4" t="e">
        <f>AND(Plan!B6,"AAAAADq38n4=")</f>
        <v>#VALUE!</v>
      </c>
      <c r="DX4" t="e">
        <f>AND(Plan!#REF!,"AAAAADq38n8=")</f>
        <v>#REF!</v>
      </c>
      <c r="DY4" t="e">
        <f>AND(Plan!N6,"AAAAADq38oA=")</f>
        <v>#VALUE!</v>
      </c>
      <c r="DZ4" t="e">
        <f>AND(Plan!O6,"AAAAADq38oE=")</f>
        <v>#VALUE!</v>
      </c>
      <c r="EA4" t="e">
        <f>AND(Plan!P6,"AAAAADq38oI=")</f>
        <v>#VALUE!</v>
      </c>
      <c r="EB4" t="e">
        <f>AND(Plan!Q6,"AAAAADq38oM=")</f>
        <v>#VALUE!</v>
      </c>
      <c r="EC4" t="e">
        <f>AND(Plan!R6,"AAAAADq38oQ=")</f>
        <v>#VALUE!</v>
      </c>
      <c r="ED4" t="e">
        <f>AND(Plan!S6,"AAAAADq38oU=")</f>
        <v>#VALUE!</v>
      </c>
      <c r="EE4" t="e">
        <f>AND(Plan!T6,"AAAAADq38oY=")</f>
        <v>#VALUE!</v>
      </c>
      <c r="EF4" t="e">
        <f>AND(Plan!U6,"AAAAADq38oc=")</f>
        <v>#VALUE!</v>
      </c>
      <c r="EG4" t="e">
        <f>AND(Plan!V6,"AAAAADq38og=")</f>
        <v>#VALUE!</v>
      </c>
      <c r="EH4" t="e">
        <f>AND(Plan!W6,"AAAAADq38ok=")</f>
        <v>#VALUE!</v>
      </c>
      <c r="EI4" t="e">
        <f>AND(Plan!X6,"AAAAADq38oo=")</f>
        <v>#VALUE!</v>
      </c>
      <c r="EJ4" t="e">
        <f>AND(Plan!Y6,"AAAAADq38os=")</f>
        <v>#VALUE!</v>
      </c>
      <c r="EK4" t="e">
        <f>AND(Plan!Z6,"AAAAADq38ow=")</f>
        <v>#VALUE!</v>
      </c>
      <c r="EL4" t="e">
        <f>AND(Plan!AA6,"AAAAADq38o0=")</f>
        <v>#VALUE!</v>
      </c>
      <c r="EM4" t="e">
        <f>AND(Plan!AB6,"AAAAADq38o4=")</f>
        <v>#VALUE!</v>
      </c>
      <c r="EN4" t="e">
        <f>AND(Plan!AC6,"AAAAADq38o8=")</f>
        <v>#VALUE!</v>
      </c>
      <c r="EO4" t="e">
        <f>AND(Plan!AD6,"AAAAADq38pA=")</f>
        <v>#VALUE!</v>
      </c>
      <c r="EP4" t="e">
        <f>AND(Plan!AE6,"AAAAADq38pE=")</f>
        <v>#VALUE!</v>
      </c>
      <c r="EQ4" t="e">
        <f>AND(Plan!AF6,"AAAAADq38pI=")</f>
        <v>#VALUE!</v>
      </c>
      <c r="ER4" t="e">
        <f>AND(Plan!AG6,"AAAAADq38pM=")</f>
        <v>#VALUE!</v>
      </c>
      <c r="ES4" t="e">
        <f>AND(Plan!AH6,"AAAAADq38pQ=")</f>
        <v>#VALUE!</v>
      </c>
      <c r="ET4" t="e">
        <f>AND(Plan!AI6,"AAAAADq38pU=")</f>
        <v>#VALUE!</v>
      </c>
      <c r="EU4" t="e">
        <f>AND(Plan!AJ6,"AAAAADq38pY=")</f>
        <v>#VALUE!</v>
      </c>
      <c r="EV4" t="e">
        <f>AND(Plan!AK6,"AAAAADq38pc=")</f>
        <v>#VALUE!</v>
      </c>
      <c r="EW4" t="e">
        <f>AND(Plan!AL6,"AAAAADq38pg=")</f>
        <v>#VALUE!</v>
      </c>
      <c r="EX4" t="e">
        <f>AND(Plan!AM6,"AAAAADq38pk=")</f>
        <v>#VALUE!</v>
      </c>
      <c r="EY4" t="e">
        <f>AND(Plan!AN6,"AAAAADq38po=")</f>
        <v>#VALUE!</v>
      </c>
      <c r="EZ4" t="e">
        <f>AND(Plan!AO6,"AAAAADq38ps=")</f>
        <v>#VALUE!</v>
      </c>
      <c r="FA4" t="e">
        <f>AND(Plan!AP6,"AAAAADq38pw=")</f>
        <v>#VALUE!</v>
      </c>
      <c r="FB4" t="e">
        <f>AND(Plan!AQ6,"AAAAADq38p0=")</f>
        <v>#VALUE!</v>
      </c>
      <c r="FC4" t="e">
        <f>AND(Plan!AR6,"AAAAADq38p4=")</f>
        <v>#VALUE!</v>
      </c>
      <c r="FD4" t="e">
        <f>AND(Plan!AS6,"AAAAADq38p8=")</f>
        <v>#VALUE!</v>
      </c>
      <c r="FE4" t="e">
        <f>AND(Plan!AT6,"AAAAADq38qA=")</f>
        <v>#VALUE!</v>
      </c>
      <c r="FF4" t="e">
        <f>AND(Plan!AU6,"AAAAADq38qE=")</f>
        <v>#VALUE!</v>
      </c>
      <c r="FG4" t="e">
        <f>AND(Plan!AV6,"AAAAADq38qI=")</f>
        <v>#VALUE!</v>
      </c>
      <c r="FH4" t="e">
        <f>AND(Plan!AW6,"AAAAADq38qM=")</f>
        <v>#VALUE!</v>
      </c>
      <c r="FI4" t="e">
        <f>AND(Plan!AX6,"AAAAADq38qQ=")</f>
        <v>#VALUE!</v>
      </c>
      <c r="FJ4" t="e">
        <f>AND(Plan!AY6,"AAAAADq38qU=")</f>
        <v>#VALUE!</v>
      </c>
      <c r="FK4" t="e">
        <f>AND(Plan!AZ6,"AAAAADq38qY=")</f>
        <v>#VALUE!</v>
      </c>
      <c r="FL4" t="e">
        <f>AND(Plan!BA6,"AAAAADq38qc=")</f>
        <v>#VALUE!</v>
      </c>
      <c r="FM4" t="e">
        <f>AND(Plan!BB6,"AAAAADq38qg=")</f>
        <v>#VALUE!</v>
      </c>
      <c r="FN4" t="e">
        <f>AND(Plan!BC6,"AAAAADq38qk=")</f>
        <v>#VALUE!</v>
      </c>
      <c r="FO4" t="e">
        <f>AND(Plan!BD6,"AAAAADq38qo=")</f>
        <v>#VALUE!</v>
      </c>
      <c r="FP4" t="e">
        <f>AND(Plan!BE6,"AAAAADq38qs=")</f>
        <v>#VALUE!</v>
      </c>
      <c r="FQ4" t="e">
        <f>AND(Plan!BF6,"AAAAADq38qw=")</f>
        <v>#VALUE!</v>
      </c>
      <c r="FR4" t="e">
        <f>AND(Plan!BG6,"AAAAADq38q0=")</f>
        <v>#VALUE!</v>
      </c>
      <c r="FS4" t="e">
        <f>AND(Plan!BH6,"AAAAADq38q4=")</f>
        <v>#VALUE!</v>
      </c>
      <c r="FT4" t="e">
        <f>AND(Plan!BI6,"AAAAADq38q8=")</f>
        <v>#VALUE!</v>
      </c>
      <c r="FU4" t="e">
        <f>AND(Plan!BJ6,"AAAAADq38rA=")</f>
        <v>#VALUE!</v>
      </c>
      <c r="FV4" t="e">
        <f>AND(Plan!BK6,"AAAAADq38rE=")</f>
        <v>#VALUE!</v>
      </c>
      <c r="FW4" t="e">
        <f>AND(Plan!BL6,"AAAAADq38rI=")</f>
        <v>#VALUE!</v>
      </c>
      <c r="FX4" t="e">
        <f>AND(Plan!BM6,"AAAAADq38rM=")</f>
        <v>#VALUE!</v>
      </c>
      <c r="FY4" t="e">
        <f>AND(Plan!BN6,"AAAAADq38rQ=")</f>
        <v>#VALUE!</v>
      </c>
      <c r="FZ4" t="e">
        <f>AND(Plan!BO6,"AAAAADq38rU=")</f>
        <v>#VALUE!</v>
      </c>
      <c r="GA4" t="e">
        <f>AND(Plan!BP6,"AAAAADq38rY=")</f>
        <v>#VALUE!</v>
      </c>
      <c r="GB4" t="e">
        <f>AND(Plan!BQ6,"AAAAADq38rc=")</f>
        <v>#VALUE!</v>
      </c>
      <c r="GC4" t="e">
        <f>AND(Plan!BR6,"AAAAADq38rg=")</f>
        <v>#VALUE!</v>
      </c>
      <c r="GD4" t="e">
        <f>AND(Plan!BS6,"AAAAADq38rk=")</f>
        <v>#VALUE!</v>
      </c>
      <c r="GE4" t="e">
        <f>AND(Plan!BT6,"AAAAADq38ro=")</f>
        <v>#VALUE!</v>
      </c>
      <c r="GF4" t="e">
        <f>AND(Plan!BU6,"AAAAADq38rs=")</f>
        <v>#VALUE!</v>
      </c>
      <c r="GG4" t="e">
        <f>AND(Plan!BV6,"AAAAADq38rw=")</f>
        <v>#VALUE!</v>
      </c>
      <c r="GH4" t="e">
        <f>AND(Plan!BW6,"AAAAADq38r0=")</f>
        <v>#VALUE!</v>
      </c>
      <c r="GI4" t="e">
        <f>AND(Plan!BX6,"AAAAADq38r4=")</f>
        <v>#VALUE!</v>
      </c>
      <c r="GJ4" t="e">
        <f>AND(Plan!BY6,"AAAAADq38r8=")</f>
        <v>#VALUE!</v>
      </c>
      <c r="GK4" t="e">
        <f>AND(Plan!BZ6,"AAAAADq38sA=")</f>
        <v>#VALUE!</v>
      </c>
      <c r="GL4" t="e">
        <f>AND(Plan!CA6,"AAAAADq38sE=")</f>
        <v>#VALUE!</v>
      </c>
      <c r="GM4" t="e">
        <f>AND(Plan!CB6,"AAAAADq38sI=")</f>
        <v>#VALUE!</v>
      </c>
      <c r="GN4" t="e">
        <f>AND(Plan!CC6,"AAAAADq38sM=")</f>
        <v>#VALUE!</v>
      </c>
      <c r="GO4" t="e">
        <f>AND(Plan!CD6,"AAAAADq38sQ=")</f>
        <v>#VALUE!</v>
      </c>
      <c r="GP4" t="e">
        <f>AND(Plan!CE6,"AAAAADq38sU=")</f>
        <v>#VALUE!</v>
      </c>
      <c r="GQ4" t="e">
        <f>AND(Plan!CF6,"AAAAADq38sY=")</f>
        <v>#VALUE!</v>
      </c>
      <c r="GR4" t="e">
        <f>AND(Plan!CG6,"AAAAADq38sc=")</f>
        <v>#VALUE!</v>
      </c>
      <c r="GS4" t="e">
        <f>AND(Plan!CH6,"AAAAADq38sg=")</f>
        <v>#VALUE!</v>
      </c>
      <c r="GT4" t="e">
        <f>AND(Plan!CI6,"AAAAADq38sk=")</f>
        <v>#VALUE!</v>
      </c>
      <c r="GU4" t="e">
        <f>AND(Plan!CJ6,"AAAAADq38so=")</f>
        <v>#VALUE!</v>
      </c>
      <c r="GV4" t="e">
        <f>AND(Plan!CK6,"AAAAADq38ss=")</f>
        <v>#VALUE!</v>
      </c>
      <c r="GW4" t="e">
        <f>AND(Plan!CL6,"AAAAADq38sw=")</f>
        <v>#VALUE!</v>
      </c>
      <c r="GX4" t="e">
        <f>AND(Plan!CM6,"AAAAADq38s0=")</f>
        <v>#VALUE!</v>
      </c>
      <c r="GY4" t="e">
        <f>AND(Plan!CN6,"AAAAADq38s4=")</f>
        <v>#VALUE!</v>
      </c>
      <c r="GZ4" t="e">
        <f>AND(Plan!CO6,"AAAAADq38s8=")</f>
        <v>#VALUE!</v>
      </c>
      <c r="HA4" t="e">
        <f>AND(Plan!CP6,"AAAAADq38tA=")</f>
        <v>#VALUE!</v>
      </c>
      <c r="HB4" t="e">
        <f>AND(Plan!CQ6,"AAAAADq38tE=")</f>
        <v>#VALUE!</v>
      </c>
      <c r="HC4" t="e">
        <f>AND(Plan!CR6,"AAAAADq38tI=")</f>
        <v>#VALUE!</v>
      </c>
      <c r="HD4" t="e">
        <f>AND(Plan!CS6,"AAAAADq38tM=")</f>
        <v>#VALUE!</v>
      </c>
      <c r="HE4" t="e">
        <f>AND(Plan!CT6,"AAAAADq38tQ=")</f>
        <v>#VALUE!</v>
      </c>
      <c r="HF4" t="e">
        <f>AND(Plan!CU6,"AAAAADq38tU=")</f>
        <v>#VALUE!</v>
      </c>
      <c r="HG4" t="e">
        <f>AND(Plan!CV6,"AAAAADq38tY=")</f>
        <v>#VALUE!</v>
      </c>
      <c r="HH4" t="e">
        <f>AND(Plan!CW6,"AAAAADq38tc=")</f>
        <v>#VALUE!</v>
      </c>
      <c r="HI4">
        <f>IF(Plan!7:7,"AAAAADq38tg=",0)</f>
        <v>0</v>
      </c>
      <c r="HJ4" t="e">
        <f>AND(Plan!A7,"AAAAADq38tk=")</f>
        <v>#VALUE!</v>
      </c>
      <c r="HK4" t="e">
        <f>AND(Plan!L7,"AAAAADq38to=")</f>
        <v>#VALUE!</v>
      </c>
      <c r="HL4" t="e">
        <f>AND(Plan!C7,"AAAAADq38ts=")</f>
        <v>#VALUE!</v>
      </c>
      <c r="HM4" t="e">
        <f>AND(Plan!D7,"AAAAADq38tw=")</f>
        <v>#VALUE!</v>
      </c>
      <c r="HN4" t="e">
        <f>AND(Plan!E7,"AAAAADq38t0=")</f>
        <v>#VALUE!</v>
      </c>
      <c r="HO4" t="e">
        <f>AND(Plan!#REF!,"AAAAADq38t4=")</f>
        <v>#REF!</v>
      </c>
      <c r="HP4" t="e">
        <f>AND(Plan!G5,"AAAAADq38t8=")</f>
        <v>#VALUE!</v>
      </c>
      <c r="HQ4" t="e">
        <f>AND(Plan!#REF!,"AAAAADq38uA=")</f>
        <v>#REF!</v>
      </c>
      <c r="HR4" t="e">
        <f>AND(Plan!I5,"AAAAADq38uE=")</f>
        <v>#VALUE!</v>
      </c>
      <c r="HS4" t="e">
        <f>AND(Plan!H5,"AAAAADq38uI=")</f>
        <v>#VALUE!</v>
      </c>
      <c r="HT4" t="e">
        <f>AND(Plan!K7,"AAAAADq38uM=")</f>
        <v>#VALUE!</v>
      </c>
      <c r="HU4" t="e">
        <f>AND(Plan!B8,"AAAAADq38uQ=")</f>
        <v>#VALUE!</v>
      </c>
      <c r="HV4" t="e">
        <f>AND(Plan!#REF!,"AAAAADq38uU=")</f>
        <v>#REF!</v>
      </c>
      <c r="HW4" t="e">
        <f>AND(Plan!N7,"AAAAADq38uY=")</f>
        <v>#VALUE!</v>
      </c>
      <c r="HX4" t="e">
        <f>AND(Plan!O7,"AAAAADq38uc=")</f>
        <v>#VALUE!</v>
      </c>
      <c r="HY4" t="e">
        <f>AND(Plan!P7,"AAAAADq38ug=")</f>
        <v>#VALUE!</v>
      </c>
      <c r="HZ4" t="e">
        <f>AND(Plan!Q7,"AAAAADq38uk=")</f>
        <v>#VALUE!</v>
      </c>
      <c r="IA4" t="e">
        <f>AND(Plan!R7,"AAAAADq38uo=")</f>
        <v>#VALUE!</v>
      </c>
      <c r="IB4" t="e">
        <f>AND(Plan!S7,"AAAAADq38us=")</f>
        <v>#VALUE!</v>
      </c>
      <c r="IC4" t="e">
        <f>AND(Plan!T7,"AAAAADq38uw=")</f>
        <v>#VALUE!</v>
      </c>
      <c r="ID4" t="e">
        <f>AND(Plan!U7,"AAAAADq38u0=")</f>
        <v>#VALUE!</v>
      </c>
      <c r="IE4" t="e">
        <f>AND(Plan!V7,"AAAAADq38u4=")</f>
        <v>#VALUE!</v>
      </c>
      <c r="IF4" t="e">
        <f>AND(Plan!W7,"AAAAADq38u8=")</f>
        <v>#VALUE!</v>
      </c>
      <c r="IG4" t="e">
        <f>AND(Plan!X7,"AAAAADq38vA=")</f>
        <v>#VALUE!</v>
      </c>
      <c r="IH4" t="e">
        <f>AND(Plan!Y7,"AAAAADq38vE=")</f>
        <v>#VALUE!</v>
      </c>
      <c r="II4" t="e">
        <f>AND(Plan!Z7,"AAAAADq38vI=")</f>
        <v>#VALUE!</v>
      </c>
      <c r="IJ4" t="e">
        <f>AND(Plan!AA7,"AAAAADq38vM=")</f>
        <v>#VALUE!</v>
      </c>
      <c r="IK4" t="e">
        <f>AND(Plan!AB7,"AAAAADq38vQ=")</f>
        <v>#VALUE!</v>
      </c>
      <c r="IL4" t="e">
        <f>AND(Plan!AC7,"AAAAADq38vU=")</f>
        <v>#VALUE!</v>
      </c>
      <c r="IM4" t="e">
        <f>AND(Plan!AD7,"AAAAADq38vY=")</f>
        <v>#VALUE!</v>
      </c>
      <c r="IN4" t="e">
        <f>AND(Plan!AE7,"AAAAADq38vc=")</f>
        <v>#VALUE!</v>
      </c>
      <c r="IO4" t="e">
        <f>AND(Plan!AF7,"AAAAADq38vg=")</f>
        <v>#VALUE!</v>
      </c>
      <c r="IP4" t="e">
        <f>AND(Plan!AG7,"AAAAADq38vk=")</f>
        <v>#VALUE!</v>
      </c>
      <c r="IQ4" t="e">
        <f>AND(Plan!AH7,"AAAAADq38vo=")</f>
        <v>#VALUE!</v>
      </c>
      <c r="IR4" t="e">
        <f>AND(Plan!AI7,"AAAAADq38vs=")</f>
        <v>#VALUE!</v>
      </c>
      <c r="IS4" t="e">
        <f>AND(Plan!AJ7,"AAAAADq38vw=")</f>
        <v>#VALUE!</v>
      </c>
      <c r="IT4" t="e">
        <f>AND(Plan!AK7,"AAAAADq38v0=")</f>
        <v>#VALUE!</v>
      </c>
      <c r="IU4" t="e">
        <f>AND(Plan!AL7,"AAAAADq38v4=")</f>
        <v>#VALUE!</v>
      </c>
      <c r="IV4" t="e">
        <f>AND(Plan!AM7,"AAAAADq38v8=")</f>
        <v>#VALUE!</v>
      </c>
    </row>
    <row r="5" spans="1:256">
      <c r="A5" t="e">
        <f>AND(Plan!AN7,"AAAAAH73dgA=")</f>
        <v>#VALUE!</v>
      </c>
      <c r="B5" t="e">
        <f>AND(Plan!AO7,"AAAAAH73dgE=")</f>
        <v>#VALUE!</v>
      </c>
      <c r="C5" t="e">
        <f>AND(Plan!AP7,"AAAAAH73dgI=")</f>
        <v>#VALUE!</v>
      </c>
      <c r="D5" t="e">
        <f>AND(Plan!AQ7,"AAAAAH73dgM=")</f>
        <v>#VALUE!</v>
      </c>
      <c r="E5" t="e">
        <f>AND(Plan!AR7,"AAAAAH73dgQ=")</f>
        <v>#VALUE!</v>
      </c>
      <c r="F5" t="e">
        <f>AND(Plan!AS7,"AAAAAH73dgU=")</f>
        <v>#VALUE!</v>
      </c>
      <c r="G5" t="e">
        <f>AND(Plan!AT7,"AAAAAH73dgY=")</f>
        <v>#VALUE!</v>
      </c>
      <c r="H5" t="e">
        <f>AND(Plan!AU7,"AAAAAH73dgc=")</f>
        <v>#VALUE!</v>
      </c>
      <c r="I5" t="e">
        <f>AND(Plan!AV7,"AAAAAH73dgg=")</f>
        <v>#VALUE!</v>
      </c>
      <c r="J5" t="e">
        <f>AND(Plan!AW7,"AAAAAH73dgk=")</f>
        <v>#VALUE!</v>
      </c>
      <c r="K5" t="e">
        <f>AND(Plan!AX7,"AAAAAH73dgo=")</f>
        <v>#VALUE!</v>
      </c>
      <c r="L5" t="e">
        <f>AND(Plan!AY7,"AAAAAH73dgs=")</f>
        <v>#VALUE!</v>
      </c>
      <c r="M5" t="e">
        <f>AND(Plan!AZ7,"AAAAAH73dgw=")</f>
        <v>#VALUE!</v>
      </c>
      <c r="N5" t="e">
        <f>AND(Plan!BA7,"AAAAAH73dg0=")</f>
        <v>#VALUE!</v>
      </c>
      <c r="O5" t="e">
        <f>AND(Plan!BB7,"AAAAAH73dg4=")</f>
        <v>#VALUE!</v>
      </c>
      <c r="P5" t="e">
        <f>AND(Plan!BC7,"AAAAAH73dg8=")</f>
        <v>#VALUE!</v>
      </c>
      <c r="Q5" t="e">
        <f>AND(Plan!BD7,"AAAAAH73dhA=")</f>
        <v>#VALUE!</v>
      </c>
      <c r="R5" t="e">
        <f>AND(Plan!BE7,"AAAAAH73dhE=")</f>
        <v>#VALUE!</v>
      </c>
      <c r="S5" t="e">
        <f>AND(Plan!BF7,"AAAAAH73dhI=")</f>
        <v>#VALUE!</v>
      </c>
      <c r="T5" t="e">
        <f>AND(Plan!BG7,"AAAAAH73dhM=")</f>
        <v>#VALUE!</v>
      </c>
      <c r="U5" t="e">
        <f>AND(Plan!BH7,"AAAAAH73dhQ=")</f>
        <v>#VALUE!</v>
      </c>
      <c r="V5" t="e">
        <f>AND(Plan!BI7,"AAAAAH73dhU=")</f>
        <v>#VALUE!</v>
      </c>
      <c r="W5" t="e">
        <f>AND(Plan!BJ7,"AAAAAH73dhY=")</f>
        <v>#VALUE!</v>
      </c>
      <c r="X5" t="e">
        <f>AND(Plan!BK7,"AAAAAH73dhc=")</f>
        <v>#VALUE!</v>
      </c>
      <c r="Y5" t="e">
        <f>AND(Plan!BL7,"AAAAAH73dhg=")</f>
        <v>#VALUE!</v>
      </c>
      <c r="Z5" t="e">
        <f>AND(Plan!BM7,"AAAAAH73dhk=")</f>
        <v>#VALUE!</v>
      </c>
      <c r="AA5" t="e">
        <f>AND(Plan!BN7,"AAAAAH73dho=")</f>
        <v>#VALUE!</v>
      </c>
      <c r="AB5" t="e">
        <f>AND(Plan!BO7,"AAAAAH73dhs=")</f>
        <v>#VALUE!</v>
      </c>
      <c r="AC5" t="e">
        <f>AND(Plan!BP7,"AAAAAH73dhw=")</f>
        <v>#VALUE!</v>
      </c>
      <c r="AD5" t="e">
        <f>AND(Plan!BQ7,"AAAAAH73dh0=")</f>
        <v>#VALUE!</v>
      </c>
      <c r="AE5" t="e">
        <f>AND(Plan!BR7,"AAAAAH73dh4=")</f>
        <v>#VALUE!</v>
      </c>
      <c r="AF5" t="e">
        <f>AND(Plan!BS7,"AAAAAH73dh8=")</f>
        <v>#VALUE!</v>
      </c>
      <c r="AG5" t="e">
        <f>AND(Plan!BT7,"AAAAAH73diA=")</f>
        <v>#VALUE!</v>
      </c>
      <c r="AH5" t="e">
        <f>AND(Plan!BU7,"AAAAAH73diE=")</f>
        <v>#VALUE!</v>
      </c>
      <c r="AI5" t="e">
        <f>AND(Plan!BV7,"AAAAAH73diI=")</f>
        <v>#VALUE!</v>
      </c>
      <c r="AJ5" t="e">
        <f>AND(Plan!BW7,"AAAAAH73diM=")</f>
        <v>#VALUE!</v>
      </c>
      <c r="AK5" t="e">
        <f>AND(Plan!BX7,"AAAAAH73diQ=")</f>
        <v>#VALUE!</v>
      </c>
      <c r="AL5" t="e">
        <f>AND(Plan!BY7,"AAAAAH73diU=")</f>
        <v>#VALUE!</v>
      </c>
      <c r="AM5" t="e">
        <f>AND(Plan!BZ7,"AAAAAH73diY=")</f>
        <v>#VALUE!</v>
      </c>
      <c r="AN5" t="e">
        <f>AND(Plan!CA7,"AAAAAH73dic=")</f>
        <v>#VALUE!</v>
      </c>
      <c r="AO5" t="e">
        <f>AND(Plan!CB7,"AAAAAH73dig=")</f>
        <v>#VALUE!</v>
      </c>
      <c r="AP5" t="e">
        <f>AND(Plan!CC7,"AAAAAH73dik=")</f>
        <v>#VALUE!</v>
      </c>
      <c r="AQ5" t="e">
        <f>AND(Plan!CD7,"AAAAAH73dio=")</f>
        <v>#VALUE!</v>
      </c>
      <c r="AR5" t="e">
        <f>AND(Plan!CE7,"AAAAAH73dis=")</f>
        <v>#VALUE!</v>
      </c>
      <c r="AS5" t="e">
        <f>AND(Plan!CF7,"AAAAAH73diw=")</f>
        <v>#VALUE!</v>
      </c>
      <c r="AT5" t="e">
        <f>AND(Plan!CG7,"AAAAAH73di0=")</f>
        <v>#VALUE!</v>
      </c>
      <c r="AU5" t="e">
        <f>AND(Plan!CH7,"AAAAAH73di4=")</f>
        <v>#VALUE!</v>
      </c>
      <c r="AV5" t="e">
        <f>AND(Plan!CI7,"AAAAAH73di8=")</f>
        <v>#VALUE!</v>
      </c>
      <c r="AW5" t="e">
        <f>AND(Plan!CJ7,"AAAAAH73djA=")</f>
        <v>#VALUE!</v>
      </c>
      <c r="AX5" t="e">
        <f>AND(Plan!CK7,"AAAAAH73djE=")</f>
        <v>#VALUE!</v>
      </c>
      <c r="AY5" t="e">
        <f>AND(Plan!CL7,"AAAAAH73djI=")</f>
        <v>#VALUE!</v>
      </c>
      <c r="AZ5" t="e">
        <f>AND(Plan!CM7,"AAAAAH73djM=")</f>
        <v>#VALUE!</v>
      </c>
      <c r="BA5" t="e">
        <f>AND(Plan!CN7,"AAAAAH73djQ=")</f>
        <v>#VALUE!</v>
      </c>
      <c r="BB5" t="e">
        <f>AND(Plan!CO7,"AAAAAH73djU=")</f>
        <v>#VALUE!</v>
      </c>
      <c r="BC5" t="e">
        <f>AND(Plan!CP7,"AAAAAH73djY=")</f>
        <v>#VALUE!</v>
      </c>
      <c r="BD5" t="e">
        <f>AND(Plan!CQ7,"AAAAAH73djc=")</f>
        <v>#VALUE!</v>
      </c>
      <c r="BE5" t="e">
        <f>AND(Plan!CR7,"AAAAAH73djg=")</f>
        <v>#VALUE!</v>
      </c>
      <c r="BF5" t="e">
        <f>AND(Plan!CS7,"AAAAAH73djk=")</f>
        <v>#VALUE!</v>
      </c>
      <c r="BG5" t="e">
        <f>AND(Plan!CT7,"AAAAAH73djo=")</f>
        <v>#VALUE!</v>
      </c>
      <c r="BH5" t="e">
        <f>AND(Plan!CU7,"AAAAAH73djs=")</f>
        <v>#VALUE!</v>
      </c>
      <c r="BI5" t="e">
        <f>AND(Plan!CV7,"AAAAAH73djw=")</f>
        <v>#VALUE!</v>
      </c>
      <c r="BJ5" t="e">
        <f>AND(Plan!CW7,"AAAAAH73dj0=")</f>
        <v>#VALUE!</v>
      </c>
      <c r="BK5">
        <f>IF(Plan!8:8,"AAAAAH73dj4=",0)</f>
        <v>0</v>
      </c>
      <c r="BL5" t="e">
        <f>AND(Plan!A8,"AAAAAH73dj8=")</f>
        <v>#VALUE!</v>
      </c>
      <c r="BM5" t="e">
        <f>AND(Plan!L8,"AAAAAH73dkA=")</f>
        <v>#VALUE!</v>
      </c>
      <c r="BN5" t="e">
        <f>AND(Plan!C8,"AAAAAH73dkE=")</f>
        <v>#VALUE!</v>
      </c>
      <c r="BO5" t="e">
        <f>AND(Plan!D8,"AAAAAH73dkI=")</f>
        <v>#VALUE!</v>
      </c>
      <c r="BP5" t="e">
        <f>AND(Plan!E8,"AAAAAH73dkM=")</f>
        <v>#VALUE!</v>
      </c>
      <c r="BQ5" t="e">
        <f>AND(Plan!#REF!,"AAAAAH73dkQ=")</f>
        <v>#REF!</v>
      </c>
      <c r="BR5" t="e">
        <f>AND(Plan!G6,"AAAAAH73dkU=")</f>
        <v>#VALUE!</v>
      </c>
      <c r="BS5" t="e">
        <f>AND(Plan!#REF!,"AAAAAH73dkY=")</f>
        <v>#REF!</v>
      </c>
      <c r="BT5" t="e">
        <f>AND(Plan!I6,"AAAAAH73dkc=")</f>
        <v>#VALUE!</v>
      </c>
      <c r="BU5" t="e">
        <f>AND(Plan!H6,"AAAAAH73dkg=")</f>
        <v>#VALUE!</v>
      </c>
      <c r="BV5" t="e">
        <f>AND(Plan!K8,"AAAAAH73dkk=")</f>
        <v>#VALUE!</v>
      </c>
      <c r="BW5" t="e">
        <f>AND(Plan!#REF!,"AAAAAH73dko=")</f>
        <v>#REF!</v>
      </c>
      <c r="BX5" t="e">
        <f>AND(Plan!#REF!,"AAAAAH73dks=")</f>
        <v>#REF!</v>
      </c>
      <c r="BY5" t="e">
        <f>AND(Plan!N8,"AAAAAH73dkw=")</f>
        <v>#VALUE!</v>
      </c>
      <c r="BZ5" t="e">
        <f>AND(Plan!O8,"AAAAAH73dk0=")</f>
        <v>#VALUE!</v>
      </c>
      <c r="CA5" t="e">
        <f>AND(Plan!P8,"AAAAAH73dk4=")</f>
        <v>#VALUE!</v>
      </c>
      <c r="CB5" t="e">
        <f>AND(Plan!Q8,"AAAAAH73dk8=")</f>
        <v>#VALUE!</v>
      </c>
      <c r="CC5" t="e">
        <f>AND(Plan!R8,"AAAAAH73dlA=")</f>
        <v>#VALUE!</v>
      </c>
      <c r="CD5" t="e">
        <f>AND(Plan!S8,"AAAAAH73dlE=")</f>
        <v>#VALUE!</v>
      </c>
      <c r="CE5" t="e">
        <f>AND(Plan!T8,"AAAAAH73dlI=")</f>
        <v>#VALUE!</v>
      </c>
      <c r="CF5" t="e">
        <f>AND(Plan!U8,"AAAAAH73dlM=")</f>
        <v>#VALUE!</v>
      </c>
      <c r="CG5" t="e">
        <f>AND(Plan!V8,"AAAAAH73dlQ=")</f>
        <v>#VALUE!</v>
      </c>
      <c r="CH5" t="e">
        <f>AND(Plan!W8,"AAAAAH73dlU=")</f>
        <v>#VALUE!</v>
      </c>
      <c r="CI5" t="e">
        <f>AND(Plan!X8,"AAAAAH73dlY=")</f>
        <v>#VALUE!</v>
      </c>
      <c r="CJ5" t="e">
        <f>AND(Plan!Y8,"AAAAAH73dlc=")</f>
        <v>#VALUE!</v>
      </c>
      <c r="CK5" t="e">
        <f>AND(Plan!Z8,"AAAAAH73dlg=")</f>
        <v>#VALUE!</v>
      </c>
      <c r="CL5" t="e">
        <f>AND(Plan!AA8,"AAAAAH73dlk=")</f>
        <v>#VALUE!</v>
      </c>
      <c r="CM5" t="e">
        <f>AND(Plan!AB8,"AAAAAH73dlo=")</f>
        <v>#VALUE!</v>
      </c>
      <c r="CN5" t="e">
        <f>AND(Plan!AC8,"AAAAAH73dls=")</f>
        <v>#VALUE!</v>
      </c>
      <c r="CO5" t="e">
        <f>AND(Plan!AD8,"AAAAAH73dlw=")</f>
        <v>#VALUE!</v>
      </c>
      <c r="CP5" t="e">
        <f>AND(Plan!AE8,"AAAAAH73dl0=")</f>
        <v>#VALUE!</v>
      </c>
      <c r="CQ5" t="e">
        <f>AND(Plan!AF8,"AAAAAH73dl4=")</f>
        <v>#VALUE!</v>
      </c>
      <c r="CR5" t="e">
        <f>AND(Plan!AG8,"AAAAAH73dl8=")</f>
        <v>#VALUE!</v>
      </c>
      <c r="CS5" t="e">
        <f>AND(Plan!AH8,"AAAAAH73dmA=")</f>
        <v>#VALUE!</v>
      </c>
      <c r="CT5" t="e">
        <f>AND(Plan!AI8,"AAAAAH73dmE=")</f>
        <v>#VALUE!</v>
      </c>
      <c r="CU5" t="e">
        <f>AND(Plan!AJ8,"AAAAAH73dmI=")</f>
        <v>#VALUE!</v>
      </c>
      <c r="CV5" t="e">
        <f>AND(Plan!AK8,"AAAAAH73dmM=")</f>
        <v>#VALUE!</v>
      </c>
      <c r="CW5" t="e">
        <f>AND(Plan!AL8,"AAAAAH73dmQ=")</f>
        <v>#VALUE!</v>
      </c>
      <c r="CX5" t="e">
        <f>AND(Plan!AM8,"AAAAAH73dmU=")</f>
        <v>#VALUE!</v>
      </c>
      <c r="CY5" t="e">
        <f>AND(Plan!AN8,"AAAAAH73dmY=")</f>
        <v>#VALUE!</v>
      </c>
      <c r="CZ5" t="e">
        <f>AND(Plan!AO8,"AAAAAH73dmc=")</f>
        <v>#VALUE!</v>
      </c>
      <c r="DA5" t="e">
        <f>AND(Plan!AP8,"AAAAAH73dmg=")</f>
        <v>#VALUE!</v>
      </c>
      <c r="DB5" t="e">
        <f>AND(Plan!AQ8,"AAAAAH73dmk=")</f>
        <v>#VALUE!</v>
      </c>
      <c r="DC5" t="e">
        <f>AND(Plan!AR8,"AAAAAH73dmo=")</f>
        <v>#VALUE!</v>
      </c>
      <c r="DD5" t="e">
        <f>AND(Plan!AS8,"AAAAAH73dms=")</f>
        <v>#VALUE!</v>
      </c>
      <c r="DE5" t="e">
        <f>AND(Plan!AT8,"AAAAAH73dmw=")</f>
        <v>#VALUE!</v>
      </c>
      <c r="DF5" t="e">
        <f>AND(Plan!AU8,"AAAAAH73dm0=")</f>
        <v>#VALUE!</v>
      </c>
      <c r="DG5" t="e">
        <f>AND(Plan!AV8,"AAAAAH73dm4=")</f>
        <v>#VALUE!</v>
      </c>
      <c r="DH5" t="e">
        <f>AND(Plan!AW8,"AAAAAH73dm8=")</f>
        <v>#VALUE!</v>
      </c>
      <c r="DI5" t="e">
        <f>AND(Plan!AX8,"AAAAAH73dnA=")</f>
        <v>#VALUE!</v>
      </c>
      <c r="DJ5" t="e">
        <f>AND(Plan!AY8,"AAAAAH73dnE=")</f>
        <v>#VALUE!</v>
      </c>
      <c r="DK5" t="e">
        <f>AND(Plan!AZ8,"AAAAAH73dnI=")</f>
        <v>#VALUE!</v>
      </c>
      <c r="DL5" t="e">
        <f>AND(Plan!BA8,"AAAAAH73dnM=")</f>
        <v>#VALUE!</v>
      </c>
      <c r="DM5" t="e">
        <f>AND(Plan!BB8,"AAAAAH73dnQ=")</f>
        <v>#VALUE!</v>
      </c>
      <c r="DN5" t="e">
        <f>AND(Plan!BC8,"AAAAAH73dnU=")</f>
        <v>#VALUE!</v>
      </c>
      <c r="DO5" t="e">
        <f>AND(Plan!BD8,"AAAAAH73dnY=")</f>
        <v>#VALUE!</v>
      </c>
      <c r="DP5" t="e">
        <f>AND(Plan!BE8,"AAAAAH73dnc=")</f>
        <v>#VALUE!</v>
      </c>
      <c r="DQ5" t="e">
        <f>AND(Plan!BF8,"AAAAAH73dng=")</f>
        <v>#VALUE!</v>
      </c>
      <c r="DR5" t="e">
        <f>AND(Plan!BG8,"AAAAAH73dnk=")</f>
        <v>#VALUE!</v>
      </c>
      <c r="DS5" t="e">
        <f>AND(Plan!BH8,"AAAAAH73dno=")</f>
        <v>#VALUE!</v>
      </c>
      <c r="DT5" t="e">
        <f>AND(Plan!BI8,"AAAAAH73dns=")</f>
        <v>#VALUE!</v>
      </c>
      <c r="DU5" t="e">
        <f>AND(Plan!BJ8,"AAAAAH73dnw=")</f>
        <v>#VALUE!</v>
      </c>
      <c r="DV5" t="e">
        <f>AND(Plan!BK8,"AAAAAH73dn0=")</f>
        <v>#VALUE!</v>
      </c>
      <c r="DW5" t="e">
        <f>AND(Plan!BL8,"AAAAAH73dn4=")</f>
        <v>#VALUE!</v>
      </c>
      <c r="DX5" t="e">
        <f>AND(Plan!BM8,"AAAAAH73dn8=")</f>
        <v>#VALUE!</v>
      </c>
      <c r="DY5" t="e">
        <f>AND(Plan!BN8,"AAAAAH73doA=")</f>
        <v>#VALUE!</v>
      </c>
      <c r="DZ5" t="e">
        <f>AND(Plan!BO8,"AAAAAH73doE=")</f>
        <v>#VALUE!</v>
      </c>
      <c r="EA5" t="e">
        <f>AND(Plan!BP8,"AAAAAH73doI=")</f>
        <v>#VALUE!</v>
      </c>
      <c r="EB5" t="e">
        <f>AND(Plan!BQ8,"AAAAAH73doM=")</f>
        <v>#VALUE!</v>
      </c>
      <c r="EC5" t="e">
        <f>AND(Plan!BR8,"AAAAAH73doQ=")</f>
        <v>#VALUE!</v>
      </c>
      <c r="ED5" t="e">
        <f>AND(Plan!BS8,"AAAAAH73doU=")</f>
        <v>#VALUE!</v>
      </c>
      <c r="EE5" t="e">
        <f>AND(Plan!BT8,"AAAAAH73doY=")</f>
        <v>#VALUE!</v>
      </c>
      <c r="EF5" t="e">
        <f>AND(Plan!BU8,"AAAAAH73doc=")</f>
        <v>#VALUE!</v>
      </c>
      <c r="EG5" t="e">
        <f>AND(Plan!BV8,"AAAAAH73dog=")</f>
        <v>#VALUE!</v>
      </c>
      <c r="EH5" t="e">
        <f>AND(Plan!BW8,"AAAAAH73dok=")</f>
        <v>#VALUE!</v>
      </c>
      <c r="EI5" t="e">
        <f>AND(Plan!BX8,"AAAAAH73doo=")</f>
        <v>#VALUE!</v>
      </c>
      <c r="EJ5" t="e">
        <f>AND(Plan!BY8,"AAAAAH73dos=")</f>
        <v>#VALUE!</v>
      </c>
      <c r="EK5" t="e">
        <f>AND(Plan!BZ8,"AAAAAH73dow=")</f>
        <v>#VALUE!</v>
      </c>
      <c r="EL5" t="e">
        <f>AND(Plan!CA8,"AAAAAH73do0=")</f>
        <v>#VALUE!</v>
      </c>
      <c r="EM5" t="e">
        <f>AND(Plan!CB8,"AAAAAH73do4=")</f>
        <v>#VALUE!</v>
      </c>
      <c r="EN5" t="e">
        <f>AND(Plan!CC8,"AAAAAH73do8=")</f>
        <v>#VALUE!</v>
      </c>
      <c r="EO5" t="e">
        <f>AND(Plan!CD8,"AAAAAH73dpA=")</f>
        <v>#VALUE!</v>
      </c>
      <c r="EP5" t="e">
        <f>AND(Plan!CE8,"AAAAAH73dpE=")</f>
        <v>#VALUE!</v>
      </c>
      <c r="EQ5" t="e">
        <f>AND(Plan!CF8,"AAAAAH73dpI=")</f>
        <v>#VALUE!</v>
      </c>
      <c r="ER5" t="e">
        <f>AND(Plan!CG8,"AAAAAH73dpM=")</f>
        <v>#VALUE!</v>
      </c>
      <c r="ES5" t="e">
        <f>AND(Plan!CH8,"AAAAAH73dpQ=")</f>
        <v>#VALUE!</v>
      </c>
      <c r="ET5" t="e">
        <f>AND(Plan!CI8,"AAAAAH73dpU=")</f>
        <v>#VALUE!</v>
      </c>
      <c r="EU5" t="e">
        <f>AND(Plan!CJ8,"AAAAAH73dpY=")</f>
        <v>#VALUE!</v>
      </c>
      <c r="EV5" t="e">
        <f>AND(Plan!CK8,"AAAAAH73dpc=")</f>
        <v>#VALUE!</v>
      </c>
      <c r="EW5" t="e">
        <f>AND(Plan!CL8,"AAAAAH73dpg=")</f>
        <v>#VALUE!</v>
      </c>
      <c r="EX5" t="e">
        <f>AND(Plan!CM8,"AAAAAH73dpk=")</f>
        <v>#VALUE!</v>
      </c>
      <c r="EY5" t="e">
        <f>AND(Plan!CN8,"AAAAAH73dpo=")</f>
        <v>#VALUE!</v>
      </c>
      <c r="EZ5" t="e">
        <f>AND(Plan!CO8,"AAAAAH73dps=")</f>
        <v>#VALUE!</v>
      </c>
      <c r="FA5" t="e">
        <f>AND(Plan!CP8,"AAAAAH73dpw=")</f>
        <v>#VALUE!</v>
      </c>
      <c r="FB5" t="e">
        <f>AND(Plan!CQ8,"AAAAAH73dp0=")</f>
        <v>#VALUE!</v>
      </c>
      <c r="FC5" t="e">
        <f>AND(Plan!CR8,"AAAAAH73dp4=")</f>
        <v>#VALUE!</v>
      </c>
      <c r="FD5" t="e">
        <f>AND(Plan!CS8,"AAAAAH73dp8=")</f>
        <v>#VALUE!</v>
      </c>
      <c r="FE5" t="e">
        <f>AND(Plan!CT8,"AAAAAH73dqA=")</f>
        <v>#VALUE!</v>
      </c>
      <c r="FF5" t="e">
        <f>AND(Plan!CU8,"AAAAAH73dqE=")</f>
        <v>#VALUE!</v>
      </c>
      <c r="FG5" t="e">
        <f>AND(Plan!CV8,"AAAAAH73dqI=")</f>
        <v>#VALUE!</v>
      </c>
      <c r="FH5" t="e">
        <f>AND(Plan!CW8,"AAAAAH73dqM=")</f>
        <v>#VALUE!</v>
      </c>
      <c r="FI5">
        <f>IF(Plan!9:9,"AAAAAH73dqQ=",0)</f>
        <v>0</v>
      </c>
      <c r="FJ5" t="e">
        <f>AND(Plan!A9,"AAAAAH73dqU=")</f>
        <v>#VALUE!</v>
      </c>
      <c r="FK5" t="e">
        <f>AND(Plan!L9,"AAAAAH73dqY=")</f>
        <v>#VALUE!</v>
      </c>
      <c r="FL5" t="e">
        <f>AND(Plan!C9,"AAAAAH73dqc=")</f>
        <v>#VALUE!</v>
      </c>
      <c r="FM5" t="e">
        <f>AND(Plan!D9,"AAAAAH73dqg=")</f>
        <v>#VALUE!</v>
      </c>
      <c r="FN5" t="e">
        <f>AND(Plan!E9,"AAAAAH73dqk=")</f>
        <v>#VALUE!</v>
      </c>
      <c r="FO5" t="e">
        <f>AND(Plan!#REF!,"AAAAAH73dqo=")</f>
        <v>#REF!</v>
      </c>
      <c r="FP5" t="e">
        <f>AND(Plan!G7,"AAAAAH73dqs=")</f>
        <v>#VALUE!</v>
      </c>
      <c r="FQ5" t="e">
        <f>AND(Plan!#REF!,"AAAAAH73dqw=")</f>
        <v>#REF!</v>
      </c>
      <c r="FR5" t="e">
        <f>AND(Plan!I7,"AAAAAH73dq0=")</f>
        <v>#VALUE!</v>
      </c>
      <c r="FS5" t="e">
        <f>AND(Plan!H7,"AAAAAH73dq4=")</f>
        <v>#VALUE!</v>
      </c>
      <c r="FT5" t="e">
        <f>AND(Plan!K9,"AAAAAH73dq8=")</f>
        <v>#VALUE!</v>
      </c>
      <c r="FU5" t="e">
        <f>AND(Plan!B9,"AAAAAH73drA=")</f>
        <v>#VALUE!</v>
      </c>
      <c r="FV5" t="e">
        <f>AND(Plan!#REF!,"AAAAAH73drE=")</f>
        <v>#REF!</v>
      </c>
      <c r="FW5" t="e">
        <f>AND(Plan!N9,"AAAAAH73drI=")</f>
        <v>#VALUE!</v>
      </c>
      <c r="FX5" t="e">
        <f>AND(Plan!O9,"AAAAAH73drM=")</f>
        <v>#VALUE!</v>
      </c>
      <c r="FY5" t="e">
        <f>AND(Plan!P9,"AAAAAH73drQ=")</f>
        <v>#VALUE!</v>
      </c>
      <c r="FZ5" t="e">
        <f>AND(Plan!Q9,"AAAAAH73drU=")</f>
        <v>#VALUE!</v>
      </c>
      <c r="GA5" t="e">
        <f>AND(Plan!R9,"AAAAAH73drY=")</f>
        <v>#VALUE!</v>
      </c>
      <c r="GB5" t="e">
        <f>AND(Plan!S9,"AAAAAH73drc=")</f>
        <v>#VALUE!</v>
      </c>
      <c r="GC5" t="e">
        <f>AND(Plan!T9,"AAAAAH73drg=")</f>
        <v>#VALUE!</v>
      </c>
      <c r="GD5" t="e">
        <f>AND(Plan!U9,"AAAAAH73drk=")</f>
        <v>#VALUE!</v>
      </c>
      <c r="GE5" t="e">
        <f>AND(Plan!V9,"AAAAAH73dro=")</f>
        <v>#VALUE!</v>
      </c>
      <c r="GF5" t="e">
        <f>AND(Plan!W9,"AAAAAH73drs=")</f>
        <v>#VALUE!</v>
      </c>
      <c r="GG5" t="e">
        <f>AND(Plan!X9,"AAAAAH73drw=")</f>
        <v>#VALUE!</v>
      </c>
      <c r="GH5" t="e">
        <f>AND(Plan!Y9,"AAAAAH73dr0=")</f>
        <v>#VALUE!</v>
      </c>
      <c r="GI5" t="e">
        <f>AND(Plan!Z9,"AAAAAH73dr4=")</f>
        <v>#VALUE!</v>
      </c>
      <c r="GJ5" t="e">
        <f>AND(Plan!AA9,"AAAAAH73dr8=")</f>
        <v>#VALUE!</v>
      </c>
      <c r="GK5" t="e">
        <f>AND(Plan!AB9,"AAAAAH73dsA=")</f>
        <v>#VALUE!</v>
      </c>
      <c r="GL5" t="e">
        <f>AND(Plan!AC9,"AAAAAH73dsE=")</f>
        <v>#VALUE!</v>
      </c>
      <c r="GM5" t="e">
        <f>AND(Plan!AD9,"AAAAAH73dsI=")</f>
        <v>#VALUE!</v>
      </c>
      <c r="GN5" t="e">
        <f>AND(Plan!AE9,"AAAAAH73dsM=")</f>
        <v>#VALUE!</v>
      </c>
      <c r="GO5" t="e">
        <f>AND(Plan!AF9,"AAAAAH73dsQ=")</f>
        <v>#VALUE!</v>
      </c>
      <c r="GP5" t="e">
        <f>AND(Plan!AG9,"AAAAAH73dsU=")</f>
        <v>#VALUE!</v>
      </c>
      <c r="GQ5" t="e">
        <f>AND(Plan!AH9,"AAAAAH73dsY=")</f>
        <v>#VALUE!</v>
      </c>
      <c r="GR5" t="e">
        <f>AND(Plan!AI9,"AAAAAH73dsc=")</f>
        <v>#VALUE!</v>
      </c>
      <c r="GS5" t="e">
        <f>AND(Plan!AJ9,"AAAAAH73dsg=")</f>
        <v>#VALUE!</v>
      </c>
      <c r="GT5" t="e">
        <f>AND(Plan!AK9,"AAAAAH73dsk=")</f>
        <v>#VALUE!</v>
      </c>
      <c r="GU5" t="e">
        <f>AND(Plan!AL9,"AAAAAH73dso=")</f>
        <v>#VALUE!</v>
      </c>
      <c r="GV5" t="e">
        <f>AND(Plan!AM9,"AAAAAH73dss=")</f>
        <v>#VALUE!</v>
      </c>
      <c r="GW5" t="e">
        <f>AND(Plan!AN9,"AAAAAH73dsw=")</f>
        <v>#VALUE!</v>
      </c>
      <c r="GX5" t="e">
        <f>AND(Plan!AO9,"AAAAAH73ds0=")</f>
        <v>#VALUE!</v>
      </c>
      <c r="GY5" t="e">
        <f>AND(Plan!AP9,"AAAAAH73ds4=")</f>
        <v>#VALUE!</v>
      </c>
      <c r="GZ5" t="e">
        <f>AND(Plan!AQ9,"AAAAAH73ds8=")</f>
        <v>#VALUE!</v>
      </c>
      <c r="HA5" t="e">
        <f>AND(Plan!AR9,"AAAAAH73dtA=")</f>
        <v>#VALUE!</v>
      </c>
      <c r="HB5" t="e">
        <f>AND(Plan!AS9,"AAAAAH73dtE=")</f>
        <v>#VALUE!</v>
      </c>
      <c r="HC5" t="e">
        <f>AND(Plan!AT9,"AAAAAH73dtI=")</f>
        <v>#VALUE!</v>
      </c>
      <c r="HD5" t="e">
        <f>AND(Plan!AU9,"AAAAAH73dtM=")</f>
        <v>#VALUE!</v>
      </c>
      <c r="HE5" t="e">
        <f>AND(Plan!AV9,"AAAAAH73dtQ=")</f>
        <v>#VALUE!</v>
      </c>
      <c r="HF5" t="e">
        <f>AND(Plan!AW9,"AAAAAH73dtU=")</f>
        <v>#VALUE!</v>
      </c>
      <c r="HG5" t="e">
        <f>AND(Plan!AX9,"AAAAAH73dtY=")</f>
        <v>#VALUE!</v>
      </c>
      <c r="HH5" t="e">
        <f>AND(Plan!AY9,"AAAAAH73dtc=")</f>
        <v>#VALUE!</v>
      </c>
      <c r="HI5" t="e">
        <f>AND(Plan!AZ9,"AAAAAH73dtg=")</f>
        <v>#VALUE!</v>
      </c>
      <c r="HJ5" t="e">
        <f>AND(Plan!BA9,"AAAAAH73dtk=")</f>
        <v>#VALUE!</v>
      </c>
      <c r="HK5" t="e">
        <f>AND(Plan!BB9,"AAAAAH73dto=")</f>
        <v>#VALUE!</v>
      </c>
      <c r="HL5" t="e">
        <f>AND(Plan!BC9,"AAAAAH73dts=")</f>
        <v>#VALUE!</v>
      </c>
      <c r="HM5" t="e">
        <f>AND(Plan!BD9,"AAAAAH73dtw=")</f>
        <v>#VALUE!</v>
      </c>
      <c r="HN5" t="e">
        <f>AND(Plan!BE9,"AAAAAH73dt0=")</f>
        <v>#VALUE!</v>
      </c>
      <c r="HO5" t="e">
        <f>AND(Plan!BF9,"AAAAAH73dt4=")</f>
        <v>#VALUE!</v>
      </c>
      <c r="HP5" t="e">
        <f>AND(Plan!BG9,"AAAAAH73dt8=")</f>
        <v>#VALUE!</v>
      </c>
      <c r="HQ5" t="e">
        <f>AND(Plan!BH9,"AAAAAH73duA=")</f>
        <v>#VALUE!</v>
      </c>
      <c r="HR5" t="e">
        <f>AND(Plan!BI9,"AAAAAH73duE=")</f>
        <v>#VALUE!</v>
      </c>
      <c r="HS5" t="e">
        <f>AND(Plan!BJ9,"AAAAAH73duI=")</f>
        <v>#VALUE!</v>
      </c>
      <c r="HT5" t="e">
        <f>AND(Plan!BK9,"AAAAAH73duM=")</f>
        <v>#VALUE!</v>
      </c>
      <c r="HU5" t="e">
        <f>AND(Plan!BL9,"AAAAAH73duQ=")</f>
        <v>#VALUE!</v>
      </c>
      <c r="HV5" t="e">
        <f>AND(Plan!BM9,"AAAAAH73duU=")</f>
        <v>#VALUE!</v>
      </c>
      <c r="HW5" t="e">
        <f>AND(Plan!BN9,"AAAAAH73duY=")</f>
        <v>#VALUE!</v>
      </c>
      <c r="HX5" t="e">
        <f>AND(Plan!BO9,"AAAAAH73duc=")</f>
        <v>#VALUE!</v>
      </c>
      <c r="HY5" t="e">
        <f>AND(Plan!BP9,"AAAAAH73dug=")</f>
        <v>#VALUE!</v>
      </c>
      <c r="HZ5" t="e">
        <f>AND(Plan!BQ9,"AAAAAH73duk=")</f>
        <v>#VALUE!</v>
      </c>
      <c r="IA5" t="e">
        <f>AND(Plan!BR9,"AAAAAH73duo=")</f>
        <v>#VALUE!</v>
      </c>
      <c r="IB5" t="e">
        <f>AND(Plan!BS9,"AAAAAH73dus=")</f>
        <v>#VALUE!</v>
      </c>
      <c r="IC5" t="e">
        <f>AND(Plan!BT9,"AAAAAH73duw=")</f>
        <v>#VALUE!</v>
      </c>
      <c r="ID5" t="e">
        <f>AND(Plan!BU9,"AAAAAH73du0=")</f>
        <v>#VALUE!</v>
      </c>
      <c r="IE5" t="e">
        <f>AND(Plan!BV9,"AAAAAH73du4=")</f>
        <v>#VALUE!</v>
      </c>
      <c r="IF5" t="e">
        <f>AND(Plan!BW9,"AAAAAH73du8=")</f>
        <v>#VALUE!</v>
      </c>
      <c r="IG5" t="e">
        <f>AND(Plan!BX9,"AAAAAH73dvA=")</f>
        <v>#VALUE!</v>
      </c>
      <c r="IH5" t="e">
        <f>AND(Plan!BY9,"AAAAAH73dvE=")</f>
        <v>#VALUE!</v>
      </c>
      <c r="II5" t="e">
        <f>AND(Plan!BZ9,"AAAAAH73dvI=")</f>
        <v>#VALUE!</v>
      </c>
      <c r="IJ5" t="e">
        <f>AND(Plan!CA9,"AAAAAH73dvM=")</f>
        <v>#VALUE!</v>
      </c>
      <c r="IK5" t="e">
        <f>AND(Plan!CB9,"AAAAAH73dvQ=")</f>
        <v>#VALUE!</v>
      </c>
      <c r="IL5" t="e">
        <f>AND(Plan!CC9,"AAAAAH73dvU=")</f>
        <v>#VALUE!</v>
      </c>
      <c r="IM5" t="e">
        <f>AND(Plan!CD9,"AAAAAH73dvY=")</f>
        <v>#VALUE!</v>
      </c>
      <c r="IN5" t="e">
        <f>AND(Plan!CE9,"AAAAAH73dvc=")</f>
        <v>#VALUE!</v>
      </c>
      <c r="IO5" t="e">
        <f>AND(Plan!CF9,"AAAAAH73dvg=")</f>
        <v>#VALUE!</v>
      </c>
      <c r="IP5" t="e">
        <f>AND(Plan!CG9,"AAAAAH73dvk=")</f>
        <v>#VALUE!</v>
      </c>
      <c r="IQ5" t="e">
        <f>AND(Plan!CH9,"AAAAAH73dvo=")</f>
        <v>#VALUE!</v>
      </c>
      <c r="IR5" t="e">
        <f>AND(Plan!CI9,"AAAAAH73dvs=")</f>
        <v>#VALUE!</v>
      </c>
      <c r="IS5" t="e">
        <f>AND(Plan!CJ9,"AAAAAH73dvw=")</f>
        <v>#VALUE!</v>
      </c>
      <c r="IT5" t="e">
        <f>AND(Plan!CK9,"AAAAAH73dv0=")</f>
        <v>#VALUE!</v>
      </c>
      <c r="IU5" t="e">
        <f>AND(Plan!CL9,"AAAAAH73dv4=")</f>
        <v>#VALUE!</v>
      </c>
      <c r="IV5" t="e">
        <f>AND(Plan!CM9,"AAAAAH73dv8=")</f>
        <v>#VALUE!</v>
      </c>
    </row>
    <row r="6" spans="1:256">
      <c r="A6" t="e">
        <f>AND(Plan!CN9,"AAAAAH/rZwA=")</f>
        <v>#VALUE!</v>
      </c>
      <c r="B6" t="e">
        <f>AND(Plan!CO9,"AAAAAH/rZwE=")</f>
        <v>#VALUE!</v>
      </c>
      <c r="C6" t="e">
        <f>AND(Plan!CP9,"AAAAAH/rZwI=")</f>
        <v>#VALUE!</v>
      </c>
      <c r="D6" t="e">
        <f>AND(Plan!CQ9,"AAAAAH/rZwM=")</f>
        <v>#VALUE!</v>
      </c>
      <c r="E6" t="e">
        <f>AND(Plan!CR9,"AAAAAH/rZwQ=")</f>
        <v>#VALUE!</v>
      </c>
      <c r="F6" t="e">
        <f>AND(Plan!CS9,"AAAAAH/rZwU=")</f>
        <v>#VALUE!</v>
      </c>
      <c r="G6" t="e">
        <f>AND(Plan!CT9,"AAAAAH/rZwY=")</f>
        <v>#VALUE!</v>
      </c>
      <c r="H6" t="e">
        <f>AND(Plan!CU9,"AAAAAH/rZwc=")</f>
        <v>#VALUE!</v>
      </c>
      <c r="I6" t="e">
        <f>AND(Plan!CV9,"AAAAAH/rZwg=")</f>
        <v>#VALUE!</v>
      </c>
      <c r="J6" t="e">
        <f>AND(Plan!CW9,"AAAAAH/rZwk=")</f>
        <v>#VALUE!</v>
      </c>
      <c r="K6" t="e">
        <f>IF(Plan!10:10,"AAAAAH/rZwo=",0)</f>
        <v>#VALUE!</v>
      </c>
      <c r="L6" t="e">
        <f>AND(Plan!A10,"AAAAAH/rZws=")</f>
        <v>#VALUE!</v>
      </c>
      <c r="M6" t="e">
        <f>AND(Plan!L10,"AAAAAH/rZww=")</f>
        <v>#VALUE!</v>
      </c>
      <c r="N6" t="e">
        <f>AND(Plan!C10,"AAAAAH/rZw0=")</f>
        <v>#VALUE!</v>
      </c>
      <c r="O6" t="e">
        <f>AND(Plan!D10,"AAAAAH/rZw4=")</f>
        <v>#VALUE!</v>
      </c>
      <c r="P6" t="e">
        <f>AND(Plan!E10,"AAAAAH/rZw8=")</f>
        <v>#VALUE!</v>
      </c>
      <c r="Q6" t="e">
        <f>AND(Plan!#REF!,"AAAAAH/rZxA=")</f>
        <v>#REF!</v>
      </c>
      <c r="R6" t="e">
        <f>AND(Plan!G8,"AAAAAH/rZxE=")</f>
        <v>#VALUE!</v>
      </c>
      <c r="S6" t="e">
        <f>AND(Plan!#REF!,"AAAAAH/rZxI=")</f>
        <v>#REF!</v>
      </c>
      <c r="T6" t="e">
        <f>AND(Plan!I8,"AAAAAH/rZxM=")</f>
        <v>#VALUE!</v>
      </c>
      <c r="U6" t="e">
        <f>AND(Plan!H8,"AAAAAH/rZxQ=")</f>
        <v>#VALUE!</v>
      </c>
      <c r="V6" t="e">
        <f>AND(Plan!K10,"AAAAAH/rZxU=")</f>
        <v>#VALUE!</v>
      </c>
      <c r="W6" t="e">
        <f>AND(Plan!B10,"AAAAAH/rZxY=")</f>
        <v>#VALUE!</v>
      </c>
      <c r="X6" t="e">
        <f>AND(Plan!#REF!,"AAAAAH/rZxc=")</f>
        <v>#REF!</v>
      </c>
      <c r="Y6" t="e">
        <f>AND(Plan!N10,"AAAAAH/rZxg=")</f>
        <v>#VALUE!</v>
      </c>
      <c r="Z6" t="e">
        <f>AND(Plan!O10,"AAAAAH/rZxk=")</f>
        <v>#VALUE!</v>
      </c>
      <c r="AA6" t="e">
        <f>AND(Plan!P10,"AAAAAH/rZxo=")</f>
        <v>#VALUE!</v>
      </c>
      <c r="AB6" t="e">
        <f>AND(Plan!Q10,"AAAAAH/rZxs=")</f>
        <v>#VALUE!</v>
      </c>
      <c r="AC6" t="e">
        <f>AND(Plan!R10,"AAAAAH/rZxw=")</f>
        <v>#VALUE!</v>
      </c>
      <c r="AD6" t="e">
        <f>AND(Plan!S10,"AAAAAH/rZx0=")</f>
        <v>#VALUE!</v>
      </c>
      <c r="AE6" t="e">
        <f>AND(Plan!T10,"AAAAAH/rZx4=")</f>
        <v>#VALUE!</v>
      </c>
      <c r="AF6" t="e">
        <f>AND(Plan!U10,"AAAAAH/rZx8=")</f>
        <v>#VALUE!</v>
      </c>
      <c r="AG6" t="e">
        <f>AND(Plan!V10,"AAAAAH/rZyA=")</f>
        <v>#VALUE!</v>
      </c>
      <c r="AH6" t="e">
        <f>AND(Plan!W10,"AAAAAH/rZyE=")</f>
        <v>#VALUE!</v>
      </c>
      <c r="AI6" t="e">
        <f>AND(Plan!X10,"AAAAAH/rZyI=")</f>
        <v>#VALUE!</v>
      </c>
      <c r="AJ6" t="e">
        <f>AND(Plan!Y10,"AAAAAH/rZyM=")</f>
        <v>#VALUE!</v>
      </c>
      <c r="AK6" t="e">
        <f>AND(Plan!Z10,"AAAAAH/rZyQ=")</f>
        <v>#VALUE!</v>
      </c>
      <c r="AL6" t="e">
        <f>AND(Plan!AA10,"AAAAAH/rZyU=")</f>
        <v>#VALUE!</v>
      </c>
      <c r="AM6" t="e">
        <f>AND(Plan!AB10,"AAAAAH/rZyY=")</f>
        <v>#VALUE!</v>
      </c>
      <c r="AN6" t="e">
        <f>AND(Plan!AC10,"AAAAAH/rZyc=")</f>
        <v>#VALUE!</v>
      </c>
      <c r="AO6" t="e">
        <f>AND(Plan!AD10,"AAAAAH/rZyg=")</f>
        <v>#VALUE!</v>
      </c>
      <c r="AP6" t="e">
        <f>AND(Plan!AE10,"AAAAAH/rZyk=")</f>
        <v>#VALUE!</v>
      </c>
      <c r="AQ6" t="e">
        <f>AND(Plan!AF10,"AAAAAH/rZyo=")</f>
        <v>#VALUE!</v>
      </c>
      <c r="AR6" t="e">
        <f>AND(Plan!AG10,"AAAAAH/rZys=")</f>
        <v>#VALUE!</v>
      </c>
      <c r="AS6" t="e">
        <f>AND(Plan!AH10,"AAAAAH/rZyw=")</f>
        <v>#VALUE!</v>
      </c>
      <c r="AT6" t="e">
        <f>AND(Plan!AI10,"AAAAAH/rZy0=")</f>
        <v>#VALUE!</v>
      </c>
      <c r="AU6" t="e">
        <f>AND(Plan!AJ10,"AAAAAH/rZy4=")</f>
        <v>#VALUE!</v>
      </c>
      <c r="AV6" t="e">
        <f>AND(Plan!AK10,"AAAAAH/rZy8=")</f>
        <v>#VALUE!</v>
      </c>
      <c r="AW6" t="e">
        <f>AND(Plan!AL10,"AAAAAH/rZzA=")</f>
        <v>#VALUE!</v>
      </c>
      <c r="AX6" t="e">
        <f>AND(Plan!AM10,"AAAAAH/rZzE=")</f>
        <v>#VALUE!</v>
      </c>
      <c r="AY6" t="e">
        <f>AND(Plan!AN10,"AAAAAH/rZzI=")</f>
        <v>#VALUE!</v>
      </c>
      <c r="AZ6" t="e">
        <f>AND(Plan!AO10,"AAAAAH/rZzM=")</f>
        <v>#VALUE!</v>
      </c>
      <c r="BA6" t="e">
        <f>AND(Plan!AP10,"AAAAAH/rZzQ=")</f>
        <v>#VALUE!</v>
      </c>
      <c r="BB6" t="e">
        <f>AND(Plan!AQ10,"AAAAAH/rZzU=")</f>
        <v>#VALUE!</v>
      </c>
      <c r="BC6" t="e">
        <f>AND(Plan!AR10,"AAAAAH/rZzY=")</f>
        <v>#VALUE!</v>
      </c>
      <c r="BD6" t="e">
        <f>AND(Plan!AS10,"AAAAAH/rZzc=")</f>
        <v>#VALUE!</v>
      </c>
      <c r="BE6" t="e">
        <f>AND(Plan!AT10,"AAAAAH/rZzg=")</f>
        <v>#VALUE!</v>
      </c>
      <c r="BF6" t="e">
        <f>AND(Plan!AU10,"AAAAAH/rZzk=")</f>
        <v>#VALUE!</v>
      </c>
      <c r="BG6" t="e">
        <f>AND(Plan!AV10,"AAAAAH/rZzo=")</f>
        <v>#VALUE!</v>
      </c>
      <c r="BH6" t="e">
        <f>AND(Plan!AW10,"AAAAAH/rZzs=")</f>
        <v>#VALUE!</v>
      </c>
      <c r="BI6" t="e">
        <f>AND(Plan!AX10,"AAAAAH/rZzw=")</f>
        <v>#VALUE!</v>
      </c>
      <c r="BJ6" t="e">
        <f>AND(Plan!AY10,"AAAAAH/rZz0=")</f>
        <v>#VALUE!</v>
      </c>
      <c r="BK6" t="e">
        <f>AND(Plan!AZ10,"AAAAAH/rZz4=")</f>
        <v>#VALUE!</v>
      </c>
      <c r="BL6" t="e">
        <f>AND(Plan!BA10,"AAAAAH/rZz8=")</f>
        <v>#VALUE!</v>
      </c>
      <c r="BM6" t="e">
        <f>AND(Plan!BB10,"AAAAAH/rZ0A=")</f>
        <v>#VALUE!</v>
      </c>
      <c r="BN6" t="e">
        <f>AND(Plan!BC10,"AAAAAH/rZ0E=")</f>
        <v>#VALUE!</v>
      </c>
      <c r="BO6" t="e">
        <f>AND(Plan!BD10,"AAAAAH/rZ0I=")</f>
        <v>#VALUE!</v>
      </c>
      <c r="BP6" t="e">
        <f>AND(Plan!BE10,"AAAAAH/rZ0M=")</f>
        <v>#VALUE!</v>
      </c>
      <c r="BQ6" t="e">
        <f>AND(Plan!BF10,"AAAAAH/rZ0Q=")</f>
        <v>#VALUE!</v>
      </c>
      <c r="BR6" t="e">
        <f>AND(Plan!BG10,"AAAAAH/rZ0U=")</f>
        <v>#VALUE!</v>
      </c>
      <c r="BS6" t="e">
        <f>AND(Plan!BH10,"AAAAAH/rZ0Y=")</f>
        <v>#VALUE!</v>
      </c>
      <c r="BT6" t="e">
        <f>AND(Plan!BI10,"AAAAAH/rZ0c=")</f>
        <v>#VALUE!</v>
      </c>
      <c r="BU6" t="e">
        <f>AND(Plan!BJ10,"AAAAAH/rZ0g=")</f>
        <v>#VALUE!</v>
      </c>
      <c r="BV6" t="e">
        <f>AND(Plan!BK10,"AAAAAH/rZ0k=")</f>
        <v>#VALUE!</v>
      </c>
      <c r="BW6" t="e">
        <f>AND(Plan!BL10,"AAAAAH/rZ0o=")</f>
        <v>#VALUE!</v>
      </c>
      <c r="BX6" t="e">
        <f>AND(Plan!BM10,"AAAAAH/rZ0s=")</f>
        <v>#VALUE!</v>
      </c>
      <c r="BY6" t="e">
        <f>AND(Plan!BN10,"AAAAAH/rZ0w=")</f>
        <v>#VALUE!</v>
      </c>
      <c r="BZ6" t="e">
        <f>AND(Plan!BO10,"AAAAAH/rZ00=")</f>
        <v>#VALUE!</v>
      </c>
      <c r="CA6" t="e">
        <f>AND(Plan!BP10,"AAAAAH/rZ04=")</f>
        <v>#VALUE!</v>
      </c>
      <c r="CB6" t="e">
        <f>AND(Plan!BQ10,"AAAAAH/rZ08=")</f>
        <v>#VALUE!</v>
      </c>
      <c r="CC6" t="e">
        <f>AND(Plan!BR10,"AAAAAH/rZ1A=")</f>
        <v>#VALUE!</v>
      </c>
      <c r="CD6" t="e">
        <f>AND(Plan!BS10,"AAAAAH/rZ1E=")</f>
        <v>#VALUE!</v>
      </c>
      <c r="CE6" t="e">
        <f>AND(Plan!BT10,"AAAAAH/rZ1I=")</f>
        <v>#VALUE!</v>
      </c>
      <c r="CF6" t="e">
        <f>AND(Plan!BU10,"AAAAAH/rZ1M=")</f>
        <v>#VALUE!</v>
      </c>
      <c r="CG6" t="e">
        <f>AND(Plan!BV10,"AAAAAH/rZ1Q=")</f>
        <v>#VALUE!</v>
      </c>
      <c r="CH6" t="e">
        <f>AND(Plan!BW10,"AAAAAH/rZ1U=")</f>
        <v>#VALUE!</v>
      </c>
      <c r="CI6" t="e">
        <f>AND(Plan!BX10,"AAAAAH/rZ1Y=")</f>
        <v>#VALUE!</v>
      </c>
      <c r="CJ6" t="e">
        <f>AND(Plan!BY10,"AAAAAH/rZ1c=")</f>
        <v>#VALUE!</v>
      </c>
      <c r="CK6" t="e">
        <f>AND(Plan!BZ10,"AAAAAH/rZ1g=")</f>
        <v>#VALUE!</v>
      </c>
      <c r="CL6" t="e">
        <f>AND(Plan!CA10,"AAAAAH/rZ1k=")</f>
        <v>#VALUE!</v>
      </c>
      <c r="CM6" t="e">
        <f>AND(Plan!CB10,"AAAAAH/rZ1o=")</f>
        <v>#VALUE!</v>
      </c>
      <c r="CN6" t="e">
        <f>AND(Plan!CC10,"AAAAAH/rZ1s=")</f>
        <v>#VALUE!</v>
      </c>
      <c r="CO6" t="e">
        <f>AND(Plan!CD10,"AAAAAH/rZ1w=")</f>
        <v>#VALUE!</v>
      </c>
      <c r="CP6" t="e">
        <f>AND(Plan!CE10,"AAAAAH/rZ10=")</f>
        <v>#VALUE!</v>
      </c>
      <c r="CQ6" t="e">
        <f>AND(Plan!CF10,"AAAAAH/rZ14=")</f>
        <v>#VALUE!</v>
      </c>
      <c r="CR6" t="e">
        <f>AND(Plan!CG10,"AAAAAH/rZ18=")</f>
        <v>#VALUE!</v>
      </c>
      <c r="CS6" t="e">
        <f>AND(Plan!CH10,"AAAAAH/rZ2A=")</f>
        <v>#VALUE!</v>
      </c>
      <c r="CT6" t="e">
        <f>AND(Plan!CI10,"AAAAAH/rZ2E=")</f>
        <v>#VALUE!</v>
      </c>
      <c r="CU6" t="e">
        <f>AND(Plan!CJ10,"AAAAAH/rZ2I=")</f>
        <v>#VALUE!</v>
      </c>
      <c r="CV6" t="e">
        <f>AND(Plan!CK10,"AAAAAH/rZ2M=")</f>
        <v>#VALUE!</v>
      </c>
      <c r="CW6" t="e">
        <f>AND(Plan!CL10,"AAAAAH/rZ2Q=")</f>
        <v>#VALUE!</v>
      </c>
      <c r="CX6" t="e">
        <f>AND(Plan!CM10,"AAAAAH/rZ2U=")</f>
        <v>#VALUE!</v>
      </c>
      <c r="CY6" t="e">
        <f>AND(Plan!CN10,"AAAAAH/rZ2Y=")</f>
        <v>#VALUE!</v>
      </c>
      <c r="CZ6" t="e">
        <f>AND(Plan!CO10,"AAAAAH/rZ2c=")</f>
        <v>#VALUE!</v>
      </c>
      <c r="DA6" t="e">
        <f>AND(Plan!CP10,"AAAAAH/rZ2g=")</f>
        <v>#VALUE!</v>
      </c>
      <c r="DB6" t="e">
        <f>AND(Plan!CQ10,"AAAAAH/rZ2k=")</f>
        <v>#VALUE!</v>
      </c>
      <c r="DC6" t="e">
        <f>AND(Plan!CR10,"AAAAAH/rZ2o=")</f>
        <v>#VALUE!</v>
      </c>
      <c r="DD6" t="e">
        <f>AND(Plan!CS10,"AAAAAH/rZ2s=")</f>
        <v>#VALUE!</v>
      </c>
      <c r="DE6" t="e">
        <f>AND(Plan!CT10,"AAAAAH/rZ2w=")</f>
        <v>#VALUE!</v>
      </c>
      <c r="DF6" t="e">
        <f>AND(Plan!CU10,"AAAAAH/rZ20=")</f>
        <v>#VALUE!</v>
      </c>
      <c r="DG6" t="e">
        <f>AND(Plan!CV10,"AAAAAH/rZ24=")</f>
        <v>#VALUE!</v>
      </c>
      <c r="DH6" t="e">
        <f>AND(Plan!CW10,"AAAAAH/rZ28=")</f>
        <v>#VALUE!</v>
      </c>
      <c r="DI6">
        <f>IF(Plan!11:11,"AAAAAH/rZ3A=",0)</f>
        <v>0</v>
      </c>
      <c r="DJ6" t="e">
        <f>AND(Plan!A11,"AAAAAH/rZ3E=")</f>
        <v>#VALUE!</v>
      </c>
      <c r="DK6" t="e">
        <f>AND(Plan!L11,"AAAAAH/rZ3I=")</f>
        <v>#VALUE!</v>
      </c>
      <c r="DL6" t="e">
        <f>AND(Plan!C11,"AAAAAH/rZ3M=")</f>
        <v>#VALUE!</v>
      </c>
      <c r="DM6" t="e">
        <f>AND(Plan!D11,"AAAAAH/rZ3Q=")</f>
        <v>#VALUE!</v>
      </c>
      <c r="DN6" t="e">
        <f>AND(Plan!E11,"AAAAAH/rZ3U=")</f>
        <v>#VALUE!</v>
      </c>
      <c r="DO6" t="e">
        <f>AND(Plan!#REF!,"AAAAAH/rZ3Y=")</f>
        <v>#REF!</v>
      </c>
      <c r="DP6" t="e">
        <f>AND(Plan!G9,"AAAAAH/rZ3c=")</f>
        <v>#VALUE!</v>
      </c>
      <c r="DQ6" t="e">
        <f>AND(Plan!#REF!,"AAAAAH/rZ3g=")</f>
        <v>#REF!</v>
      </c>
      <c r="DR6" t="e">
        <f>AND(Plan!I9,"AAAAAH/rZ3k=")</f>
        <v>#VALUE!</v>
      </c>
      <c r="DS6" t="e">
        <f>AND(Plan!H9,"AAAAAH/rZ3o=")</f>
        <v>#VALUE!</v>
      </c>
      <c r="DT6" t="e">
        <f>AND(Plan!K11,"AAAAAH/rZ3s=")</f>
        <v>#VALUE!</v>
      </c>
      <c r="DU6" t="e">
        <f>AND(Plan!B11,"AAAAAH/rZ3w=")</f>
        <v>#VALUE!</v>
      </c>
      <c r="DV6" t="e">
        <f>AND(Plan!#REF!,"AAAAAH/rZ30=")</f>
        <v>#REF!</v>
      </c>
      <c r="DW6" t="e">
        <f>AND(Plan!N11,"AAAAAH/rZ34=")</f>
        <v>#VALUE!</v>
      </c>
      <c r="DX6" t="e">
        <f>AND(Plan!O11,"AAAAAH/rZ38=")</f>
        <v>#VALUE!</v>
      </c>
      <c r="DY6" t="e">
        <f>AND(Plan!P11,"AAAAAH/rZ4A=")</f>
        <v>#VALUE!</v>
      </c>
      <c r="DZ6" t="e">
        <f>AND(Plan!Q11,"AAAAAH/rZ4E=")</f>
        <v>#VALUE!</v>
      </c>
      <c r="EA6" t="e">
        <f>AND(Plan!R11,"AAAAAH/rZ4I=")</f>
        <v>#VALUE!</v>
      </c>
      <c r="EB6" t="e">
        <f>AND(Plan!S11,"AAAAAH/rZ4M=")</f>
        <v>#VALUE!</v>
      </c>
      <c r="EC6" t="e">
        <f>AND(Plan!T11,"AAAAAH/rZ4Q=")</f>
        <v>#VALUE!</v>
      </c>
      <c r="ED6" t="e">
        <f>AND(Plan!U11,"AAAAAH/rZ4U=")</f>
        <v>#VALUE!</v>
      </c>
      <c r="EE6" t="e">
        <f>AND(Plan!V11,"AAAAAH/rZ4Y=")</f>
        <v>#VALUE!</v>
      </c>
      <c r="EF6" t="e">
        <f>AND(Plan!W11,"AAAAAH/rZ4c=")</f>
        <v>#VALUE!</v>
      </c>
      <c r="EG6" t="e">
        <f>AND(Plan!X11,"AAAAAH/rZ4g=")</f>
        <v>#VALUE!</v>
      </c>
      <c r="EH6" t="e">
        <f>AND(Plan!Y11,"AAAAAH/rZ4k=")</f>
        <v>#VALUE!</v>
      </c>
      <c r="EI6" t="e">
        <f>AND(Plan!Z11,"AAAAAH/rZ4o=")</f>
        <v>#VALUE!</v>
      </c>
      <c r="EJ6" t="e">
        <f>AND(Plan!AA11,"AAAAAH/rZ4s=")</f>
        <v>#VALUE!</v>
      </c>
      <c r="EK6" t="e">
        <f>AND(Plan!AB11,"AAAAAH/rZ4w=")</f>
        <v>#VALUE!</v>
      </c>
      <c r="EL6" t="e">
        <f>AND(Plan!AC11,"AAAAAH/rZ40=")</f>
        <v>#VALUE!</v>
      </c>
      <c r="EM6" t="e">
        <f>AND(Plan!AD11,"AAAAAH/rZ44=")</f>
        <v>#VALUE!</v>
      </c>
      <c r="EN6" t="e">
        <f>AND(Plan!AE11,"AAAAAH/rZ48=")</f>
        <v>#VALUE!</v>
      </c>
      <c r="EO6" t="e">
        <f>AND(Plan!AF11,"AAAAAH/rZ5A=")</f>
        <v>#VALUE!</v>
      </c>
      <c r="EP6" t="e">
        <f>AND(Plan!AG11,"AAAAAH/rZ5E=")</f>
        <v>#VALUE!</v>
      </c>
      <c r="EQ6" t="e">
        <f>AND(Plan!AH11,"AAAAAH/rZ5I=")</f>
        <v>#VALUE!</v>
      </c>
      <c r="ER6" t="e">
        <f>AND(Plan!AI11,"AAAAAH/rZ5M=")</f>
        <v>#VALUE!</v>
      </c>
      <c r="ES6" t="e">
        <f>AND(Plan!AJ11,"AAAAAH/rZ5Q=")</f>
        <v>#VALUE!</v>
      </c>
      <c r="ET6" t="e">
        <f>AND(Plan!AK11,"AAAAAH/rZ5U=")</f>
        <v>#VALUE!</v>
      </c>
      <c r="EU6" t="e">
        <f>AND(Plan!AL11,"AAAAAH/rZ5Y=")</f>
        <v>#VALUE!</v>
      </c>
      <c r="EV6" t="e">
        <f>AND(Plan!AM11,"AAAAAH/rZ5c=")</f>
        <v>#VALUE!</v>
      </c>
      <c r="EW6" t="e">
        <f>AND(Plan!AN11,"AAAAAH/rZ5g=")</f>
        <v>#VALUE!</v>
      </c>
      <c r="EX6" t="e">
        <f>AND(Plan!AO11,"AAAAAH/rZ5k=")</f>
        <v>#VALUE!</v>
      </c>
      <c r="EY6" t="e">
        <f>AND(Plan!AP11,"AAAAAH/rZ5o=")</f>
        <v>#VALUE!</v>
      </c>
      <c r="EZ6" t="e">
        <f>AND(Plan!AQ11,"AAAAAH/rZ5s=")</f>
        <v>#VALUE!</v>
      </c>
      <c r="FA6" t="e">
        <f>AND(Plan!AR11,"AAAAAH/rZ5w=")</f>
        <v>#VALUE!</v>
      </c>
      <c r="FB6" t="e">
        <f>AND(Plan!AS11,"AAAAAH/rZ50=")</f>
        <v>#VALUE!</v>
      </c>
      <c r="FC6" t="e">
        <f>AND(Plan!AT11,"AAAAAH/rZ54=")</f>
        <v>#VALUE!</v>
      </c>
      <c r="FD6" t="e">
        <f>AND(Plan!AU11,"AAAAAH/rZ58=")</f>
        <v>#VALUE!</v>
      </c>
      <c r="FE6" t="e">
        <f>AND(Plan!AV11,"AAAAAH/rZ6A=")</f>
        <v>#VALUE!</v>
      </c>
      <c r="FF6" t="e">
        <f>AND(Plan!AW11,"AAAAAH/rZ6E=")</f>
        <v>#VALUE!</v>
      </c>
      <c r="FG6" t="e">
        <f>AND(Plan!AX11,"AAAAAH/rZ6I=")</f>
        <v>#VALUE!</v>
      </c>
      <c r="FH6" t="e">
        <f>AND(Plan!AY11,"AAAAAH/rZ6M=")</f>
        <v>#VALUE!</v>
      </c>
      <c r="FI6" t="e">
        <f>AND(Plan!AZ11,"AAAAAH/rZ6Q=")</f>
        <v>#VALUE!</v>
      </c>
      <c r="FJ6" t="e">
        <f>AND(Plan!BA11,"AAAAAH/rZ6U=")</f>
        <v>#VALUE!</v>
      </c>
      <c r="FK6" t="e">
        <f>AND(Plan!BB11,"AAAAAH/rZ6Y=")</f>
        <v>#VALUE!</v>
      </c>
      <c r="FL6" t="e">
        <f>AND(Plan!BC11,"AAAAAH/rZ6c=")</f>
        <v>#VALUE!</v>
      </c>
      <c r="FM6" t="e">
        <f>AND(Plan!BD11,"AAAAAH/rZ6g=")</f>
        <v>#VALUE!</v>
      </c>
      <c r="FN6" t="e">
        <f>AND(Plan!BE11,"AAAAAH/rZ6k=")</f>
        <v>#VALUE!</v>
      </c>
      <c r="FO6" t="e">
        <f>AND(Plan!BF11,"AAAAAH/rZ6o=")</f>
        <v>#VALUE!</v>
      </c>
      <c r="FP6" t="e">
        <f>AND(Plan!BG11,"AAAAAH/rZ6s=")</f>
        <v>#VALUE!</v>
      </c>
      <c r="FQ6" t="e">
        <f>AND(Plan!BH11,"AAAAAH/rZ6w=")</f>
        <v>#VALUE!</v>
      </c>
      <c r="FR6" t="e">
        <f>AND(Plan!BI11,"AAAAAH/rZ60=")</f>
        <v>#VALUE!</v>
      </c>
      <c r="FS6" t="e">
        <f>AND(Plan!BJ11,"AAAAAH/rZ64=")</f>
        <v>#VALUE!</v>
      </c>
      <c r="FT6" t="e">
        <f>AND(Plan!BK11,"AAAAAH/rZ68=")</f>
        <v>#VALUE!</v>
      </c>
      <c r="FU6" t="e">
        <f>AND(Plan!BL11,"AAAAAH/rZ7A=")</f>
        <v>#VALUE!</v>
      </c>
      <c r="FV6" t="e">
        <f>AND(Plan!BM11,"AAAAAH/rZ7E=")</f>
        <v>#VALUE!</v>
      </c>
      <c r="FW6" t="e">
        <f>AND(Plan!BN11,"AAAAAH/rZ7I=")</f>
        <v>#VALUE!</v>
      </c>
      <c r="FX6" t="e">
        <f>AND(Plan!BO11,"AAAAAH/rZ7M=")</f>
        <v>#VALUE!</v>
      </c>
      <c r="FY6" t="e">
        <f>AND(Plan!BP11,"AAAAAH/rZ7Q=")</f>
        <v>#VALUE!</v>
      </c>
      <c r="FZ6" t="e">
        <f>AND(Plan!BQ11,"AAAAAH/rZ7U=")</f>
        <v>#VALUE!</v>
      </c>
      <c r="GA6" t="e">
        <f>AND(Plan!BR11,"AAAAAH/rZ7Y=")</f>
        <v>#VALUE!</v>
      </c>
      <c r="GB6" t="e">
        <f>AND(Plan!BS11,"AAAAAH/rZ7c=")</f>
        <v>#VALUE!</v>
      </c>
      <c r="GC6" t="e">
        <f>AND(Plan!BT11,"AAAAAH/rZ7g=")</f>
        <v>#VALUE!</v>
      </c>
      <c r="GD6" t="e">
        <f>AND(Plan!BU11,"AAAAAH/rZ7k=")</f>
        <v>#VALUE!</v>
      </c>
      <c r="GE6" t="e">
        <f>AND(Plan!BV11,"AAAAAH/rZ7o=")</f>
        <v>#VALUE!</v>
      </c>
      <c r="GF6" t="e">
        <f>AND(Plan!BW11,"AAAAAH/rZ7s=")</f>
        <v>#VALUE!</v>
      </c>
      <c r="GG6" t="e">
        <f>AND(Plan!BX11,"AAAAAH/rZ7w=")</f>
        <v>#VALUE!</v>
      </c>
      <c r="GH6" t="e">
        <f>AND(Plan!BY11,"AAAAAH/rZ70=")</f>
        <v>#VALUE!</v>
      </c>
      <c r="GI6" t="e">
        <f>AND(Plan!BZ11,"AAAAAH/rZ74=")</f>
        <v>#VALUE!</v>
      </c>
      <c r="GJ6" t="e">
        <f>AND(Plan!CA11,"AAAAAH/rZ78=")</f>
        <v>#VALUE!</v>
      </c>
      <c r="GK6" t="e">
        <f>AND(Plan!CB11,"AAAAAH/rZ8A=")</f>
        <v>#VALUE!</v>
      </c>
      <c r="GL6" t="e">
        <f>AND(Plan!CC11,"AAAAAH/rZ8E=")</f>
        <v>#VALUE!</v>
      </c>
      <c r="GM6" t="e">
        <f>AND(Plan!CD11,"AAAAAH/rZ8I=")</f>
        <v>#VALUE!</v>
      </c>
      <c r="GN6" t="e">
        <f>AND(Plan!CE11,"AAAAAH/rZ8M=")</f>
        <v>#VALUE!</v>
      </c>
      <c r="GO6" t="e">
        <f>AND(Plan!CF11,"AAAAAH/rZ8Q=")</f>
        <v>#VALUE!</v>
      </c>
      <c r="GP6" t="e">
        <f>AND(Plan!CG11,"AAAAAH/rZ8U=")</f>
        <v>#VALUE!</v>
      </c>
      <c r="GQ6" t="e">
        <f>AND(Plan!CH11,"AAAAAH/rZ8Y=")</f>
        <v>#VALUE!</v>
      </c>
      <c r="GR6" t="e">
        <f>AND(Plan!CI11,"AAAAAH/rZ8c=")</f>
        <v>#VALUE!</v>
      </c>
      <c r="GS6" t="e">
        <f>AND(Plan!CJ11,"AAAAAH/rZ8g=")</f>
        <v>#VALUE!</v>
      </c>
      <c r="GT6" t="e">
        <f>AND(Plan!CK11,"AAAAAH/rZ8k=")</f>
        <v>#VALUE!</v>
      </c>
      <c r="GU6" t="e">
        <f>AND(Plan!CL11,"AAAAAH/rZ8o=")</f>
        <v>#VALUE!</v>
      </c>
      <c r="GV6" t="e">
        <f>AND(Plan!CM11,"AAAAAH/rZ8s=")</f>
        <v>#VALUE!</v>
      </c>
      <c r="GW6" t="e">
        <f>AND(Plan!CN11,"AAAAAH/rZ8w=")</f>
        <v>#VALUE!</v>
      </c>
      <c r="GX6" t="e">
        <f>AND(Plan!CO11,"AAAAAH/rZ80=")</f>
        <v>#VALUE!</v>
      </c>
      <c r="GY6" t="e">
        <f>AND(Plan!CP11,"AAAAAH/rZ84=")</f>
        <v>#VALUE!</v>
      </c>
      <c r="GZ6" t="e">
        <f>AND(Plan!CQ11,"AAAAAH/rZ88=")</f>
        <v>#VALUE!</v>
      </c>
      <c r="HA6" t="e">
        <f>AND(Plan!CR11,"AAAAAH/rZ9A=")</f>
        <v>#VALUE!</v>
      </c>
      <c r="HB6" t="e">
        <f>AND(Plan!CS11,"AAAAAH/rZ9E=")</f>
        <v>#VALUE!</v>
      </c>
      <c r="HC6" t="e">
        <f>AND(Plan!CT11,"AAAAAH/rZ9I=")</f>
        <v>#VALUE!</v>
      </c>
      <c r="HD6" t="e">
        <f>AND(Plan!CU11,"AAAAAH/rZ9M=")</f>
        <v>#VALUE!</v>
      </c>
      <c r="HE6" t="e">
        <f>AND(Plan!CV11,"AAAAAH/rZ9Q=")</f>
        <v>#VALUE!</v>
      </c>
      <c r="HF6" t="e">
        <f>AND(Plan!CW11,"AAAAAH/rZ9U=")</f>
        <v>#VALUE!</v>
      </c>
      <c r="HG6">
        <f>IF(Plan!12:12,"AAAAAH/rZ9Y=",0)</f>
        <v>0</v>
      </c>
      <c r="HH6" t="e">
        <f>AND(Plan!A12,"AAAAAH/rZ9c=")</f>
        <v>#VALUE!</v>
      </c>
      <c r="HI6" t="e">
        <f>AND(Plan!L12,"AAAAAH/rZ9g=")</f>
        <v>#VALUE!</v>
      </c>
      <c r="HJ6" t="e">
        <f>AND(Plan!C12,"AAAAAH/rZ9k=")</f>
        <v>#VALUE!</v>
      </c>
      <c r="HK6" t="e">
        <f>AND(Plan!D12,"AAAAAH/rZ9o=")</f>
        <v>#VALUE!</v>
      </c>
      <c r="HL6" t="e">
        <f>AND(Plan!E12,"AAAAAH/rZ9s=")</f>
        <v>#VALUE!</v>
      </c>
      <c r="HM6" t="e">
        <f>AND(Plan!#REF!,"AAAAAH/rZ9w=")</f>
        <v>#REF!</v>
      </c>
      <c r="HN6" t="e">
        <f>AND(Plan!G10,"AAAAAH/rZ90=")</f>
        <v>#VALUE!</v>
      </c>
      <c r="HO6" t="e">
        <f>AND(Plan!#REF!,"AAAAAH/rZ94=")</f>
        <v>#REF!</v>
      </c>
      <c r="HP6" t="e">
        <f>AND(Plan!I10,"AAAAAH/rZ98=")</f>
        <v>#VALUE!</v>
      </c>
      <c r="HQ6" t="e">
        <f>AND(Plan!H10,"AAAAAH/rZ+A=")</f>
        <v>#VALUE!</v>
      </c>
      <c r="HR6" t="e">
        <f>AND(Plan!K12,"AAAAAH/rZ+E=")</f>
        <v>#VALUE!</v>
      </c>
      <c r="HS6" t="e">
        <f>AND(Plan!B12,"AAAAAH/rZ+I=")</f>
        <v>#VALUE!</v>
      </c>
      <c r="HT6" t="e">
        <f>AND(Plan!#REF!,"AAAAAH/rZ+M=")</f>
        <v>#REF!</v>
      </c>
      <c r="HU6" t="e">
        <f>AND(Plan!N12,"AAAAAH/rZ+Q=")</f>
        <v>#VALUE!</v>
      </c>
      <c r="HV6" t="e">
        <f>AND(Plan!O12,"AAAAAH/rZ+U=")</f>
        <v>#VALUE!</v>
      </c>
      <c r="HW6" t="e">
        <f>AND(Plan!P12,"AAAAAH/rZ+Y=")</f>
        <v>#VALUE!</v>
      </c>
      <c r="HX6" t="e">
        <f>AND(Plan!Q12,"AAAAAH/rZ+c=")</f>
        <v>#VALUE!</v>
      </c>
      <c r="HY6" t="e">
        <f>AND(Plan!R12,"AAAAAH/rZ+g=")</f>
        <v>#VALUE!</v>
      </c>
      <c r="HZ6" t="e">
        <f>AND(Plan!S12,"AAAAAH/rZ+k=")</f>
        <v>#VALUE!</v>
      </c>
      <c r="IA6" t="e">
        <f>AND(Plan!T12,"AAAAAH/rZ+o=")</f>
        <v>#VALUE!</v>
      </c>
      <c r="IB6" t="e">
        <f>AND(Plan!U12,"AAAAAH/rZ+s=")</f>
        <v>#VALUE!</v>
      </c>
      <c r="IC6" t="e">
        <f>AND(Plan!V12,"AAAAAH/rZ+w=")</f>
        <v>#VALUE!</v>
      </c>
      <c r="ID6" t="e">
        <f>AND(Plan!W12,"AAAAAH/rZ+0=")</f>
        <v>#VALUE!</v>
      </c>
      <c r="IE6" t="e">
        <f>AND(Plan!X12,"AAAAAH/rZ+4=")</f>
        <v>#VALUE!</v>
      </c>
      <c r="IF6" t="e">
        <f>AND(Plan!Y12,"AAAAAH/rZ+8=")</f>
        <v>#VALUE!</v>
      </c>
      <c r="IG6" t="e">
        <f>AND(Plan!Z12,"AAAAAH/rZ/A=")</f>
        <v>#VALUE!</v>
      </c>
      <c r="IH6" t="e">
        <f>AND(Plan!AA12,"AAAAAH/rZ/E=")</f>
        <v>#VALUE!</v>
      </c>
      <c r="II6" t="e">
        <f>AND(Plan!AB12,"AAAAAH/rZ/I=")</f>
        <v>#VALUE!</v>
      </c>
      <c r="IJ6" t="e">
        <f>AND(Plan!AC12,"AAAAAH/rZ/M=")</f>
        <v>#VALUE!</v>
      </c>
      <c r="IK6" t="e">
        <f>AND(Plan!AD12,"AAAAAH/rZ/Q=")</f>
        <v>#VALUE!</v>
      </c>
      <c r="IL6" t="e">
        <f>AND(Plan!AE12,"AAAAAH/rZ/U=")</f>
        <v>#VALUE!</v>
      </c>
      <c r="IM6" t="e">
        <f>AND(Plan!AF12,"AAAAAH/rZ/Y=")</f>
        <v>#VALUE!</v>
      </c>
      <c r="IN6" t="e">
        <f>AND(Plan!AG12,"AAAAAH/rZ/c=")</f>
        <v>#VALUE!</v>
      </c>
      <c r="IO6" t="e">
        <f>AND(Plan!AH12,"AAAAAH/rZ/g=")</f>
        <v>#VALUE!</v>
      </c>
      <c r="IP6" t="e">
        <f>AND(Plan!AI12,"AAAAAH/rZ/k=")</f>
        <v>#VALUE!</v>
      </c>
      <c r="IQ6" t="e">
        <f>AND(Plan!AJ12,"AAAAAH/rZ/o=")</f>
        <v>#VALUE!</v>
      </c>
      <c r="IR6" t="e">
        <f>AND(Plan!AK12,"AAAAAH/rZ/s=")</f>
        <v>#VALUE!</v>
      </c>
      <c r="IS6" t="e">
        <f>AND(Plan!AL12,"AAAAAH/rZ/w=")</f>
        <v>#VALUE!</v>
      </c>
      <c r="IT6" t="e">
        <f>AND(Plan!AM12,"AAAAAH/rZ/0=")</f>
        <v>#VALUE!</v>
      </c>
      <c r="IU6" t="e">
        <f>AND(Plan!AN12,"AAAAAH/rZ/4=")</f>
        <v>#VALUE!</v>
      </c>
      <c r="IV6" t="e">
        <f>AND(Plan!AO12,"AAAAAH/rZ/8=")</f>
        <v>#VALUE!</v>
      </c>
    </row>
    <row r="7" spans="1:256">
      <c r="A7" t="e">
        <f>AND(Plan!AP12,"AAAAAG7bfwA=")</f>
        <v>#VALUE!</v>
      </c>
      <c r="B7" t="e">
        <f>AND(Plan!AQ12,"AAAAAG7bfwE=")</f>
        <v>#VALUE!</v>
      </c>
      <c r="C7" t="e">
        <f>AND(Plan!AR12,"AAAAAG7bfwI=")</f>
        <v>#VALUE!</v>
      </c>
      <c r="D7" t="e">
        <f>AND(Plan!AS12,"AAAAAG7bfwM=")</f>
        <v>#VALUE!</v>
      </c>
      <c r="E7" t="e">
        <f>AND(Plan!AT12,"AAAAAG7bfwQ=")</f>
        <v>#VALUE!</v>
      </c>
      <c r="F7" t="e">
        <f>AND(Plan!AU12,"AAAAAG7bfwU=")</f>
        <v>#VALUE!</v>
      </c>
      <c r="G7" t="e">
        <f>AND(Plan!AV12,"AAAAAG7bfwY=")</f>
        <v>#VALUE!</v>
      </c>
      <c r="H7" t="e">
        <f>AND(Plan!AW12,"AAAAAG7bfwc=")</f>
        <v>#VALUE!</v>
      </c>
      <c r="I7" t="e">
        <f>AND(Plan!AX12,"AAAAAG7bfwg=")</f>
        <v>#VALUE!</v>
      </c>
      <c r="J7" t="e">
        <f>AND(Plan!AY12,"AAAAAG7bfwk=")</f>
        <v>#VALUE!</v>
      </c>
      <c r="K7" t="e">
        <f>AND(Plan!AZ12,"AAAAAG7bfwo=")</f>
        <v>#VALUE!</v>
      </c>
      <c r="L7" t="e">
        <f>AND(Plan!BA12,"AAAAAG7bfws=")</f>
        <v>#VALUE!</v>
      </c>
      <c r="M7" t="e">
        <f>AND(Plan!BB12,"AAAAAG7bfww=")</f>
        <v>#VALUE!</v>
      </c>
      <c r="N7" t="e">
        <f>AND(Plan!BC12,"AAAAAG7bfw0=")</f>
        <v>#VALUE!</v>
      </c>
      <c r="O7" t="e">
        <f>AND(Plan!BD12,"AAAAAG7bfw4=")</f>
        <v>#VALUE!</v>
      </c>
      <c r="P7" t="e">
        <f>AND(Plan!BE12,"AAAAAG7bfw8=")</f>
        <v>#VALUE!</v>
      </c>
      <c r="Q7" t="e">
        <f>AND(Plan!BF12,"AAAAAG7bfxA=")</f>
        <v>#VALUE!</v>
      </c>
      <c r="R7" t="e">
        <f>AND(Plan!BG12,"AAAAAG7bfxE=")</f>
        <v>#VALUE!</v>
      </c>
      <c r="S7" t="e">
        <f>AND(Plan!BH12,"AAAAAG7bfxI=")</f>
        <v>#VALUE!</v>
      </c>
      <c r="T7" t="e">
        <f>AND(Plan!BI12,"AAAAAG7bfxM=")</f>
        <v>#VALUE!</v>
      </c>
      <c r="U7" t="e">
        <f>AND(Plan!BJ12,"AAAAAG7bfxQ=")</f>
        <v>#VALUE!</v>
      </c>
      <c r="V7" t="e">
        <f>AND(Plan!BK12,"AAAAAG7bfxU=")</f>
        <v>#VALUE!</v>
      </c>
      <c r="W7" t="e">
        <f>AND(Plan!BL12,"AAAAAG7bfxY=")</f>
        <v>#VALUE!</v>
      </c>
      <c r="X7" t="e">
        <f>AND(Plan!BM12,"AAAAAG7bfxc=")</f>
        <v>#VALUE!</v>
      </c>
      <c r="Y7" t="e">
        <f>AND(Plan!BN12,"AAAAAG7bfxg=")</f>
        <v>#VALUE!</v>
      </c>
      <c r="Z7" t="e">
        <f>AND(Plan!BO12,"AAAAAG7bfxk=")</f>
        <v>#VALUE!</v>
      </c>
      <c r="AA7" t="e">
        <f>AND(Plan!BP12,"AAAAAG7bfxo=")</f>
        <v>#VALUE!</v>
      </c>
      <c r="AB7" t="e">
        <f>AND(Plan!BQ12,"AAAAAG7bfxs=")</f>
        <v>#VALUE!</v>
      </c>
      <c r="AC7" t="e">
        <f>AND(Plan!BR12,"AAAAAG7bfxw=")</f>
        <v>#VALUE!</v>
      </c>
      <c r="AD7" t="e">
        <f>AND(Plan!BS12,"AAAAAG7bfx0=")</f>
        <v>#VALUE!</v>
      </c>
      <c r="AE7" t="e">
        <f>AND(Plan!BT12,"AAAAAG7bfx4=")</f>
        <v>#VALUE!</v>
      </c>
      <c r="AF7" t="e">
        <f>AND(Plan!BU12,"AAAAAG7bfx8=")</f>
        <v>#VALUE!</v>
      </c>
      <c r="AG7" t="e">
        <f>AND(Plan!BV12,"AAAAAG7bfyA=")</f>
        <v>#VALUE!</v>
      </c>
      <c r="AH7" t="e">
        <f>AND(Plan!BW12,"AAAAAG7bfyE=")</f>
        <v>#VALUE!</v>
      </c>
      <c r="AI7" t="e">
        <f>AND(Plan!BX12,"AAAAAG7bfyI=")</f>
        <v>#VALUE!</v>
      </c>
      <c r="AJ7" t="e">
        <f>AND(Plan!BY12,"AAAAAG7bfyM=")</f>
        <v>#VALUE!</v>
      </c>
      <c r="AK7" t="e">
        <f>AND(Plan!BZ12,"AAAAAG7bfyQ=")</f>
        <v>#VALUE!</v>
      </c>
      <c r="AL7" t="e">
        <f>AND(Plan!CA12,"AAAAAG7bfyU=")</f>
        <v>#VALUE!</v>
      </c>
      <c r="AM7" t="e">
        <f>AND(Plan!CB12,"AAAAAG7bfyY=")</f>
        <v>#VALUE!</v>
      </c>
      <c r="AN7" t="e">
        <f>AND(Plan!CC12,"AAAAAG7bfyc=")</f>
        <v>#VALUE!</v>
      </c>
      <c r="AO7" t="e">
        <f>AND(Plan!CD12,"AAAAAG7bfyg=")</f>
        <v>#VALUE!</v>
      </c>
      <c r="AP7" t="e">
        <f>AND(Plan!CE12,"AAAAAG7bfyk=")</f>
        <v>#VALUE!</v>
      </c>
      <c r="AQ7" t="e">
        <f>AND(Plan!CF12,"AAAAAG7bfyo=")</f>
        <v>#VALUE!</v>
      </c>
      <c r="AR7" t="e">
        <f>AND(Plan!CG12,"AAAAAG7bfys=")</f>
        <v>#VALUE!</v>
      </c>
      <c r="AS7" t="e">
        <f>AND(Plan!CH12,"AAAAAG7bfyw=")</f>
        <v>#VALUE!</v>
      </c>
      <c r="AT7" t="e">
        <f>AND(Plan!CI12,"AAAAAG7bfy0=")</f>
        <v>#VALUE!</v>
      </c>
      <c r="AU7" t="e">
        <f>AND(Plan!CJ12,"AAAAAG7bfy4=")</f>
        <v>#VALUE!</v>
      </c>
      <c r="AV7" t="e">
        <f>AND(Plan!CK12,"AAAAAG7bfy8=")</f>
        <v>#VALUE!</v>
      </c>
      <c r="AW7" t="e">
        <f>AND(Plan!CL12,"AAAAAG7bfzA=")</f>
        <v>#VALUE!</v>
      </c>
      <c r="AX7" t="e">
        <f>AND(Plan!CM12,"AAAAAG7bfzE=")</f>
        <v>#VALUE!</v>
      </c>
      <c r="AY7" t="e">
        <f>AND(Plan!CN12,"AAAAAG7bfzI=")</f>
        <v>#VALUE!</v>
      </c>
      <c r="AZ7" t="e">
        <f>AND(Plan!CO12,"AAAAAG7bfzM=")</f>
        <v>#VALUE!</v>
      </c>
      <c r="BA7" t="e">
        <f>AND(Plan!CP12,"AAAAAG7bfzQ=")</f>
        <v>#VALUE!</v>
      </c>
      <c r="BB7" t="e">
        <f>AND(Plan!CQ12,"AAAAAG7bfzU=")</f>
        <v>#VALUE!</v>
      </c>
      <c r="BC7" t="e">
        <f>AND(Plan!CR12,"AAAAAG7bfzY=")</f>
        <v>#VALUE!</v>
      </c>
      <c r="BD7" t="e">
        <f>AND(Plan!CS12,"AAAAAG7bfzc=")</f>
        <v>#VALUE!</v>
      </c>
      <c r="BE7" t="e">
        <f>AND(Plan!CT12,"AAAAAG7bfzg=")</f>
        <v>#VALUE!</v>
      </c>
      <c r="BF7" t="e">
        <f>AND(Plan!CU12,"AAAAAG7bfzk=")</f>
        <v>#VALUE!</v>
      </c>
      <c r="BG7" t="e">
        <f>AND(Plan!CV12,"AAAAAG7bfzo=")</f>
        <v>#VALUE!</v>
      </c>
      <c r="BH7" t="e">
        <f>AND(Plan!CW12,"AAAAAG7bfzs=")</f>
        <v>#VALUE!</v>
      </c>
      <c r="BI7">
        <f>IF(Plan!13:13,"AAAAAG7bfzw=",0)</f>
        <v>0</v>
      </c>
      <c r="BJ7" t="e">
        <f>AND(Plan!A13,"AAAAAG7bfz0=")</f>
        <v>#VALUE!</v>
      </c>
      <c r="BK7" t="e">
        <f>AND(Plan!L13,"AAAAAG7bfz4=")</f>
        <v>#VALUE!</v>
      </c>
      <c r="BL7" t="e">
        <f>AND(Plan!C13,"AAAAAG7bfz8=")</f>
        <v>#VALUE!</v>
      </c>
      <c r="BM7" t="e">
        <f>AND(Plan!D13,"AAAAAG7bf0A=")</f>
        <v>#VALUE!</v>
      </c>
      <c r="BN7" t="e">
        <f>AND(Plan!E13,"AAAAAG7bf0E=")</f>
        <v>#VALUE!</v>
      </c>
      <c r="BO7" t="e">
        <f>AND(Plan!#REF!,"AAAAAG7bf0I=")</f>
        <v>#REF!</v>
      </c>
      <c r="BP7" t="e">
        <f>AND(Plan!G13,"AAAAAG7bf0M=")</f>
        <v>#VALUE!</v>
      </c>
      <c r="BQ7" t="e">
        <f>AND(Plan!H13,"AAAAAG7bf0Q=")</f>
        <v>#VALUE!</v>
      </c>
      <c r="BR7" t="e">
        <f>AND(Plan!I13,"AAAAAG7bf0U=")</f>
        <v>#VALUE!</v>
      </c>
      <c r="BS7" t="e">
        <f>AND(Plan!J13,"AAAAAG7bf0Y=")</f>
        <v>#VALUE!</v>
      </c>
      <c r="BT7" t="e">
        <f>AND(Plan!K13,"AAAAAG7bf0c=")</f>
        <v>#VALUE!</v>
      </c>
      <c r="BU7" t="e">
        <f>AND(Plan!B13,"AAAAAG7bf0g=")</f>
        <v>#VALUE!</v>
      </c>
      <c r="BV7" t="e">
        <f>AND(Plan!#REF!,"AAAAAG7bf0k=")</f>
        <v>#REF!</v>
      </c>
      <c r="BW7" t="e">
        <f>AND(Plan!N13,"AAAAAG7bf0o=")</f>
        <v>#VALUE!</v>
      </c>
      <c r="BX7" t="e">
        <f>AND(Plan!O13,"AAAAAG7bf0s=")</f>
        <v>#VALUE!</v>
      </c>
      <c r="BY7" t="e">
        <f>AND(Plan!P13,"AAAAAG7bf0w=")</f>
        <v>#VALUE!</v>
      </c>
      <c r="BZ7" t="e">
        <f>AND(Plan!Q13,"AAAAAG7bf00=")</f>
        <v>#VALUE!</v>
      </c>
      <c r="CA7" t="e">
        <f>AND(Plan!R13,"AAAAAG7bf04=")</f>
        <v>#VALUE!</v>
      </c>
      <c r="CB7" t="e">
        <f>AND(Plan!S13,"AAAAAG7bf08=")</f>
        <v>#VALUE!</v>
      </c>
      <c r="CC7" t="e">
        <f>AND(Plan!T13,"AAAAAG7bf1A=")</f>
        <v>#VALUE!</v>
      </c>
      <c r="CD7" t="e">
        <f>AND(Plan!U13,"AAAAAG7bf1E=")</f>
        <v>#VALUE!</v>
      </c>
      <c r="CE7" t="e">
        <f>AND(Plan!V13,"AAAAAG7bf1I=")</f>
        <v>#VALUE!</v>
      </c>
      <c r="CF7" t="e">
        <f>AND(Plan!W13,"AAAAAG7bf1M=")</f>
        <v>#VALUE!</v>
      </c>
      <c r="CG7" t="e">
        <f>AND(Plan!X13,"AAAAAG7bf1Q=")</f>
        <v>#VALUE!</v>
      </c>
      <c r="CH7" t="e">
        <f>AND(Plan!Y13,"AAAAAG7bf1U=")</f>
        <v>#VALUE!</v>
      </c>
      <c r="CI7" t="e">
        <f>AND(Plan!Z13,"AAAAAG7bf1Y=")</f>
        <v>#VALUE!</v>
      </c>
      <c r="CJ7" t="e">
        <f>AND(Plan!AA13,"AAAAAG7bf1c=")</f>
        <v>#VALUE!</v>
      </c>
      <c r="CK7" t="e">
        <f>AND(Plan!AB13,"AAAAAG7bf1g=")</f>
        <v>#VALUE!</v>
      </c>
      <c r="CL7" t="e">
        <f>AND(Plan!AC13,"AAAAAG7bf1k=")</f>
        <v>#VALUE!</v>
      </c>
      <c r="CM7" t="e">
        <f>AND(Plan!AD13,"AAAAAG7bf1o=")</f>
        <v>#VALUE!</v>
      </c>
      <c r="CN7" t="e">
        <f>AND(Plan!AE13,"AAAAAG7bf1s=")</f>
        <v>#VALUE!</v>
      </c>
      <c r="CO7" t="e">
        <f>AND(Plan!AF13,"AAAAAG7bf1w=")</f>
        <v>#VALUE!</v>
      </c>
      <c r="CP7" t="e">
        <f>AND(Plan!AG13,"AAAAAG7bf10=")</f>
        <v>#VALUE!</v>
      </c>
      <c r="CQ7" t="e">
        <f>AND(Plan!AH13,"AAAAAG7bf14=")</f>
        <v>#VALUE!</v>
      </c>
      <c r="CR7" t="e">
        <f>AND(Plan!AI13,"AAAAAG7bf18=")</f>
        <v>#VALUE!</v>
      </c>
      <c r="CS7" t="e">
        <f>AND(Plan!AJ13,"AAAAAG7bf2A=")</f>
        <v>#VALUE!</v>
      </c>
      <c r="CT7" t="e">
        <f>AND(Plan!AK13,"AAAAAG7bf2E=")</f>
        <v>#VALUE!</v>
      </c>
      <c r="CU7" t="e">
        <f>AND(Plan!AL13,"AAAAAG7bf2I=")</f>
        <v>#VALUE!</v>
      </c>
      <c r="CV7" t="e">
        <f>AND(Plan!AM13,"AAAAAG7bf2M=")</f>
        <v>#VALUE!</v>
      </c>
      <c r="CW7" t="e">
        <f>AND(Plan!AN13,"AAAAAG7bf2Q=")</f>
        <v>#VALUE!</v>
      </c>
      <c r="CX7" t="e">
        <f>AND(Plan!AO13,"AAAAAG7bf2U=")</f>
        <v>#VALUE!</v>
      </c>
      <c r="CY7" t="e">
        <f>AND(Plan!AP13,"AAAAAG7bf2Y=")</f>
        <v>#VALUE!</v>
      </c>
      <c r="CZ7" t="e">
        <f>AND(Plan!AQ13,"AAAAAG7bf2c=")</f>
        <v>#VALUE!</v>
      </c>
      <c r="DA7" t="e">
        <f>AND(Plan!AR13,"AAAAAG7bf2g=")</f>
        <v>#VALUE!</v>
      </c>
      <c r="DB7" t="e">
        <f>AND(Plan!AS13,"AAAAAG7bf2k=")</f>
        <v>#VALUE!</v>
      </c>
      <c r="DC7" t="e">
        <f>AND(Plan!AT13,"AAAAAG7bf2o=")</f>
        <v>#VALUE!</v>
      </c>
      <c r="DD7" t="e">
        <f>AND(Plan!AU13,"AAAAAG7bf2s=")</f>
        <v>#VALUE!</v>
      </c>
      <c r="DE7" t="e">
        <f>AND(Plan!AV13,"AAAAAG7bf2w=")</f>
        <v>#VALUE!</v>
      </c>
      <c r="DF7" t="e">
        <f>AND(Plan!AW13,"AAAAAG7bf20=")</f>
        <v>#VALUE!</v>
      </c>
      <c r="DG7" t="e">
        <f>AND(Plan!AX13,"AAAAAG7bf24=")</f>
        <v>#VALUE!</v>
      </c>
      <c r="DH7" t="e">
        <f>AND(Plan!AY13,"AAAAAG7bf28=")</f>
        <v>#VALUE!</v>
      </c>
      <c r="DI7" t="e">
        <f>AND(Plan!AZ13,"AAAAAG7bf3A=")</f>
        <v>#VALUE!</v>
      </c>
      <c r="DJ7" t="e">
        <f>AND(Plan!BA13,"AAAAAG7bf3E=")</f>
        <v>#VALUE!</v>
      </c>
      <c r="DK7" t="e">
        <f>AND(Plan!BB13,"AAAAAG7bf3I=")</f>
        <v>#VALUE!</v>
      </c>
      <c r="DL7" t="e">
        <f>AND(Plan!BC13,"AAAAAG7bf3M=")</f>
        <v>#VALUE!</v>
      </c>
      <c r="DM7" t="e">
        <f>AND(Plan!BD13,"AAAAAG7bf3Q=")</f>
        <v>#VALUE!</v>
      </c>
      <c r="DN7" t="e">
        <f>AND(Plan!BE13,"AAAAAG7bf3U=")</f>
        <v>#VALUE!</v>
      </c>
      <c r="DO7" t="e">
        <f>AND(Plan!BF13,"AAAAAG7bf3Y=")</f>
        <v>#VALUE!</v>
      </c>
      <c r="DP7" t="e">
        <f>AND(Plan!BG13,"AAAAAG7bf3c=")</f>
        <v>#VALUE!</v>
      </c>
      <c r="DQ7" t="e">
        <f>AND(Plan!BH13,"AAAAAG7bf3g=")</f>
        <v>#VALUE!</v>
      </c>
      <c r="DR7" t="e">
        <f>AND(Plan!BI13,"AAAAAG7bf3k=")</f>
        <v>#VALUE!</v>
      </c>
      <c r="DS7" t="e">
        <f>AND(Plan!BJ13,"AAAAAG7bf3o=")</f>
        <v>#VALUE!</v>
      </c>
      <c r="DT7" t="e">
        <f>AND(Plan!BK13,"AAAAAG7bf3s=")</f>
        <v>#VALUE!</v>
      </c>
      <c r="DU7" t="e">
        <f>AND(Plan!BL13,"AAAAAG7bf3w=")</f>
        <v>#VALUE!</v>
      </c>
      <c r="DV7" t="e">
        <f>AND(Plan!BM13,"AAAAAG7bf30=")</f>
        <v>#VALUE!</v>
      </c>
      <c r="DW7" t="e">
        <f>AND(Plan!BN13,"AAAAAG7bf34=")</f>
        <v>#VALUE!</v>
      </c>
      <c r="DX7" t="e">
        <f>AND(Plan!BO13,"AAAAAG7bf38=")</f>
        <v>#VALUE!</v>
      </c>
      <c r="DY7" t="e">
        <f>AND(Plan!BP13,"AAAAAG7bf4A=")</f>
        <v>#VALUE!</v>
      </c>
      <c r="DZ7" t="e">
        <f>AND(Plan!BQ13,"AAAAAG7bf4E=")</f>
        <v>#VALUE!</v>
      </c>
      <c r="EA7" t="e">
        <f>AND(Plan!BR13,"AAAAAG7bf4I=")</f>
        <v>#VALUE!</v>
      </c>
      <c r="EB7" t="e">
        <f>AND(Plan!BS13,"AAAAAG7bf4M=")</f>
        <v>#VALUE!</v>
      </c>
      <c r="EC7" t="e">
        <f>AND(Plan!BT13,"AAAAAG7bf4Q=")</f>
        <v>#VALUE!</v>
      </c>
      <c r="ED7" t="e">
        <f>AND(Plan!BU13,"AAAAAG7bf4U=")</f>
        <v>#VALUE!</v>
      </c>
      <c r="EE7" t="e">
        <f>AND(Plan!BV13,"AAAAAG7bf4Y=")</f>
        <v>#VALUE!</v>
      </c>
      <c r="EF7" t="e">
        <f>AND(Plan!BW13,"AAAAAG7bf4c=")</f>
        <v>#VALUE!</v>
      </c>
      <c r="EG7" t="e">
        <f>AND(Plan!BX13,"AAAAAG7bf4g=")</f>
        <v>#VALUE!</v>
      </c>
      <c r="EH7" t="e">
        <f>AND(Plan!BY13,"AAAAAG7bf4k=")</f>
        <v>#VALUE!</v>
      </c>
      <c r="EI7" t="e">
        <f>AND(Plan!BZ13,"AAAAAG7bf4o=")</f>
        <v>#VALUE!</v>
      </c>
      <c r="EJ7" t="e">
        <f>AND(Plan!CA13,"AAAAAG7bf4s=")</f>
        <v>#VALUE!</v>
      </c>
      <c r="EK7" t="e">
        <f>AND(Plan!CB13,"AAAAAG7bf4w=")</f>
        <v>#VALUE!</v>
      </c>
      <c r="EL7" t="e">
        <f>AND(Plan!CC13,"AAAAAG7bf40=")</f>
        <v>#VALUE!</v>
      </c>
      <c r="EM7" t="e">
        <f>AND(Plan!CD13,"AAAAAG7bf44=")</f>
        <v>#VALUE!</v>
      </c>
      <c r="EN7" t="e">
        <f>AND(Plan!CE13,"AAAAAG7bf48=")</f>
        <v>#VALUE!</v>
      </c>
      <c r="EO7" t="e">
        <f>AND(Plan!CF13,"AAAAAG7bf5A=")</f>
        <v>#VALUE!</v>
      </c>
      <c r="EP7" t="e">
        <f>AND(Plan!CG13,"AAAAAG7bf5E=")</f>
        <v>#VALUE!</v>
      </c>
      <c r="EQ7" t="e">
        <f>AND(Plan!CH13,"AAAAAG7bf5I=")</f>
        <v>#VALUE!</v>
      </c>
      <c r="ER7" t="e">
        <f>AND(Plan!CI13,"AAAAAG7bf5M=")</f>
        <v>#VALUE!</v>
      </c>
      <c r="ES7" t="e">
        <f>AND(Plan!CJ13,"AAAAAG7bf5Q=")</f>
        <v>#VALUE!</v>
      </c>
      <c r="ET7" t="e">
        <f>AND(Plan!CK13,"AAAAAG7bf5U=")</f>
        <v>#VALUE!</v>
      </c>
      <c r="EU7" t="e">
        <f>AND(Plan!CL13,"AAAAAG7bf5Y=")</f>
        <v>#VALUE!</v>
      </c>
      <c r="EV7" t="e">
        <f>AND(Plan!CM13,"AAAAAG7bf5c=")</f>
        <v>#VALUE!</v>
      </c>
      <c r="EW7" t="e">
        <f>AND(Plan!CN13,"AAAAAG7bf5g=")</f>
        <v>#VALUE!</v>
      </c>
      <c r="EX7" t="e">
        <f>AND(Plan!CO13,"AAAAAG7bf5k=")</f>
        <v>#VALUE!</v>
      </c>
      <c r="EY7" t="e">
        <f>AND(Plan!CP13,"AAAAAG7bf5o=")</f>
        <v>#VALUE!</v>
      </c>
      <c r="EZ7" t="e">
        <f>AND(Plan!CQ13,"AAAAAG7bf5s=")</f>
        <v>#VALUE!</v>
      </c>
      <c r="FA7" t="e">
        <f>AND(Plan!CR13,"AAAAAG7bf5w=")</f>
        <v>#VALUE!</v>
      </c>
      <c r="FB7" t="e">
        <f>AND(Plan!CS13,"AAAAAG7bf50=")</f>
        <v>#VALUE!</v>
      </c>
      <c r="FC7" t="e">
        <f>AND(Plan!CT13,"AAAAAG7bf54=")</f>
        <v>#VALUE!</v>
      </c>
      <c r="FD7" t="e">
        <f>AND(Plan!CU13,"AAAAAG7bf58=")</f>
        <v>#VALUE!</v>
      </c>
      <c r="FE7" t="e">
        <f>AND(Plan!CV13,"AAAAAG7bf6A=")</f>
        <v>#VALUE!</v>
      </c>
      <c r="FF7" t="e">
        <f>AND(Plan!CW13,"AAAAAG7bf6E=")</f>
        <v>#VALUE!</v>
      </c>
      <c r="FG7">
        <f>IF(Plan!14:14,"AAAAAG7bf6I=",0)</f>
        <v>0</v>
      </c>
      <c r="FH7" t="e">
        <f>AND(Plan!A14,"AAAAAG7bf6M=")</f>
        <v>#VALUE!</v>
      </c>
      <c r="FI7" t="e">
        <f>AND(Plan!L14,"AAAAAG7bf6Q=")</f>
        <v>#VALUE!</v>
      </c>
      <c r="FJ7" t="e">
        <f>AND(Plan!C14,"AAAAAG7bf6U=")</f>
        <v>#VALUE!</v>
      </c>
      <c r="FK7" t="e">
        <f>AND(Plan!D14,"AAAAAG7bf6Y=")</f>
        <v>#VALUE!</v>
      </c>
      <c r="FL7" t="e">
        <f>AND(Plan!E14,"AAAAAG7bf6c=")</f>
        <v>#VALUE!</v>
      </c>
      <c r="FM7" t="e">
        <f>AND(Plan!#REF!,"AAAAAG7bf6g=")</f>
        <v>#REF!</v>
      </c>
      <c r="FN7" t="e">
        <f>AND(Plan!G14,"AAAAAG7bf6k=")</f>
        <v>#VALUE!</v>
      </c>
      <c r="FO7" t="e">
        <f>AND(Plan!H14,"AAAAAG7bf6o=")</f>
        <v>#VALUE!</v>
      </c>
      <c r="FP7" t="e">
        <f>AND(Plan!I14,"AAAAAG7bf6s=")</f>
        <v>#VALUE!</v>
      </c>
      <c r="FQ7" t="e">
        <f>AND(Plan!J14,"AAAAAG7bf6w=")</f>
        <v>#VALUE!</v>
      </c>
      <c r="FR7" t="e">
        <f>AND(Plan!K14,"AAAAAG7bf60=")</f>
        <v>#VALUE!</v>
      </c>
      <c r="FS7" t="e">
        <f>AND(Plan!B14,"AAAAAG7bf64=")</f>
        <v>#VALUE!</v>
      </c>
      <c r="FT7" t="e">
        <f>AND(Plan!#REF!,"AAAAAG7bf68=")</f>
        <v>#REF!</v>
      </c>
      <c r="FU7" t="e">
        <f>AND(Plan!N14,"AAAAAG7bf7A=")</f>
        <v>#VALUE!</v>
      </c>
      <c r="FV7" t="e">
        <f>AND(Plan!O14,"AAAAAG7bf7E=")</f>
        <v>#VALUE!</v>
      </c>
      <c r="FW7" t="e">
        <f>AND(Plan!P14,"AAAAAG7bf7I=")</f>
        <v>#VALUE!</v>
      </c>
      <c r="FX7" t="e">
        <f>AND(Plan!Q14,"AAAAAG7bf7M=")</f>
        <v>#VALUE!</v>
      </c>
      <c r="FY7" t="e">
        <f>AND(Plan!R14,"AAAAAG7bf7Q=")</f>
        <v>#VALUE!</v>
      </c>
      <c r="FZ7" t="e">
        <f>AND(Plan!S14,"AAAAAG7bf7U=")</f>
        <v>#VALUE!</v>
      </c>
      <c r="GA7" t="e">
        <f>AND(Plan!T14,"AAAAAG7bf7Y=")</f>
        <v>#VALUE!</v>
      </c>
      <c r="GB7" t="e">
        <f>AND(Plan!U14,"AAAAAG7bf7c=")</f>
        <v>#VALUE!</v>
      </c>
      <c r="GC7" t="e">
        <f>AND(Plan!V14,"AAAAAG7bf7g=")</f>
        <v>#VALUE!</v>
      </c>
      <c r="GD7" t="e">
        <f>AND(Plan!W14,"AAAAAG7bf7k=")</f>
        <v>#VALUE!</v>
      </c>
      <c r="GE7" t="e">
        <f>AND(Plan!X14,"AAAAAG7bf7o=")</f>
        <v>#VALUE!</v>
      </c>
      <c r="GF7" t="e">
        <f>AND(Plan!Y14,"AAAAAG7bf7s=")</f>
        <v>#VALUE!</v>
      </c>
      <c r="GG7" t="e">
        <f>AND(Plan!Z14,"AAAAAG7bf7w=")</f>
        <v>#VALUE!</v>
      </c>
      <c r="GH7" t="e">
        <f>AND(Plan!AA14,"AAAAAG7bf70=")</f>
        <v>#VALUE!</v>
      </c>
      <c r="GI7" t="e">
        <f>AND(Plan!AB14,"AAAAAG7bf74=")</f>
        <v>#VALUE!</v>
      </c>
      <c r="GJ7" t="e">
        <f>AND(Plan!AC14,"AAAAAG7bf78=")</f>
        <v>#VALUE!</v>
      </c>
      <c r="GK7" t="e">
        <f>AND(Plan!AD14,"AAAAAG7bf8A=")</f>
        <v>#VALUE!</v>
      </c>
      <c r="GL7" t="e">
        <f>AND(Plan!AE14,"AAAAAG7bf8E=")</f>
        <v>#VALUE!</v>
      </c>
      <c r="GM7" t="e">
        <f>AND(Plan!AF14,"AAAAAG7bf8I=")</f>
        <v>#VALUE!</v>
      </c>
      <c r="GN7" t="e">
        <f>AND(Plan!AG14,"AAAAAG7bf8M=")</f>
        <v>#VALUE!</v>
      </c>
      <c r="GO7" t="e">
        <f>AND(Plan!AH14,"AAAAAG7bf8Q=")</f>
        <v>#VALUE!</v>
      </c>
      <c r="GP7" t="e">
        <f>AND(Plan!AI14,"AAAAAG7bf8U=")</f>
        <v>#VALUE!</v>
      </c>
      <c r="GQ7" t="e">
        <f>AND(Plan!AJ14,"AAAAAG7bf8Y=")</f>
        <v>#VALUE!</v>
      </c>
      <c r="GR7" t="e">
        <f>AND(Plan!AK14,"AAAAAG7bf8c=")</f>
        <v>#VALUE!</v>
      </c>
      <c r="GS7" t="e">
        <f>AND(Plan!AL14,"AAAAAG7bf8g=")</f>
        <v>#VALUE!</v>
      </c>
      <c r="GT7" t="e">
        <f>AND(Plan!AM14,"AAAAAG7bf8k=")</f>
        <v>#VALUE!</v>
      </c>
      <c r="GU7" t="e">
        <f>AND(Plan!AN14,"AAAAAG7bf8o=")</f>
        <v>#VALUE!</v>
      </c>
      <c r="GV7" t="e">
        <f>AND(Plan!AO14,"AAAAAG7bf8s=")</f>
        <v>#VALUE!</v>
      </c>
      <c r="GW7" t="e">
        <f>AND(Plan!AP14,"AAAAAG7bf8w=")</f>
        <v>#VALUE!</v>
      </c>
      <c r="GX7" t="e">
        <f>AND(Plan!AQ14,"AAAAAG7bf80=")</f>
        <v>#VALUE!</v>
      </c>
      <c r="GY7" t="e">
        <f>AND(Plan!AR14,"AAAAAG7bf84=")</f>
        <v>#VALUE!</v>
      </c>
      <c r="GZ7" t="e">
        <f>AND(Plan!AS14,"AAAAAG7bf88=")</f>
        <v>#VALUE!</v>
      </c>
      <c r="HA7" t="e">
        <f>AND(Plan!AT14,"AAAAAG7bf9A=")</f>
        <v>#VALUE!</v>
      </c>
      <c r="HB7" t="e">
        <f>AND(Plan!AU14,"AAAAAG7bf9E=")</f>
        <v>#VALUE!</v>
      </c>
      <c r="HC7" t="e">
        <f>AND(Plan!AV14,"AAAAAG7bf9I=")</f>
        <v>#VALUE!</v>
      </c>
      <c r="HD7" t="e">
        <f>AND(Plan!AW14,"AAAAAG7bf9M=")</f>
        <v>#VALUE!</v>
      </c>
      <c r="HE7" t="e">
        <f>AND(Plan!AX14,"AAAAAG7bf9Q=")</f>
        <v>#VALUE!</v>
      </c>
      <c r="HF7" t="e">
        <f>AND(Plan!AY14,"AAAAAG7bf9U=")</f>
        <v>#VALUE!</v>
      </c>
      <c r="HG7" t="e">
        <f>AND(Plan!AZ14,"AAAAAG7bf9Y=")</f>
        <v>#VALUE!</v>
      </c>
      <c r="HH7" t="e">
        <f>AND(Plan!BA14,"AAAAAG7bf9c=")</f>
        <v>#VALUE!</v>
      </c>
      <c r="HI7" t="e">
        <f>AND(Plan!BB14,"AAAAAG7bf9g=")</f>
        <v>#VALUE!</v>
      </c>
      <c r="HJ7" t="e">
        <f>AND(Plan!BC14,"AAAAAG7bf9k=")</f>
        <v>#VALUE!</v>
      </c>
      <c r="HK7" t="e">
        <f>AND(Plan!BD14,"AAAAAG7bf9o=")</f>
        <v>#VALUE!</v>
      </c>
      <c r="HL7" t="e">
        <f>AND(Plan!BE14,"AAAAAG7bf9s=")</f>
        <v>#VALUE!</v>
      </c>
      <c r="HM7" t="e">
        <f>AND(Plan!BF14,"AAAAAG7bf9w=")</f>
        <v>#VALUE!</v>
      </c>
      <c r="HN7" t="e">
        <f>AND(Plan!BG14,"AAAAAG7bf90=")</f>
        <v>#VALUE!</v>
      </c>
      <c r="HO7" t="e">
        <f>AND(Plan!BH14,"AAAAAG7bf94=")</f>
        <v>#VALUE!</v>
      </c>
      <c r="HP7" t="e">
        <f>AND(Plan!BI14,"AAAAAG7bf98=")</f>
        <v>#VALUE!</v>
      </c>
      <c r="HQ7" t="e">
        <f>AND(Plan!BJ14,"AAAAAG7bf+A=")</f>
        <v>#VALUE!</v>
      </c>
      <c r="HR7" t="e">
        <f>AND(Plan!BK14,"AAAAAG7bf+E=")</f>
        <v>#VALUE!</v>
      </c>
      <c r="HS7" t="e">
        <f>AND(Plan!BL14,"AAAAAG7bf+I=")</f>
        <v>#VALUE!</v>
      </c>
      <c r="HT7" t="e">
        <f>AND(Plan!BM14,"AAAAAG7bf+M=")</f>
        <v>#VALUE!</v>
      </c>
      <c r="HU7" t="e">
        <f>AND(Plan!BN14,"AAAAAG7bf+Q=")</f>
        <v>#VALUE!</v>
      </c>
      <c r="HV7" t="e">
        <f>AND(Plan!BO14,"AAAAAG7bf+U=")</f>
        <v>#VALUE!</v>
      </c>
      <c r="HW7" t="e">
        <f>AND(Plan!BP14,"AAAAAG7bf+Y=")</f>
        <v>#VALUE!</v>
      </c>
      <c r="HX7" t="e">
        <f>AND(Plan!BQ14,"AAAAAG7bf+c=")</f>
        <v>#VALUE!</v>
      </c>
      <c r="HY7" t="e">
        <f>AND(Plan!BR14,"AAAAAG7bf+g=")</f>
        <v>#VALUE!</v>
      </c>
      <c r="HZ7" t="e">
        <f>AND(Plan!BS14,"AAAAAG7bf+k=")</f>
        <v>#VALUE!</v>
      </c>
      <c r="IA7" t="e">
        <f>AND(Plan!BT14,"AAAAAG7bf+o=")</f>
        <v>#VALUE!</v>
      </c>
      <c r="IB7" t="e">
        <f>AND(Plan!BU14,"AAAAAG7bf+s=")</f>
        <v>#VALUE!</v>
      </c>
      <c r="IC7" t="e">
        <f>AND(Plan!BV14,"AAAAAG7bf+w=")</f>
        <v>#VALUE!</v>
      </c>
      <c r="ID7" t="e">
        <f>AND(Plan!BW14,"AAAAAG7bf+0=")</f>
        <v>#VALUE!</v>
      </c>
      <c r="IE7" t="e">
        <f>AND(Plan!BX14,"AAAAAG7bf+4=")</f>
        <v>#VALUE!</v>
      </c>
      <c r="IF7" t="e">
        <f>AND(Plan!BY14,"AAAAAG7bf+8=")</f>
        <v>#VALUE!</v>
      </c>
      <c r="IG7" t="e">
        <f>AND(Plan!BZ14,"AAAAAG7bf/A=")</f>
        <v>#VALUE!</v>
      </c>
      <c r="IH7" t="e">
        <f>AND(Plan!CA14,"AAAAAG7bf/E=")</f>
        <v>#VALUE!</v>
      </c>
      <c r="II7" t="e">
        <f>AND(Plan!CB14,"AAAAAG7bf/I=")</f>
        <v>#VALUE!</v>
      </c>
      <c r="IJ7" t="e">
        <f>AND(Plan!CC14,"AAAAAG7bf/M=")</f>
        <v>#VALUE!</v>
      </c>
      <c r="IK7" t="e">
        <f>AND(Plan!CD14,"AAAAAG7bf/Q=")</f>
        <v>#VALUE!</v>
      </c>
      <c r="IL7" t="e">
        <f>AND(Plan!CE14,"AAAAAG7bf/U=")</f>
        <v>#VALUE!</v>
      </c>
      <c r="IM7" t="e">
        <f>AND(Plan!CF14,"AAAAAG7bf/Y=")</f>
        <v>#VALUE!</v>
      </c>
      <c r="IN7" t="e">
        <f>AND(Plan!CG14,"AAAAAG7bf/c=")</f>
        <v>#VALUE!</v>
      </c>
      <c r="IO7" t="e">
        <f>AND(Plan!CH14,"AAAAAG7bf/g=")</f>
        <v>#VALUE!</v>
      </c>
      <c r="IP7" t="e">
        <f>AND(Plan!CI14,"AAAAAG7bf/k=")</f>
        <v>#VALUE!</v>
      </c>
      <c r="IQ7" t="e">
        <f>AND(Plan!CJ14,"AAAAAG7bf/o=")</f>
        <v>#VALUE!</v>
      </c>
      <c r="IR7" t="e">
        <f>AND(Plan!CK14,"AAAAAG7bf/s=")</f>
        <v>#VALUE!</v>
      </c>
      <c r="IS7" t="e">
        <f>AND(Plan!CL14,"AAAAAG7bf/w=")</f>
        <v>#VALUE!</v>
      </c>
      <c r="IT7" t="e">
        <f>AND(Plan!CM14,"AAAAAG7bf/0=")</f>
        <v>#VALUE!</v>
      </c>
      <c r="IU7" t="e">
        <f>AND(Plan!CN14,"AAAAAG7bf/4=")</f>
        <v>#VALUE!</v>
      </c>
      <c r="IV7" t="e">
        <f>AND(Plan!CO14,"AAAAAG7bf/8=")</f>
        <v>#VALUE!</v>
      </c>
    </row>
    <row r="8" spans="1:256">
      <c r="A8" t="e">
        <f>AND(Plan!CP14,"AAAAAArvnwA=")</f>
        <v>#VALUE!</v>
      </c>
      <c r="B8" t="e">
        <f>AND(Plan!CQ14,"AAAAAArvnwE=")</f>
        <v>#VALUE!</v>
      </c>
      <c r="C8" t="e">
        <f>AND(Plan!CR14,"AAAAAArvnwI=")</f>
        <v>#VALUE!</v>
      </c>
      <c r="D8" t="e">
        <f>AND(Plan!CS14,"AAAAAArvnwM=")</f>
        <v>#VALUE!</v>
      </c>
      <c r="E8" t="e">
        <f>AND(Plan!CT14,"AAAAAArvnwQ=")</f>
        <v>#VALUE!</v>
      </c>
      <c r="F8" t="e">
        <f>AND(Plan!CU14,"AAAAAArvnwU=")</f>
        <v>#VALUE!</v>
      </c>
      <c r="G8" t="e">
        <f>AND(Plan!CV14,"AAAAAArvnwY=")</f>
        <v>#VALUE!</v>
      </c>
      <c r="H8" t="e">
        <f>AND(Plan!CW14,"AAAAAArvnwc=")</f>
        <v>#VALUE!</v>
      </c>
      <c r="I8">
        <f>IF(Plan!17:17,"AAAAAArvnwg=",0)</f>
        <v>0</v>
      </c>
      <c r="J8" t="e">
        <f>AND(Plan!A17,"AAAAAArvnwk=")</f>
        <v>#VALUE!</v>
      </c>
      <c r="K8" t="e">
        <f>AND(Plan!L17,"AAAAAArvnwo=")</f>
        <v>#VALUE!</v>
      </c>
      <c r="L8" t="e">
        <f>AND(Plan!C17,"AAAAAArvnws=")</f>
        <v>#VALUE!</v>
      </c>
      <c r="M8" t="e">
        <f>AND(Plan!D17,"AAAAAArvnww=")</f>
        <v>#VALUE!</v>
      </c>
      <c r="N8" t="e">
        <f>AND(Plan!E17,"AAAAAArvnw0=")</f>
        <v>#VALUE!</v>
      </c>
      <c r="O8" t="e">
        <f>AND(Plan!#REF!,"AAAAAArvnw4=")</f>
        <v>#REF!</v>
      </c>
      <c r="P8" t="e">
        <f>AND(Plan!G17,"AAAAAArvnw8=")</f>
        <v>#VALUE!</v>
      </c>
      <c r="Q8" t="e">
        <f>AND(Plan!H17,"AAAAAArvnxA=")</f>
        <v>#VALUE!</v>
      </c>
      <c r="R8" t="e">
        <f>AND(Plan!I17,"AAAAAArvnxE=")</f>
        <v>#VALUE!</v>
      </c>
      <c r="S8" t="e">
        <f>AND(Plan!J17,"AAAAAArvnxI=")</f>
        <v>#VALUE!</v>
      </c>
      <c r="T8" t="e">
        <f>AND(Plan!K17,"AAAAAArvnxM=")</f>
        <v>#VALUE!</v>
      </c>
      <c r="U8" t="e">
        <f>AND(Plan!B17,"AAAAAArvnxQ=")</f>
        <v>#VALUE!</v>
      </c>
      <c r="V8" t="e">
        <f>AND(Plan!#REF!,"AAAAAArvnxU=")</f>
        <v>#REF!</v>
      </c>
      <c r="W8" t="e">
        <f>AND(Plan!N17,"AAAAAArvnxY=")</f>
        <v>#VALUE!</v>
      </c>
      <c r="X8" t="e">
        <f>AND(Plan!O17,"AAAAAArvnxc=")</f>
        <v>#VALUE!</v>
      </c>
      <c r="Y8" t="e">
        <f>AND(Plan!P17,"AAAAAArvnxg=")</f>
        <v>#VALUE!</v>
      </c>
      <c r="Z8" t="e">
        <f>AND(Plan!Q17,"AAAAAArvnxk=")</f>
        <v>#VALUE!</v>
      </c>
      <c r="AA8" t="e">
        <f>AND(Plan!R17,"AAAAAArvnxo=")</f>
        <v>#VALUE!</v>
      </c>
      <c r="AB8" t="e">
        <f>AND(Plan!S17,"AAAAAArvnxs=")</f>
        <v>#VALUE!</v>
      </c>
      <c r="AC8" t="e">
        <f>AND(Plan!T17,"AAAAAArvnxw=")</f>
        <v>#VALUE!</v>
      </c>
      <c r="AD8" t="e">
        <f>AND(Plan!U17,"AAAAAArvnx0=")</f>
        <v>#VALUE!</v>
      </c>
      <c r="AE8" t="e">
        <f>AND(Plan!V17,"AAAAAArvnx4=")</f>
        <v>#VALUE!</v>
      </c>
      <c r="AF8" t="e">
        <f>AND(Plan!W17,"AAAAAArvnx8=")</f>
        <v>#VALUE!</v>
      </c>
      <c r="AG8" t="e">
        <f>AND(Plan!X17,"AAAAAArvnyA=")</f>
        <v>#VALUE!</v>
      </c>
      <c r="AH8" t="e">
        <f>AND(Plan!Y17,"AAAAAArvnyE=")</f>
        <v>#VALUE!</v>
      </c>
      <c r="AI8" t="e">
        <f>AND(Plan!Z17,"AAAAAArvnyI=")</f>
        <v>#VALUE!</v>
      </c>
      <c r="AJ8" t="e">
        <f>AND(Plan!AA17,"AAAAAArvnyM=")</f>
        <v>#VALUE!</v>
      </c>
      <c r="AK8" t="e">
        <f>AND(Plan!AB17,"AAAAAArvnyQ=")</f>
        <v>#VALUE!</v>
      </c>
      <c r="AL8" t="e">
        <f>AND(Plan!AC17,"AAAAAArvnyU=")</f>
        <v>#VALUE!</v>
      </c>
      <c r="AM8" t="e">
        <f>AND(Plan!AD17,"AAAAAArvnyY=")</f>
        <v>#VALUE!</v>
      </c>
      <c r="AN8" t="e">
        <f>AND(Plan!AE17,"AAAAAArvnyc=")</f>
        <v>#VALUE!</v>
      </c>
      <c r="AO8" t="e">
        <f>AND(Plan!AF17,"AAAAAArvnyg=")</f>
        <v>#VALUE!</v>
      </c>
      <c r="AP8" t="e">
        <f>AND(Plan!AG17,"AAAAAArvnyk=")</f>
        <v>#VALUE!</v>
      </c>
      <c r="AQ8" t="e">
        <f>AND(Plan!AH17,"AAAAAArvnyo=")</f>
        <v>#VALUE!</v>
      </c>
      <c r="AR8" t="e">
        <f>AND(Plan!AI17,"AAAAAArvnys=")</f>
        <v>#VALUE!</v>
      </c>
      <c r="AS8" t="e">
        <f>AND(Plan!AJ17,"AAAAAArvnyw=")</f>
        <v>#VALUE!</v>
      </c>
      <c r="AT8" t="e">
        <f>AND(Plan!AK17,"AAAAAArvny0=")</f>
        <v>#VALUE!</v>
      </c>
      <c r="AU8" t="e">
        <f>AND(Plan!AL17,"AAAAAArvny4=")</f>
        <v>#VALUE!</v>
      </c>
      <c r="AV8" t="e">
        <f>AND(Plan!AM17,"AAAAAArvny8=")</f>
        <v>#VALUE!</v>
      </c>
      <c r="AW8" t="e">
        <f>AND(Plan!AN17,"AAAAAArvnzA=")</f>
        <v>#VALUE!</v>
      </c>
      <c r="AX8" t="e">
        <f>AND(Plan!AO17,"AAAAAArvnzE=")</f>
        <v>#VALUE!</v>
      </c>
      <c r="AY8" t="e">
        <f>AND(Plan!AP17,"AAAAAArvnzI=")</f>
        <v>#VALUE!</v>
      </c>
      <c r="AZ8" t="e">
        <f>AND(Plan!AQ17,"AAAAAArvnzM=")</f>
        <v>#VALUE!</v>
      </c>
      <c r="BA8" t="e">
        <f>AND(Plan!AR17,"AAAAAArvnzQ=")</f>
        <v>#VALUE!</v>
      </c>
      <c r="BB8" t="e">
        <f>AND(Plan!AS17,"AAAAAArvnzU=")</f>
        <v>#VALUE!</v>
      </c>
      <c r="BC8" t="e">
        <f>AND(Plan!AT17,"AAAAAArvnzY=")</f>
        <v>#VALUE!</v>
      </c>
      <c r="BD8" t="e">
        <f>AND(Plan!AU17,"AAAAAArvnzc=")</f>
        <v>#VALUE!</v>
      </c>
      <c r="BE8" t="e">
        <f>AND(Plan!AV17,"AAAAAArvnzg=")</f>
        <v>#VALUE!</v>
      </c>
      <c r="BF8" t="e">
        <f>AND(Plan!AW17,"AAAAAArvnzk=")</f>
        <v>#VALUE!</v>
      </c>
      <c r="BG8" t="e">
        <f>AND(Plan!AX17,"AAAAAArvnzo=")</f>
        <v>#VALUE!</v>
      </c>
      <c r="BH8" t="e">
        <f>AND(Plan!AY17,"AAAAAArvnzs=")</f>
        <v>#VALUE!</v>
      </c>
      <c r="BI8" t="e">
        <f>AND(Plan!AZ17,"AAAAAArvnzw=")</f>
        <v>#VALUE!</v>
      </c>
      <c r="BJ8" t="e">
        <f>AND(Plan!BA17,"AAAAAArvnz0=")</f>
        <v>#VALUE!</v>
      </c>
      <c r="BK8" t="e">
        <f>AND(Plan!BB17,"AAAAAArvnz4=")</f>
        <v>#VALUE!</v>
      </c>
      <c r="BL8" t="e">
        <f>AND(Plan!BC17,"AAAAAArvnz8=")</f>
        <v>#VALUE!</v>
      </c>
      <c r="BM8" t="e">
        <f>AND(Plan!BD17,"AAAAAArvn0A=")</f>
        <v>#VALUE!</v>
      </c>
      <c r="BN8" t="e">
        <f>AND(Plan!BE17,"AAAAAArvn0E=")</f>
        <v>#VALUE!</v>
      </c>
      <c r="BO8" t="e">
        <f>AND(Plan!BF17,"AAAAAArvn0I=")</f>
        <v>#VALUE!</v>
      </c>
      <c r="BP8" t="e">
        <f>AND(Plan!BG17,"AAAAAArvn0M=")</f>
        <v>#VALUE!</v>
      </c>
      <c r="BQ8" t="e">
        <f>AND(Plan!BH17,"AAAAAArvn0Q=")</f>
        <v>#VALUE!</v>
      </c>
      <c r="BR8" t="e">
        <f>AND(Plan!BI17,"AAAAAArvn0U=")</f>
        <v>#VALUE!</v>
      </c>
      <c r="BS8" t="e">
        <f>AND(Plan!BJ17,"AAAAAArvn0Y=")</f>
        <v>#VALUE!</v>
      </c>
      <c r="BT8" t="e">
        <f>AND(Plan!BK17,"AAAAAArvn0c=")</f>
        <v>#VALUE!</v>
      </c>
      <c r="BU8" t="e">
        <f>AND(Plan!BL17,"AAAAAArvn0g=")</f>
        <v>#VALUE!</v>
      </c>
      <c r="BV8" t="e">
        <f>AND(Plan!BM17,"AAAAAArvn0k=")</f>
        <v>#VALUE!</v>
      </c>
      <c r="BW8" t="e">
        <f>AND(Plan!BN17,"AAAAAArvn0o=")</f>
        <v>#VALUE!</v>
      </c>
      <c r="BX8" t="e">
        <f>AND(Plan!BO17,"AAAAAArvn0s=")</f>
        <v>#VALUE!</v>
      </c>
      <c r="BY8" t="e">
        <f>AND(Plan!BP17,"AAAAAArvn0w=")</f>
        <v>#VALUE!</v>
      </c>
      <c r="BZ8" t="e">
        <f>AND(Plan!BQ17,"AAAAAArvn00=")</f>
        <v>#VALUE!</v>
      </c>
      <c r="CA8" t="e">
        <f>AND(Plan!BR17,"AAAAAArvn04=")</f>
        <v>#VALUE!</v>
      </c>
      <c r="CB8" t="e">
        <f>AND(Plan!BS17,"AAAAAArvn08=")</f>
        <v>#VALUE!</v>
      </c>
      <c r="CC8" t="e">
        <f>AND(Plan!BT17,"AAAAAArvn1A=")</f>
        <v>#VALUE!</v>
      </c>
      <c r="CD8" t="e">
        <f>AND(Plan!BU17,"AAAAAArvn1E=")</f>
        <v>#VALUE!</v>
      </c>
      <c r="CE8" t="e">
        <f>AND(Plan!BV17,"AAAAAArvn1I=")</f>
        <v>#VALUE!</v>
      </c>
      <c r="CF8" t="e">
        <f>AND(Plan!BW17,"AAAAAArvn1M=")</f>
        <v>#VALUE!</v>
      </c>
      <c r="CG8" t="e">
        <f>AND(Plan!BX17,"AAAAAArvn1Q=")</f>
        <v>#VALUE!</v>
      </c>
      <c r="CH8" t="e">
        <f>AND(Plan!BY17,"AAAAAArvn1U=")</f>
        <v>#VALUE!</v>
      </c>
      <c r="CI8" t="e">
        <f>AND(Plan!BZ17,"AAAAAArvn1Y=")</f>
        <v>#VALUE!</v>
      </c>
      <c r="CJ8" t="e">
        <f>AND(Plan!CA17,"AAAAAArvn1c=")</f>
        <v>#VALUE!</v>
      </c>
      <c r="CK8" t="e">
        <f>AND(Plan!CB17,"AAAAAArvn1g=")</f>
        <v>#VALUE!</v>
      </c>
      <c r="CL8" t="e">
        <f>AND(Plan!CC17,"AAAAAArvn1k=")</f>
        <v>#VALUE!</v>
      </c>
      <c r="CM8" t="e">
        <f>AND(Plan!CD17,"AAAAAArvn1o=")</f>
        <v>#VALUE!</v>
      </c>
      <c r="CN8" t="e">
        <f>AND(Plan!CE17,"AAAAAArvn1s=")</f>
        <v>#VALUE!</v>
      </c>
      <c r="CO8" t="e">
        <f>AND(Plan!CF17,"AAAAAArvn1w=")</f>
        <v>#VALUE!</v>
      </c>
      <c r="CP8" t="e">
        <f>AND(Plan!CG17,"AAAAAArvn10=")</f>
        <v>#VALUE!</v>
      </c>
      <c r="CQ8" t="e">
        <f>AND(Plan!CH17,"AAAAAArvn14=")</f>
        <v>#VALUE!</v>
      </c>
      <c r="CR8" t="e">
        <f>AND(Plan!CI17,"AAAAAArvn18=")</f>
        <v>#VALUE!</v>
      </c>
      <c r="CS8" t="e">
        <f>AND(Plan!CJ17,"AAAAAArvn2A=")</f>
        <v>#VALUE!</v>
      </c>
      <c r="CT8" t="e">
        <f>AND(Plan!CK17,"AAAAAArvn2E=")</f>
        <v>#VALUE!</v>
      </c>
      <c r="CU8" t="e">
        <f>AND(Plan!CL17,"AAAAAArvn2I=")</f>
        <v>#VALUE!</v>
      </c>
      <c r="CV8" t="e">
        <f>AND(Plan!CM17,"AAAAAArvn2M=")</f>
        <v>#VALUE!</v>
      </c>
      <c r="CW8" t="e">
        <f>AND(Plan!CN17,"AAAAAArvn2Q=")</f>
        <v>#VALUE!</v>
      </c>
      <c r="CX8" t="e">
        <f>AND(Plan!CO17,"AAAAAArvn2U=")</f>
        <v>#VALUE!</v>
      </c>
      <c r="CY8" t="e">
        <f>AND(Plan!CP17,"AAAAAArvn2Y=")</f>
        <v>#VALUE!</v>
      </c>
      <c r="CZ8" t="e">
        <f>AND(Plan!CQ17,"AAAAAArvn2c=")</f>
        <v>#VALUE!</v>
      </c>
      <c r="DA8" t="e">
        <f>AND(Plan!CR17,"AAAAAArvn2g=")</f>
        <v>#VALUE!</v>
      </c>
      <c r="DB8" t="e">
        <f>AND(Plan!CS17,"AAAAAArvn2k=")</f>
        <v>#VALUE!</v>
      </c>
      <c r="DC8" t="e">
        <f>AND(Plan!CT17,"AAAAAArvn2o=")</f>
        <v>#VALUE!</v>
      </c>
      <c r="DD8" t="e">
        <f>AND(Plan!CU17,"AAAAAArvn2s=")</f>
        <v>#VALUE!</v>
      </c>
      <c r="DE8" t="e">
        <f>AND(Plan!CV17,"AAAAAArvn2w=")</f>
        <v>#VALUE!</v>
      </c>
      <c r="DF8" t="e">
        <f>AND(Plan!CW17,"AAAAAArvn20=")</f>
        <v>#VALUE!</v>
      </c>
      <c r="DG8">
        <f>IF(Plan!18:18,"AAAAAArvn24=",0)</f>
        <v>0</v>
      </c>
      <c r="DH8" t="e">
        <f>AND(Plan!A18,"AAAAAArvn28=")</f>
        <v>#VALUE!</v>
      </c>
      <c r="DI8" t="e">
        <f>AND(Plan!B18,"AAAAAArvn3A=")</f>
        <v>#VALUE!</v>
      </c>
      <c r="DJ8" t="e">
        <f>AND(Plan!C18,"AAAAAArvn3E=")</f>
        <v>#VALUE!</v>
      </c>
      <c r="DK8" t="e">
        <f>AND(Plan!D18,"AAAAAArvn3I=")</f>
        <v>#VALUE!</v>
      </c>
      <c r="DL8" t="e">
        <f>AND(Plan!E18,"AAAAAArvn3M=")</f>
        <v>#VALUE!</v>
      </c>
      <c r="DM8" t="e">
        <f>AND(Plan!F18,"AAAAAArvn3Q=")</f>
        <v>#VALUE!</v>
      </c>
      <c r="DN8" t="e">
        <f>AND(Plan!G18,"AAAAAArvn3U=")</f>
        <v>#VALUE!</v>
      </c>
      <c r="DO8" t="e">
        <f>AND(Plan!H18,"AAAAAArvn3Y=")</f>
        <v>#VALUE!</v>
      </c>
      <c r="DP8" t="e">
        <f>AND(Plan!I18,"AAAAAArvn3c=")</f>
        <v>#VALUE!</v>
      </c>
      <c r="DQ8" t="e">
        <f>AND(Plan!J18,"AAAAAArvn3g=")</f>
        <v>#VALUE!</v>
      </c>
      <c r="DR8" t="e">
        <f>AND(Plan!K18,"AAAAAArvn3k=")</f>
        <v>#VALUE!</v>
      </c>
      <c r="DS8" t="e">
        <f>AND(Plan!L18,"AAAAAArvn3o=")</f>
        <v>#VALUE!</v>
      </c>
      <c r="DT8" t="e">
        <f>AND(Plan!M18,"AAAAAArvn3s=")</f>
        <v>#VALUE!</v>
      </c>
      <c r="DU8" t="e">
        <f>AND(Plan!N18,"AAAAAArvn3w=")</f>
        <v>#VALUE!</v>
      </c>
      <c r="DV8" t="e">
        <f>AND(Plan!O18,"AAAAAArvn30=")</f>
        <v>#VALUE!</v>
      </c>
      <c r="DW8" t="e">
        <f>AND(Plan!P18,"AAAAAArvn34=")</f>
        <v>#VALUE!</v>
      </c>
      <c r="DX8" t="e">
        <f>AND(Plan!Q18,"AAAAAArvn38=")</f>
        <v>#VALUE!</v>
      </c>
      <c r="DY8" t="e">
        <f>AND(Plan!R18,"AAAAAArvn4A=")</f>
        <v>#VALUE!</v>
      </c>
      <c r="DZ8" t="e">
        <f>AND(Plan!S18,"AAAAAArvn4E=")</f>
        <v>#VALUE!</v>
      </c>
      <c r="EA8" t="e">
        <f>AND(Plan!T18,"AAAAAArvn4I=")</f>
        <v>#VALUE!</v>
      </c>
      <c r="EB8" t="e">
        <f>AND(Plan!U18,"AAAAAArvn4M=")</f>
        <v>#VALUE!</v>
      </c>
      <c r="EC8" t="e">
        <f>AND(Plan!V18,"AAAAAArvn4Q=")</f>
        <v>#VALUE!</v>
      </c>
      <c r="ED8" t="e">
        <f>AND(Plan!W18,"AAAAAArvn4U=")</f>
        <v>#VALUE!</v>
      </c>
      <c r="EE8" t="e">
        <f>AND(Plan!X18,"AAAAAArvn4Y=")</f>
        <v>#VALUE!</v>
      </c>
      <c r="EF8" t="e">
        <f>AND(Plan!Y18,"AAAAAArvn4c=")</f>
        <v>#VALUE!</v>
      </c>
      <c r="EG8" t="e">
        <f>AND(Plan!Z18,"AAAAAArvn4g=")</f>
        <v>#VALUE!</v>
      </c>
      <c r="EH8" t="e">
        <f>AND(Plan!AA18,"AAAAAArvn4k=")</f>
        <v>#VALUE!</v>
      </c>
      <c r="EI8" t="e">
        <f>AND(Plan!AB18,"AAAAAArvn4o=")</f>
        <v>#VALUE!</v>
      </c>
      <c r="EJ8" t="e">
        <f>AND(Plan!AC18,"AAAAAArvn4s=")</f>
        <v>#VALUE!</v>
      </c>
      <c r="EK8" t="e">
        <f>AND(Plan!AD18,"AAAAAArvn4w=")</f>
        <v>#VALUE!</v>
      </c>
      <c r="EL8" t="e">
        <f>AND(Plan!AE18,"AAAAAArvn40=")</f>
        <v>#VALUE!</v>
      </c>
      <c r="EM8" t="e">
        <f>AND(Plan!AF18,"AAAAAArvn44=")</f>
        <v>#VALUE!</v>
      </c>
      <c r="EN8" t="e">
        <f>AND(Plan!AG18,"AAAAAArvn48=")</f>
        <v>#VALUE!</v>
      </c>
      <c r="EO8" t="e">
        <f>AND(Plan!AH18,"AAAAAArvn5A=")</f>
        <v>#VALUE!</v>
      </c>
      <c r="EP8" t="e">
        <f>AND(Plan!AI18,"AAAAAArvn5E=")</f>
        <v>#VALUE!</v>
      </c>
      <c r="EQ8" t="e">
        <f>AND(Plan!AJ18,"AAAAAArvn5I=")</f>
        <v>#VALUE!</v>
      </c>
      <c r="ER8" t="e">
        <f>AND(Plan!AK18,"AAAAAArvn5M=")</f>
        <v>#VALUE!</v>
      </c>
      <c r="ES8" t="e">
        <f>AND(Plan!AL18,"AAAAAArvn5Q=")</f>
        <v>#VALUE!</v>
      </c>
      <c r="ET8" t="e">
        <f>AND(Plan!AM18,"AAAAAArvn5U=")</f>
        <v>#VALUE!</v>
      </c>
      <c r="EU8" t="e">
        <f>AND(Plan!AN18,"AAAAAArvn5Y=")</f>
        <v>#VALUE!</v>
      </c>
      <c r="EV8" t="e">
        <f>AND(Plan!AO18,"AAAAAArvn5c=")</f>
        <v>#VALUE!</v>
      </c>
      <c r="EW8" t="e">
        <f>AND(Plan!AP18,"AAAAAArvn5g=")</f>
        <v>#VALUE!</v>
      </c>
      <c r="EX8" t="e">
        <f>AND(Plan!AQ18,"AAAAAArvn5k=")</f>
        <v>#VALUE!</v>
      </c>
      <c r="EY8" t="e">
        <f>AND(Plan!AR18,"AAAAAArvn5o=")</f>
        <v>#VALUE!</v>
      </c>
      <c r="EZ8" t="e">
        <f>AND(Plan!AS18,"AAAAAArvn5s=")</f>
        <v>#VALUE!</v>
      </c>
      <c r="FA8" t="e">
        <f>AND(Plan!AT18,"AAAAAArvn5w=")</f>
        <v>#VALUE!</v>
      </c>
      <c r="FB8" t="e">
        <f>AND(Plan!AU18,"AAAAAArvn50=")</f>
        <v>#VALUE!</v>
      </c>
      <c r="FC8" t="e">
        <f>AND(Plan!AV18,"AAAAAArvn54=")</f>
        <v>#VALUE!</v>
      </c>
      <c r="FD8" t="e">
        <f>AND(Plan!AW18,"AAAAAArvn58=")</f>
        <v>#VALUE!</v>
      </c>
      <c r="FE8" t="e">
        <f>AND(Plan!AX18,"AAAAAArvn6A=")</f>
        <v>#VALUE!</v>
      </c>
      <c r="FF8" t="e">
        <f>AND(Plan!AY18,"AAAAAArvn6E=")</f>
        <v>#VALUE!</v>
      </c>
      <c r="FG8" t="e">
        <f>AND(Plan!AZ18,"AAAAAArvn6I=")</f>
        <v>#VALUE!</v>
      </c>
      <c r="FH8" t="e">
        <f>AND(Plan!BA18,"AAAAAArvn6M=")</f>
        <v>#VALUE!</v>
      </c>
      <c r="FI8" t="e">
        <f>AND(Plan!BB18,"AAAAAArvn6Q=")</f>
        <v>#VALUE!</v>
      </c>
      <c r="FJ8" t="e">
        <f>AND(Plan!BC18,"AAAAAArvn6U=")</f>
        <v>#VALUE!</v>
      </c>
      <c r="FK8" t="e">
        <f>AND(Plan!BD18,"AAAAAArvn6Y=")</f>
        <v>#VALUE!</v>
      </c>
      <c r="FL8" t="e">
        <f>AND(Plan!BE18,"AAAAAArvn6c=")</f>
        <v>#VALUE!</v>
      </c>
      <c r="FM8" t="e">
        <f>AND(Plan!BF18,"AAAAAArvn6g=")</f>
        <v>#VALUE!</v>
      </c>
      <c r="FN8" t="e">
        <f>AND(Plan!BG18,"AAAAAArvn6k=")</f>
        <v>#VALUE!</v>
      </c>
      <c r="FO8" t="e">
        <f>AND(Plan!BH18,"AAAAAArvn6o=")</f>
        <v>#VALUE!</v>
      </c>
      <c r="FP8" t="e">
        <f>AND(Plan!BI18,"AAAAAArvn6s=")</f>
        <v>#VALUE!</v>
      </c>
      <c r="FQ8" t="e">
        <f>AND(Plan!BJ18,"AAAAAArvn6w=")</f>
        <v>#VALUE!</v>
      </c>
      <c r="FR8" t="e">
        <f>AND(Plan!BK18,"AAAAAArvn60=")</f>
        <v>#VALUE!</v>
      </c>
      <c r="FS8" t="e">
        <f>AND(Plan!BL18,"AAAAAArvn64=")</f>
        <v>#VALUE!</v>
      </c>
      <c r="FT8" t="e">
        <f>AND(Plan!BM18,"AAAAAArvn68=")</f>
        <v>#VALUE!</v>
      </c>
      <c r="FU8" t="e">
        <f>AND(Plan!BN18,"AAAAAArvn7A=")</f>
        <v>#VALUE!</v>
      </c>
      <c r="FV8" t="e">
        <f>AND(Plan!BO18,"AAAAAArvn7E=")</f>
        <v>#VALUE!</v>
      </c>
      <c r="FW8" t="e">
        <f>AND(Plan!BP18,"AAAAAArvn7I=")</f>
        <v>#VALUE!</v>
      </c>
      <c r="FX8" t="e">
        <f>AND(Plan!BQ18,"AAAAAArvn7M=")</f>
        <v>#VALUE!</v>
      </c>
      <c r="FY8" t="e">
        <f>AND(Plan!BR18,"AAAAAArvn7Q=")</f>
        <v>#VALUE!</v>
      </c>
      <c r="FZ8" t="e">
        <f>AND(Plan!BS18,"AAAAAArvn7U=")</f>
        <v>#VALUE!</v>
      </c>
      <c r="GA8" t="e">
        <f>AND(Plan!BT18,"AAAAAArvn7Y=")</f>
        <v>#VALUE!</v>
      </c>
      <c r="GB8" t="e">
        <f>AND(Plan!BU18,"AAAAAArvn7c=")</f>
        <v>#VALUE!</v>
      </c>
      <c r="GC8" t="e">
        <f>AND(Plan!BV18,"AAAAAArvn7g=")</f>
        <v>#VALUE!</v>
      </c>
      <c r="GD8" t="e">
        <f>AND(Plan!BW18,"AAAAAArvn7k=")</f>
        <v>#VALUE!</v>
      </c>
      <c r="GE8" t="e">
        <f>AND(Plan!BX18,"AAAAAArvn7o=")</f>
        <v>#VALUE!</v>
      </c>
      <c r="GF8" t="e">
        <f>AND(Plan!BY18,"AAAAAArvn7s=")</f>
        <v>#VALUE!</v>
      </c>
      <c r="GG8" t="e">
        <f>AND(Plan!BZ18,"AAAAAArvn7w=")</f>
        <v>#VALUE!</v>
      </c>
      <c r="GH8" t="e">
        <f>AND(Plan!CA18,"AAAAAArvn70=")</f>
        <v>#VALUE!</v>
      </c>
      <c r="GI8" t="e">
        <f>AND(Plan!CB18,"AAAAAArvn74=")</f>
        <v>#VALUE!</v>
      </c>
      <c r="GJ8" t="e">
        <f>AND(Plan!CC18,"AAAAAArvn78=")</f>
        <v>#VALUE!</v>
      </c>
      <c r="GK8" t="e">
        <f>AND(Plan!CD18,"AAAAAArvn8A=")</f>
        <v>#VALUE!</v>
      </c>
      <c r="GL8" t="e">
        <f>AND(Plan!CE18,"AAAAAArvn8E=")</f>
        <v>#VALUE!</v>
      </c>
      <c r="GM8" t="e">
        <f>AND(Plan!CF18,"AAAAAArvn8I=")</f>
        <v>#VALUE!</v>
      </c>
      <c r="GN8" t="e">
        <f>AND(Plan!CG18,"AAAAAArvn8M=")</f>
        <v>#VALUE!</v>
      </c>
      <c r="GO8" t="e">
        <f>AND(Plan!CH18,"AAAAAArvn8Q=")</f>
        <v>#VALUE!</v>
      </c>
      <c r="GP8" t="e">
        <f>AND(Plan!CI18,"AAAAAArvn8U=")</f>
        <v>#VALUE!</v>
      </c>
      <c r="GQ8" t="e">
        <f>AND(Plan!CJ18,"AAAAAArvn8Y=")</f>
        <v>#VALUE!</v>
      </c>
      <c r="GR8" t="e">
        <f>AND(Plan!CK18,"AAAAAArvn8c=")</f>
        <v>#VALUE!</v>
      </c>
      <c r="GS8" t="e">
        <f>AND(Plan!CL18,"AAAAAArvn8g=")</f>
        <v>#VALUE!</v>
      </c>
      <c r="GT8" t="e">
        <f>AND(Plan!CM18,"AAAAAArvn8k=")</f>
        <v>#VALUE!</v>
      </c>
      <c r="GU8" t="e">
        <f>AND(Plan!CN18,"AAAAAArvn8o=")</f>
        <v>#VALUE!</v>
      </c>
      <c r="GV8" t="e">
        <f>AND(Plan!CO18,"AAAAAArvn8s=")</f>
        <v>#VALUE!</v>
      </c>
      <c r="GW8" t="e">
        <f>AND(Plan!CP18,"AAAAAArvn8w=")</f>
        <v>#VALUE!</v>
      </c>
      <c r="GX8" t="e">
        <f>AND(Plan!CQ18,"AAAAAArvn80=")</f>
        <v>#VALUE!</v>
      </c>
      <c r="GY8" t="e">
        <f>AND(Plan!CR18,"AAAAAArvn84=")</f>
        <v>#VALUE!</v>
      </c>
      <c r="GZ8" t="e">
        <f>AND(Plan!CS18,"AAAAAArvn88=")</f>
        <v>#VALUE!</v>
      </c>
      <c r="HA8" t="e">
        <f>AND(Plan!CT18,"AAAAAArvn9A=")</f>
        <v>#VALUE!</v>
      </c>
      <c r="HB8" t="e">
        <f>AND(Plan!CU18,"AAAAAArvn9E=")</f>
        <v>#VALUE!</v>
      </c>
      <c r="HC8" t="e">
        <f>AND(Plan!CV18,"AAAAAArvn9I=")</f>
        <v>#VALUE!</v>
      </c>
      <c r="HD8" t="e">
        <f>AND(Plan!CW18,"AAAAAArvn9M=")</f>
        <v>#VALUE!</v>
      </c>
      <c r="HE8">
        <f>IF(Plan!19:19,"AAAAAArvn9Q=",0)</f>
        <v>0</v>
      </c>
      <c r="HF8" t="e">
        <f>AND(Plan!A19,"AAAAAArvn9U=")</f>
        <v>#VALUE!</v>
      </c>
      <c r="HG8" t="e">
        <f>AND(Plan!B19,"AAAAAArvn9Y=")</f>
        <v>#VALUE!</v>
      </c>
      <c r="HH8" t="e">
        <f>AND(Plan!C19,"AAAAAArvn9c=")</f>
        <v>#VALUE!</v>
      </c>
      <c r="HI8" t="e">
        <f>AND(Plan!D19,"AAAAAArvn9g=")</f>
        <v>#VALUE!</v>
      </c>
      <c r="HJ8" t="e">
        <f>AND(Plan!E19,"AAAAAArvn9k=")</f>
        <v>#VALUE!</v>
      </c>
      <c r="HK8" t="e">
        <f>AND(Plan!F19,"AAAAAArvn9o=")</f>
        <v>#VALUE!</v>
      </c>
      <c r="HL8" t="e">
        <f>AND(Plan!G19,"AAAAAArvn9s=")</f>
        <v>#VALUE!</v>
      </c>
      <c r="HM8" t="e">
        <f>AND(Plan!H19,"AAAAAArvn9w=")</f>
        <v>#VALUE!</v>
      </c>
      <c r="HN8" t="e">
        <f>AND(Plan!I19,"AAAAAArvn90=")</f>
        <v>#VALUE!</v>
      </c>
      <c r="HO8" t="e">
        <f>AND(Plan!J19,"AAAAAArvn94=")</f>
        <v>#VALUE!</v>
      </c>
      <c r="HP8" t="e">
        <f>AND(Plan!K19,"AAAAAArvn98=")</f>
        <v>#VALUE!</v>
      </c>
      <c r="HQ8" t="e">
        <f>AND(Plan!L19,"AAAAAArvn+A=")</f>
        <v>#VALUE!</v>
      </c>
      <c r="HR8" t="e">
        <f>AND(Plan!M19,"AAAAAArvn+E=")</f>
        <v>#VALUE!</v>
      </c>
      <c r="HS8" t="e">
        <f>AND(Plan!N19,"AAAAAArvn+I=")</f>
        <v>#VALUE!</v>
      </c>
      <c r="HT8" t="e">
        <f>AND(Plan!O19,"AAAAAArvn+M=")</f>
        <v>#VALUE!</v>
      </c>
      <c r="HU8" t="e">
        <f>AND(Plan!P19,"AAAAAArvn+Q=")</f>
        <v>#VALUE!</v>
      </c>
      <c r="HV8" t="e">
        <f>AND(Plan!Q19,"AAAAAArvn+U=")</f>
        <v>#VALUE!</v>
      </c>
      <c r="HW8" t="e">
        <f>AND(Plan!R19,"AAAAAArvn+Y=")</f>
        <v>#VALUE!</v>
      </c>
      <c r="HX8" t="e">
        <f>AND(Plan!S19,"AAAAAArvn+c=")</f>
        <v>#VALUE!</v>
      </c>
      <c r="HY8" t="e">
        <f>AND(Plan!T19,"AAAAAArvn+g=")</f>
        <v>#VALUE!</v>
      </c>
      <c r="HZ8" t="e">
        <f>AND(Plan!U19,"AAAAAArvn+k=")</f>
        <v>#VALUE!</v>
      </c>
      <c r="IA8" t="e">
        <f>AND(Plan!V19,"AAAAAArvn+o=")</f>
        <v>#VALUE!</v>
      </c>
      <c r="IB8" t="e">
        <f>AND(Plan!W19,"AAAAAArvn+s=")</f>
        <v>#VALUE!</v>
      </c>
      <c r="IC8" t="e">
        <f>AND(Plan!X19,"AAAAAArvn+w=")</f>
        <v>#VALUE!</v>
      </c>
      <c r="ID8" t="e">
        <f>AND(Plan!Y19,"AAAAAArvn+0=")</f>
        <v>#VALUE!</v>
      </c>
      <c r="IE8" t="e">
        <f>AND(Plan!Z19,"AAAAAArvn+4=")</f>
        <v>#VALUE!</v>
      </c>
      <c r="IF8" t="e">
        <f>AND(Plan!AA19,"AAAAAArvn+8=")</f>
        <v>#VALUE!</v>
      </c>
      <c r="IG8" t="e">
        <f>AND(Plan!AB19,"AAAAAArvn/A=")</f>
        <v>#VALUE!</v>
      </c>
      <c r="IH8" t="e">
        <f>AND(Plan!AC19,"AAAAAArvn/E=")</f>
        <v>#VALUE!</v>
      </c>
      <c r="II8" t="e">
        <f>AND(Plan!AD19,"AAAAAArvn/I=")</f>
        <v>#VALUE!</v>
      </c>
      <c r="IJ8" t="e">
        <f>AND(Plan!AE19,"AAAAAArvn/M=")</f>
        <v>#VALUE!</v>
      </c>
      <c r="IK8" t="e">
        <f>AND(Plan!AF19,"AAAAAArvn/Q=")</f>
        <v>#VALUE!</v>
      </c>
      <c r="IL8" t="e">
        <f>AND(Plan!AG19,"AAAAAArvn/U=")</f>
        <v>#VALUE!</v>
      </c>
      <c r="IM8" t="e">
        <f>AND(Plan!AH19,"AAAAAArvn/Y=")</f>
        <v>#VALUE!</v>
      </c>
      <c r="IN8" t="e">
        <f>AND(Plan!AI19,"AAAAAArvn/c=")</f>
        <v>#VALUE!</v>
      </c>
      <c r="IO8" t="e">
        <f>AND(Plan!AJ19,"AAAAAArvn/g=")</f>
        <v>#VALUE!</v>
      </c>
      <c r="IP8" t="e">
        <f>AND(Plan!AK19,"AAAAAArvn/k=")</f>
        <v>#VALUE!</v>
      </c>
      <c r="IQ8" t="e">
        <f>AND(Plan!AL19,"AAAAAArvn/o=")</f>
        <v>#VALUE!</v>
      </c>
      <c r="IR8" t="e">
        <f>AND(Plan!AM19,"AAAAAArvn/s=")</f>
        <v>#VALUE!</v>
      </c>
      <c r="IS8" t="e">
        <f>AND(Plan!AN19,"AAAAAArvn/w=")</f>
        <v>#VALUE!</v>
      </c>
      <c r="IT8" t="e">
        <f>AND(Plan!AO19,"AAAAAArvn/0=")</f>
        <v>#VALUE!</v>
      </c>
      <c r="IU8" t="e">
        <f>AND(Plan!AP19,"AAAAAArvn/4=")</f>
        <v>#VALUE!</v>
      </c>
      <c r="IV8" t="e">
        <f>AND(Plan!AQ19,"AAAAAArvn/8=")</f>
        <v>#VALUE!</v>
      </c>
    </row>
    <row r="9" spans="1:256">
      <c r="A9" t="e">
        <f>AND(Plan!AR19,"AAAAAHzu/wA=")</f>
        <v>#VALUE!</v>
      </c>
      <c r="B9" t="e">
        <f>AND(Plan!AS19,"AAAAAHzu/wE=")</f>
        <v>#VALUE!</v>
      </c>
      <c r="C9" t="e">
        <f>AND(Plan!AT19,"AAAAAHzu/wI=")</f>
        <v>#VALUE!</v>
      </c>
      <c r="D9" t="e">
        <f>AND(Plan!AU19,"AAAAAHzu/wM=")</f>
        <v>#VALUE!</v>
      </c>
      <c r="E9" t="e">
        <f>AND(Plan!AV19,"AAAAAHzu/wQ=")</f>
        <v>#VALUE!</v>
      </c>
      <c r="F9" t="e">
        <f>AND(Plan!AW19,"AAAAAHzu/wU=")</f>
        <v>#VALUE!</v>
      </c>
      <c r="G9" t="e">
        <f>AND(Plan!AX19,"AAAAAHzu/wY=")</f>
        <v>#VALUE!</v>
      </c>
      <c r="H9" t="e">
        <f>AND(Plan!AY19,"AAAAAHzu/wc=")</f>
        <v>#VALUE!</v>
      </c>
      <c r="I9" t="e">
        <f>AND(Plan!AZ19,"AAAAAHzu/wg=")</f>
        <v>#VALUE!</v>
      </c>
      <c r="J9" t="e">
        <f>AND(Plan!BA19,"AAAAAHzu/wk=")</f>
        <v>#VALUE!</v>
      </c>
      <c r="K9" t="e">
        <f>AND(Plan!BB19,"AAAAAHzu/wo=")</f>
        <v>#VALUE!</v>
      </c>
      <c r="L9" t="e">
        <f>AND(Plan!BC19,"AAAAAHzu/ws=")</f>
        <v>#VALUE!</v>
      </c>
      <c r="M9" t="e">
        <f>AND(Plan!BD19,"AAAAAHzu/ww=")</f>
        <v>#VALUE!</v>
      </c>
      <c r="N9" t="e">
        <f>AND(Plan!BE19,"AAAAAHzu/w0=")</f>
        <v>#VALUE!</v>
      </c>
      <c r="O9" t="e">
        <f>AND(Plan!BF19,"AAAAAHzu/w4=")</f>
        <v>#VALUE!</v>
      </c>
      <c r="P9" t="e">
        <f>AND(Plan!BG19,"AAAAAHzu/w8=")</f>
        <v>#VALUE!</v>
      </c>
      <c r="Q9" t="e">
        <f>AND(Plan!BH19,"AAAAAHzu/xA=")</f>
        <v>#VALUE!</v>
      </c>
      <c r="R9" t="e">
        <f>AND(Plan!BI19,"AAAAAHzu/xE=")</f>
        <v>#VALUE!</v>
      </c>
      <c r="S9" t="e">
        <f>AND(Plan!BJ19,"AAAAAHzu/xI=")</f>
        <v>#VALUE!</v>
      </c>
      <c r="T9" t="e">
        <f>AND(Plan!BK19,"AAAAAHzu/xM=")</f>
        <v>#VALUE!</v>
      </c>
      <c r="U9" t="e">
        <f>AND(Plan!BL19,"AAAAAHzu/xQ=")</f>
        <v>#VALUE!</v>
      </c>
      <c r="V9" t="e">
        <f>AND(Plan!BM19,"AAAAAHzu/xU=")</f>
        <v>#VALUE!</v>
      </c>
      <c r="W9" t="e">
        <f>AND(Plan!BN19,"AAAAAHzu/xY=")</f>
        <v>#VALUE!</v>
      </c>
      <c r="X9" t="e">
        <f>AND(Plan!BO19,"AAAAAHzu/xc=")</f>
        <v>#VALUE!</v>
      </c>
      <c r="Y9" t="e">
        <f>AND(Plan!BP19,"AAAAAHzu/xg=")</f>
        <v>#VALUE!</v>
      </c>
      <c r="Z9" t="e">
        <f>AND(Plan!BQ19,"AAAAAHzu/xk=")</f>
        <v>#VALUE!</v>
      </c>
      <c r="AA9" t="e">
        <f>AND(Plan!BR19,"AAAAAHzu/xo=")</f>
        <v>#VALUE!</v>
      </c>
      <c r="AB9" t="e">
        <f>AND(Plan!BS19,"AAAAAHzu/xs=")</f>
        <v>#VALUE!</v>
      </c>
      <c r="AC9" t="e">
        <f>AND(Plan!BT19,"AAAAAHzu/xw=")</f>
        <v>#VALUE!</v>
      </c>
      <c r="AD9" t="e">
        <f>AND(Plan!BU19,"AAAAAHzu/x0=")</f>
        <v>#VALUE!</v>
      </c>
      <c r="AE9" t="e">
        <f>AND(Plan!BV19,"AAAAAHzu/x4=")</f>
        <v>#VALUE!</v>
      </c>
      <c r="AF9" t="e">
        <f>AND(Plan!BW19,"AAAAAHzu/x8=")</f>
        <v>#VALUE!</v>
      </c>
      <c r="AG9" t="e">
        <f>AND(Plan!BX19,"AAAAAHzu/yA=")</f>
        <v>#VALUE!</v>
      </c>
      <c r="AH9" t="e">
        <f>AND(Plan!BY19,"AAAAAHzu/yE=")</f>
        <v>#VALUE!</v>
      </c>
      <c r="AI9" t="e">
        <f>AND(Plan!BZ19,"AAAAAHzu/yI=")</f>
        <v>#VALUE!</v>
      </c>
      <c r="AJ9" t="e">
        <f>AND(Plan!CA19,"AAAAAHzu/yM=")</f>
        <v>#VALUE!</v>
      </c>
      <c r="AK9" t="e">
        <f>AND(Plan!CB19,"AAAAAHzu/yQ=")</f>
        <v>#VALUE!</v>
      </c>
      <c r="AL9" t="e">
        <f>AND(Plan!CC19,"AAAAAHzu/yU=")</f>
        <v>#VALUE!</v>
      </c>
      <c r="AM9" t="e">
        <f>AND(Plan!CD19,"AAAAAHzu/yY=")</f>
        <v>#VALUE!</v>
      </c>
      <c r="AN9" t="e">
        <f>AND(Plan!CE19,"AAAAAHzu/yc=")</f>
        <v>#VALUE!</v>
      </c>
      <c r="AO9" t="e">
        <f>AND(Plan!CF19,"AAAAAHzu/yg=")</f>
        <v>#VALUE!</v>
      </c>
      <c r="AP9" t="e">
        <f>AND(Plan!CG19,"AAAAAHzu/yk=")</f>
        <v>#VALUE!</v>
      </c>
      <c r="AQ9" t="e">
        <f>AND(Plan!CH19,"AAAAAHzu/yo=")</f>
        <v>#VALUE!</v>
      </c>
      <c r="AR9" t="e">
        <f>AND(Plan!CI19,"AAAAAHzu/ys=")</f>
        <v>#VALUE!</v>
      </c>
      <c r="AS9" t="e">
        <f>AND(Plan!CJ19,"AAAAAHzu/yw=")</f>
        <v>#VALUE!</v>
      </c>
      <c r="AT9" t="e">
        <f>AND(Plan!CK19,"AAAAAHzu/y0=")</f>
        <v>#VALUE!</v>
      </c>
      <c r="AU9" t="e">
        <f>AND(Plan!CL19,"AAAAAHzu/y4=")</f>
        <v>#VALUE!</v>
      </c>
      <c r="AV9" t="e">
        <f>AND(Plan!CM19,"AAAAAHzu/y8=")</f>
        <v>#VALUE!</v>
      </c>
      <c r="AW9" t="e">
        <f>AND(Plan!CN19,"AAAAAHzu/zA=")</f>
        <v>#VALUE!</v>
      </c>
      <c r="AX9" t="e">
        <f>AND(Plan!CO19,"AAAAAHzu/zE=")</f>
        <v>#VALUE!</v>
      </c>
      <c r="AY9" t="e">
        <f>AND(Plan!CP19,"AAAAAHzu/zI=")</f>
        <v>#VALUE!</v>
      </c>
      <c r="AZ9" t="e">
        <f>AND(Plan!CQ19,"AAAAAHzu/zM=")</f>
        <v>#VALUE!</v>
      </c>
      <c r="BA9" t="e">
        <f>AND(Plan!CR19,"AAAAAHzu/zQ=")</f>
        <v>#VALUE!</v>
      </c>
      <c r="BB9" t="e">
        <f>AND(Plan!CS19,"AAAAAHzu/zU=")</f>
        <v>#VALUE!</v>
      </c>
      <c r="BC9" t="e">
        <f>AND(Plan!CT19,"AAAAAHzu/zY=")</f>
        <v>#VALUE!</v>
      </c>
      <c r="BD9" t="e">
        <f>AND(Plan!CU19,"AAAAAHzu/zc=")</f>
        <v>#VALUE!</v>
      </c>
      <c r="BE9" t="e">
        <f>AND(Plan!CV19,"AAAAAHzu/zg=")</f>
        <v>#VALUE!</v>
      </c>
      <c r="BF9" t="e">
        <f>AND(Plan!CW19,"AAAAAHzu/zk=")</f>
        <v>#VALUE!</v>
      </c>
      <c r="BG9">
        <f>IF(Plan!20:20,"AAAAAHzu/zo=",0)</f>
        <v>0</v>
      </c>
      <c r="BH9" t="e">
        <f>AND(Plan!A20,"AAAAAHzu/zs=")</f>
        <v>#VALUE!</v>
      </c>
      <c r="BI9" t="e">
        <f>AND(Plan!B20,"AAAAAHzu/zw=")</f>
        <v>#VALUE!</v>
      </c>
      <c r="BJ9" t="e">
        <f>AND(Plan!C20,"AAAAAHzu/z0=")</f>
        <v>#VALUE!</v>
      </c>
      <c r="BK9" t="e">
        <f>AND(Plan!D20,"AAAAAHzu/z4=")</f>
        <v>#VALUE!</v>
      </c>
      <c r="BL9" t="e">
        <f>AND(Plan!E20,"AAAAAHzu/z8=")</f>
        <v>#VALUE!</v>
      </c>
      <c r="BM9" t="e">
        <f>AND(Plan!F20,"AAAAAHzu/0A=")</f>
        <v>#VALUE!</v>
      </c>
      <c r="BN9" t="e">
        <f>AND(Plan!G20,"AAAAAHzu/0E=")</f>
        <v>#VALUE!</v>
      </c>
      <c r="BO9" t="e">
        <f>AND(Plan!H20,"AAAAAHzu/0I=")</f>
        <v>#VALUE!</v>
      </c>
      <c r="BP9" t="e">
        <f>AND(Plan!I20,"AAAAAHzu/0M=")</f>
        <v>#VALUE!</v>
      </c>
      <c r="BQ9" t="e">
        <f>AND(Plan!J20,"AAAAAHzu/0Q=")</f>
        <v>#VALUE!</v>
      </c>
      <c r="BR9" t="e">
        <f>AND(Plan!K20,"AAAAAHzu/0U=")</f>
        <v>#VALUE!</v>
      </c>
      <c r="BS9" t="e">
        <f>AND(Plan!L20,"AAAAAHzu/0Y=")</f>
        <v>#VALUE!</v>
      </c>
      <c r="BT9" t="e">
        <f>AND(Plan!M20,"AAAAAHzu/0c=")</f>
        <v>#VALUE!</v>
      </c>
      <c r="BU9" t="e">
        <f>AND(Plan!N20,"AAAAAHzu/0g=")</f>
        <v>#VALUE!</v>
      </c>
      <c r="BV9" t="e">
        <f>AND(Plan!O20,"AAAAAHzu/0k=")</f>
        <v>#VALUE!</v>
      </c>
      <c r="BW9" t="e">
        <f>AND(Plan!P20,"AAAAAHzu/0o=")</f>
        <v>#VALUE!</v>
      </c>
      <c r="BX9" t="e">
        <f>AND(Plan!Q20,"AAAAAHzu/0s=")</f>
        <v>#VALUE!</v>
      </c>
      <c r="BY9" t="e">
        <f>AND(Plan!R20,"AAAAAHzu/0w=")</f>
        <v>#VALUE!</v>
      </c>
      <c r="BZ9" t="e">
        <f>AND(Plan!S20,"AAAAAHzu/00=")</f>
        <v>#VALUE!</v>
      </c>
      <c r="CA9" t="e">
        <f>AND(Plan!T20,"AAAAAHzu/04=")</f>
        <v>#VALUE!</v>
      </c>
      <c r="CB9" t="e">
        <f>AND(Plan!U20,"AAAAAHzu/08=")</f>
        <v>#VALUE!</v>
      </c>
      <c r="CC9" t="e">
        <f>AND(Plan!V20,"AAAAAHzu/1A=")</f>
        <v>#VALUE!</v>
      </c>
      <c r="CD9" t="e">
        <f>AND(Plan!W20,"AAAAAHzu/1E=")</f>
        <v>#VALUE!</v>
      </c>
      <c r="CE9" t="e">
        <f>AND(Plan!X20,"AAAAAHzu/1I=")</f>
        <v>#VALUE!</v>
      </c>
      <c r="CF9" t="e">
        <f>AND(Plan!Y20,"AAAAAHzu/1M=")</f>
        <v>#VALUE!</v>
      </c>
      <c r="CG9" t="e">
        <f>AND(Plan!Z20,"AAAAAHzu/1Q=")</f>
        <v>#VALUE!</v>
      </c>
      <c r="CH9" t="e">
        <f>AND(Plan!AA20,"AAAAAHzu/1U=")</f>
        <v>#VALUE!</v>
      </c>
      <c r="CI9" t="e">
        <f>AND(Plan!AB20,"AAAAAHzu/1Y=")</f>
        <v>#VALUE!</v>
      </c>
      <c r="CJ9" t="e">
        <f>AND(Plan!AC20,"AAAAAHzu/1c=")</f>
        <v>#VALUE!</v>
      </c>
      <c r="CK9" t="e">
        <f>AND(Plan!AD20,"AAAAAHzu/1g=")</f>
        <v>#VALUE!</v>
      </c>
      <c r="CL9" t="e">
        <f>AND(Plan!AE20,"AAAAAHzu/1k=")</f>
        <v>#VALUE!</v>
      </c>
      <c r="CM9" t="e">
        <f>AND(Plan!AF20,"AAAAAHzu/1o=")</f>
        <v>#VALUE!</v>
      </c>
      <c r="CN9" t="e">
        <f>AND(Plan!AG20,"AAAAAHzu/1s=")</f>
        <v>#VALUE!</v>
      </c>
      <c r="CO9" t="e">
        <f>AND(Plan!AH20,"AAAAAHzu/1w=")</f>
        <v>#VALUE!</v>
      </c>
      <c r="CP9" t="e">
        <f>AND(Plan!AI20,"AAAAAHzu/10=")</f>
        <v>#VALUE!</v>
      </c>
      <c r="CQ9" t="e">
        <f>AND(Plan!AJ20,"AAAAAHzu/14=")</f>
        <v>#VALUE!</v>
      </c>
      <c r="CR9" t="e">
        <f>AND(Plan!AK20,"AAAAAHzu/18=")</f>
        <v>#VALUE!</v>
      </c>
      <c r="CS9" t="e">
        <f>AND(Plan!AL20,"AAAAAHzu/2A=")</f>
        <v>#VALUE!</v>
      </c>
      <c r="CT9" t="e">
        <f>AND(Plan!AM20,"AAAAAHzu/2E=")</f>
        <v>#VALUE!</v>
      </c>
      <c r="CU9" t="e">
        <f>AND(Plan!AN20,"AAAAAHzu/2I=")</f>
        <v>#VALUE!</v>
      </c>
      <c r="CV9" t="e">
        <f>AND(Plan!AO20,"AAAAAHzu/2M=")</f>
        <v>#VALUE!</v>
      </c>
      <c r="CW9" t="e">
        <f>AND(Plan!AP20,"AAAAAHzu/2Q=")</f>
        <v>#VALUE!</v>
      </c>
      <c r="CX9" t="e">
        <f>AND(Plan!AQ20,"AAAAAHzu/2U=")</f>
        <v>#VALUE!</v>
      </c>
      <c r="CY9" t="e">
        <f>AND(Plan!AR20,"AAAAAHzu/2Y=")</f>
        <v>#VALUE!</v>
      </c>
      <c r="CZ9" t="e">
        <f>AND(Plan!AS20,"AAAAAHzu/2c=")</f>
        <v>#VALUE!</v>
      </c>
      <c r="DA9" t="e">
        <f>AND(Plan!AT20,"AAAAAHzu/2g=")</f>
        <v>#VALUE!</v>
      </c>
      <c r="DB9" t="e">
        <f>AND(Plan!AU20,"AAAAAHzu/2k=")</f>
        <v>#VALUE!</v>
      </c>
      <c r="DC9" t="e">
        <f>AND(Plan!AV20,"AAAAAHzu/2o=")</f>
        <v>#VALUE!</v>
      </c>
      <c r="DD9" t="e">
        <f>AND(Plan!AW20,"AAAAAHzu/2s=")</f>
        <v>#VALUE!</v>
      </c>
      <c r="DE9" t="e">
        <f>AND(Plan!AX20,"AAAAAHzu/2w=")</f>
        <v>#VALUE!</v>
      </c>
      <c r="DF9" t="e">
        <f>AND(Plan!AY20,"AAAAAHzu/20=")</f>
        <v>#VALUE!</v>
      </c>
      <c r="DG9" t="e">
        <f>AND(Plan!AZ20,"AAAAAHzu/24=")</f>
        <v>#VALUE!</v>
      </c>
      <c r="DH9" t="e">
        <f>AND(Plan!BA20,"AAAAAHzu/28=")</f>
        <v>#VALUE!</v>
      </c>
      <c r="DI9" t="e">
        <f>AND(Plan!BB20,"AAAAAHzu/3A=")</f>
        <v>#VALUE!</v>
      </c>
      <c r="DJ9" t="e">
        <f>AND(Plan!BC20,"AAAAAHzu/3E=")</f>
        <v>#VALUE!</v>
      </c>
      <c r="DK9" t="e">
        <f>AND(Plan!BD20,"AAAAAHzu/3I=")</f>
        <v>#VALUE!</v>
      </c>
      <c r="DL9" t="e">
        <f>AND(Plan!BE20,"AAAAAHzu/3M=")</f>
        <v>#VALUE!</v>
      </c>
      <c r="DM9" t="e">
        <f>AND(Plan!BF20,"AAAAAHzu/3Q=")</f>
        <v>#VALUE!</v>
      </c>
      <c r="DN9" t="e">
        <f>AND(Plan!BG20,"AAAAAHzu/3U=")</f>
        <v>#VALUE!</v>
      </c>
      <c r="DO9" t="e">
        <f>AND(Plan!BH20,"AAAAAHzu/3Y=")</f>
        <v>#VALUE!</v>
      </c>
      <c r="DP9" t="e">
        <f>AND(Plan!BI20,"AAAAAHzu/3c=")</f>
        <v>#VALUE!</v>
      </c>
      <c r="DQ9" t="e">
        <f>AND(Plan!BJ20,"AAAAAHzu/3g=")</f>
        <v>#VALUE!</v>
      </c>
      <c r="DR9" t="e">
        <f>AND(Plan!BK20,"AAAAAHzu/3k=")</f>
        <v>#VALUE!</v>
      </c>
      <c r="DS9" t="e">
        <f>AND(Plan!BL20,"AAAAAHzu/3o=")</f>
        <v>#VALUE!</v>
      </c>
      <c r="DT9" t="e">
        <f>AND(Plan!BM20,"AAAAAHzu/3s=")</f>
        <v>#VALUE!</v>
      </c>
      <c r="DU9" t="e">
        <f>AND(Plan!BN20,"AAAAAHzu/3w=")</f>
        <v>#VALUE!</v>
      </c>
      <c r="DV9" t="e">
        <f>AND(Plan!BO20,"AAAAAHzu/30=")</f>
        <v>#VALUE!</v>
      </c>
      <c r="DW9" t="e">
        <f>AND(Plan!BP20,"AAAAAHzu/34=")</f>
        <v>#VALUE!</v>
      </c>
      <c r="DX9" t="e">
        <f>AND(Plan!BQ20,"AAAAAHzu/38=")</f>
        <v>#VALUE!</v>
      </c>
      <c r="DY9" t="e">
        <f>AND(Plan!BR20,"AAAAAHzu/4A=")</f>
        <v>#VALUE!</v>
      </c>
      <c r="DZ9" t="e">
        <f>AND(Plan!BS20,"AAAAAHzu/4E=")</f>
        <v>#VALUE!</v>
      </c>
      <c r="EA9" t="e">
        <f>AND(Plan!BT20,"AAAAAHzu/4I=")</f>
        <v>#VALUE!</v>
      </c>
      <c r="EB9" t="e">
        <f>AND(Plan!BU20,"AAAAAHzu/4M=")</f>
        <v>#VALUE!</v>
      </c>
      <c r="EC9" t="e">
        <f>AND(Plan!BV20,"AAAAAHzu/4Q=")</f>
        <v>#VALUE!</v>
      </c>
      <c r="ED9" t="e">
        <f>AND(Plan!BW20,"AAAAAHzu/4U=")</f>
        <v>#VALUE!</v>
      </c>
      <c r="EE9" t="e">
        <f>AND(Plan!BX20,"AAAAAHzu/4Y=")</f>
        <v>#VALUE!</v>
      </c>
      <c r="EF9" t="e">
        <f>AND(Plan!BY20,"AAAAAHzu/4c=")</f>
        <v>#VALUE!</v>
      </c>
      <c r="EG9" t="e">
        <f>AND(Plan!BZ20,"AAAAAHzu/4g=")</f>
        <v>#VALUE!</v>
      </c>
      <c r="EH9" t="e">
        <f>AND(Plan!CA20,"AAAAAHzu/4k=")</f>
        <v>#VALUE!</v>
      </c>
      <c r="EI9" t="e">
        <f>AND(Plan!CB20,"AAAAAHzu/4o=")</f>
        <v>#VALUE!</v>
      </c>
      <c r="EJ9" t="e">
        <f>AND(Plan!CC20,"AAAAAHzu/4s=")</f>
        <v>#VALUE!</v>
      </c>
      <c r="EK9" t="e">
        <f>AND(Plan!CD20,"AAAAAHzu/4w=")</f>
        <v>#VALUE!</v>
      </c>
      <c r="EL9" t="e">
        <f>AND(Plan!CE20,"AAAAAHzu/40=")</f>
        <v>#VALUE!</v>
      </c>
      <c r="EM9" t="e">
        <f>AND(Plan!CF20,"AAAAAHzu/44=")</f>
        <v>#VALUE!</v>
      </c>
      <c r="EN9" t="e">
        <f>AND(Plan!CG20,"AAAAAHzu/48=")</f>
        <v>#VALUE!</v>
      </c>
      <c r="EO9" t="e">
        <f>AND(Plan!CH20,"AAAAAHzu/5A=")</f>
        <v>#VALUE!</v>
      </c>
      <c r="EP9" t="e">
        <f>AND(Plan!CI20,"AAAAAHzu/5E=")</f>
        <v>#VALUE!</v>
      </c>
      <c r="EQ9" t="e">
        <f>AND(Plan!CJ20,"AAAAAHzu/5I=")</f>
        <v>#VALUE!</v>
      </c>
      <c r="ER9" t="e">
        <f>AND(Plan!CK20,"AAAAAHzu/5M=")</f>
        <v>#VALUE!</v>
      </c>
      <c r="ES9" t="e">
        <f>AND(Plan!CL20,"AAAAAHzu/5Q=")</f>
        <v>#VALUE!</v>
      </c>
      <c r="ET9" t="e">
        <f>AND(Plan!CM20,"AAAAAHzu/5U=")</f>
        <v>#VALUE!</v>
      </c>
      <c r="EU9" t="e">
        <f>AND(Plan!CN20,"AAAAAHzu/5Y=")</f>
        <v>#VALUE!</v>
      </c>
      <c r="EV9" t="e">
        <f>AND(Plan!CO20,"AAAAAHzu/5c=")</f>
        <v>#VALUE!</v>
      </c>
      <c r="EW9" t="e">
        <f>AND(Plan!CP20,"AAAAAHzu/5g=")</f>
        <v>#VALUE!</v>
      </c>
      <c r="EX9" t="e">
        <f>AND(Plan!CQ20,"AAAAAHzu/5k=")</f>
        <v>#VALUE!</v>
      </c>
      <c r="EY9" t="e">
        <f>AND(Plan!CR20,"AAAAAHzu/5o=")</f>
        <v>#VALUE!</v>
      </c>
      <c r="EZ9" t="e">
        <f>AND(Plan!CS20,"AAAAAHzu/5s=")</f>
        <v>#VALUE!</v>
      </c>
      <c r="FA9" t="e">
        <f>AND(Plan!CT20,"AAAAAHzu/5w=")</f>
        <v>#VALUE!</v>
      </c>
      <c r="FB9" t="e">
        <f>AND(Plan!CU20,"AAAAAHzu/50=")</f>
        <v>#VALUE!</v>
      </c>
      <c r="FC9" t="e">
        <f>AND(Plan!CV20,"AAAAAHzu/54=")</f>
        <v>#VALUE!</v>
      </c>
      <c r="FD9" t="e">
        <f>AND(Plan!CW20,"AAAAAHzu/58=")</f>
        <v>#VALUE!</v>
      </c>
      <c r="FE9">
        <f>IF(Plan!21:21,"AAAAAHzu/6A=",0)</f>
        <v>0</v>
      </c>
      <c r="FF9" t="e">
        <f>AND(Plan!A21,"AAAAAHzu/6E=")</f>
        <v>#VALUE!</v>
      </c>
      <c r="FG9" t="e">
        <f>AND(Plan!B21,"AAAAAHzu/6I=")</f>
        <v>#VALUE!</v>
      </c>
      <c r="FH9" t="e">
        <f>AND(Plan!C21,"AAAAAHzu/6M=")</f>
        <v>#VALUE!</v>
      </c>
      <c r="FI9" t="e">
        <f>AND(Plan!D21,"AAAAAHzu/6Q=")</f>
        <v>#VALUE!</v>
      </c>
      <c r="FJ9" t="e">
        <f>AND(Plan!E21,"AAAAAHzu/6U=")</f>
        <v>#VALUE!</v>
      </c>
      <c r="FK9" t="e">
        <f>AND(Plan!F21,"AAAAAHzu/6Y=")</f>
        <v>#VALUE!</v>
      </c>
      <c r="FL9" t="e">
        <f>AND(Plan!G21,"AAAAAHzu/6c=")</f>
        <v>#VALUE!</v>
      </c>
      <c r="FM9" t="e">
        <f>AND(Plan!H21,"AAAAAHzu/6g=")</f>
        <v>#VALUE!</v>
      </c>
      <c r="FN9" t="e">
        <f>AND(Plan!I21,"AAAAAHzu/6k=")</f>
        <v>#VALUE!</v>
      </c>
      <c r="FO9" t="e">
        <f>AND(Plan!J21,"AAAAAHzu/6o=")</f>
        <v>#VALUE!</v>
      </c>
      <c r="FP9" t="e">
        <f>AND(Plan!K21,"AAAAAHzu/6s=")</f>
        <v>#VALUE!</v>
      </c>
      <c r="FQ9" t="e">
        <f>AND(Plan!L21,"AAAAAHzu/6w=")</f>
        <v>#VALUE!</v>
      </c>
      <c r="FR9" t="e">
        <f>AND(Plan!M21,"AAAAAHzu/60=")</f>
        <v>#VALUE!</v>
      </c>
      <c r="FS9" t="e">
        <f>AND(Plan!N21,"AAAAAHzu/64=")</f>
        <v>#VALUE!</v>
      </c>
      <c r="FT9" t="e">
        <f>AND(Plan!O21,"AAAAAHzu/68=")</f>
        <v>#VALUE!</v>
      </c>
      <c r="FU9" t="e">
        <f>AND(Plan!P21,"AAAAAHzu/7A=")</f>
        <v>#VALUE!</v>
      </c>
      <c r="FV9" t="e">
        <f>AND(Plan!Q21,"AAAAAHzu/7E=")</f>
        <v>#VALUE!</v>
      </c>
      <c r="FW9" t="e">
        <f>AND(Plan!R21,"AAAAAHzu/7I=")</f>
        <v>#VALUE!</v>
      </c>
      <c r="FX9" t="e">
        <f>AND(Plan!S21,"AAAAAHzu/7M=")</f>
        <v>#VALUE!</v>
      </c>
      <c r="FY9" t="e">
        <f>AND(Plan!T21,"AAAAAHzu/7Q=")</f>
        <v>#VALUE!</v>
      </c>
      <c r="FZ9" t="e">
        <f>AND(Plan!U21,"AAAAAHzu/7U=")</f>
        <v>#VALUE!</v>
      </c>
      <c r="GA9" t="e">
        <f>AND(Plan!V21,"AAAAAHzu/7Y=")</f>
        <v>#VALUE!</v>
      </c>
      <c r="GB9" t="e">
        <f>AND(Plan!W21,"AAAAAHzu/7c=")</f>
        <v>#VALUE!</v>
      </c>
      <c r="GC9" t="e">
        <f>AND(Plan!X21,"AAAAAHzu/7g=")</f>
        <v>#VALUE!</v>
      </c>
      <c r="GD9" t="e">
        <f>AND(Plan!Y21,"AAAAAHzu/7k=")</f>
        <v>#VALUE!</v>
      </c>
      <c r="GE9" t="e">
        <f>AND(Plan!Z21,"AAAAAHzu/7o=")</f>
        <v>#VALUE!</v>
      </c>
      <c r="GF9" t="e">
        <f>AND(Plan!AA21,"AAAAAHzu/7s=")</f>
        <v>#VALUE!</v>
      </c>
      <c r="GG9" t="e">
        <f>AND(Plan!AB21,"AAAAAHzu/7w=")</f>
        <v>#VALUE!</v>
      </c>
      <c r="GH9" t="e">
        <f>AND(Plan!AC21,"AAAAAHzu/70=")</f>
        <v>#VALUE!</v>
      </c>
      <c r="GI9" t="e">
        <f>AND(Plan!AD21,"AAAAAHzu/74=")</f>
        <v>#VALUE!</v>
      </c>
      <c r="GJ9" t="e">
        <f>AND(Plan!AE21,"AAAAAHzu/78=")</f>
        <v>#VALUE!</v>
      </c>
      <c r="GK9" t="e">
        <f>AND(Plan!AF21,"AAAAAHzu/8A=")</f>
        <v>#VALUE!</v>
      </c>
      <c r="GL9" t="e">
        <f>AND(Plan!AG21,"AAAAAHzu/8E=")</f>
        <v>#VALUE!</v>
      </c>
      <c r="GM9" t="e">
        <f>AND(Plan!AH21,"AAAAAHzu/8I=")</f>
        <v>#VALUE!</v>
      </c>
      <c r="GN9" t="e">
        <f>AND(Plan!AI21,"AAAAAHzu/8M=")</f>
        <v>#VALUE!</v>
      </c>
      <c r="GO9" t="e">
        <f>AND(Plan!AJ21,"AAAAAHzu/8Q=")</f>
        <v>#VALUE!</v>
      </c>
      <c r="GP9" t="e">
        <f>AND(Plan!AK21,"AAAAAHzu/8U=")</f>
        <v>#VALUE!</v>
      </c>
      <c r="GQ9" t="e">
        <f>AND(Plan!AL21,"AAAAAHzu/8Y=")</f>
        <v>#VALUE!</v>
      </c>
      <c r="GR9" t="e">
        <f>AND(Plan!AM21,"AAAAAHzu/8c=")</f>
        <v>#VALUE!</v>
      </c>
      <c r="GS9" t="e">
        <f>AND(Plan!AN21,"AAAAAHzu/8g=")</f>
        <v>#VALUE!</v>
      </c>
      <c r="GT9" t="e">
        <f>AND(Plan!AO21,"AAAAAHzu/8k=")</f>
        <v>#VALUE!</v>
      </c>
      <c r="GU9" t="e">
        <f>AND(Plan!AP21,"AAAAAHzu/8o=")</f>
        <v>#VALUE!</v>
      </c>
      <c r="GV9" t="e">
        <f>AND(Plan!AQ21,"AAAAAHzu/8s=")</f>
        <v>#VALUE!</v>
      </c>
      <c r="GW9" t="e">
        <f>AND(Plan!AR21,"AAAAAHzu/8w=")</f>
        <v>#VALUE!</v>
      </c>
      <c r="GX9" t="e">
        <f>AND(Plan!AS21,"AAAAAHzu/80=")</f>
        <v>#VALUE!</v>
      </c>
      <c r="GY9" t="e">
        <f>AND(Plan!AT21,"AAAAAHzu/84=")</f>
        <v>#VALUE!</v>
      </c>
      <c r="GZ9" t="e">
        <f>AND(Plan!AU21,"AAAAAHzu/88=")</f>
        <v>#VALUE!</v>
      </c>
      <c r="HA9" t="e">
        <f>AND(Plan!AV21,"AAAAAHzu/9A=")</f>
        <v>#VALUE!</v>
      </c>
      <c r="HB9" t="e">
        <f>AND(Plan!AW21,"AAAAAHzu/9E=")</f>
        <v>#VALUE!</v>
      </c>
      <c r="HC9" t="e">
        <f>AND(Plan!AX21,"AAAAAHzu/9I=")</f>
        <v>#VALUE!</v>
      </c>
      <c r="HD9" t="e">
        <f>AND(Plan!AY21,"AAAAAHzu/9M=")</f>
        <v>#VALUE!</v>
      </c>
      <c r="HE9" t="e">
        <f>AND(Plan!AZ21,"AAAAAHzu/9Q=")</f>
        <v>#VALUE!</v>
      </c>
      <c r="HF9" t="e">
        <f>AND(Plan!BA21,"AAAAAHzu/9U=")</f>
        <v>#VALUE!</v>
      </c>
      <c r="HG9" t="e">
        <f>AND(Plan!BB21,"AAAAAHzu/9Y=")</f>
        <v>#VALUE!</v>
      </c>
      <c r="HH9" t="e">
        <f>AND(Plan!BC21,"AAAAAHzu/9c=")</f>
        <v>#VALUE!</v>
      </c>
      <c r="HI9" t="e">
        <f>AND(Plan!BD21,"AAAAAHzu/9g=")</f>
        <v>#VALUE!</v>
      </c>
      <c r="HJ9" t="e">
        <f>AND(Plan!BE21,"AAAAAHzu/9k=")</f>
        <v>#VALUE!</v>
      </c>
      <c r="HK9" t="e">
        <f>AND(Plan!BF21,"AAAAAHzu/9o=")</f>
        <v>#VALUE!</v>
      </c>
      <c r="HL9" t="e">
        <f>AND(Plan!BG21,"AAAAAHzu/9s=")</f>
        <v>#VALUE!</v>
      </c>
      <c r="HM9" t="e">
        <f>AND(Plan!BH21,"AAAAAHzu/9w=")</f>
        <v>#VALUE!</v>
      </c>
      <c r="HN9" t="e">
        <f>AND(Plan!BI21,"AAAAAHzu/90=")</f>
        <v>#VALUE!</v>
      </c>
      <c r="HO9" t="e">
        <f>AND(Plan!BJ21,"AAAAAHzu/94=")</f>
        <v>#VALUE!</v>
      </c>
      <c r="HP9" t="e">
        <f>AND(Plan!BK21,"AAAAAHzu/98=")</f>
        <v>#VALUE!</v>
      </c>
      <c r="HQ9" t="e">
        <f>AND(Plan!BL21,"AAAAAHzu/+A=")</f>
        <v>#VALUE!</v>
      </c>
      <c r="HR9" t="e">
        <f>AND(Plan!BM21,"AAAAAHzu/+E=")</f>
        <v>#VALUE!</v>
      </c>
      <c r="HS9" t="e">
        <f>AND(Plan!BN21,"AAAAAHzu/+I=")</f>
        <v>#VALUE!</v>
      </c>
      <c r="HT9" t="e">
        <f>AND(Plan!BO21,"AAAAAHzu/+M=")</f>
        <v>#VALUE!</v>
      </c>
      <c r="HU9" t="e">
        <f>AND(Plan!BP21,"AAAAAHzu/+Q=")</f>
        <v>#VALUE!</v>
      </c>
      <c r="HV9" t="e">
        <f>AND(Plan!BQ21,"AAAAAHzu/+U=")</f>
        <v>#VALUE!</v>
      </c>
      <c r="HW9" t="e">
        <f>AND(Plan!BR21,"AAAAAHzu/+Y=")</f>
        <v>#VALUE!</v>
      </c>
      <c r="HX9" t="e">
        <f>AND(Plan!BS21,"AAAAAHzu/+c=")</f>
        <v>#VALUE!</v>
      </c>
      <c r="HY9" t="e">
        <f>AND(Plan!BT21,"AAAAAHzu/+g=")</f>
        <v>#VALUE!</v>
      </c>
      <c r="HZ9" t="e">
        <f>AND(Plan!BU21,"AAAAAHzu/+k=")</f>
        <v>#VALUE!</v>
      </c>
      <c r="IA9" t="e">
        <f>AND(Plan!BV21,"AAAAAHzu/+o=")</f>
        <v>#VALUE!</v>
      </c>
      <c r="IB9" t="e">
        <f>AND(Plan!BW21,"AAAAAHzu/+s=")</f>
        <v>#VALUE!</v>
      </c>
      <c r="IC9" t="e">
        <f>AND(Plan!BX21,"AAAAAHzu/+w=")</f>
        <v>#VALUE!</v>
      </c>
      <c r="ID9" t="e">
        <f>AND(Plan!BY21,"AAAAAHzu/+0=")</f>
        <v>#VALUE!</v>
      </c>
      <c r="IE9" t="e">
        <f>AND(Plan!BZ21,"AAAAAHzu/+4=")</f>
        <v>#VALUE!</v>
      </c>
      <c r="IF9" t="e">
        <f>AND(Plan!CA21,"AAAAAHzu/+8=")</f>
        <v>#VALUE!</v>
      </c>
      <c r="IG9" t="e">
        <f>AND(Plan!CB21,"AAAAAHzu//A=")</f>
        <v>#VALUE!</v>
      </c>
      <c r="IH9" t="e">
        <f>AND(Plan!CC21,"AAAAAHzu//E=")</f>
        <v>#VALUE!</v>
      </c>
      <c r="II9" t="e">
        <f>AND(Plan!CD21,"AAAAAHzu//I=")</f>
        <v>#VALUE!</v>
      </c>
      <c r="IJ9" t="e">
        <f>AND(Plan!CE21,"AAAAAHzu//M=")</f>
        <v>#VALUE!</v>
      </c>
      <c r="IK9" t="e">
        <f>AND(Plan!CF21,"AAAAAHzu//Q=")</f>
        <v>#VALUE!</v>
      </c>
      <c r="IL9" t="e">
        <f>AND(Plan!CG21,"AAAAAHzu//U=")</f>
        <v>#VALUE!</v>
      </c>
      <c r="IM9" t="e">
        <f>AND(Plan!CH21,"AAAAAHzu//Y=")</f>
        <v>#VALUE!</v>
      </c>
      <c r="IN9" t="e">
        <f>AND(Plan!CI21,"AAAAAHzu//c=")</f>
        <v>#VALUE!</v>
      </c>
      <c r="IO9" t="e">
        <f>AND(Plan!CJ21,"AAAAAHzu//g=")</f>
        <v>#VALUE!</v>
      </c>
      <c r="IP9" t="e">
        <f>AND(Plan!CK21,"AAAAAHzu//k=")</f>
        <v>#VALUE!</v>
      </c>
      <c r="IQ9" t="e">
        <f>AND(Plan!CL21,"AAAAAHzu//o=")</f>
        <v>#VALUE!</v>
      </c>
      <c r="IR9" t="e">
        <f>AND(Plan!CM21,"AAAAAHzu//s=")</f>
        <v>#VALUE!</v>
      </c>
      <c r="IS9" t="e">
        <f>AND(Plan!CN21,"AAAAAHzu//w=")</f>
        <v>#VALUE!</v>
      </c>
      <c r="IT9" t="e">
        <f>AND(Plan!CO21,"AAAAAHzu//0=")</f>
        <v>#VALUE!</v>
      </c>
      <c r="IU9" t="e">
        <f>AND(Plan!CP21,"AAAAAHzu//4=")</f>
        <v>#VALUE!</v>
      </c>
      <c r="IV9" t="e">
        <f>AND(Plan!CQ21,"AAAAAHzu//8=")</f>
        <v>#VALUE!</v>
      </c>
    </row>
    <row r="10" spans="1:256">
      <c r="A10" t="e">
        <f>AND(Plan!CR21,"AAAAAHP6vgA=")</f>
        <v>#VALUE!</v>
      </c>
      <c r="B10" t="e">
        <f>AND(Plan!CS21,"AAAAAHP6vgE=")</f>
        <v>#VALUE!</v>
      </c>
      <c r="C10" t="e">
        <f>AND(Plan!CT21,"AAAAAHP6vgI=")</f>
        <v>#VALUE!</v>
      </c>
      <c r="D10" t="e">
        <f>AND(Plan!CU21,"AAAAAHP6vgM=")</f>
        <v>#VALUE!</v>
      </c>
      <c r="E10" t="e">
        <f>AND(Plan!CV21,"AAAAAHP6vgQ=")</f>
        <v>#VALUE!</v>
      </c>
      <c r="F10" t="e">
        <f>AND(Plan!CW21,"AAAAAHP6vgU=")</f>
        <v>#VALUE!</v>
      </c>
      <c r="G10" t="str">
        <f>IF(Plan!22:22,"AAAAAHP6vgY=",0)</f>
        <v>AAAAAHP6vgY=</v>
      </c>
      <c r="H10" t="e">
        <f>AND(Plan!A22,"AAAAAHP6vgc=")</f>
        <v>#VALUE!</v>
      </c>
      <c r="I10" t="e">
        <f>AND(Plan!B22,"AAAAAHP6vgg=")</f>
        <v>#VALUE!</v>
      </c>
      <c r="J10" t="e">
        <f>AND(Plan!C22,"AAAAAHP6vgk=")</f>
        <v>#VALUE!</v>
      </c>
      <c r="K10" t="e">
        <f>AND(Plan!D22,"AAAAAHP6vgo=")</f>
        <v>#VALUE!</v>
      </c>
      <c r="L10" t="e">
        <f>AND(Plan!E22,"AAAAAHP6vgs=")</f>
        <v>#VALUE!</v>
      </c>
      <c r="M10" t="e">
        <f>AND(Plan!F22,"AAAAAHP6vgw=")</f>
        <v>#VALUE!</v>
      </c>
      <c r="N10" t="e">
        <f>AND(Plan!G22,"AAAAAHP6vg0=")</f>
        <v>#VALUE!</v>
      </c>
      <c r="O10" t="e">
        <f>AND(Plan!H22,"AAAAAHP6vg4=")</f>
        <v>#VALUE!</v>
      </c>
      <c r="P10" t="e">
        <f>AND(Plan!I22,"AAAAAHP6vg8=")</f>
        <v>#VALUE!</v>
      </c>
      <c r="Q10" t="e">
        <f>AND(Plan!J22,"AAAAAHP6vhA=")</f>
        <v>#VALUE!</v>
      </c>
      <c r="R10" t="e">
        <f>AND(Plan!K22,"AAAAAHP6vhE=")</f>
        <v>#VALUE!</v>
      </c>
      <c r="S10" t="e">
        <f>AND(Plan!L22,"AAAAAHP6vhI=")</f>
        <v>#VALUE!</v>
      </c>
      <c r="T10" t="e">
        <f>AND(Plan!M22,"AAAAAHP6vhM=")</f>
        <v>#VALUE!</v>
      </c>
      <c r="U10" t="e">
        <f>AND(Plan!N22,"AAAAAHP6vhQ=")</f>
        <v>#VALUE!</v>
      </c>
      <c r="V10" t="e">
        <f>AND(Plan!O22,"AAAAAHP6vhU=")</f>
        <v>#VALUE!</v>
      </c>
      <c r="W10" t="e">
        <f>AND(Plan!P22,"AAAAAHP6vhY=")</f>
        <v>#VALUE!</v>
      </c>
      <c r="X10" t="e">
        <f>AND(Plan!Q22,"AAAAAHP6vhc=")</f>
        <v>#VALUE!</v>
      </c>
      <c r="Y10" t="e">
        <f>AND(Plan!R22,"AAAAAHP6vhg=")</f>
        <v>#VALUE!</v>
      </c>
      <c r="Z10" t="e">
        <f>AND(Plan!S22,"AAAAAHP6vhk=")</f>
        <v>#VALUE!</v>
      </c>
      <c r="AA10" t="e">
        <f>AND(Plan!T22,"AAAAAHP6vho=")</f>
        <v>#VALUE!</v>
      </c>
      <c r="AB10" t="e">
        <f>AND(Plan!U22,"AAAAAHP6vhs=")</f>
        <v>#VALUE!</v>
      </c>
      <c r="AC10" t="e">
        <f>AND(Plan!V22,"AAAAAHP6vhw=")</f>
        <v>#VALUE!</v>
      </c>
      <c r="AD10" t="e">
        <f>AND(Plan!W22,"AAAAAHP6vh0=")</f>
        <v>#VALUE!</v>
      </c>
      <c r="AE10" t="e">
        <f>AND(Plan!X22,"AAAAAHP6vh4=")</f>
        <v>#VALUE!</v>
      </c>
      <c r="AF10" t="e">
        <f>AND(Plan!Y22,"AAAAAHP6vh8=")</f>
        <v>#VALUE!</v>
      </c>
      <c r="AG10" t="e">
        <f>AND(Plan!Z22,"AAAAAHP6viA=")</f>
        <v>#VALUE!</v>
      </c>
      <c r="AH10" t="e">
        <f>AND(Plan!AA22,"AAAAAHP6viE=")</f>
        <v>#VALUE!</v>
      </c>
      <c r="AI10" t="e">
        <f>AND(Plan!AB22,"AAAAAHP6viI=")</f>
        <v>#VALUE!</v>
      </c>
      <c r="AJ10" t="e">
        <f>AND(Plan!AC22,"AAAAAHP6viM=")</f>
        <v>#VALUE!</v>
      </c>
      <c r="AK10" t="e">
        <f>AND(Plan!AD22,"AAAAAHP6viQ=")</f>
        <v>#VALUE!</v>
      </c>
      <c r="AL10" t="e">
        <f>AND(Plan!AE22,"AAAAAHP6viU=")</f>
        <v>#VALUE!</v>
      </c>
      <c r="AM10" t="e">
        <f>AND(Plan!AF22,"AAAAAHP6viY=")</f>
        <v>#VALUE!</v>
      </c>
      <c r="AN10" t="e">
        <f>AND(Plan!AG22,"AAAAAHP6vic=")</f>
        <v>#VALUE!</v>
      </c>
      <c r="AO10" t="e">
        <f>AND(Plan!AH22,"AAAAAHP6vig=")</f>
        <v>#VALUE!</v>
      </c>
      <c r="AP10" t="e">
        <f>AND(Plan!AI22,"AAAAAHP6vik=")</f>
        <v>#VALUE!</v>
      </c>
      <c r="AQ10" t="e">
        <f>AND(Plan!AJ22,"AAAAAHP6vio=")</f>
        <v>#VALUE!</v>
      </c>
      <c r="AR10" t="e">
        <f>AND(Plan!AK22,"AAAAAHP6vis=")</f>
        <v>#VALUE!</v>
      </c>
      <c r="AS10" t="e">
        <f>AND(Plan!AL22,"AAAAAHP6viw=")</f>
        <v>#VALUE!</v>
      </c>
      <c r="AT10" t="e">
        <f>AND(Plan!AM22,"AAAAAHP6vi0=")</f>
        <v>#VALUE!</v>
      </c>
      <c r="AU10" t="e">
        <f>AND(Plan!AN22,"AAAAAHP6vi4=")</f>
        <v>#VALUE!</v>
      </c>
      <c r="AV10" t="e">
        <f>AND(Plan!AO22,"AAAAAHP6vi8=")</f>
        <v>#VALUE!</v>
      </c>
      <c r="AW10" t="e">
        <f>AND(Plan!AP22,"AAAAAHP6vjA=")</f>
        <v>#VALUE!</v>
      </c>
      <c r="AX10" t="e">
        <f>AND(Plan!AQ22,"AAAAAHP6vjE=")</f>
        <v>#VALUE!</v>
      </c>
      <c r="AY10" t="e">
        <f>AND(Plan!AR22,"AAAAAHP6vjI=")</f>
        <v>#VALUE!</v>
      </c>
      <c r="AZ10" t="e">
        <f>AND(Plan!AS22,"AAAAAHP6vjM=")</f>
        <v>#VALUE!</v>
      </c>
      <c r="BA10" t="e">
        <f>AND(Plan!AT22,"AAAAAHP6vjQ=")</f>
        <v>#VALUE!</v>
      </c>
      <c r="BB10" t="e">
        <f>AND(Plan!AU22,"AAAAAHP6vjU=")</f>
        <v>#VALUE!</v>
      </c>
      <c r="BC10" t="e">
        <f>AND(Plan!AV22,"AAAAAHP6vjY=")</f>
        <v>#VALUE!</v>
      </c>
      <c r="BD10" t="e">
        <f>AND(Plan!AW22,"AAAAAHP6vjc=")</f>
        <v>#VALUE!</v>
      </c>
      <c r="BE10" t="e">
        <f>AND(Plan!AX22,"AAAAAHP6vjg=")</f>
        <v>#VALUE!</v>
      </c>
      <c r="BF10" t="e">
        <f>AND(Plan!AY22,"AAAAAHP6vjk=")</f>
        <v>#VALUE!</v>
      </c>
      <c r="BG10" t="e">
        <f>AND(Plan!AZ22,"AAAAAHP6vjo=")</f>
        <v>#VALUE!</v>
      </c>
      <c r="BH10" t="e">
        <f>AND(Plan!BA22,"AAAAAHP6vjs=")</f>
        <v>#VALUE!</v>
      </c>
      <c r="BI10" t="e">
        <f>AND(Plan!BB22,"AAAAAHP6vjw=")</f>
        <v>#VALUE!</v>
      </c>
      <c r="BJ10" t="e">
        <f>AND(Plan!BC22,"AAAAAHP6vj0=")</f>
        <v>#VALUE!</v>
      </c>
      <c r="BK10" t="e">
        <f>AND(Plan!BD22,"AAAAAHP6vj4=")</f>
        <v>#VALUE!</v>
      </c>
      <c r="BL10" t="e">
        <f>AND(Plan!BE22,"AAAAAHP6vj8=")</f>
        <v>#VALUE!</v>
      </c>
      <c r="BM10" t="e">
        <f>AND(Plan!BF22,"AAAAAHP6vkA=")</f>
        <v>#VALUE!</v>
      </c>
      <c r="BN10" t="e">
        <f>AND(Plan!BG22,"AAAAAHP6vkE=")</f>
        <v>#VALUE!</v>
      </c>
      <c r="BO10" t="e">
        <f>AND(Plan!BH22,"AAAAAHP6vkI=")</f>
        <v>#VALUE!</v>
      </c>
      <c r="BP10" t="e">
        <f>AND(Plan!BI22,"AAAAAHP6vkM=")</f>
        <v>#VALUE!</v>
      </c>
      <c r="BQ10" t="e">
        <f>AND(Plan!BJ22,"AAAAAHP6vkQ=")</f>
        <v>#VALUE!</v>
      </c>
      <c r="BR10" t="e">
        <f>AND(Plan!BK22,"AAAAAHP6vkU=")</f>
        <v>#VALUE!</v>
      </c>
      <c r="BS10" t="e">
        <f>AND(Plan!BL22,"AAAAAHP6vkY=")</f>
        <v>#VALUE!</v>
      </c>
      <c r="BT10" t="e">
        <f>AND(Plan!BM22,"AAAAAHP6vkc=")</f>
        <v>#VALUE!</v>
      </c>
      <c r="BU10" t="e">
        <f>AND(Plan!BN22,"AAAAAHP6vkg=")</f>
        <v>#VALUE!</v>
      </c>
      <c r="BV10" t="e">
        <f>AND(Plan!BO22,"AAAAAHP6vkk=")</f>
        <v>#VALUE!</v>
      </c>
      <c r="BW10" t="e">
        <f>AND(Plan!BP22,"AAAAAHP6vko=")</f>
        <v>#VALUE!</v>
      </c>
      <c r="BX10" t="e">
        <f>AND(Plan!BQ22,"AAAAAHP6vks=")</f>
        <v>#VALUE!</v>
      </c>
      <c r="BY10" t="e">
        <f>AND(Plan!BR22,"AAAAAHP6vkw=")</f>
        <v>#VALUE!</v>
      </c>
      <c r="BZ10" t="e">
        <f>AND(Plan!BS22,"AAAAAHP6vk0=")</f>
        <v>#VALUE!</v>
      </c>
      <c r="CA10" t="e">
        <f>AND(Plan!BT22,"AAAAAHP6vk4=")</f>
        <v>#VALUE!</v>
      </c>
      <c r="CB10" t="e">
        <f>AND(Plan!BU22,"AAAAAHP6vk8=")</f>
        <v>#VALUE!</v>
      </c>
      <c r="CC10" t="e">
        <f>AND(Plan!BV22,"AAAAAHP6vlA=")</f>
        <v>#VALUE!</v>
      </c>
      <c r="CD10" t="e">
        <f>AND(Plan!BW22,"AAAAAHP6vlE=")</f>
        <v>#VALUE!</v>
      </c>
      <c r="CE10" t="e">
        <f>AND(Plan!BX22,"AAAAAHP6vlI=")</f>
        <v>#VALUE!</v>
      </c>
      <c r="CF10" t="e">
        <f>AND(Plan!BY22,"AAAAAHP6vlM=")</f>
        <v>#VALUE!</v>
      </c>
      <c r="CG10" t="e">
        <f>AND(Plan!BZ22,"AAAAAHP6vlQ=")</f>
        <v>#VALUE!</v>
      </c>
      <c r="CH10" t="e">
        <f>AND(Plan!CA22,"AAAAAHP6vlU=")</f>
        <v>#VALUE!</v>
      </c>
      <c r="CI10" t="e">
        <f>AND(Plan!CB22,"AAAAAHP6vlY=")</f>
        <v>#VALUE!</v>
      </c>
      <c r="CJ10" t="e">
        <f>AND(Plan!CC22,"AAAAAHP6vlc=")</f>
        <v>#VALUE!</v>
      </c>
      <c r="CK10" t="e">
        <f>AND(Plan!CD22,"AAAAAHP6vlg=")</f>
        <v>#VALUE!</v>
      </c>
      <c r="CL10" t="e">
        <f>AND(Plan!CE22,"AAAAAHP6vlk=")</f>
        <v>#VALUE!</v>
      </c>
      <c r="CM10" t="e">
        <f>AND(Plan!CF22,"AAAAAHP6vlo=")</f>
        <v>#VALUE!</v>
      </c>
      <c r="CN10" t="e">
        <f>AND(Plan!CG22,"AAAAAHP6vls=")</f>
        <v>#VALUE!</v>
      </c>
      <c r="CO10" t="e">
        <f>AND(Plan!CH22,"AAAAAHP6vlw=")</f>
        <v>#VALUE!</v>
      </c>
      <c r="CP10" t="e">
        <f>AND(Plan!CI22,"AAAAAHP6vl0=")</f>
        <v>#VALUE!</v>
      </c>
      <c r="CQ10" t="e">
        <f>AND(Plan!CJ22,"AAAAAHP6vl4=")</f>
        <v>#VALUE!</v>
      </c>
      <c r="CR10" t="e">
        <f>AND(Plan!CK22,"AAAAAHP6vl8=")</f>
        <v>#VALUE!</v>
      </c>
      <c r="CS10" t="e">
        <f>AND(Plan!CL22,"AAAAAHP6vmA=")</f>
        <v>#VALUE!</v>
      </c>
      <c r="CT10" t="e">
        <f>AND(Plan!CM22,"AAAAAHP6vmE=")</f>
        <v>#VALUE!</v>
      </c>
      <c r="CU10" t="e">
        <f>AND(Plan!CN22,"AAAAAHP6vmI=")</f>
        <v>#VALUE!</v>
      </c>
      <c r="CV10" t="e">
        <f>AND(Plan!CO22,"AAAAAHP6vmM=")</f>
        <v>#VALUE!</v>
      </c>
      <c r="CW10" t="e">
        <f>AND(Plan!CP22,"AAAAAHP6vmQ=")</f>
        <v>#VALUE!</v>
      </c>
      <c r="CX10" t="e">
        <f>AND(Plan!CQ22,"AAAAAHP6vmU=")</f>
        <v>#VALUE!</v>
      </c>
      <c r="CY10" t="e">
        <f>AND(Plan!CR22,"AAAAAHP6vmY=")</f>
        <v>#VALUE!</v>
      </c>
      <c r="CZ10" t="e">
        <f>AND(Plan!CS22,"AAAAAHP6vmc=")</f>
        <v>#VALUE!</v>
      </c>
      <c r="DA10" t="e">
        <f>AND(Plan!CT22,"AAAAAHP6vmg=")</f>
        <v>#VALUE!</v>
      </c>
      <c r="DB10" t="e">
        <f>AND(Plan!CU22,"AAAAAHP6vmk=")</f>
        <v>#VALUE!</v>
      </c>
      <c r="DC10" t="e">
        <f>AND(Plan!CV22,"AAAAAHP6vmo=")</f>
        <v>#VALUE!</v>
      </c>
      <c r="DD10" t="e">
        <f>AND(Plan!CW22,"AAAAAHP6vms=")</f>
        <v>#VALUE!</v>
      </c>
      <c r="DE10">
        <f>IF(Plan!23:23,"AAAAAHP6vmw=",0)</f>
        <v>0</v>
      </c>
      <c r="DF10" t="e">
        <f>AND(Plan!A23,"AAAAAHP6vm0=")</f>
        <v>#VALUE!</v>
      </c>
      <c r="DG10" t="e">
        <f>AND(Plan!B23,"AAAAAHP6vm4=")</f>
        <v>#VALUE!</v>
      </c>
      <c r="DH10" t="e">
        <f>AND(Plan!C23,"AAAAAHP6vm8=")</f>
        <v>#VALUE!</v>
      </c>
      <c r="DI10" t="e">
        <f>AND(Plan!D23,"AAAAAHP6vnA=")</f>
        <v>#VALUE!</v>
      </c>
      <c r="DJ10" t="e">
        <f>AND(Plan!E23,"AAAAAHP6vnE=")</f>
        <v>#VALUE!</v>
      </c>
      <c r="DK10" t="e">
        <f>AND(Plan!F23,"AAAAAHP6vnI=")</f>
        <v>#VALUE!</v>
      </c>
      <c r="DL10" t="e">
        <f>AND(Plan!G23,"AAAAAHP6vnM=")</f>
        <v>#VALUE!</v>
      </c>
      <c r="DM10" t="e">
        <f>AND(Plan!H23,"AAAAAHP6vnQ=")</f>
        <v>#VALUE!</v>
      </c>
      <c r="DN10" t="e">
        <f>AND(Plan!I23,"AAAAAHP6vnU=")</f>
        <v>#VALUE!</v>
      </c>
      <c r="DO10" t="e">
        <f>AND(Plan!J23,"AAAAAHP6vnY=")</f>
        <v>#VALUE!</v>
      </c>
      <c r="DP10" t="e">
        <f>AND(Plan!K23,"AAAAAHP6vnc=")</f>
        <v>#VALUE!</v>
      </c>
      <c r="DQ10" t="e">
        <f>AND(Plan!L23,"AAAAAHP6vng=")</f>
        <v>#VALUE!</v>
      </c>
      <c r="DR10" t="e">
        <f>AND(Plan!M23,"AAAAAHP6vnk=")</f>
        <v>#VALUE!</v>
      </c>
      <c r="DS10" t="e">
        <f>AND(Plan!N23,"AAAAAHP6vno=")</f>
        <v>#VALUE!</v>
      </c>
      <c r="DT10" t="e">
        <f>AND(Plan!O23,"AAAAAHP6vns=")</f>
        <v>#VALUE!</v>
      </c>
      <c r="DU10" t="e">
        <f>AND(Plan!P23,"AAAAAHP6vnw=")</f>
        <v>#VALUE!</v>
      </c>
      <c r="DV10" t="e">
        <f>AND(Plan!Q23,"AAAAAHP6vn0=")</f>
        <v>#VALUE!</v>
      </c>
      <c r="DW10" t="e">
        <f>AND(Plan!R23,"AAAAAHP6vn4=")</f>
        <v>#VALUE!</v>
      </c>
      <c r="DX10" t="e">
        <f>AND(Plan!S23,"AAAAAHP6vn8=")</f>
        <v>#VALUE!</v>
      </c>
      <c r="DY10" t="e">
        <f>AND(Plan!T23,"AAAAAHP6voA=")</f>
        <v>#VALUE!</v>
      </c>
      <c r="DZ10" t="e">
        <f>AND(Plan!U23,"AAAAAHP6voE=")</f>
        <v>#VALUE!</v>
      </c>
      <c r="EA10" t="e">
        <f>AND(Plan!V23,"AAAAAHP6voI=")</f>
        <v>#VALUE!</v>
      </c>
      <c r="EB10" t="e">
        <f>AND(Plan!W23,"AAAAAHP6voM=")</f>
        <v>#VALUE!</v>
      </c>
      <c r="EC10" t="e">
        <f>AND(Plan!X23,"AAAAAHP6voQ=")</f>
        <v>#VALUE!</v>
      </c>
      <c r="ED10" t="e">
        <f>AND(Plan!Y23,"AAAAAHP6voU=")</f>
        <v>#VALUE!</v>
      </c>
      <c r="EE10" t="e">
        <f>AND(Plan!Z23,"AAAAAHP6voY=")</f>
        <v>#VALUE!</v>
      </c>
      <c r="EF10" t="e">
        <f>AND(Plan!AA23,"AAAAAHP6voc=")</f>
        <v>#VALUE!</v>
      </c>
      <c r="EG10" t="e">
        <f>AND(Plan!AB23,"AAAAAHP6vog=")</f>
        <v>#VALUE!</v>
      </c>
      <c r="EH10" t="e">
        <f>AND(Plan!AC23,"AAAAAHP6vok=")</f>
        <v>#VALUE!</v>
      </c>
      <c r="EI10" t="e">
        <f>AND(Plan!AD23,"AAAAAHP6voo=")</f>
        <v>#VALUE!</v>
      </c>
      <c r="EJ10" t="e">
        <f>AND(Plan!AE23,"AAAAAHP6vos=")</f>
        <v>#VALUE!</v>
      </c>
      <c r="EK10" t="e">
        <f>AND(Plan!AF23,"AAAAAHP6vow=")</f>
        <v>#VALUE!</v>
      </c>
      <c r="EL10" t="e">
        <f>AND(Plan!AG23,"AAAAAHP6vo0=")</f>
        <v>#VALUE!</v>
      </c>
      <c r="EM10" t="e">
        <f>AND(Plan!AH23,"AAAAAHP6vo4=")</f>
        <v>#VALUE!</v>
      </c>
      <c r="EN10" t="e">
        <f>AND(Plan!AI23,"AAAAAHP6vo8=")</f>
        <v>#VALUE!</v>
      </c>
      <c r="EO10" t="e">
        <f>AND(Plan!AJ23,"AAAAAHP6vpA=")</f>
        <v>#VALUE!</v>
      </c>
      <c r="EP10" t="e">
        <f>AND(Plan!AK23,"AAAAAHP6vpE=")</f>
        <v>#VALUE!</v>
      </c>
      <c r="EQ10" t="e">
        <f>AND(Plan!AL23,"AAAAAHP6vpI=")</f>
        <v>#VALUE!</v>
      </c>
      <c r="ER10" t="e">
        <f>AND(Plan!AM23,"AAAAAHP6vpM=")</f>
        <v>#VALUE!</v>
      </c>
      <c r="ES10" t="e">
        <f>AND(Plan!AN23,"AAAAAHP6vpQ=")</f>
        <v>#VALUE!</v>
      </c>
      <c r="ET10" t="e">
        <f>AND(Plan!AO23,"AAAAAHP6vpU=")</f>
        <v>#VALUE!</v>
      </c>
      <c r="EU10" t="e">
        <f>AND(Plan!AP23,"AAAAAHP6vpY=")</f>
        <v>#VALUE!</v>
      </c>
      <c r="EV10" t="e">
        <f>AND(Plan!AQ23,"AAAAAHP6vpc=")</f>
        <v>#VALUE!</v>
      </c>
      <c r="EW10" t="e">
        <f>AND(Plan!AR23,"AAAAAHP6vpg=")</f>
        <v>#VALUE!</v>
      </c>
      <c r="EX10" t="e">
        <f>AND(Plan!AS23,"AAAAAHP6vpk=")</f>
        <v>#VALUE!</v>
      </c>
      <c r="EY10" t="e">
        <f>AND(Plan!AT23,"AAAAAHP6vpo=")</f>
        <v>#VALUE!</v>
      </c>
      <c r="EZ10" t="e">
        <f>AND(Plan!AU23,"AAAAAHP6vps=")</f>
        <v>#VALUE!</v>
      </c>
      <c r="FA10" t="e">
        <f>AND(Plan!AV23,"AAAAAHP6vpw=")</f>
        <v>#VALUE!</v>
      </c>
      <c r="FB10" t="e">
        <f>AND(Plan!AW23,"AAAAAHP6vp0=")</f>
        <v>#VALUE!</v>
      </c>
      <c r="FC10" t="e">
        <f>AND(Plan!AX23,"AAAAAHP6vp4=")</f>
        <v>#VALUE!</v>
      </c>
      <c r="FD10" t="e">
        <f>AND(Plan!AY23,"AAAAAHP6vp8=")</f>
        <v>#VALUE!</v>
      </c>
      <c r="FE10" t="e">
        <f>AND(Plan!AZ23,"AAAAAHP6vqA=")</f>
        <v>#VALUE!</v>
      </c>
      <c r="FF10" t="e">
        <f>AND(Plan!BA23,"AAAAAHP6vqE=")</f>
        <v>#VALUE!</v>
      </c>
      <c r="FG10" t="e">
        <f>AND(Plan!BB23,"AAAAAHP6vqI=")</f>
        <v>#VALUE!</v>
      </c>
      <c r="FH10" t="e">
        <f>AND(Plan!BC23,"AAAAAHP6vqM=")</f>
        <v>#VALUE!</v>
      </c>
      <c r="FI10" t="e">
        <f>AND(Plan!BD23,"AAAAAHP6vqQ=")</f>
        <v>#VALUE!</v>
      </c>
      <c r="FJ10" t="e">
        <f>AND(Plan!BE23,"AAAAAHP6vqU=")</f>
        <v>#VALUE!</v>
      </c>
      <c r="FK10" t="e">
        <f>AND(Plan!BF23,"AAAAAHP6vqY=")</f>
        <v>#VALUE!</v>
      </c>
      <c r="FL10" t="e">
        <f>AND(Plan!BG23,"AAAAAHP6vqc=")</f>
        <v>#VALUE!</v>
      </c>
      <c r="FM10" t="e">
        <f>AND(Plan!BH23,"AAAAAHP6vqg=")</f>
        <v>#VALUE!</v>
      </c>
      <c r="FN10" t="e">
        <f>AND(Plan!BI23,"AAAAAHP6vqk=")</f>
        <v>#VALUE!</v>
      </c>
      <c r="FO10" t="e">
        <f>AND(Plan!BJ23,"AAAAAHP6vqo=")</f>
        <v>#VALUE!</v>
      </c>
      <c r="FP10" t="e">
        <f>AND(Plan!BK23,"AAAAAHP6vqs=")</f>
        <v>#VALUE!</v>
      </c>
      <c r="FQ10" t="e">
        <f>AND(Plan!BL23,"AAAAAHP6vqw=")</f>
        <v>#VALUE!</v>
      </c>
      <c r="FR10" t="e">
        <f>AND(Plan!BM23,"AAAAAHP6vq0=")</f>
        <v>#VALUE!</v>
      </c>
      <c r="FS10" t="e">
        <f>AND(Plan!BN23,"AAAAAHP6vq4=")</f>
        <v>#VALUE!</v>
      </c>
      <c r="FT10" t="e">
        <f>AND(Plan!BO23,"AAAAAHP6vq8=")</f>
        <v>#VALUE!</v>
      </c>
      <c r="FU10" t="e">
        <f>AND(Plan!BP23,"AAAAAHP6vrA=")</f>
        <v>#VALUE!</v>
      </c>
      <c r="FV10" t="e">
        <f>AND(Plan!BQ23,"AAAAAHP6vrE=")</f>
        <v>#VALUE!</v>
      </c>
      <c r="FW10" t="e">
        <f>AND(Plan!BR23,"AAAAAHP6vrI=")</f>
        <v>#VALUE!</v>
      </c>
      <c r="FX10" t="e">
        <f>AND(Plan!BS23,"AAAAAHP6vrM=")</f>
        <v>#VALUE!</v>
      </c>
      <c r="FY10" t="e">
        <f>AND(Plan!BT23,"AAAAAHP6vrQ=")</f>
        <v>#VALUE!</v>
      </c>
      <c r="FZ10" t="e">
        <f>AND(Plan!BU23,"AAAAAHP6vrU=")</f>
        <v>#VALUE!</v>
      </c>
      <c r="GA10" t="e">
        <f>AND(Plan!BV23,"AAAAAHP6vrY=")</f>
        <v>#VALUE!</v>
      </c>
      <c r="GB10" t="e">
        <f>AND(Plan!BW23,"AAAAAHP6vrc=")</f>
        <v>#VALUE!</v>
      </c>
      <c r="GC10" t="e">
        <f>AND(Plan!BX23,"AAAAAHP6vrg=")</f>
        <v>#VALUE!</v>
      </c>
      <c r="GD10" t="e">
        <f>AND(Plan!BY23,"AAAAAHP6vrk=")</f>
        <v>#VALUE!</v>
      </c>
      <c r="GE10" t="e">
        <f>AND(Plan!BZ23,"AAAAAHP6vro=")</f>
        <v>#VALUE!</v>
      </c>
      <c r="GF10" t="e">
        <f>AND(Plan!CA23,"AAAAAHP6vrs=")</f>
        <v>#VALUE!</v>
      </c>
      <c r="GG10" t="e">
        <f>AND(Plan!CB23,"AAAAAHP6vrw=")</f>
        <v>#VALUE!</v>
      </c>
      <c r="GH10" t="e">
        <f>AND(Plan!CC23,"AAAAAHP6vr0=")</f>
        <v>#VALUE!</v>
      </c>
      <c r="GI10" t="e">
        <f>AND(Plan!CD23,"AAAAAHP6vr4=")</f>
        <v>#VALUE!</v>
      </c>
      <c r="GJ10" t="e">
        <f>AND(Plan!CE23,"AAAAAHP6vr8=")</f>
        <v>#VALUE!</v>
      </c>
      <c r="GK10" t="e">
        <f>AND(Plan!CF23,"AAAAAHP6vsA=")</f>
        <v>#VALUE!</v>
      </c>
      <c r="GL10" t="e">
        <f>AND(Plan!CG23,"AAAAAHP6vsE=")</f>
        <v>#VALUE!</v>
      </c>
      <c r="GM10" t="e">
        <f>AND(Plan!CH23,"AAAAAHP6vsI=")</f>
        <v>#VALUE!</v>
      </c>
      <c r="GN10" t="e">
        <f>AND(Plan!CI23,"AAAAAHP6vsM=")</f>
        <v>#VALUE!</v>
      </c>
      <c r="GO10" t="e">
        <f>AND(Plan!CJ23,"AAAAAHP6vsQ=")</f>
        <v>#VALUE!</v>
      </c>
      <c r="GP10" t="e">
        <f>AND(Plan!CK23,"AAAAAHP6vsU=")</f>
        <v>#VALUE!</v>
      </c>
      <c r="GQ10" t="e">
        <f>AND(Plan!CL23,"AAAAAHP6vsY=")</f>
        <v>#VALUE!</v>
      </c>
      <c r="GR10" t="e">
        <f>AND(Plan!CM23,"AAAAAHP6vsc=")</f>
        <v>#VALUE!</v>
      </c>
      <c r="GS10" t="e">
        <f>AND(Plan!CN23,"AAAAAHP6vsg=")</f>
        <v>#VALUE!</v>
      </c>
      <c r="GT10" t="e">
        <f>AND(Plan!CO23,"AAAAAHP6vsk=")</f>
        <v>#VALUE!</v>
      </c>
      <c r="GU10" t="e">
        <f>AND(Plan!CP23,"AAAAAHP6vso=")</f>
        <v>#VALUE!</v>
      </c>
      <c r="GV10" t="e">
        <f>AND(Plan!CQ23,"AAAAAHP6vss=")</f>
        <v>#VALUE!</v>
      </c>
      <c r="GW10" t="e">
        <f>AND(Plan!CR23,"AAAAAHP6vsw=")</f>
        <v>#VALUE!</v>
      </c>
      <c r="GX10" t="e">
        <f>AND(Plan!CS23,"AAAAAHP6vs0=")</f>
        <v>#VALUE!</v>
      </c>
      <c r="GY10" t="e">
        <f>AND(Plan!CT23,"AAAAAHP6vs4=")</f>
        <v>#VALUE!</v>
      </c>
      <c r="GZ10" t="e">
        <f>AND(Plan!CU23,"AAAAAHP6vs8=")</f>
        <v>#VALUE!</v>
      </c>
      <c r="HA10" t="e">
        <f>AND(Plan!CV23,"AAAAAHP6vtA=")</f>
        <v>#VALUE!</v>
      </c>
      <c r="HB10" t="e">
        <f>AND(Plan!CW23,"AAAAAHP6vtE=")</f>
        <v>#VALUE!</v>
      </c>
      <c r="HC10">
        <f>IF(Plan!24:24,"AAAAAHP6vtI=",0)</f>
        <v>0</v>
      </c>
      <c r="HD10" t="e">
        <f>AND(Plan!A24,"AAAAAHP6vtM=")</f>
        <v>#VALUE!</v>
      </c>
      <c r="HE10" t="e">
        <f>AND(Plan!B24,"AAAAAHP6vtQ=")</f>
        <v>#VALUE!</v>
      </c>
      <c r="HF10" t="e">
        <f>AND(Plan!C24,"AAAAAHP6vtU=")</f>
        <v>#VALUE!</v>
      </c>
      <c r="HG10" t="e">
        <f>AND(Plan!D24,"AAAAAHP6vtY=")</f>
        <v>#VALUE!</v>
      </c>
      <c r="HH10" t="e">
        <f>AND(Plan!E24,"AAAAAHP6vtc=")</f>
        <v>#VALUE!</v>
      </c>
      <c r="HI10" t="e">
        <f>AND(Plan!F24,"AAAAAHP6vtg=")</f>
        <v>#VALUE!</v>
      </c>
      <c r="HJ10" t="e">
        <f>AND(Plan!G24,"AAAAAHP6vtk=")</f>
        <v>#VALUE!</v>
      </c>
      <c r="HK10" t="e">
        <f>AND(Plan!H24,"AAAAAHP6vto=")</f>
        <v>#VALUE!</v>
      </c>
      <c r="HL10" t="e">
        <f>AND(Plan!I24,"AAAAAHP6vts=")</f>
        <v>#VALUE!</v>
      </c>
      <c r="HM10" t="e">
        <f>AND(Plan!J24,"AAAAAHP6vtw=")</f>
        <v>#VALUE!</v>
      </c>
      <c r="HN10" t="e">
        <f>AND(Plan!K24,"AAAAAHP6vt0=")</f>
        <v>#VALUE!</v>
      </c>
      <c r="HO10" t="e">
        <f>AND(Plan!L24,"AAAAAHP6vt4=")</f>
        <v>#VALUE!</v>
      </c>
      <c r="HP10" t="e">
        <f>AND(Plan!M24,"AAAAAHP6vt8=")</f>
        <v>#VALUE!</v>
      </c>
      <c r="HQ10" t="e">
        <f>AND(Plan!N24,"AAAAAHP6vuA=")</f>
        <v>#VALUE!</v>
      </c>
      <c r="HR10" t="e">
        <f>AND(Plan!O24,"AAAAAHP6vuE=")</f>
        <v>#VALUE!</v>
      </c>
      <c r="HS10" t="e">
        <f>AND(Plan!P24,"AAAAAHP6vuI=")</f>
        <v>#VALUE!</v>
      </c>
      <c r="HT10" t="e">
        <f>AND(Plan!Q24,"AAAAAHP6vuM=")</f>
        <v>#VALUE!</v>
      </c>
      <c r="HU10" t="e">
        <f>AND(Plan!R24,"AAAAAHP6vuQ=")</f>
        <v>#VALUE!</v>
      </c>
      <c r="HV10" t="e">
        <f>AND(Plan!S24,"AAAAAHP6vuU=")</f>
        <v>#VALUE!</v>
      </c>
      <c r="HW10" t="e">
        <f>AND(Plan!T24,"AAAAAHP6vuY=")</f>
        <v>#VALUE!</v>
      </c>
      <c r="HX10" t="e">
        <f>AND(Plan!U24,"AAAAAHP6vuc=")</f>
        <v>#VALUE!</v>
      </c>
      <c r="HY10" t="e">
        <f>AND(Plan!V24,"AAAAAHP6vug=")</f>
        <v>#VALUE!</v>
      </c>
      <c r="HZ10" t="e">
        <f>AND(Plan!W24,"AAAAAHP6vuk=")</f>
        <v>#VALUE!</v>
      </c>
      <c r="IA10" t="e">
        <f>AND(Plan!X24,"AAAAAHP6vuo=")</f>
        <v>#VALUE!</v>
      </c>
      <c r="IB10" t="e">
        <f>AND(Plan!Y24,"AAAAAHP6vus=")</f>
        <v>#VALUE!</v>
      </c>
      <c r="IC10" t="e">
        <f>AND(Plan!Z24,"AAAAAHP6vuw=")</f>
        <v>#VALUE!</v>
      </c>
      <c r="ID10" t="e">
        <f>AND(Plan!AA24,"AAAAAHP6vu0=")</f>
        <v>#VALUE!</v>
      </c>
      <c r="IE10" t="e">
        <f>AND(Plan!AB24,"AAAAAHP6vu4=")</f>
        <v>#VALUE!</v>
      </c>
      <c r="IF10" t="e">
        <f>AND(Plan!AC24,"AAAAAHP6vu8=")</f>
        <v>#VALUE!</v>
      </c>
      <c r="IG10" t="e">
        <f>AND(Plan!AD24,"AAAAAHP6vvA=")</f>
        <v>#VALUE!</v>
      </c>
      <c r="IH10" t="e">
        <f>AND(Plan!AE24,"AAAAAHP6vvE=")</f>
        <v>#VALUE!</v>
      </c>
      <c r="II10" t="e">
        <f>AND(Plan!AF24,"AAAAAHP6vvI=")</f>
        <v>#VALUE!</v>
      </c>
      <c r="IJ10" t="e">
        <f>AND(Plan!AG24,"AAAAAHP6vvM=")</f>
        <v>#VALUE!</v>
      </c>
      <c r="IK10" t="e">
        <f>AND(Plan!AH24,"AAAAAHP6vvQ=")</f>
        <v>#VALUE!</v>
      </c>
      <c r="IL10" t="e">
        <f>AND(Plan!AI24,"AAAAAHP6vvU=")</f>
        <v>#VALUE!</v>
      </c>
      <c r="IM10" t="e">
        <f>AND(Plan!AJ24,"AAAAAHP6vvY=")</f>
        <v>#VALUE!</v>
      </c>
      <c r="IN10" t="e">
        <f>AND(Plan!AK24,"AAAAAHP6vvc=")</f>
        <v>#VALUE!</v>
      </c>
      <c r="IO10" t="e">
        <f>AND(Plan!AL24,"AAAAAHP6vvg=")</f>
        <v>#VALUE!</v>
      </c>
      <c r="IP10" t="e">
        <f>AND(Plan!AM24,"AAAAAHP6vvk=")</f>
        <v>#VALUE!</v>
      </c>
      <c r="IQ10" t="e">
        <f>AND(Plan!AN24,"AAAAAHP6vvo=")</f>
        <v>#VALUE!</v>
      </c>
      <c r="IR10" t="e">
        <f>AND(Plan!AO24,"AAAAAHP6vvs=")</f>
        <v>#VALUE!</v>
      </c>
      <c r="IS10" t="e">
        <f>AND(Plan!AP24,"AAAAAHP6vvw=")</f>
        <v>#VALUE!</v>
      </c>
      <c r="IT10" t="e">
        <f>AND(Plan!AQ24,"AAAAAHP6vv0=")</f>
        <v>#VALUE!</v>
      </c>
      <c r="IU10" t="e">
        <f>AND(Plan!AR24,"AAAAAHP6vv4=")</f>
        <v>#VALUE!</v>
      </c>
      <c r="IV10" t="e">
        <f>AND(Plan!AS24,"AAAAAHP6vv8=")</f>
        <v>#VALUE!</v>
      </c>
    </row>
    <row r="11" spans="1:256">
      <c r="A11" t="e">
        <f>AND(Plan!AT24,"AAAAAC/9dgA=")</f>
        <v>#VALUE!</v>
      </c>
      <c r="B11" t="e">
        <f>AND(Plan!AU24,"AAAAAC/9dgE=")</f>
        <v>#VALUE!</v>
      </c>
      <c r="C11" t="e">
        <f>AND(Plan!AV24,"AAAAAC/9dgI=")</f>
        <v>#VALUE!</v>
      </c>
      <c r="D11" t="e">
        <f>AND(Plan!AW24,"AAAAAC/9dgM=")</f>
        <v>#VALUE!</v>
      </c>
      <c r="E11" t="e">
        <f>AND(Plan!AX24,"AAAAAC/9dgQ=")</f>
        <v>#VALUE!</v>
      </c>
      <c r="F11" t="e">
        <f>AND(Plan!AY24,"AAAAAC/9dgU=")</f>
        <v>#VALUE!</v>
      </c>
      <c r="G11" t="e">
        <f>AND(Plan!AZ24,"AAAAAC/9dgY=")</f>
        <v>#VALUE!</v>
      </c>
      <c r="H11" t="e">
        <f>AND(Plan!BA24,"AAAAAC/9dgc=")</f>
        <v>#VALUE!</v>
      </c>
      <c r="I11" t="e">
        <f>AND(Plan!BB24,"AAAAAC/9dgg=")</f>
        <v>#VALUE!</v>
      </c>
      <c r="J11" t="e">
        <f>AND(Plan!BC24,"AAAAAC/9dgk=")</f>
        <v>#VALUE!</v>
      </c>
      <c r="K11" t="e">
        <f>AND(Plan!BD24,"AAAAAC/9dgo=")</f>
        <v>#VALUE!</v>
      </c>
      <c r="L11" t="e">
        <f>AND(Plan!BE24,"AAAAAC/9dgs=")</f>
        <v>#VALUE!</v>
      </c>
      <c r="M11" t="e">
        <f>AND(Plan!BF24,"AAAAAC/9dgw=")</f>
        <v>#VALUE!</v>
      </c>
      <c r="N11" t="e">
        <f>AND(Plan!BG24,"AAAAAC/9dg0=")</f>
        <v>#VALUE!</v>
      </c>
      <c r="O11" t="e">
        <f>AND(Plan!BH24,"AAAAAC/9dg4=")</f>
        <v>#VALUE!</v>
      </c>
      <c r="P11" t="e">
        <f>AND(Plan!BI24,"AAAAAC/9dg8=")</f>
        <v>#VALUE!</v>
      </c>
      <c r="Q11" t="e">
        <f>AND(Plan!BJ24,"AAAAAC/9dhA=")</f>
        <v>#VALUE!</v>
      </c>
      <c r="R11" t="e">
        <f>AND(Plan!BK24,"AAAAAC/9dhE=")</f>
        <v>#VALUE!</v>
      </c>
      <c r="S11" t="e">
        <f>AND(Plan!BL24,"AAAAAC/9dhI=")</f>
        <v>#VALUE!</v>
      </c>
      <c r="T11" t="e">
        <f>AND(Plan!BM24,"AAAAAC/9dhM=")</f>
        <v>#VALUE!</v>
      </c>
      <c r="U11" t="e">
        <f>AND(Plan!BN24,"AAAAAC/9dhQ=")</f>
        <v>#VALUE!</v>
      </c>
      <c r="V11" t="e">
        <f>AND(Plan!BO24,"AAAAAC/9dhU=")</f>
        <v>#VALUE!</v>
      </c>
      <c r="W11" t="e">
        <f>AND(Plan!BP24,"AAAAAC/9dhY=")</f>
        <v>#VALUE!</v>
      </c>
      <c r="X11" t="e">
        <f>AND(Plan!BQ24,"AAAAAC/9dhc=")</f>
        <v>#VALUE!</v>
      </c>
      <c r="Y11" t="e">
        <f>AND(Plan!BR24,"AAAAAC/9dhg=")</f>
        <v>#VALUE!</v>
      </c>
      <c r="Z11" t="e">
        <f>AND(Plan!BS24,"AAAAAC/9dhk=")</f>
        <v>#VALUE!</v>
      </c>
      <c r="AA11" t="e">
        <f>AND(Plan!BT24,"AAAAAC/9dho=")</f>
        <v>#VALUE!</v>
      </c>
      <c r="AB11" t="e">
        <f>AND(Plan!BU24,"AAAAAC/9dhs=")</f>
        <v>#VALUE!</v>
      </c>
      <c r="AC11" t="e">
        <f>AND(Plan!BV24,"AAAAAC/9dhw=")</f>
        <v>#VALUE!</v>
      </c>
      <c r="AD11" t="e">
        <f>AND(Plan!BW24,"AAAAAC/9dh0=")</f>
        <v>#VALUE!</v>
      </c>
      <c r="AE11" t="e">
        <f>AND(Plan!BX24,"AAAAAC/9dh4=")</f>
        <v>#VALUE!</v>
      </c>
      <c r="AF11" t="e">
        <f>AND(Plan!BY24,"AAAAAC/9dh8=")</f>
        <v>#VALUE!</v>
      </c>
      <c r="AG11" t="e">
        <f>AND(Plan!BZ24,"AAAAAC/9diA=")</f>
        <v>#VALUE!</v>
      </c>
      <c r="AH11" t="e">
        <f>AND(Plan!CA24,"AAAAAC/9diE=")</f>
        <v>#VALUE!</v>
      </c>
      <c r="AI11" t="e">
        <f>AND(Plan!CB24,"AAAAAC/9diI=")</f>
        <v>#VALUE!</v>
      </c>
      <c r="AJ11" t="e">
        <f>AND(Plan!CC24,"AAAAAC/9diM=")</f>
        <v>#VALUE!</v>
      </c>
      <c r="AK11" t="e">
        <f>AND(Plan!CD24,"AAAAAC/9diQ=")</f>
        <v>#VALUE!</v>
      </c>
      <c r="AL11" t="e">
        <f>AND(Plan!CE24,"AAAAAC/9diU=")</f>
        <v>#VALUE!</v>
      </c>
      <c r="AM11" t="e">
        <f>AND(Plan!CF24,"AAAAAC/9diY=")</f>
        <v>#VALUE!</v>
      </c>
      <c r="AN11" t="e">
        <f>AND(Plan!CG24,"AAAAAC/9dic=")</f>
        <v>#VALUE!</v>
      </c>
      <c r="AO11" t="e">
        <f>AND(Plan!CH24,"AAAAAC/9dig=")</f>
        <v>#VALUE!</v>
      </c>
      <c r="AP11" t="e">
        <f>AND(Plan!CI24,"AAAAAC/9dik=")</f>
        <v>#VALUE!</v>
      </c>
      <c r="AQ11" t="e">
        <f>AND(Plan!CJ24,"AAAAAC/9dio=")</f>
        <v>#VALUE!</v>
      </c>
      <c r="AR11" t="e">
        <f>AND(Plan!CK24,"AAAAAC/9dis=")</f>
        <v>#VALUE!</v>
      </c>
      <c r="AS11" t="e">
        <f>AND(Plan!CL24,"AAAAAC/9diw=")</f>
        <v>#VALUE!</v>
      </c>
      <c r="AT11" t="e">
        <f>AND(Plan!CM24,"AAAAAC/9di0=")</f>
        <v>#VALUE!</v>
      </c>
      <c r="AU11" t="e">
        <f>AND(Plan!CN24,"AAAAAC/9di4=")</f>
        <v>#VALUE!</v>
      </c>
      <c r="AV11" t="e">
        <f>AND(Plan!CO24,"AAAAAC/9di8=")</f>
        <v>#VALUE!</v>
      </c>
      <c r="AW11" t="e">
        <f>AND(Plan!CP24,"AAAAAC/9djA=")</f>
        <v>#VALUE!</v>
      </c>
      <c r="AX11" t="e">
        <f>AND(Plan!CQ24,"AAAAAC/9djE=")</f>
        <v>#VALUE!</v>
      </c>
      <c r="AY11" t="e">
        <f>AND(Plan!CR24,"AAAAAC/9djI=")</f>
        <v>#VALUE!</v>
      </c>
      <c r="AZ11" t="e">
        <f>AND(Plan!CS24,"AAAAAC/9djM=")</f>
        <v>#VALUE!</v>
      </c>
      <c r="BA11" t="e">
        <f>AND(Plan!CT24,"AAAAAC/9djQ=")</f>
        <v>#VALUE!</v>
      </c>
      <c r="BB11" t="e">
        <f>AND(Plan!CU24,"AAAAAC/9djU=")</f>
        <v>#VALUE!</v>
      </c>
      <c r="BC11" t="e">
        <f>AND(Plan!CV24,"AAAAAC/9djY=")</f>
        <v>#VALUE!</v>
      </c>
      <c r="BD11" t="e">
        <f>AND(Plan!CW24,"AAAAAC/9djc=")</f>
        <v>#VALUE!</v>
      </c>
      <c r="BE11">
        <f>IF(Plan!25:25,"AAAAAC/9djg=",0)</f>
        <v>0</v>
      </c>
      <c r="BF11" t="e">
        <f>AND(Plan!A25,"AAAAAC/9djk=")</f>
        <v>#VALUE!</v>
      </c>
      <c r="BG11" t="e">
        <f>AND(Plan!B25,"AAAAAC/9djo=")</f>
        <v>#VALUE!</v>
      </c>
      <c r="BH11" t="e">
        <f>AND(Plan!C25,"AAAAAC/9djs=")</f>
        <v>#VALUE!</v>
      </c>
      <c r="BI11" t="e">
        <f>AND(Plan!D25,"AAAAAC/9djw=")</f>
        <v>#VALUE!</v>
      </c>
      <c r="BJ11" t="e">
        <f>AND(Plan!E25,"AAAAAC/9dj0=")</f>
        <v>#VALUE!</v>
      </c>
      <c r="BK11" t="e">
        <f>AND(Plan!F25,"AAAAAC/9dj4=")</f>
        <v>#VALUE!</v>
      </c>
      <c r="BL11" t="e">
        <f>AND(Plan!G25,"AAAAAC/9dj8=")</f>
        <v>#VALUE!</v>
      </c>
      <c r="BM11" t="e">
        <f>AND(Plan!H25,"AAAAAC/9dkA=")</f>
        <v>#VALUE!</v>
      </c>
      <c r="BN11" t="e">
        <f>AND(Plan!I25,"AAAAAC/9dkE=")</f>
        <v>#VALUE!</v>
      </c>
      <c r="BO11" t="e">
        <f>AND(Plan!J25,"AAAAAC/9dkI=")</f>
        <v>#VALUE!</v>
      </c>
      <c r="BP11" t="e">
        <f>AND(Plan!K25,"AAAAAC/9dkM=")</f>
        <v>#VALUE!</v>
      </c>
      <c r="BQ11" t="e">
        <f>AND(Plan!L25,"AAAAAC/9dkQ=")</f>
        <v>#VALUE!</v>
      </c>
      <c r="BR11" t="e">
        <f>AND(Plan!M25,"AAAAAC/9dkU=")</f>
        <v>#VALUE!</v>
      </c>
      <c r="BS11" t="e">
        <f>AND(Plan!N25,"AAAAAC/9dkY=")</f>
        <v>#VALUE!</v>
      </c>
      <c r="BT11" t="e">
        <f>AND(Plan!O25,"AAAAAC/9dkc=")</f>
        <v>#VALUE!</v>
      </c>
      <c r="BU11" t="e">
        <f>AND(Plan!P25,"AAAAAC/9dkg=")</f>
        <v>#VALUE!</v>
      </c>
      <c r="BV11" t="e">
        <f>AND(Plan!Q25,"AAAAAC/9dkk=")</f>
        <v>#VALUE!</v>
      </c>
      <c r="BW11" t="e">
        <f>AND(Plan!R25,"AAAAAC/9dko=")</f>
        <v>#VALUE!</v>
      </c>
      <c r="BX11" t="e">
        <f>AND(Plan!S25,"AAAAAC/9dks=")</f>
        <v>#VALUE!</v>
      </c>
      <c r="BY11" t="e">
        <f>AND(Plan!T25,"AAAAAC/9dkw=")</f>
        <v>#VALUE!</v>
      </c>
      <c r="BZ11" t="e">
        <f>AND(Plan!U25,"AAAAAC/9dk0=")</f>
        <v>#VALUE!</v>
      </c>
      <c r="CA11" t="e">
        <f>AND(Plan!V25,"AAAAAC/9dk4=")</f>
        <v>#VALUE!</v>
      </c>
      <c r="CB11" t="e">
        <f>AND(Plan!W25,"AAAAAC/9dk8=")</f>
        <v>#VALUE!</v>
      </c>
      <c r="CC11" t="e">
        <f>AND(Plan!X25,"AAAAAC/9dlA=")</f>
        <v>#VALUE!</v>
      </c>
      <c r="CD11" t="e">
        <f>AND(Plan!Y25,"AAAAAC/9dlE=")</f>
        <v>#VALUE!</v>
      </c>
      <c r="CE11" t="e">
        <f>AND(Plan!Z25,"AAAAAC/9dlI=")</f>
        <v>#VALUE!</v>
      </c>
      <c r="CF11" t="e">
        <f>AND(Plan!AA25,"AAAAAC/9dlM=")</f>
        <v>#VALUE!</v>
      </c>
      <c r="CG11" t="e">
        <f>AND(Plan!AB25,"AAAAAC/9dlQ=")</f>
        <v>#VALUE!</v>
      </c>
      <c r="CH11" t="e">
        <f>AND(Plan!AC25,"AAAAAC/9dlU=")</f>
        <v>#VALUE!</v>
      </c>
      <c r="CI11" t="e">
        <f>AND(Plan!AD25,"AAAAAC/9dlY=")</f>
        <v>#VALUE!</v>
      </c>
      <c r="CJ11" t="e">
        <f>AND(Plan!AE25,"AAAAAC/9dlc=")</f>
        <v>#VALUE!</v>
      </c>
      <c r="CK11" t="e">
        <f>AND(Plan!AF25,"AAAAAC/9dlg=")</f>
        <v>#VALUE!</v>
      </c>
      <c r="CL11" t="e">
        <f>AND(Plan!AG25,"AAAAAC/9dlk=")</f>
        <v>#VALUE!</v>
      </c>
      <c r="CM11" t="e">
        <f>AND(Plan!AH25,"AAAAAC/9dlo=")</f>
        <v>#VALUE!</v>
      </c>
      <c r="CN11" t="e">
        <f>AND(Plan!AI25,"AAAAAC/9dls=")</f>
        <v>#VALUE!</v>
      </c>
      <c r="CO11" t="e">
        <f>AND(Plan!AJ25,"AAAAAC/9dlw=")</f>
        <v>#VALUE!</v>
      </c>
      <c r="CP11" t="e">
        <f>AND(Plan!AK25,"AAAAAC/9dl0=")</f>
        <v>#VALUE!</v>
      </c>
      <c r="CQ11" t="e">
        <f>AND(Plan!AL25,"AAAAAC/9dl4=")</f>
        <v>#VALUE!</v>
      </c>
      <c r="CR11" t="e">
        <f>AND(Plan!AM25,"AAAAAC/9dl8=")</f>
        <v>#VALUE!</v>
      </c>
      <c r="CS11" t="e">
        <f>AND(Plan!AN25,"AAAAAC/9dmA=")</f>
        <v>#VALUE!</v>
      </c>
      <c r="CT11" t="e">
        <f>AND(Plan!AO25,"AAAAAC/9dmE=")</f>
        <v>#VALUE!</v>
      </c>
      <c r="CU11" t="e">
        <f>AND(Plan!AP25,"AAAAAC/9dmI=")</f>
        <v>#VALUE!</v>
      </c>
      <c r="CV11" t="e">
        <f>AND(Plan!AQ25,"AAAAAC/9dmM=")</f>
        <v>#VALUE!</v>
      </c>
      <c r="CW11" t="e">
        <f>AND(Plan!AR25,"AAAAAC/9dmQ=")</f>
        <v>#VALUE!</v>
      </c>
      <c r="CX11" t="e">
        <f>AND(Plan!AS25,"AAAAAC/9dmU=")</f>
        <v>#VALUE!</v>
      </c>
      <c r="CY11" t="e">
        <f>AND(Plan!AT25,"AAAAAC/9dmY=")</f>
        <v>#VALUE!</v>
      </c>
      <c r="CZ11" t="e">
        <f>AND(Plan!AU25,"AAAAAC/9dmc=")</f>
        <v>#VALUE!</v>
      </c>
      <c r="DA11" t="e">
        <f>AND(Plan!AV25,"AAAAAC/9dmg=")</f>
        <v>#VALUE!</v>
      </c>
      <c r="DB11" t="e">
        <f>AND(Plan!AW25,"AAAAAC/9dmk=")</f>
        <v>#VALUE!</v>
      </c>
      <c r="DC11" t="e">
        <f>AND(Plan!AX25,"AAAAAC/9dmo=")</f>
        <v>#VALUE!</v>
      </c>
      <c r="DD11" t="e">
        <f>AND(Plan!AY25,"AAAAAC/9dms=")</f>
        <v>#VALUE!</v>
      </c>
      <c r="DE11" t="e">
        <f>AND(Plan!AZ25,"AAAAAC/9dmw=")</f>
        <v>#VALUE!</v>
      </c>
      <c r="DF11" t="e">
        <f>AND(Plan!BA25,"AAAAAC/9dm0=")</f>
        <v>#VALUE!</v>
      </c>
      <c r="DG11" t="e">
        <f>AND(Plan!BB25,"AAAAAC/9dm4=")</f>
        <v>#VALUE!</v>
      </c>
      <c r="DH11" t="e">
        <f>AND(Plan!BC25,"AAAAAC/9dm8=")</f>
        <v>#VALUE!</v>
      </c>
      <c r="DI11" t="e">
        <f>AND(Plan!BD25,"AAAAAC/9dnA=")</f>
        <v>#VALUE!</v>
      </c>
      <c r="DJ11" t="e">
        <f>AND(Plan!BE25,"AAAAAC/9dnE=")</f>
        <v>#VALUE!</v>
      </c>
      <c r="DK11" t="e">
        <f>AND(Plan!BF25,"AAAAAC/9dnI=")</f>
        <v>#VALUE!</v>
      </c>
      <c r="DL11" t="e">
        <f>AND(Plan!BG25,"AAAAAC/9dnM=")</f>
        <v>#VALUE!</v>
      </c>
      <c r="DM11" t="e">
        <f>AND(Plan!BH25,"AAAAAC/9dnQ=")</f>
        <v>#VALUE!</v>
      </c>
      <c r="DN11" t="e">
        <f>AND(Plan!BI25,"AAAAAC/9dnU=")</f>
        <v>#VALUE!</v>
      </c>
      <c r="DO11" t="e">
        <f>AND(Plan!BJ25,"AAAAAC/9dnY=")</f>
        <v>#VALUE!</v>
      </c>
      <c r="DP11" t="e">
        <f>AND(Plan!BK25,"AAAAAC/9dnc=")</f>
        <v>#VALUE!</v>
      </c>
      <c r="DQ11" t="e">
        <f>AND(Plan!BL25,"AAAAAC/9dng=")</f>
        <v>#VALUE!</v>
      </c>
      <c r="DR11" t="e">
        <f>AND(Plan!BM25,"AAAAAC/9dnk=")</f>
        <v>#VALUE!</v>
      </c>
      <c r="DS11" t="e">
        <f>AND(Plan!BN25,"AAAAAC/9dno=")</f>
        <v>#VALUE!</v>
      </c>
      <c r="DT11" t="e">
        <f>AND(Plan!BO25,"AAAAAC/9dns=")</f>
        <v>#VALUE!</v>
      </c>
      <c r="DU11" t="e">
        <f>AND(Plan!BP25,"AAAAAC/9dnw=")</f>
        <v>#VALUE!</v>
      </c>
      <c r="DV11" t="e">
        <f>AND(Plan!BQ25,"AAAAAC/9dn0=")</f>
        <v>#VALUE!</v>
      </c>
      <c r="DW11" t="e">
        <f>AND(Plan!BR25,"AAAAAC/9dn4=")</f>
        <v>#VALUE!</v>
      </c>
      <c r="DX11" t="e">
        <f>AND(Plan!BS25,"AAAAAC/9dn8=")</f>
        <v>#VALUE!</v>
      </c>
      <c r="DY11" t="e">
        <f>AND(Plan!BT25,"AAAAAC/9doA=")</f>
        <v>#VALUE!</v>
      </c>
      <c r="DZ11" t="e">
        <f>AND(Plan!BU25,"AAAAAC/9doE=")</f>
        <v>#VALUE!</v>
      </c>
      <c r="EA11" t="e">
        <f>AND(Plan!BV25,"AAAAAC/9doI=")</f>
        <v>#VALUE!</v>
      </c>
      <c r="EB11" t="e">
        <f>AND(Plan!BW25,"AAAAAC/9doM=")</f>
        <v>#VALUE!</v>
      </c>
      <c r="EC11" t="e">
        <f>AND(Plan!BX25,"AAAAAC/9doQ=")</f>
        <v>#VALUE!</v>
      </c>
      <c r="ED11" t="e">
        <f>AND(Plan!BY25,"AAAAAC/9doU=")</f>
        <v>#VALUE!</v>
      </c>
      <c r="EE11" t="e">
        <f>AND(Plan!BZ25,"AAAAAC/9doY=")</f>
        <v>#VALUE!</v>
      </c>
      <c r="EF11" t="e">
        <f>AND(Plan!CA25,"AAAAAC/9doc=")</f>
        <v>#VALUE!</v>
      </c>
      <c r="EG11" t="e">
        <f>AND(Plan!CB25,"AAAAAC/9dog=")</f>
        <v>#VALUE!</v>
      </c>
      <c r="EH11" t="e">
        <f>AND(Plan!CC25,"AAAAAC/9dok=")</f>
        <v>#VALUE!</v>
      </c>
      <c r="EI11" t="e">
        <f>AND(Plan!CD25,"AAAAAC/9doo=")</f>
        <v>#VALUE!</v>
      </c>
      <c r="EJ11" t="e">
        <f>AND(Plan!CE25,"AAAAAC/9dos=")</f>
        <v>#VALUE!</v>
      </c>
      <c r="EK11" t="e">
        <f>AND(Plan!CF25,"AAAAAC/9dow=")</f>
        <v>#VALUE!</v>
      </c>
      <c r="EL11" t="e">
        <f>AND(Plan!CG25,"AAAAAC/9do0=")</f>
        <v>#VALUE!</v>
      </c>
      <c r="EM11" t="e">
        <f>AND(Plan!CH25,"AAAAAC/9do4=")</f>
        <v>#VALUE!</v>
      </c>
      <c r="EN11" t="e">
        <f>AND(Plan!CI25,"AAAAAC/9do8=")</f>
        <v>#VALUE!</v>
      </c>
      <c r="EO11" t="e">
        <f>AND(Plan!CJ25,"AAAAAC/9dpA=")</f>
        <v>#VALUE!</v>
      </c>
      <c r="EP11" t="e">
        <f>AND(Plan!CK25,"AAAAAC/9dpE=")</f>
        <v>#VALUE!</v>
      </c>
      <c r="EQ11" t="e">
        <f>AND(Plan!CL25,"AAAAAC/9dpI=")</f>
        <v>#VALUE!</v>
      </c>
      <c r="ER11" t="e">
        <f>AND(Plan!CM25,"AAAAAC/9dpM=")</f>
        <v>#VALUE!</v>
      </c>
      <c r="ES11" t="e">
        <f>AND(Plan!CN25,"AAAAAC/9dpQ=")</f>
        <v>#VALUE!</v>
      </c>
      <c r="ET11" t="e">
        <f>AND(Plan!CO25,"AAAAAC/9dpU=")</f>
        <v>#VALUE!</v>
      </c>
      <c r="EU11" t="e">
        <f>AND(Plan!CP25,"AAAAAC/9dpY=")</f>
        <v>#VALUE!</v>
      </c>
      <c r="EV11" t="e">
        <f>AND(Plan!CQ25,"AAAAAC/9dpc=")</f>
        <v>#VALUE!</v>
      </c>
      <c r="EW11" t="e">
        <f>AND(Plan!CR25,"AAAAAC/9dpg=")</f>
        <v>#VALUE!</v>
      </c>
      <c r="EX11" t="e">
        <f>AND(Plan!CS25,"AAAAAC/9dpk=")</f>
        <v>#VALUE!</v>
      </c>
      <c r="EY11" t="e">
        <f>AND(Plan!CT25,"AAAAAC/9dpo=")</f>
        <v>#VALUE!</v>
      </c>
      <c r="EZ11" t="e">
        <f>AND(Plan!CU25,"AAAAAC/9dps=")</f>
        <v>#VALUE!</v>
      </c>
      <c r="FA11" t="e">
        <f>AND(Plan!CV25,"AAAAAC/9dpw=")</f>
        <v>#VALUE!</v>
      </c>
      <c r="FB11" t="e">
        <f>AND(Plan!CW25,"AAAAAC/9dp0=")</f>
        <v>#VALUE!</v>
      </c>
      <c r="FC11">
        <f>IF(Plan!26:26,"AAAAAC/9dp4=",0)</f>
        <v>0</v>
      </c>
      <c r="FD11" t="e">
        <f>AND(Plan!A26,"AAAAAC/9dp8=")</f>
        <v>#VALUE!</v>
      </c>
      <c r="FE11" t="e">
        <f>AND(Plan!B26,"AAAAAC/9dqA=")</f>
        <v>#VALUE!</v>
      </c>
      <c r="FF11" t="e">
        <f>AND(Plan!C26,"AAAAAC/9dqE=")</f>
        <v>#VALUE!</v>
      </c>
      <c r="FG11" t="e">
        <f>AND(Plan!D26,"AAAAAC/9dqI=")</f>
        <v>#VALUE!</v>
      </c>
      <c r="FH11" t="e">
        <f>AND(Plan!E26,"AAAAAC/9dqM=")</f>
        <v>#VALUE!</v>
      </c>
      <c r="FI11" t="e">
        <f>AND(Plan!F26,"AAAAAC/9dqQ=")</f>
        <v>#VALUE!</v>
      </c>
      <c r="FJ11" t="e">
        <f>AND(Plan!G26,"AAAAAC/9dqU=")</f>
        <v>#VALUE!</v>
      </c>
      <c r="FK11" t="e">
        <f>AND(Plan!H26,"AAAAAC/9dqY=")</f>
        <v>#VALUE!</v>
      </c>
      <c r="FL11" t="e">
        <f>AND(Plan!I26,"AAAAAC/9dqc=")</f>
        <v>#VALUE!</v>
      </c>
      <c r="FM11" t="e">
        <f>AND(Plan!J26,"AAAAAC/9dqg=")</f>
        <v>#VALUE!</v>
      </c>
      <c r="FN11" t="e">
        <f>AND(Plan!K26,"AAAAAC/9dqk=")</f>
        <v>#VALUE!</v>
      </c>
      <c r="FO11" t="e">
        <f>AND(Plan!L26,"AAAAAC/9dqo=")</f>
        <v>#VALUE!</v>
      </c>
      <c r="FP11" t="e">
        <f>AND(Plan!M26,"AAAAAC/9dqs=")</f>
        <v>#VALUE!</v>
      </c>
      <c r="FQ11" t="e">
        <f>AND(Plan!N26,"AAAAAC/9dqw=")</f>
        <v>#VALUE!</v>
      </c>
      <c r="FR11" t="e">
        <f>AND(Plan!O26,"AAAAAC/9dq0=")</f>
        <v>#VALUE!</v>
      </c>
      <c r="FS11" t="e">
        <f>AND(Plan!P26,"AAAAAC/9dq4=")</f>
        <v>#VALUE!</v>
      </c>
      <c r="FT11" t="e">
        <f>AND(Plan!Q26,"AAAAAC/9dq8=")</f>
        <v>#VALUE!</v>
      </c>
      <c r="FU11" t="e">
        <f>AND(Plan!R26,"AAAAAC/9drA=")</f>
        <v>#VALUE!</v>
      </c>
      <c r="FV11" t="e">
        <f>AND(Plan!S26,"AAAAAC/9drE=")</f>
        <v>#VALUE!</v>
      </c>
      <c r="FW11" t="e">
        <f>AND(Plan!T26,"AAAAAC/9drI=")</f>
        <v>#VALUE!</v>
      </c>
      <c r="FX11" t="e">
        <f>AND(Plan!U26,"AAAAAC/9drM=")</f>
        <v>#VALUE!</v>
      </c>
      <c r="FY11" t="e">
        <f>AND(Plan!V26,"AAAAAC/9drQ=")</f>
        <v>#VALUE!</v>
      </c>
      <c r="FZ11" t="e">
        <f>AND(Plan!W26,"AAAAAC/9drU=")</f>
        <v>#VALUE!</v>
      </c>
      <c r="GA11" t="e">
        <f>AND(Plan!X26,"AAAAAC/9drY=")</f>
        <v>#VALUE!</v>
      </c>
      <c r="GB11" t="e">
        <f>AND(Plan!Y26,"AAAAAC/9drc=")</f>
        <v>#VALUE!</v>
      </c>
      <c r="GC11" t="e">
        <f>AND(Plan!Z26,"AAAAAC/9drg=")</f>
        <v>#VALUE!</v>
      </c>
      <c r="GD11" t="e">
        <f>AND(Plan!AA26,"AAAAAC/9drk=")</f>
        <v>#VALUE!</v>
      </c>
      <c r="GE11" t="e">
        <f>AND(Plan!AB26,"AAAAAC/9dro=")</f>
        <v>#VALUE!</v>
      </c>
      <c r="GF11" t="e">
        <f>AND(Plan!AC26,"AAAAAC/9drs=")</f>
        <v>#VALUE!</v>
      </c>
      <c r="GG11" t="e">
        <f>AND(Plan!AD26,"AAAAAC/9drw=")</f>
        <v>#VALUE!</v>
      </c>
      <c r="GH11" t="e">
        <f>AND(Plan!AE26,"AAAAAC/9dr0=")</f>
        <v>#VALUE!</v>
      </c>
      <c r="GI11" t="e">
        <f>AND(Plan!AF26,"AAAAAC/9dr4=")</f>
        <v>#VALUE!</v>
      </c>
      <c r="GJ11" t="e">
        <f>AND(Plan!AG26,"AAAAAC/9dr8=")</f>
        <v>#VALUE!</v>
      </c>
      <c r="GK11" t="e">
        <f>AND(Plan!AH26,"AAAAAC/9dsA=")</f>
        <v>#VALUE!</v>
      </c>
      <c r="GL11" t="e">
        <f>AND(Plan!AI26,"AAAAAC/9dsE=")</f>
        <v>#VALUE!</v>
      </c>
      <c r="GM11" t="e">
        <f>AND(Plan!AJ26,"AAAAAC/9dsI=")</f>
        <v>#VALUE!</v>
      </c>
      <c r="GN11" t="e">
        <f>AND(Plan!AK26,"AAAAAC/9dsM=")</f>
        <v>#VALUE!</v>
      </c>
      <c r="GO11" t="e">
        <f>AND(Plan!AL26,"AAAAAC/9dsQ=")</f>
        <v>#VALUE!</v>
      </c>
      <c r="GP11" t="e">
        <f>AND(Plan!AM26,"AAAAAC/9dsU=")</f>
        <v>#VALUE!</v>
      </c>
      <c r="GQ11" t="e">
        <f>AND(Plan!AN26,"AAAAAC/9dsY=")</f>
        <v>#VALUE!</v>
      </c>
      <c r="GR11" t="e">
        <f>AND(Plan!AO26,"AAAAAC/9dsc=")</f>
        <v>#VALUE!</v>
      </c>
      <c r="GS11" t="e">
        <f>AND(Plan!AP26,"AAAAAC/9dsg=")</f>
        <v>#VALUE!</v>
      </c>
      <c r="GT11" t="e">
        <f>AND(Plan!AQ26,"AAAAAC/9dsk=")</f>
        <v>#VALUE!</v>
      </c>
      <c r="GU11" t="e">
        <f>AND(Plan!AR26,"AAAAAC/9dso=")</f>
        <v>#VALUE!</v>
      </c>
      <c r="GV11" t="e">
        <f>AND(Plan!AS26,"AAAAAC/9dss=")</f>
        <v>#VALUE!</v>
      </c>
      <c r="GW11" t="e">
        <f>AND(Plan!AT26,"AAAAAC/9dsw=")</f>
        <v>#VALUE!</v>
      </c>
      <c r="GX11" t="e">
        <f>AND(Plan!AU26,"AAAAAC/9ds0=")</f>
        <v>#VALUE!</v>
      </c>
      <c r="GY11" t="e">
        <f>AND(Plan!AV26,"AAAAAC/9ds4=")</f>
        <v>#VALUE!</v>
      </c>
      <c r="GZ11" t="e">
        <f>AND(Plan!AW26,"AAAAAC/9ds8=")</f>
        <v>#VALUE!</v>
      </c>
      <c r="HA11" t="e">
        <f>AND(Plan!AX26,"AAAAAC/9dtA=")</f>
        <v>#VALUE!</v>
      </c>
      <c r="HB11" t="e">
        <f>AND(Plan!AY26,"AAAAAC/9dtE=")</f>
        <v>#VALUE!</v>
      </c>
      <c r="HC11" t="e">
        <f>AND(Plan!AZ26,"AAAAAC/9dtI=")</f>
        <v>#VALUE!</v>
      </c>
      <c r="HD11" t="e">
        <f>AND(Plan!BA26,"AAAAAC/9dtM=")</f>
        <v>#VALUE!</v>
      </c>
      <c r="HE11" t="e">
        <f>AND(Plan!BB26,"AAAAAC/9dtQ=")</f>
        <v>#VALUE!</v>
      </c>
      <c r="HF11" t="e">
        <f>AND(Plan!BC26,"AAAAAC/9dtU=")</f>
        <v>#VALUE!</v>
      </c>
      <c r="HG11" t="e">
        <f>AND(Plan!BD26,"AAAAAC/9dtY=")</f>
        <v>#VALUE!</v>
      </c>
      <c r="HH11" t="e">
        <f>AND(Plan!BE26,"AAAAAC/9dtc=")</f>
        <v>#VALUE!</v>
      </c>
      <c r="HI11" t="e">
        <f>AND(Plan!BF26,"AAAAAC/9dtg=")</f>
        <v>#VALUE!</v>
      </c>
      <c r="HJ11" t="e">
        <f>AND(Plan!BG26,"AAAAAC/9dtk=")</f>
        <v>#VALUE!</v>
      </c>
      <c r="HK11" t="e">
        <f>AND(Plan!BH26,"AAAAAC/9dto=")</f>
        <v>#VALUE!</v>
      </c>
      <c r="HL11" t="e">
        <f>AND(Plan!BI26,"AAAAAC/9dts=")</f>
        <v>#VALUE!</v>
      </c>
      <c r="HM11" t="e">
        <f>AND(Plan!BJ26,"AAAAAC/9dtw=")</f>
        <v>#VALUE!</v>
      </c>
      <c r="HN11" t="e">
        <f>AND(Plan!BK26,"AAAAAC/9dt0=")</f>
        <v>#VALUE!</v>
      </c>
      <c r="HO11" t="e">
        <f>AND(Plan!BL26,"AAAAAC/9dt4=")</f>
        <v>#VALUE!</v>
      </c>
      <c r="HP11" t="e">
        <f>AND(Plan!BM26,"AAAAAC/9dt8=")</f>
        <v>#VALUE!</v>
      </c>
      <c r="HQ11" t="e">
        <f>AND(Plan!BN26,"AAAAAC/9duA=")</f>
        <v>#VALUE!</v>
      </c>
      <c r="HR11" t="e">
        <f>AND(Plan!BO26,"AAAAAC/9duE=")</f>
        <v>#VALUE!</v>
      </c>
      <c r="HS11" t="e">
        <f>AND(Plan!BP26,"AAAAAC/9duI=")</f>
        <v>#VALUE!</v>
      </c>
      <c r="HT11" t="e">
        <f>AND(Plan!BQ26,"AAAAAC/9duM=")</f>
        <v>#VALUE!</v>
      </c>
      <c r="HU11" t="e">
        <f>AND(Plan!BR26,"AAAAAC/9duQ=")</f>
        <v>#VALUE!</v>
      </c>
      <c r="HV11" t="e">
        <f>AND(Plan!BS26,"AAAAAC/9duU=")</f>
        <v>#VALUE!</v>
      </c>
      <c r="HW11" t="e">
        <f>AND(Plan!BT26,"AAAAAC/9duY=")</f>
        <v>#VALUE!</v>
      </c>
      <c r="HX11" t="e">
        <f>AND(Plan!BU26,"AAAAAC/9duc=")</f>
        <v>#VALUE!</v>
      </c>
      <c r="HY11" t="e">
        <f>AND(Plan!BV26,"AAAAAC/9dug=")</f>
        <v>#VALUE!</v>
      </c>
      <c r="HZ11" t="e">
        <f>AND(Plan!BW26,"AAAAAC/9duk=")</f>
        <v>#VALUE!</v>
      </c>
      <c r="IA11" t="e">
        <f>AND(Plan!BX26,"AAAAAC/9duo=")</f>
        <v>#VALUE!</v>
      </c>
      <c r="IB11" t="e">
        <f>AND(Plan!BY26,"AAAAAC/9dus=")</f>
        <v>#VALUE!</v>
      </c>
      <c r="IC11" t="e">
        <f>AND(Plan!BZ26,"AAAAAC/9duw=")</f>
        <v>#VALUE!</v>
      </c>
      <c r="ID11" t="e">
        <f>AND(Plan!CA26,"AAAAAC/9du0=")</f>
        <v>#VALUE!</v>
      </c>
      <c r="IE11" t="e">
        <f>AND(Plan!CB26,"AAAAAC/9du4=")</f>
        <v>#VALUE!</v>
      </c>
      <c r="IF11" t="e">
        <f>AND(Plan!CC26,"AAAAAC/9du8=")</f>
        <v>#VALUE!</v>
      </c>
      <c r="IG11" t="e">
        <f>AND(Plan!CD26,"AAAAAC/9dvA=")</f>
        <v>#VALUE!</v>
      </c>
      <c r="IH11" t="e">
        <f>AND(Plan!CE26,"AAAAAC/9dvE=")</f>
        <v>#VALUE!</v>
      </c>
      <c r="II11" t="e">
        <f>AND(Plan!CF26,"AAAAAC/9dvI=")</f>
        <v>#VALUE!</v>
      </c>
      <c r="IJ11" t="e">
        <f>AND(Plan!CG26,"AAAAAC/9dvM=")</f>
        <v>#VALUE!</v>
      </c>
      <c r="IK11" t="e">
        <f>AND(Plan!CH26,"AAAAAC/9dvQ=")</f>
        <v>#VALUE!</v>
      </c>
      <c r="IL11" t="e">
        <f>AND(Plan!CI26,"AAAAAC/9dvU=")</f>
        <v>#VALUE!</v>
      </c>
      <c r="IM11" t="e">
        <f>AND(Plan!CJ26,"AAAAAC/9dvY=")</f>
        <v>#VALUE!</v>
      </c>
      <c r="IN11" t="e">
        <f>AND(Plan!CK26,"AAAAAC/9dvc=")</f>
        <v>#VALUE!</v>
      </c>
      <c r="IO11" t="e">
        <f>AND(Plan!CL26,"AAAAAC/9dvg=")</f>
        <v>#VALUE!</v>
      </c>
      <c r="IP11" t="e">
        <f>AND(Plan!CM26,"AAAAAC/9dvk=")</f>
        <v>#VALUE!</v>
      </c>
      <c r="IQ11" t="e">
        <f>AND(Plan!CN26,"AAAAAC/9dvo=")</f>
        <v>#VALUE!</v>
      </c>
      <c r="IR11" t="e">
        <f>AND(Plan!CO26,"AAAAAC/9dvs=")</f>
        <v>#VALUE!</v>
      </c>
      <c r="IS11" t="e">
        <f>AND(Plan!CP26,"AAAAAC/9dvw=")</f>
        <v>#VALUE!</v>
      </c>
      <c r="IT11" t="e">
        <f>AND(Plan!CQ26,"AAAAAC/9dv0=")</f>
        <v>#VALUE!</v>
      </c>
      <c r="IU11" t="e">
        <f>AND(Plan!CR26,"AAAAAC/9dv4=")</f>
        <v>#VALUE!</v>
      </c>
      <c r="IV11" t="e">
        <f>AND(Plan!CS26,"AAAAAC/9dv8=")</f>
        <v>#VALUE!</v>
      </c>
    </row>
    <row r="12" spans="1:256">
      <c r="A12" t="e">
        <f>AND(Plan!CT26,"AAAAADa/bAA=")</f>
        <v>#VALUE!</v>
      </c>
      <c r="B12" t="e">
        <f>AND(Plan!CU26,"AAAAADa/bAE=")</f>
        <v>#VALUE!</v>
      </c>
      <c r="C12" t="e">
        <f>AND(Plan!CV26,"AAAAADa/bAI=")</f>
        <v>#VALUE!</v>
      </c>
      <c r="D12" t="e">
        <f>AND(Plan!CW26,"AAAAADa/bAM=")</f>
        <v>#VALUE!</v>
      </c>
      <c r="E12" t="str">
        <f>IF(Plan!27:27,"AAAAADa/bAQ=",0)</f>
        <v>AAAAADa/bAQ=</v>
      </c>
      <c r="F12" t="e">
        <f>AND(Plan!A27,"AAAAADa/bAU=")</f>
        <v>#VALUE!</v>
      </c>
      <c r="G12" t="e">
        <f>AND(Plan!B27,"AAAAADa/bAY=")</f>
        <v>#VALUE!</v>
      </c>
      <c r="H12" t="e">
        <f>AND(Plan!C27,"AAAAADa/bAc=")</f>
        <v>#VALUE!</v>
      </c>
      <c r="I12" t="e">
        <f>AND(Plan!D27,"AAAAADa/bAg=")</f>
        <v>#VALUE!</v>
      </c>
      <c r="J12" t="e">
        <f>AND(Plan!E27,"AAAAADa/bAk=")</f>
        <v>#VALUE!</v>
      </c>
      <c r="K12" t="e">
        <f>AND(Plan!F27,"AAAAADa/bAo=")</f>
        <v>#VALUE!</v>
      </c>
      <c r="L12" t="e">
        <f>AND(Plan!G27,"AAAAADa/bAs=")</f>
        <v>#VALUE!</v>
      </c>
      <c r="M12" t="e">
        <f>AND(Plan!H27,"AAAAADa/bAw=")</f>
        <v>#VALUE!</v>
      </c>
      <c r="N12" t="e">
        <f>AND(Plan!I27,"AAAAADa/bA0=")</f>
        <v>#VALUE!</v>
      </c>
      <c r="O12" t="e">
        <f>AND(Plan!J27,"AAAAADa/bA4=")</f>
        <v>#VALUE!</v>
      </c>
      <c r="P12" t="e">
        <f>AND(Plan!K27,"AAAAADa/bA8=")</f>
        <v>#VALUE!</v>
      </c>
      <c r="Q12" t="e">
        <f>AND(Plan!L27,"AAAAADa/bBA=")</f>
        <v>#VALUE!</v>
      </c>
      <c r="R12" t="e">
        <f>AND(Plan!M27,"AAAAADa/bBE=")</f>
        <v>#VALUE!</v>
      </c>
      <c r="S12" t="e">
        <f>AND(Plan!N27,"AAAAADa/bBI=")</f>
        <v>#VALUE!</v>
      </c>
      <c r="T12" t="e">
        <f>AND(Plan!O27,"AAAAADa/bBM=")</f>
        <v>#VALUE!</v>
      </c>
      <c r="U12" t="e">
        <f>AND(Plan!P27,"AAAAADa/bBQ=")</f>
        <v>#VALUE!</v>
      </c>
      <c r="V12" t="e">
        <f>AND(Plan!Q27,"AAAAADa/bBU=")</f>
        <v>#VALUE!</v>
      </c>
      <c r="W12" t="e">
        <f>AND(Plan!R27,"AAAAADa/bBY=")</f>
        <v>#VALUE!</v>
      </c>
      <c r="X12" t="e">
        <f>AND(Plan!S27,"AAAAADa/bBc=")</f>
        <v>#VALUE!</v>
      </c>
      <c r="Y12" t="e">
        <f>AND(Plan!T27,"AAAAADa/bBg=")</f>
        <v>#VALUE!</v>
      </c>
      <c r="Z12" t="e">
        <f>AND(Plan!U27,"AAAAADa/bBk=")</f>
        <v>#VALUE!</v>
      </c>
      <c r="AA12" t="e">
        <f>AND(Plan!V27,"AAAAADa/bBo=")</f>
        <v>#VALUE!</v>
      </c>
      <c r="AB12" t="e">
        <f>AND(Plan!W27,"AAAAADa/bBs=")</f>
        <v>#VALUE!</v>
      </c>
      <c r="AC12" t="e">
        <f>AND(Plan!X27,"AAAAADa/bBw=")</f>
        <v>#VALUE!</v>
      </c>
      <c r="AD12" t="e">
        <f>AND(Plan!Y27,"AAAAADa/bB0=")</f>
        <v>#VALUE!</v>
      </c>
      <c r="AE12" t="e">
        <f>AND(Plan!Z27,"AAAAADa/bB4=")</f>
        <v>#VALUE!</v>
      </c>
      <c r="AF12" t="e">
        <f>AND(Plan!AA27,"AAAAADa/bB8=")</f>
        <v>#VALUE!</v>
      </c>
      <c r="AG12" t="e">
        <f>AND(Plan!AB27,"AAAAADa/bCA=")</f>
        <v>#VALUE!</v>
      </c>
      <c r="AH12" t="e">
        <f>AND(Plan!AC27,"AAAAADa/bCE=")</f>
        <v>#VALUE!</v>
      </c>
      <c r="AI12" t="e">
        <f>AND(Plan!AD27,"AAAAADa/bCI=")</f>
        <v>#VALUE!</v>
      </c>
      <c r="AJ12" t="e">
        <f>AND(Plan!AE27,"AAAAADa/bCM=")</f>
        <v>#VALUE!</v>
      </c>
      <c r="AK12" t="e">
        <f>AND(Plan!AF27,"AAAAADa/bCQ=")</f>
        <v>#VALUE!</v>
      </c>
      <c r="AL12" t="e">
        <f>AND(Plan!AG27,"AAAAADa/bCU=")</f>
        <v>#VALUE!</v>
      </c>
      <c r="AM12" t="e">
        <f>AND(Plan!AH27,"AAAAADa/bCY=")</f>
        <v>#VALUE!</v>
      </c>
      <c r="AN12" t="e">
        <f>AND(Plan!AI27,"AAAAADa/bCc=")</f>
        <v>#VALUE!</v>
      </c>
      <c r="AO12" t="e">
        <f>AND(Plan!AJ27,"AAAAADa/bCg=")</f>
        <v>#VALUE!</v>
      </c>
      <c r="AP12" t="e">
        <f>AND(Plan!AK27,"AAAAADa/bCk=")</f>
        <v>#VALUE!</v>
      </c>
      <c r="AQ12" t="e">
        <f>AND(Plan!AL27,"AAAAADa/bCo=")</f>
        <v>#VALUE!</v>
      </c>
      <c r="AR12" t="e">
        <f>AND(Plan!AM27,"AAAAADa/bCs=")</f>
        <v>#VALUE!</v>
      </c>
      <c r="AS12" t="e">
        <f>AND(Plan!AN27,"AAAAADa/bCw=")</f>
        <v>#VALUE!</v>
      </c>
      <c r="AT12" t="e">
        <f>AND(Plan!AO27,"AAAAADa/bC0=")</f>
        <v>#VALUE!</v>
      </c>
      <c r="AU12" t="e">
        <f>AND(Plan!AP27,"AAAAADa/bC4=")</f>
        <v>#VALUE!</v>
      </c>
      <c r="AV12" t="e">
        <f>AND(Plan!AQ27,"AAAAADa/bC8=")</f>
        <v>#VALUE!</v>
      </c>
      <c r="AW12" t="e">
        <f>AND(Plan!AR27,"AAAAADa/bDA=")</f>
        <v>#VALUE!</v>
      </c>
      <c r="AX12" t="e">
        <f>AND(Plan!AS27,"AAAAADa/bDE=")</f>
        <v>#VALUE!</v>
      </c>
      <c r="AY12" t="e">
        <f>AND(Plan!AT27,"AAAAADa/bDI=")</f>
        <v>#VALUE!</v>
      </c>
      <c r="AZ12" t="e">
        <f>AND(Plan!AU27,"AAAAADa/bDM=")</f>
        <v>#VALUE!</v>
      </c>
      <c r="BA12" t="e">
        <f>AND(Plan!AV27,"AAAAADa/bDQ=")</f>
        <v>#VALUE!</v>
      </c>
      <c r="BB12" t="e">
        <f>AND(Plan!AW27,"AAAAADa/bDU=")</f>
        <v>#VALUE!</v>
      </c>
      <c r="BC12" t="e">
        <f>AND(Plan!AX27,"AAAAADa/bDY=")</f>
        <v>#VALUE!</v>
      </c>
      <c r="BD12" t="e">
        <f>AND(Plan!AY27,"AAAAADa/bDc=")</f>
        <v>#VALUE!</v>
      </c>
      <c r="BE12" t="e">
        <f>AND(Plan!AZ27,"AAAAADa/bDg=")</f>
        <v>#VALUE!</v>
      </c>
      <c r="BF12" t="e">
        <f>AND(Plan!BA27,"AAAAADa/bDk=")</f>
        <v>#VALUE!</v>
      </c>
      <c r="BG12" t="e">
        <f>AND(Plan!BB27,"AAAAADa/bDo=")</f>
        <v>#VALUE!</v>
      </c>
      <c r="BH12" t="e">
        <f>AND(Plan!BC27,"AAAAADa/bDs=")</f>
        <v>#VALUE!</v>
      </c>
      <c r="BI12" t="e">
        <f>AND(Plan!BD27,"AAAAADa/bDw=")</f>
        <v>#VALUE!</v>
      </c>
      <c r="BJ12" t="e">
        <f>AND(Plan!BE27,"AAAAADa/bD0=")</f>
        <v>#VALUE!</v>
      </c>
      <c r="BK12" t="e">
        <f>AND(Plan!BF27,"AAAAADa/bD4=")</f>
        <v>#VALUE!</v>
      </c>
      <c r="BL12" t="e">
        <f>AND(Plan!BG27,"AAAAADa/bD8=")</f>
        <v>#VALUE!</v>
      </c>
      <c r="BM12" t="e">
        <f>AND(Plan!BH27,"AAAAADa/bEA=")</f>
        <v>#VALUE!</v>
      </c>
      <c r="BN12" t="e">
        <f>AND(Plan!BI27,"AAAAADa/bEE=")</f>
        <v>#VALUE!</v>
      </c>
      <c r="BO12" t="e">
        <f>AND(Plan!BJ27,"AAAAADa/bEI=")</f>
        <v>#VALUE!</v>
      </c>
      <c r="BP12" t="e">
        <f>AND(Plan!BK27,"AAAAADa/bEM=")</f>
        <v>#VALUE!</v>
      </c>
      <c r="BQ12" t="e">
        <f>AND(Plan!BL27,"AAAAADa/bEQ=")</f>
        <v>#VALUE!</v>
      </c>
      <c r="BR12" t="e">
        <f>AND(Plan!BM27,"AAAAADa/bEU=")</f>
        <v>#VALUE!</v>
      </c>
      <c r="BS12" t="e">
        <f>AND(Plan!BN27,"AAAAADa/bEY=")</f>
        <v>#VALUE!</v>
      </c>
      <c r="BT12" t="e">
        <f>AND(Plan!BO27,"AAAAADa/bEc=")</f>
        <v>#VALUE!</v>
      </c>
      <c r="BU12" t="e">
        <f>AND(Plan!BP27,"AAAAADa/bEg=")</f>
        <v>#VALUE!</v>
      </c>
      <c r="BV12" t="e">
        <f>AND(Plan!BQ27,"AAAAADa/bEk=")</f>
        <v>#VALUE!</v>
      </c>
      <c r="BW12" t="e">
        <f>AND(Plan!BR27,"AAAAADa/bEo=")</f>
        <v>#VALUE!</v>
      </c>
      <c r="BX12" t="e">
        <f>AND(Plan!BS27,"AAAAADa/bEs=")</f>
        <v>#VALUE!</v>
      </c>
      <c r="BY12" t="e">
        <f>AND(Plan!BT27,"AAAAADa/bEw=")</f>
        <v>#VALUE!</v>
      </c>
      <c r="BZ12" t="e">
        <f>AND(Plan!BU27,"AAAAADa/bE0=")</f>
        <v>#VALUE!</v>
      </c>
      <c r="CA12" t="e">
        <f>AND(Plan!BV27,"AAAAADa/bE4=")</f>
        <v>#VALUE!</v>
      </c>
      <c r="CB12" t="e">
        <f>AND(Plan!BW27,"AAAAADa/bE8=")</f>
        <v>#VALUE!</v>
      </c>
      <c r="CC12" t="e">
        <f>AND(Plan!BX27,"AAAAADa/bFA=")</f>
        <v>#VALUE!</v>
      </c>
      <c r="CD12" t="e">
        <f>AND(Plan!BY27,"AAAAADa/bFE=")</f>
        <v>#VALUE!</v>
      </c>
      <c r="CE12" t="e">
        <f>AND(Plan!BZ27,"AAAAADa/bFI=")</f>
        <v>#VALUE!</v>
      </c>
      <c r="CF12" t="e">
        <f>AND(Plan!CA27,"AAAAADa/bFM=")</f>
        <v>#VALUE!</v>
      </c>
      <c r="CG12" t="e">
        <f>AND(Plan!CB27,"AAAAADa/bFQ=")</f>
        <v>#VALUE!</v>
      </c>
      <c r="CH12" t="e">
        <f>AND(Plan!CC27,"AAAAADa/bFU=")</f>
        <v>#VALUE!</v>
      </c>
      <c r="CI12" t="e">
        <f>AND(Plan!CD27,"AAAAADa/bFY=")</f>
        <v>#VALUE!</v>
      </c>
      <c r="CJ12" t="e">
        <f>AND(Plan!CE27,"AAAAADa/bFc=")</f>
        <v>#VALUE!</v>
      </c>
      <c r="CK12" t="e">
        <f>AND(Plan!CF27,"AAAAADa/bFg=")</f>
        <v>#VALUE!</v>
      </c>
      <c r="CL12" t="e">
        <f>AND(Plan!CG27,"AAAAADa/bFk=")</f>
        <v>#VALUE!</v>
      </c>
      <c r="CM12" t="e">
        <f>AND(Plan!CH27,"AAAAADa/bFo=")</f>
        <v>#VALUE!</v>
      </c>
      <c r="CN12" t="e">
        <f>AND(Plan!CI27,"AAAAADa/bFs=")</f>
        <v>#VALUE!</v>
      </c>
      <c r="CO12" t="e">
        <f>AND(Plan!CJ27,"AAAAADa/bFw=")</f>
        <v>#VALUE!</v>
      </c>
      <c r="CP12" t="e">
        <f>AND(Plan!CK27,"AAAAADa/bF0=")</f>
        <v>#VALUE!</v>
      </c>
      <c r="CQ12" t="e">
        <f>AND(Plan!CL27,"AAAAADa/bF4=")</f>
        <v>#VALUE!</v>
      </c>
      <c r="CR12" t="e">
        <f>AND(Plan!CM27,"AAAAADa/bF8=")</f>
        <v>#VALUE!</v>
      </c>
      <c r="CS12" t="e">
        <f>AND(Plan!CN27,"AAAAADa/bGA=")</f>
        <v>#VALUE!</v>
      </c>
      <c r="CT12" t="e">
        <f>AND(Plan!CO27,"AAAAADa/bGE=")</f>
        <v>#VALUE!</v>
      </c>
      <c r="CU12" t="e">
        <f>AND(Plan!CP27,"AAAAADa/bGI=")</f>
        <v>#VALUE!</v>
      </c>
      <c r="CV12" t="e">
        <f>AND(Plan!CQ27,"AAAAADa/bGM=")</f>
        <v>#VALUE!</v>
      </c>
      <c r="CW12" t="e">
        <f>AND(Plan!CR27,"AAAAADa/bGQ=")</f>
        <v>#VALUE!</v>
      </c>
      <c r="CX12" t="e">
        <f>AND(Plan!CS27,"AAAAADa/bGU=")</f>
        <v>#VALUE!</v>
      </c>
      <c r="CY12" t="e">
        <f>AND(Plan!CT27,"AAAAADa/bGY=")</f>
        <v>#VALUE!</v>
      </c>
      <c r="CZ12" t="e">
        <f>AND(Plan!CU27,"AAAAADa/bGc=")</f>
        <v>#VALUE!</v>
      </c>
      <c r="DA12" t="e">
        <f>AND(Plan!CV27,"AAAAADa/bGg=")</f>
        <v>#VALUE!</v>
      </c>
      <c r="DB12" t="e">
        <f>AND(Plan!CW27,"AAAAADa/bGk=")</f>
        <v>#VALUE!</v>
      </c>
      <c r="DC12">
        <f>IF(Plan!28:28,"AAAAADa/bGo=",0)</f>
        <v>0</v>
      </c>
      <c r="DD12" t="e">
        <f>AND(Plan!A28,"AAAAADa/bGs=")</f>
        <v>#VALUE!</v>
      </c>
      <c r="DE12" t="e">
        <f>AND(Plan!B28,"AAAAADa/bGw=")</f>
        <v>#VALUE!</v>
      </c>
      <c r="DF12" t="e">
        <f>AND(Plan!C28,"AAAAADa/bG0=")</f>
        <v>#VALUE!</v>
      </c>
      <c r="DG12" t="e">
        <f>AND(Plan!D28,"AAAAADa/bG4=")</f>
        <v>#VALUE!</v>
      </c>
      <c r="DH12" t="e">
        <f>AND(Plan!E28,"AAAAADa/bG8=")</f>
        <v>#VALUE!</v>
      </c>
      <c r="DI12" t="e">
        <f>AND(Plan!F28,"AAAAADa/bHA=")</f>
        <v>#VALUE!</v>
      </c>
      <c r="DJ12" t="e">
        <f>AND(Plan!G28,"AAAAADa/bHE=")</f>
        <v>#VALUE!</v>
      </c>
      <c r="DK12" t="e">
        <f>AND(Plan!H28,"AAAAADa/bHI=")</f>
        <v>#VALUE!</v>
      </c>
      <c r="DL12" t="e">
        <f>AND(Plan!I28,"AAAAADa/bHM=")</f>
        <v>#VALUE!</v>
      </c>
      <c r="DM12" t="e">
        <f>AND(Plan!J28,"AAAAADa/bHQ=")</f>
        <v>#VALUE!</v>
      </c>
      <c r="DN12" t="e">
        <f>AND(Plan!K28,"AAAAADa/bHU=")</f>
        <v>#VALUE!</v>
      </c>
      <c r="DO12" t="e">
        <f>AND(Plan!L28,"AAAAADa/bHY=")</f>
        <v>#VALUE!</v>
      </c>
      <c r="DP12" t="e">
        <f>AND(Plan!M28,"AAAAADa/bHc=")</f>
        <v>#VALUE!</v>
      </c>
      <c r="DQ12" t="e">
        <f>AND(Plan!N28,"AAAAADa/bHg=")</f>
        <v>#VALUE!</v>
      </c>
      <c r="DR12" t="e">
        <f>AND(Plan!O28,"AAAAADa/bHk=")</f>
        <v>#VALUE!</v>
      </c>
      <c r="DS12" t="e">
        <f>AND(Plan!P28,"AAAAADa/bHo=")</f>
        <v>#VALUE!</v>
      </c>
      <c r="DT12" t="e">
        <f>AND(Plan!Q28,"AAAAADa/bHs=")</f>
        <v>#VALUE!</v>
      </c>
      <c r="DU12" t="e">
        <f>AND(Plan!R28,"AAAAADa/bHw=")</f>
        <v>#VALUE!</v>
      </c>
      <c r="DV12" t="e">
        <f>AND(Plan!S28,"AAAAADa/bH0=")</f>
        <v>#VALUE!</v>
      </c>
      <c r="DW12" t="e">
        <f>AND(Plan!T28,"AAAAADa/bH4=")</f>
        <v>#VALUE!</v>
      </c>
      <c r="DX12" t="e">
        <f>AND(Plan!U28,"AAAAADa/bH8=")</f>
        <v>#VALUE!</v>
      </c>
      <c r="DY12" t="e">
        <f>AND(Plan!V28,"AAAAADa/bIA=")</f>
        <v>#VALUE!</v>
      </c>
      <c r="DZ12" t="e">
        <f>AND(Plan!W28,"AAAAADa/bIE=")</f>
        <v>#VALUE!</v>
      </c>
      <c r="EA12" t="e">
        <f>AND(Plan!X28,"AAAAADa/bII=")</f>
        <v>#VALUE!</v>
      </c>
      <c r="EB12" t="e">
        <f>AND(Plan!Y28,"AAAAADa/bIM=")</f>
        <v>#VALUE!</v>
      </c>
      <c r="EC12" t="e">
        <f>AND(Plan!Z28,"AAAAADa/bIQ=")</f>
        <v>#VALUE!</v>
      </c>
      <c r="ED12" t="e">
        <f>AND(Plan!AA28,"AAAAADa/bIU=")</f>
        <v>#VALUE!</v>
      </c>
      <c r="EE12" t="e">
        <f>AND(Plan!AB28,"AAAAADa/bIY=")</f>
        <v>#VALUE!</v>
      </c>
      <c r="EF12" t="e">
        <f>AND(Plan!AC28,"AAAAADa/bIc=")</f>
        <v>#VALUE!</v>
      </c>
      <c r="EG12" t="e">
        <f>AND(Plan!AD28,"AAAAADa/bIg=")</f>
        <v>#VALUE!</v>
      </c>
      <c r="EH12" t="e">
        <f>AND(Plan!AE28,"AAAAADa/bIk=")</f>
        <v>#VALUE!</v>
      </c>
      <c r="EI12" t="e">
        <f>AND(Plan!AF28,"AAAAADa/bIo=")</f>
        <v>#VALUE!</v>
      </c>
      <c r="EJ12" t="e">
        <f>AND(Plan!AG28,"AAAAADa/bIs=")</f>
        <v>#VALUE!</v>
      </c>
      <c r="EK12" t="e">
        <f>AND(Plan!AH28,"AAAAADa/bIw=")</f>
        <v>#VALUE!</v>
      </c>
      <c r="EL12" t="e">
        <f>AND(Plan!AI28,"AAAAADa/bI0=")</f>
        <v>#VALUE!</v>
      </c>
      <c r="EM12" t="e">
        <f>AND(Plan!AJ28,"AAAAADa/bI4=")</f>
        <v>#VALUE!</v>
      </c>
      <c r="EN12" t="e">
        <f>AND(Plan!AK28,"AAAAADa/bI8=")</f>
        <v>#VALUE!</v>
      </c>
      <c r="EO12" t="e">
        <f>AND(Plan!AL28,"AAAAADa/bJA=")</f>
        <v>#VALUE!</v>
      </c>
      <c r="EP12" t="e">
        <f>AND(Plan!AM28,"AAAAADa/bJE=")</f>
        <v>#VALUE!</v>
      </c>
      <c r="EQ12" t="e">
        <f>AND(Plan!AN28,"AAAAADa/bJI=")</f>
        <v>#VALUE!</v>
      </c>
      <c r="ER12" t="e">
        <f>AND(Plan!AO28,"AAAAADa/bJM=")</f>
        <v>#VALUE!</v>
      </c>
      <c r="ES12" t="e">
        <f>AND(Plan!AP28,"AAAAADa/bJQ=")</f>
        <v>#VALUE!</v>
      </c>
      <c r="ET12" t="e">
        <f>AND(Plan!AQ28,"AAAAADa/bJU=")</f>
        <v>#VALUE!</v>
      </c>
      <c r="EU12" t="e">
        <f>AND(Plan!AR28,"AAAAADa/bJY=")</f>
        <v>#VALUE!</v>
      </c>
      <c r="EV12" t="e">
        <f>AND(Plan!AS28,"AAAAADa/bJc=")</f>
        <v>#VALUE!</v>
      </c>
      <c r="EW12" t="e">
        <f>AND(Plan!AT28,"AAAAADa/bJg=")</f>
        <v>#VALUE!</v>
      </c>
      <c r="EX12" t="e">
        <f>AND(Plan!AU28,"AAAAADa/bJk=")</f>
        <v>#VALUE!</v>
      </c>
      <c r="EY12" t="e">
        <f>AND(Plan!AV28,"AAAAADa/bJo=")</f>
        <v>#VALUE!</v>
      </c>
      <c r="EZ12" t="e">
        <f>AND(Plan!AW28,"AAAAADa/bJs=")</f>
        <v>#VALUE!</v>
      </c>
      <c r="FA12" t="e">
        <f>AND(Plan!AX28,"AAAAADa/bJw=")</f>
        <v>#VALUE!</v>
      </c>
      <c r="FB12" t="e">
        <f>AND(Plan!AY28,"AAAAADa/bJ0=")</f>
        <v>#VALUE!</v>
      </c>
      <c r="FC12" t="e">
        <f>AND(Plan!AZ28,"AAAAADa/bJ4=")</f>
        <v>#VALUE!</v>
      </c>
      <c r="FD12" t="e">
        <f>AND(Plan!BA28,"AAAAADa/bJ8=")</f>
        <v>#VALUE!</v>
      </c>
      <c r="FE12" t="e">
        <f>AND(Plan!BB28,"AAAAADa/bKA=")</f>
        <v>#VALUE!</v>
      </c>
      <c r="FF12" t="e">
        <f>AND(Plan!BC28,"AAAAADa/bKE=")</f>
        <v>#VALUE!</v>
      </c>
      <c r="FG12" t="e">
        <f>AND(Plan!BD28,"AAAAADa/bKI=")</f>
        <v>#VALUE!</v>
      </c>
      <c r="FH12" t="e">
        <f>AND(Plan!BE28,"AAAAADa/bKM=")</f>
        <v>#VALUE!</v>
      </c>
      <c r="FI12" t="e">
        <f>AND(Plan!BF28,"AAAAADa/bKQ=")</f>
        <v>#VALUE!</v>
      </c>
      <c r="FJ12" t="e">
        <f>AND(Plan!BG28,"AAAAADa/bKU=")</f>
        <v>#VALUE!</v>
      </c>
      <c r="FK12" t="e">
        <f>AND(Plan!BH28,"AAAAADa/bKY=")</f>
        <v>#VALUE!</v>
      </c>
      <c r="FL12" t="e">
        <f>AND(Plan!BI28,"AAAAADa/bKc=")</f>
        <v>#VALUE!</v>
      </c>
      <c r="FM12" t="e">
        <f>AND(Plan!BJ28,"AAAAADa/bKg=")</f>
        <v>#VALUE!</v>
      </c>
      <c r="FN12" t="e">
        <f>AND(Plan!BK28,"AAAAADa/bKk=")</f>
        <v>#VALUE!</v>
      </c>
      <c r="FO12" t="e">
        <f>AND(Plan!BL28,"AAAAADa/bKo=")</f>
        <v>#VALUE!</v>
      </c>
      <c r="FP12" t="e">
        <f>AND(Plan!BM28,"AAAAADa/bKs=")</f>
        <v>#VALUE!</v>
      </c>
      <c r="FQ12" t="e">
        <f>AND(Plan!BN28,"AAAAADa/bKw=")</f>
        <v>#VALUE!</v>
      </c>
      <c r="FR12" t="e">
        <f>AND(Plan!BO28,"AAAAADa/bK0=")</f>
        <v>#VALUE!</v>
      </c>
      <c r="FS12" t="e">
        <f>AND(Plan!BP28,"AAAAADa/bK4=")</f>
        <v>#VALUE!</v>
      </c>
      <c r="FT12" t="e">
        <f>AND(Plan!BQ28,"AAAAADa/bK8=")</f>
        <v>#VALUE!</v>
      </c>
      <c r="FU12" t="e">
        <f>AND(Plan!BR28,"AAAAADa/bLA=")</f>
        <v>#VALUE!</v>
      </c>
      <c r="FV12" t="e">
        <f>AND(Plan!BS28,"AAAAADa/bLE=")</f>
        <v>#VALUE!</v>
      </c>
      <c r="FW12" t="e">
        <f>AND(Plan!BT28,"AAAAADa/bLI=")</f>
        <v>#VALUE!</v>
      </c>
      <c r="FX12" t="e">
        <f>AND(Plan!BU28,"AAAAADa/bLM=")</f>
        <v>#VALUE!</v>
      </c>
      <c r="FY12" t="e">
        <f>AND(Plan!BV28,"AAAAADa/bLQ=")</f>
        <v>#VALUE!</v>
      </c>
      <c r="FZ12" t="e">
        <f>AND(Plan!BW28,"AAAAADa/bLU=")</f>
        <v>#VALUE!</v>
      </c>
      <c r="GA12" t="e">
        <f>AND(Plan!BX28,"AAAAADa/bLY=")</f>
        <v>#VALUE!</v>
      </c>
      <c r="GB12" t="e">
        <f>AND(Plan!BY28,"AAAAADa/bLc=")</f>
        <v>#VALUE!</v>
      </c>
      <c r="GC12" t="e">
        <f>AND(Plan!BZ28,"AAAAADa/bLg=")</f>
        <v>#VALUE!</v>
      </c>
      <c r="GD12" t="e">
        <f>AND(Plan!CA28,"AAAAADa/bLk=")</f>
        <v>#VALUE!</v>
      </c>
      <c r="GE12" t="e">
        <f>AND(Plan!CB28,"AAAAADa/bLo=")</f>
        <v>#VALUE!</v>
      </c>
      <c r="GF12" t="e">
        <f>AND(Plan!CC28,"AAAAADa/bLs=")</f>
        <v>#VALUE!</v>
      </c>
      <c r="GG12" t="e">
        <f>AND(Plan!CD28,"AAAAADa/bLw=")</f>
        <v>#VALUE!</v>
      </c>
      <c r="GH12" t="e">
        <f>AND(Plan!CE28,"AAAAADa/bL0=")</f>
        <v>#VALUE!</v>
      </c>
      <c r="GI12" t="e">
        <f>AND(Plan!CF28,"AAAAADa/bL4=")</f>
        <v>#VALUE!</v>
      </c>
      <c r="GJ12" t="e">
        <f>AND(Plan!CG28,"AAAAADa/bL8=")</f>
        <v>#VALUE!</v>
      </c>
      <c r="GK12" t="e">
        <f>AND(Plan!CH28,"AAAAADa/bMA=")</f>
        <v>#VALUE!</v>
      </c>
      <c r="GL12" t="e">
        <f>AND(Plan!CI28,"AAAAADa/bME=")</f>
        <v>#VALUE!</v>
      </c>
      <c r="GM12" t="e">
        <f>AND(Plan!CJ28,"AAAAADa/bMI=")</f>
        <v>#VALUE!</v>
      </c>
      <c r="GN12" t="e">
        <f>AND(Plan!CK28,"AAAAADa/bMM=")</f>
        <v>#VALUE!</v>
      </c>
      <c r="GO12" t="e">
        <f>AND(Plan!CL28,"AAAAADa/bMQ=")</f>
        <v>#VALUE!</v>
      </c>
      <c r="GP12" t="e">
        <f>AND(Plan!CM28,"AAAAADa/bMU=")</f>
        <v>#VALUE!</v>
      </c>
      <c r="GQ12" t="e">
        <f>AND(Plan!CN28,"AAAAADa/bMY=")</f>
        <v>#VALUE!</v>
      </c>
      <c r="GR12" t="e">
        <f>AND(Plan!CO28,"AAAAADa/bMc=")</f>
        <v>#VALUE!</v>
      </c>
      <c r="GS12" t="e">
        <f>AND(Plan!CP28,"AAAAADa/bMg=")</f>
        <v>#VALUE!</v>
      </c>
      <c r="GT12" t="e">
        <f>AND(Plan!CQ28,"AAAAADa/bMk=")</f>
        <v>#VALUE!</v>
      </c>
      <c r="GU12" t="e">
        <f>AND(Plan!CR28,"AAAAADa/bMo=")</f>
        <v>#VALUE!</v>
      </c>
      <c r="GV12" t="e">
        <f>AND(Plan!CS28,"AAAAADa/bMs=")</f>
        <v>#VALUE!</v>
      </c>
      <c r="GW12" t="e">
        <f>AND(Plan!CT28,"AAAAADa/bMw=")</f>
        <v>#VALUE!</v>
      </c>
      <c r="GX12" t="e">
        <f>AND(Plan!CU28,"AAAAADa/bM0=")</f>
        <v>#VALUE!</v>
      </c>
      <c r="GY12" t="e">
        <f>AND(Plan!CV28,"AAAAADa/bM4=")</f>
        <v>#VALUE!</v>
      </c>
      <c r="GZ12" t="e">
        <f>AND(Plan!CW28,"AAAAADa/bM8=")</f>
        <v>#VALUE!</v>
      </c>
      <c r="HA12">
        <f>IF(Plan!29:29,"AAAAADa/bNA=",0)</f>
        <v>0</v>
      </c>
      <c r="HB12" t="e">
        <f>AND(Plan!A29,"AAAAADa/bNE=")</f>
        <v>#VALUE!</v>
      </c>
      <c r="HC12" t="e">
        <f>AND(Plan!B29,"AAAAADa/bNI=")</f>
        <v>#VALUE!</v>
      </c>
      <c r="HD12" t="e">
        <f>AND(Plan!C29,"AAAAADa/bNM=")</f>
        <v>#VALUE!</v>
      </c>
      <c r="HE12" t="e">
        <f>AND(Plan!D29,"AAAAADa/bNQ=")</f>
        <v>#VALUE!</v>
      </c>
      <c r="HF12" t="e">
        <f>AND(Plan!E29,"AAAAADa/bNU=")</f>
        <v>#VALUE!</v>
      </c>
      <c r="HG12" t="e">
        <f>AND(Plan!F29,"AAAAADa/bNY=")</f>
        <v>#VALUE!</v>
      </c>
      <c r="HH12" t="e">
        <f>AND(Plan!G29,"AAAAADa/bNc=")</f>
        <v>#VALUE!</v>
      </c>
      <c r="HI12" t="e">
        <f>AND(Plan!H29,"AAAAADa/bNg=")</f>
        <v>#VALUE!</v>
      </c>
      <c r="HJ12" t="e">
        <f>AND(Plan!I29,"AAAAADa/bNk=")</f>
        <v>#VALUE!</v>
      </c>
      <c r="HK12" t="e">
        <f>AND(Plan!J29,"AAAAADa/bNo=")</f>
        <v>#VALUE!</v>
      </c>
      <c r="HL12" t="e">
        <f>AND(Plan!K29,"AAAAADa/bNs=")</f>
        <v>#VALUE!</v>
      </c>
      <c r="HM12" t="e">
        <f>AND(Plan!L29,"AAAAADa/bNw=")</f>
        <v>#VALUE!</v>
      </c>
      <c r="HN12" t="e">
        <f>AND(Plan!M29,"AAAAADa/bN0=")</f>
        <v>#VALUE!</v>
      </c>
      <c r="HO12" t="e">
        <f>AND(Plan!N29,"AAAAADa/bN4=")</f>
        <v>#VALUE!</v>
      </c>
      <c r="HP12" t="e">
        <f>AND(Plan!O29,"AAAAADa/bN8=")</f>
        <v>#VALUE!</v>
      </c>
      <c r="HQ12" t="e">
        <f>AND(Plan!P29,"AAAAADa/bOA=")</f>
        <v>#VALUE!</v>
      </c>
      <c r="HR12" t="e">
        <f>AND(Plan!Q29,"AAAAADa/bOE=")</f>
        <v>#VALUE!</v>
      </c>
      <c r="HS12" t="e">
        <f>AND(Plan!R29,"AAAAADa/bOI=")</f>
        <v>#VALUE!</v>
      </c>
      <c r="HT12" t="e">
        <f>AND(Plan!S29,"AAAAADa/bOM=")</f>
        <v>#VALUE!</v>
      </c>
      <c r="HU12" t="e">
        <f>AND(Plan!T29,"AAAAADa/bOQ=")</f>
        <v>#VALUE!</v>
      </c>
      <c r="HV12" t="e">
        <f>AND(Plan!U29,"AAAAADa/bOU=")</f>
        <v>#VALUE!</v>
      </c>
      <c r="HW12" t="e">
        <f>AND(Plan!V29,"AAAAADa/bOY=")</f>
        <v>#VALUE!</v>
      </c>
      <c r="HX12" t="e">
        <f>AND(Plan!W29,"AAAAADa/bOc=")</f>
        <v>#VALUE!</v>
      </c>
      <c r="HY12" t="e">
        <f>AND(Plan!X29,"AAAAADa/bOg=")</f>
        <v>#VALUE!</v>
      </c>
      <c r="HZ12" t="e">
        <f>AND(Plan!Y29,"AAAAADa/bOk=")</f>
        <v>#VALUE!</v>
      </c>
      <c r="IA12" t="e">
        <f>AND(Plan!Z29,"AAAAADa/bOo=")</f>
        <v>#VALUE!</v>
      </c>
      <c r="IB12" t="e">
        <f>AND(Plan!AA29,"AAAAADa/bOs=")</f>
        <v>#VALUE!</v>
      </c>
      <c r="IC12" t="e">
        <f>AND(Plan!AB29,"AAAAADa/bOw=")</f>
        <v>#VALUE!</v>
      </c>
      <c r="ID12" t="e">
        <f>AND(Plan!AC29,"AAAAADa/bO0=")</f>
        <v>#VALUE!</v>
      </c>
      <c r="IE12" t="e">
        <f>AND(Plan!AD29,"AAAAADa/bO4=")</f>
        <v>#VALUE!</v>
      </c>
      <c r="IF12" t="e">
        <f>AND(Plan!AE29,"AAAAADa/bO8=")</f>
        <v>#VALUE!</v>
      </c>
      <c r="IG12" t="e">
        <f>AND(Plan!AF29,"AAAAADa/bPA=")</f>
        <v>#VALUE!</v>
      </c>
      <c r="IH12" t="e">
        <f>AND(Plan!AG29,"AAAAADa/bPE=")</f>
        <v>#VALUE!</v>
      </c>
      <c r="II12" t="e">
        <f>AND(Plan!AH29,"AAAAADa/bPI=")</f>
        <v>#VALUE!</v>
      </c>
      <c r="IJ12" t="e">
        <f>AND(Plan!AI29,"AAAAADa/bPM=")</f>
        <v>#VALUE!</v>
      </c>
      <c r="IK12" t="e">
        <f>AND(Plan!AJ29,"AAAAADa/bPQ=")</f>
        <v>#VALUE!</v>
      </c>
      <c r="IL12" t="e">
        <f>AND(Plan!AK29,"AAAAADa/bPU=")</f>
        <v>#VALUE!</v>
      </c>
      <c r="IM12" t="e">
        <f>AND(Plan!AL29,"AAAAADa/bPY=")</f>
        <v>#VALUE!</v>
      </c>
      <c r="IN12" t="e">
        <f>AND(Plan!AM29,"AAAAADa/bPc=")</f>
        <v>#VALUE!</v>
      </c>
      <c r="IO12" t="e">
        <f>AND(Plan!AN29,"AAAAADa/bPg=")</f>
        <v>#VALUE!</v>
      </c>
      <c r="IP12" t="e">
        <f>AND(Plan!AO29,"AAAAADa/bPk=")</f>
        <v>#VALUE!</v>
      </c>
      <c r="IQ12" t="e">
        <f>AND(Plan!AP29,"AAAAADa/bPo=")</f>
        <v>#VALUE!</v>
      </c>
      <c r="IR12" t="e">
        <f>AND(Plan!AQ29,"AAAAADa/bPs=")</f>
        <v>#VALUE!</v>
      </c>
      <c r="IS12" t="e">
        <f>AND(Plan!AR29,"AAAAADa/bPw=")</f>
        <v>#VALUE!</v>
      </c>
      <c r="IT12" t="e">
        <f>AND(Plan!AS29,"AAAAADa/bP0=")</f>
        <v>#VALUE!</v>
      </c>
      <c r="IU12" t="e">
        <f>AND(Plan!AT29,"AAAAADa/bP4=")</f>
        <v>#VALUE!</v>
      </c>
      <c r="IV12" t="e">
        <f>AND(Plan!AU29,"AAAAADa/bP8=")</f>
        <v>#VALUE!</v>
      </c>
    </row>
    <row r="13" spans="1:256">
      <c r="A13" t="e">
        <f>AND(Plan!AV29,"AAAAAGb7VwA=")</f>
        <v>#VALUE!</v>
      </c>
      <c r="B13" t="e">
        <f>AND(Plan!AW29,"AAAAAGb7VwE=")</f>
        <v>#VALUE!</v>
      </c>
      <c r="C13" t="e">
        <f>AND(Plan!AX29,"AAAAAGb7VwI=")</f>
        <v>#VALUE!</v>
      </c>
      <c r="D13" t="e">
        <f>AND(Plan!AY29,"AAAAAGb7VwM=")</f>
        <v>#VALUE!</v>
      </c>
      <c r="E13" t="e">
        <f>AND(Plan!AZ29,"AAAAAGb7VwQ=")</f>
        <v>#VALUE!</v>
      </c>
      <c r="F13" t="e">
        <f>AND(Plan!BA29,"AAAAAGb7VwU=")</f>
        <v>#VALUE!</v>
      </c>
      <c r="G13" t="e">
        <f>AND(Plan!BB29,"AAAAAGb7VwY=")</f>
        <v>#VALUE!</v>
      </c>
      <c r="H13" t="e">
        <f>AND(Plan!BC29,"AAAAAGb7Vwc=")</f>
        <v>#VALUE!</v>
      </c>
      <c r="I13" t="e">
        <f>AND(Plan!BD29,"AAAAAGb7Vwg=")</f>
        <v>#VALUE!</v>
      </c>
      <c r="J13" t="e">
        <f>AND(Plan!BE29,"AAAAAGb7Vwk=")</f>
        <v>#VALUE!</v>
      </c>
      <c r="K13" t="e">
        <f>AND(Plan!BF29,"AAAAAGb7Vwo=")</f>
        <v>#VALUE!</v>
      </c>
      <c r="L13" t="e">
        <f>AND(Plan!BG29,"AAAAAGb7Vws=")</f>
        <v>#VALUE!</v>
      </c>
      <c r="M13" t="e">
        <f>AND(Plan!BH29,"AAAAAGb7Vww=")</f>
        <v>#VALUE!</v>
      </c>
      <c r="N13" t="e">
        <f>AND(Plan!BI29,"AAAAAGb7Vw0=")</f>
        <v>#VALUE!</v>
      </c>
      <c r="O13" t="e">
        <f>AND(Plan!BJ29,"AAAAAGb7Vw4=")</f>
        <v>#VALUE!</v>
      </c>
      <c r="P13" t="e">
        <f>AND(Plan!BK29,"AAAAAGb7Vw8=")</f>
        <v>#VALUE!</v>
      </c>
      <c r="Q13" t="e">
        <f>AND(Plan!BL29,"AAAAAGb7VxA=")</f>
        <v>#VALUE!</v>
      </c>
      <c r="R13" t="e">
        <f>AND(Plan!BM29,"AAAAAGb7VxE=")</f>
        <v>#VALUE!</v>
      </c>
      <c r="S13" t="e">
        <f>AND(Plan!BN29,"AAAAAGb7VxI=")</f>
        <v>#VALUE!</v>
      </c>
      <c r="T13" t="e">
        <f>AND(Plan!BO29,"AAAAAGb7VxM=")</f>
        <v>#VALUE!</v>
      </c>
      <c r="U13" t="e">
        <f>AND(Plan!BP29,"AAAAAGb7VxQ=")</f>
        <v>#VALUE!</v>
      </c>
      <c r="V13" t="e">
        <f>AND(Plan!BQ29,"AAAAAGb7VxU=")</f>
        <v>#VALUE!</v>
      </c>
      <c r="W13" t="e">
        <f>AND(Plan!BR29,"AAAAAGb7VxY=")</f>
        <v>#VALUE!</v>
      </c>
      <c r="X13" t="e">
        <f>AND(Plan!BS29,"AAAAAGb7Vxc=")</f>
        <v>#VALUE!</v>
      </c>
      <c r="Y13" t="e">
        <f>AND(Plan!BT29,"AAAAAGb7Vxg=")</f>
        <v>#VALUE!</v>
      </c>
      <c r="Z13" t="e">
        <f>AND(Plan!BU29,"AAAAAGb7Vxk=")</f>
        <v>#VALUE!</v>
      </c>
      <c r="AA13" t="e">
        <f>AND(Plan!BV29,"AAAAAGb7Vxo=")</f>
        <v>#VALUE!</v>
      </c>
      <c r="AB13" t="e">
        <f>AND(Plan!BW29,"AAAAAGb7Vxs=")</f>
        <v>#VALUE!</v>
      </c>
      <c r="AC13" t="e">
        <f>AND(Plan!BX29,"AAAAAGb7Vxw=")</f>
        <v>#VALUE!</v>
      </c>
      <c r="AD13" t="e">
        <f>AND(Plan!BY29,"AAAAAGb7Vx0=")</f>
        <v>#VALUE!</v>
      </c>
      <c r="AE13" t="e">
        <f>AND(Plan!BZ29,"AAAAAGb7Vx4=")</f>
        <v>#VALUE!</v>
      </c>
      <c r="AF13" t="e">
        <f>AND(Plan!CA29,"AAAAAGb7Vx8=")</f>
        <v>#VALUE!</v>
      </c>
      <c r="AG13" t="e">
        <f>AND(Plan!CB29,"AAAAAGb7VyA=")</f>
        <v>#VALUE!</v>
      </c>
      <c r="AH13" t="e">
        <f>AND(Plan!CC29,"AAAAAGb7VyE=")</f>
        <v>#VALUE!</v>
      </c>
      <c r="AI13" t="e">
        <f>AND(Plan!CD29,"AAAAAGb7VyI=")</f>
        <v>#VALUE!</v>
      </c>
      <c r="AJ13" t="e">
        <f>AND(Plan!CE29,"AAAAAGb7VyM=")</f>
        <v>#VALUE!</v>
      </c>
      <c r="AK13" t="e">
        <f>AND(Plan!CF29,"AAAAAGb7VyQ=")</f>
        <v>#VALUE!</v>
      </c>
      <c r="AL13" t="e">
        <f>AND(Plan!CG29,"AAAAAGb7VyU=")</f>
        <v>#VALUE!</v>
      </c>
      <c r="AM13" t="e">
        <f>AND(Plan!CH29,"AAAAAGb7VyY=")</f>
        <v>#VALUE!</v>
      </c>
      <c r="AN13" t="e">
        <f>AND(Plan!CI29,"AAAAAGb7Vyc=")</f>
        <v>#VALUE!</v>
      </c>
      <c r="AO13" t="e">
        <f>AND(Plan!CJ29,"AAAAAGb7Vyg=")</f>
        <v>#VALUE!</v>
      </c>
      <c r="AP13" t="e">
        <f>AND(Plan!CK29,"AAAAAGb7Vyk=")</f>
        <v>#VALUE!</v>
      </c>
      <c r="AQ13" t="e">
        <f>AND(Plan!CL29,"AAAAAGb7Vyo=")</f>
        <v>#VALUE!</v>
      </c>
      <c r="AR13" t="e">
        <f>AND(Plan!CM29,"AAAAAGb7Vys=")</f>
        <v>#VALUE!</v>
      </c>
      <c r="AS13" t="e">
        <f>AND(Plan!CN29,"AAAAAGb7Vyw=")</f>
        <v>#VALUE!</v>
      </c>
      <c r="AT13" t="e">
        <f>AND(Plan!CO29,"AAAAAGb7Vy0=")</f>
        <v>#VALUE!</v>
      </c>
      <c r="AU13" t="e">
        <f>AND(Plan!CP29,"AAAAAGb7Vy4=")</f>
        <v>#VALUE!</v>
      </c>
      <c r="AV13" t="e">
        <f>AND(Plan!CQ29,"AAAAAGb7Vy8=")</f>
        <v>#VALUE!</v>
      </c>
      <c r="AW13" t="e">
        <f>AND(Plan!CR29,"AAAAAGb7VzA=")</f>
        <v>#VALUE!</v>
      </c>
      <c r="AX13" t="e">
        <f>AND(Plan!CS29,"AAAAAGb7VzE=")</f>
        <v>#VALUE!</v>
      </c>
      <c r="AY13" t="e">
        <f>AND(Plan!CT29,"AAAAAGb7VzI=")</f>
        <v>#VALUE!</v>
      </c>
      <c r="AZ13" t="e">
        <f>AND(Plan!CU29,"AAAAAGb7VzM=")</f>
        <v>#VALUE!</v>
      </c>
      <c r="BA13" t="e">
        <f>AND(Plan!CV29,"AAAAAGb7VzQ=")</f>
        <v>#VALUE!</v>
      </c>
      <c r="BB13" t="e">
        <f>AND(Plan!CW29,"AAAAAGb7VzU=")</f>
        <v>#VALUE!</v>
      </c>
      <c r="BC13">
        <f>IF(Plan!30:30,"AAAAAGb7VzY=",0)</f>
        <v>0</v>
      </c>
      <c r="BD13" t="e">
        <f>AND(Plan!A30,"AAAAAGb7Vzc=")</f>
        <v>#VALUE!</v>
      </c>
      <c r="BE13" t="e">
        <f>AND(Plan!B30,"AAAAAGb7Vzg=")</f>
        <v>#VALUE!</v>
      </c>
      <c r="BF13" t="e">
        <f>AND(Plan!C30,"AAAAAGb7Vzk=")</f>
        <v>#VALUE!</v>
      </c>
      <c r="BG13" t="e">
        <f>AND(Plan!D30,"AAAAAGb7Vzo=")</f>
        <v>#VALUE!</v>
      </c>
      <c r="BH13" t="e">
        <f>AND(Plan!E30,"AAAAAGb7Vzs=")</f>
        <v>#VALUE!</v>
      </c>
      <c r="BI13" t="e">
        <f>AND(Plan!F30,"AAAAAGb7Vzw=")</f>
        <v>#VALUE!</v>
      </c>
      <c r="BJ13" t="e">
        <f>AND(Plan!G30,"AAAAAGb7Vz0=")</f>
        <v>#VALUE!</v>
      </c>
      <c r="BK13" t="e">
        <f>AND(Plan!H30,"AAAAAGb7Vz4=")</f>
        <v>#VALUE!</v>
      </c>
      <c r="BL13" t="e">
        <f>AND(Plan!I30,"AAAAAGb7Vz8=")</f>
        <v>#VALUE!</v>
      </c>
      <c r="BM13" t="e">
        <f>AND(Plan!J30,"AAAAAGb7V0A=")</f>
        <v>#VALUE!</v>
      </c>
      <c r="BN13" t="e">
        <f>AND(Plan!K30,"AAAAAGb7V0E=")</f>
        <v>#VALUE!</v>
      </c>
      <c r="BO13" t="e">
        <f>AND(Plan!L30,"AAAAAGb7V0I=")</f>
        <v>#VALUE!</v>
      </c>
      <c r="BP13" t="e">
        <f>AND(Plan!M30,"AAAAAGb7V0M=")</f>
        <v>#VALUE!</v>
      </c>
      <c r="BQ13" t="e">
        <f>AND(Plan!N30,"AAAAAGb7V0Q=")</f>
        <v>#VALUE!</v>
      </c>
      <c r="BR13" t="e">
        <f>AND(Plan!O30,"AAAAAGb7V0U=")</f>
        <v>#VALUE!</v>
      </c>
      <c r="BS13" t="e">
        <f>AND(Plan!P30,"AAAAAGb7V0Y=")</f>
        <v>#VALUE!</v>
      </c>
      <c r="BT13" t="e">
        <f>AND(Plan!Q30,"AAAAAGb7V0c=")</f>
        <v>#VALUE!</v>
      </c>
      <c r="BU13" t="e">
        <f>AND(Plan!R30,"AAAAAGb7V0g=")</f>
        <v>#VALUE!</v>
      </c>
      <c r="BV13" t="e">
        <f>AND(Plan!S30,"AAAAAGb7V0k=")</f>
        <v>#VALUE!</v>
      </c>
      <c r="BW13" t="e">
        <f>AND(Plan!T30,"AAAAAGb7V0o=")</f>
        <v>#VALUE!</v>
      </c>
      <c r="BX13" t="e">
        <f>AND(Plan!U30,"AAAAAGb7V0s=")</f>
        <v>#VALUE!</v>
      </c>
      <c r="BY13" t="e">
        <f>AND(Plan!V30,"AAAAAGb7V0w=")</f>
        <v>#VALUE!</v>
      </c>
      <c r="BZ13" t="e">
        <f>AND(Plan!W30,"AAAAAGb7V00=")</f>
        <v>#VALUE!</v>
      </c>
      <c r="CA13" t="e">
        <f>AND(Plan!X30,"AAAAAGb7V04=")</f>
        <v>#VALUE!</v>
      </c>
      <c r="CB13" t="e">
        <f>AND(Plan!Y30,"AAAAAGb7V08=")</f>
        <v>#VALUE!</v>
      </c>
      <c r="CC13" t="e">
        <f>AND(Plan!Z30,"AAAAAGb7V1A=")</f>
        <v>#VALUE!</v>
      </c>
      <c r="CD13" t="e">
        <f>AND(Plan!AA30,"AAAAAGb7V1E=")</f>
        <v>#VALUE!</v>
      </c>
      <c r="CE13" t="e">
        <f>AND(Plan!AB30,"AAAAAGb7V1I=")</f>
        <v>#VALUE!</v>
      </c>
      <c r="CF13" t="e">
        <f>AND(Plan!AC30,"AAAAAGb7V1M=")</f>
        <v>#VALUE!</v>
      </c>
      <c r="CG13" t="e">
        <f>AND(Plan!AD30,"AAAAAGb7V1Q=")</f>
        <v>#VALUE!</v>
      </c>
      <c r="CH13" t="e">
        <f>AND(Plan!AE30,"AAAAAGb7V1U=")</f>
        <v>#VALUE!</v>
      </c>
      <c r="CI13" t="e">
        <f>AND(Plan!AF30,"AAAAAGb7V1Y=")</f>
        <v>#VALUE!</v>
      </c>
      <c r="CJ13" t="e">
        <f>AND(Plan!AG30,"AAAAAGb7V1c=")</f>
        <v>#VALUE!</v>
      </c>
      <c r="CK13" t="e">
        <f>AND(Plan!AH30,"AAAAAGb7V1g=")</f>
        <v>#VALUE!</v>
      </c>
      <c r="CL13" t="e">
        <f>AND(Plan!AI30,"AAAAAGb7V1k=")</f>
        <v>#VALUE!</v>
      </c>
      <c r="CM13" t="e">
        <f>AND(Plan!AJ30,"AAAAAGb7V1o=")</f>
        <v>#VALUE!</v>
      </c>
      <c r="CN13" t="e">
        <f>AND(Plan!AK30,"AAAAAGb7V1s=")</f>
        <v>#VALUE!</v>
      </c>
      <c r="CO13" t="e">
        <f>AND(Plan!AL30,"AAAAAGb7V1w=")</f>
        <v>#VALUE!</v>
      </c>
      <c r="CP13" t="e">
        <f>AND(Plan!AM30,"AAAAAGb7V10=")</f>
        <v>#VALUE!</v>
      </c>
      <c r="CQ13" t="e">
        <f>AND(Plan!AN30,"AAAAAGb7V14=")</f>
        <v>#VALUE!</v>
      </c>
      <c r="CR13" t="e">
        <f>AND(Plan!AO30,"AAAAAGb7V18=")</f>
        <v>#VALUE!</v>
      </c>
      <c r="CS13" t="e">
        <f>AND(Plan!AP30,"AAAAAGb7V2A=")</f>
        <v>#VALUE!</v>
      </c>
      <c r="CT13" t="e">
        <f>AND(Plan!AQ30,"AAAAAGb7V2E=")</f>
        <v>#VALUE!</v>
      </c>
      <c r="CU13" t="e">
        <f>AND(Plan!AR30,"AAAAAGb7V2I=")</f>
        <v>#VALUE!</v>
      </c>
      <c r="CV13" t="e">
        <f>AND(Plan!AS30,"AAAAAGb7V2M=")</f>
        <v>#VALUE!</v>
      </c>
      <c r="CW13" t="e">
        <f>AND(Plan!AT30,"AAAAAGb7V2Q=")</f>
        <v>#VALUE!</v>
      </c>
      <c r="CX13" t="e">
        <f>AND(Plan!AU30,"AAAAAGb7V2U=")</f>
        <v>#VALUE!</v>
      </c>
      <c r="CY13" t="e">
        <f>AND(Plan!AV30,"AAAAAGb7V2Y=")</f>
        <v>#VALUE!</v>
      </c>
      <c r="CZ13" t="e">
        <f>AND(Plan!AW30,"AAAAAGb7V2c=")</f>
        <v>#VALUE!</v>
      </c>
      <c r="DA13" t="e">
        <f>AND(Plan!AX30,"AAAAAGb7V2g=")</f>
        <v>#VALUE!</v>
      </c>
      <c r="DB13" t="e">
        <f>AND(Plan!AY30,"AAAAAGb7V2k=")</f>
        <v>#VALUE!</v>
      </c>
      <c r="DC13" t="e">
        <f>AND(Plan!AZ30,"AAAAAGb7V2o=")</f>
        <v>#VALUE!</v>
      </c>
      <c r="DD13" t="e">
        <f>AND(Plan!BA30,"AAAAAGb7V2s=")</f>
        <v>#VALUE!</v>
      </c>
      <c r="DE13" t="e">
        <f>AND(Plan!BB30,"AAAAAGb7V2w=")</f>
        <v>#VALUE!</v>
      </c>
      <c r="DF13" t="e">
        <f>AND(Plan!BC30,"AAAAAGb7V20=")</f>
        <v>#VALUE!</v>
      </c>
      <c r="DG13" t="e">
        <f>AND(Plan!BD30,"AAAAAGb7V24=")</f>
        <v>#VALUE!</v>
      </c>
      <c r="DH13" t="e">
        <f>AND(Plan!BE30,"AAAAAGb7V28=")</f>
        <v>#VALUE!</v>
      </c>
      <c r="DI13" t="e">
        <f>AND(Plan!BF30,"AAAAAGb7V3A=")</f>
        <v>#VALUE!</v>
      </c>
      <c r="DJ13" t="e">
        <f>AND(Plan!BG30,"AAAAAGb7V3E=")</f>
        <v>#VALUE!</v>
      </c>
      <c r="DK13" t="e">
        <f>AND(Plan!BH30,"AAAAAGb7V3I=")</f>
        <v>#VALUE!</v>
      </c>
      <c r="DL13" t="e">
        <f>AND(Plan!BI30,"AAAAAGb7V3M=")</f>
        <v>#VALUE!</v>
      </c>
      <c r="DM13" t="e">
        <f>AND(Plan!BJ30,"AAAAAGb7V3Q=")</f>
        <v>#VALUE!</v>
      </c>
      <c r="DN13" t="e">
        <f>AND(Plan!BK30,"AAAAAGb7V3U=")</f>
        <v>#VALUE!</v>
      </c>
      <c r="DO13" t="e">
        <f>AND(Plan!BL30,"AAAAAGb7V3Y=")</f>
        <v>#VALUE!</v>
      </c>
      <c r="DP13" t="e">
        <f>AND(Plan!BM30,"AAAAAGb7V3c=")</f>
        <v>#VALUE!</v>
      </c>
      <c r="DQ13" t="e">
        <f>AND(Plan!BN30,"AAAAAGb7V3g=")</f>
        <v>#VALUE!</v>
      </c>
      <c r="DR13" t="e">
        <f>AND(Plan!BO30,"AAAAAGb7V3k=")</f>
        <v>#VALUE!</v>
      </c>
      <c r="DS13" t="e">
        <f>AND(Plan!BP30,"AAAAAGb7V3o=")</f>
        <v>#VALUE!</v>
      </c>
      <c r="DT13" t="e">
        <f>AND(Plan!BQ30,"AAAAAGb7V3s=")</f>
        <v>#VALUE!</v>
      </c>
      <c r="DU13" t="e">
        <f>AND(Plan!BR30,"AAAAAGb7V3w=")</f>
        <v>#VALUE!</v>
      </c>
      <c r="DV13" t="e">
        <f>AND(Plan!BS30,"AAAAAGb7V30=")</f>
        <v>#VALUE!</v>
      </c>
      <c r="DW13" t="e">
        <f>AND(Plan!BT30,"AAAAAGb7V34=")</f>
        <v>#VALUE!</v>
      </c>
      <c r="DX13" t="e">
        <f>AND(Plan!BU30,"AAAAAGb7V38=")</f>
        <v>#VALUE!</v>
      </c>
      <c r="DY13" t="e">
        <f>AND(Plan!BV30,"AAAAAGb7V4A=")</f>
        <v>#VALUE!</v>
      </c>
      <c r="DZ13" t="e">
        <f>AND(Plan!BW30,"AAAAAGb7V4E=")</f>
        <v>#VALUE!</v>
      </c>
      <c r="EA13" t="e">
        <f>AND(Plan!BX30,"AAAAAGb7V4I=")</f>
        <v>#VALUE!</v>
      </c>
      <c r="EB13" t="e">
        <f>AND(Plan!BY30,"AAAAAGb7V4M=")</f>
        <v>#VALUE!</v>
      </c>
      <c r="EC13" t="e">
        <f>AND(Plan!BZ30,"AAAAAGb7V4Q=")</f>
        <v>#VALUE!</v>
      </c>
      <c r="ED13" t="e">
        <f>AND(Plan!CA30,"AAAAAGb7V4U=")</f>
        <v>#VALUE!</v>
      </c>
      <c r="EE13" t="e">
        <f>AND(Plan!CB30,"AAAAAGb7V4Y=")</f>
        <v>#VALUE!</v>
      </c>
      <c r="EF13" t="e">
        <f>AND(Plan!CC30,"AAAAAGb7V4c=")</f>
        <v>#VALUE!</v>
      </c>
      <c r="EG13" t="e">
        <f>AND(Plan!CD30,"AAAAAGb7V4g=")</f>
        <v>#VALUE!</v>
      </c>
      <c r="EH13" t="e">
        <f>AND(Plan!CE30,"AAAAAGb7V4k=")</f>
        <v>#VALUE!</v>
      </c>
      <c r="EI13" t="e">
        <f>AND(Plan!CF30,"AAAAAGb7V4o=")</f>
        <v>#VALUE!</v>
      </c>
      <c r="EJ13" t="e">
        <f>AND(Plan!CG30,"AAAAAGb7V4s=")</f>
        <v>#VALUE!</v>
      </c>
      <c r="EK13" t="e">
        <f>AND(Plan!CH30,"AAAAAGb7V4w=")</f>
        <v>#VALUE!</v>
      </c>
      <c r="EL13" t="e">
        <f>AND(Plan!CI30,"AAAAAGb7V40=")</f>
        <v>#VALUE!</v>
      </c>
      <c r="EM13" t="e">
        <f>AND(Plan!CJ30,"AAAAAGb7V44=")</f>
        <v>#VALUE!</v>
      </c>
      <c r="EN13" t="e">
        <f>AND(Plan!CK30,"AAAAAGb7V48=")</f>
        <v>#VALUE!</v>
      </c>
      <c r="EO13" t="e">
        <f>AND(Plan!CL30,"AAAAAGb7V5A=")</f>
        <v>#VALUE!</v>
      </c>
      <c r="EP13" t="e">
        <f>AND(Plan!CM30,"AAAAAGb7V5E=")</f>
        <v>#VALUE!</v>
      </c>
      <c r="EQ13" t="e">
        <f>AND(Plan!CN30,"AAAAAGb7V5I=")</f>
        <v>#VALUE!</v>
      </c>
      <c r="ER13" t="e">
        <f>AND(Plan!CO30,"AAAAAGb7V5M=")</f>
        <v>#VALUE!</v>
      </c>
      <c r="ES13" t="e">
        <f>AND(Plan!CP30,"AAAAAGb7V5Q=")</f>
        <v>#VALUE!</v>
      </c>
      <c r="ET13" t="e">
        <f>AND(Plan!CQ30,"AAAAAGb7V5U=")</f>
        <v>#VALUE!</v>
      </c>
      <c r="EU13" t="e">
        <f>AND(Plan!CR30,"AAAAAGb7V5Y=")</f>
        <v>#VALUE!</v>
      </c>
      <c r="EV13" t="e">
        <f>AND(Plan!CS30,"AAAAAGb7V5c=")</f>
        <v>#VALUE!</v>
      </c>
      <c r="EW13" t="e">
        <f>AND(Plan!CT30,"AAAAAGb7V5g=")</f>
        <v>#VALUE!</v>
      </c>
      <c r="EX13" t="e">
        <f>AND(Plan!CU30,"AAAAAGb7V5k=")</f>
        <v>#VALUE!</v>
      </c>
      <c r="EY13" t="e">
        <f>AND(Plan!CV30,"AAAAAGb7V5o=")</f>
        <v>#VALUE!</v>
      </c>
      <c r="EZ13" t="e">
        <f>AND(Plan!CW30,"AAAAAGb7V5s=")</f>
        <v>#VALUE!</v>
      </c>
      <c r="FA13">
        <f>IF(Plan!31:31,"AAAAAGb7V5w=",0)</f>
        <v>0</v>
      </c>
      <c r="FB13" t="e">
        <f>AND(Plan!A31,"AAAAAGb7V50=")</f>
        <v>#VALUE!</v>
      </c>
      <c r="FC13" t="e">
        <f>AND(Plan!B31,"AAAAAGb7V54=")</f>
        <v>#VALUE!</v>
      </c>
      <c r="FD13" t="e">
        <f>AND(Plan!C31,"AAAAAGb7V58=")</f>
        <v>#VALUE!</v>
      </c>
      <c r="FE13" t="e">
        <f>AND(Plan!D31,"AAAAAGb7V6A=")</f>
        <v>#VALUE!</v>
      </c>
      <c r="FF13" t="e">
        <f>AND(Plan!E31,"AAAAAGb7V6E=")</f>
        <v>#VALUE!</v>
      </c>
      <c r="FG13" t="e">
        <f>AND(Plan!F31,"AAAAAGb7V6I=")</f>
        <v>#VALUE!</v>
      </c>
      <c r="FH13" t="e">
        <f>AND(Plan!G31,"AAAAAGb7V6M=")</f>
        <v>#VALUE!</v>
      </c>
      <c r="FI13" t="e">
        <f>AND(Plan!H31,"AAAAAGb7V6Q=")</f>
        <v>#VALUE!</v>
      </c>
      <c r="FJ13" t="e">
        <f>AND(Plan!I31,"AAAAAGb7V6U=")</f>
        <v>#VALUE!</v>
      </c>
      <c r="FK13" t="e">
        <f>AND(Plan!J31,"AAAAAGb7V6Y=")</f>
        <v>#VALUE!</v>
      </c>
      <c r="FL13" t="e">
        <f>AND(Plan!K31,"AAAAAGb7V6c=")</f>
        <v>#VALUE!</v>
      </c>
      <c r="FM13" t="e">
        <f>AND(Plan!L31,"AAAAAGb7V6g=")</f>
        <v>#VALUE!</v>
      </c>
      <c r="FN13" t="e">
        <f>AND(Plan!M31,"AAAAAGb7V6k=")</f>
        <v>#VALUE!</v>
      </c>
      <c r="FO13" t="e">
        <f>AND(Plan!N31,"AAAAAGb7V6o=")</f>
        <v>#VALUE!</v>
      </c>
      <c r="FP13" t="e">
        <f>AND(Plan!O31,"AAAAAGb7V6s=")</f>
        <v>#VALUE!</v>
      </c>
      <c r="FQ13" t="e">
        <f>AND(Plan!P31,"AAAAAGb7V6w=")</f>
        <v>#VALUE!</v>
      </c>
      <c r="FR13" t="e">
        <f>AND(Plan!Q31,"AAAAAGb7V60=")</f>
        <v>#VALUE!</v>
      </c>
      <c r="FS13" t="e">
        <f>AND(Plan!R31,"AAAAAGb7V64=")</f>
        <v>#VALUE!</v>
      </c>
      <c r="FT13" t="e">
        <f>AND(Plan!S31,"AAAAAGb7V68=")</f>
        <v>#VALUE!</v>
      </c>
      <c r="FU13" t="e">
        <f>AND(Plan!T31,"AAAAAGb7V7A=")</f>
        <v>#VALUE!</v>
      </c>
      <c r="FV13" t="e">
        <f>AND(Plan!U31,"AAAAAGb7V7E=")</f>
        <v>#VALUE!</v>
      </c>
      <c r="FW13" t="e">
        <f>AND(Plan!V31,"AAAAAGb7V7I=")</f>
        <v>#VALUE!</v>
      </c>
      <c r="FX13" t="e">
        <f>AND(Plan!W31,"AAAAAGb7V7M=")</f>
        <v>#VALUE!</v>
      </c>
      <c r="FY13" t="e">
        <f>AND(Plan!X31,"AAAAAGb7V7Q=")</f>
        <v>#VALUE!</v>
      </c>
      <c r="FZ13" t="e">
        <f>AND(Plan!Y31,"AAAAAGb7V7U=")</f>
        <v>#VALUE!</v>
      </c>
      <c r="GA13" t="e">
        <f>AND(Plan!Z31,"AAAAAGb7V7Y=")</f>
        <v>#VALUE!</v>
      </c>
      <c r="GB13" t="e">
        <f>AND(Plan!AA31,"AAAAAGb7V7c=")</f>
        <v>#VALUE!</v>
      </c>
      <c r="GC13" t="e">
        <f>AND(Plan!AB31,"AAAAAGb7V7g=")</f>
        <v>#VALUE!</v>
      </c>
      <c r="GD13" t="e">
        <f>AND(Plan!AC31,"AAAAAGb7V7k=")</f>
        <v>#VALUE!</v>
      </c>
      <c r="GE13" t="e">
        <f>AND(Plan!AD31,"AAAAAGb7V7o=")</f>
        <v>#VALUE!</v>
      </c>
      <c r="GF13" t="e">
        <f>AND(Plan!AE31,"AAAAAGb7V7s=")</f>
        <v>#VALUE!</v>
      </c>
      <c r="GG13" t="e">
        <f>AND(Plan!AF31,"AAAAAGb7V7w=")</f>
        <v>#VALUE!</v>
      </c>
      <c r="GH13" t="e">
        <f>AND(Plan!AG31,"AAAAAGb7V70=")</f>
        <v>#VALUE!</v>
      </c>
      <c r="GI13" t="e">
        <f>AND(Plan!AH31,"AAAAAGb7V74=")</f>
        <v>#VALUE!</v>
      </c>
      <c r="GJ13" t="e">
        <f>AND(Plan!AI31,"AAAAAGb7V78=")</f>
        <v>#VALUE!</v>
      </c>
      <c r="GK13" t="e">
        <f>AND(Plan!AJ31,"AAAAAGb7V8A=")</f>
        <v>#VALUE!</v>
      </c>
      <c r="GL13" t="e">
        <f>AND(Plan!AK31,"AAAAAGb7V8E=")</f>
        <v>#VALUE!</v>
      </c>
      <c r="GM13" t="e">
        <f>AND(Plan!AL31,"AAAAAGb7V8I=")</f>
        <v>#VALUE!</v>
      </c>
      <c r="GN13" t="e">
        <f>AND(Plan!AM31,"AAAAAGb7V8M=")</f>
        <v>#VALUE!</v>
      </c>
      <c r="GO13" t="e">
        <f>AND(Plan!AN31,"AAAAAGb7V8Q=")</f>
        <v>#VALUE!</v>
      </c>
      <c r="GP13" t="e">
        <f>AND(Plan!AO31,"AAAAAGb7V8U=")</f>
        <v>#VALUE!</v>
      </c>
      <c r="GQ13" t="e">
        <f>AND(Plan!AP31,"AAAAAGb7V8Y=")</f>
        <v>#VALUE!</v>
      </c>
      <c r="GR13" t="e">
        <f>AND(Plan!AQ31,"AAAAAGb7V8c=")</f>
        <v>#VALUE!</v>
      </c>
      <c r="GS13" t="e">
        <f>AND(Plan!AR31,"AAAAAGb7V8g=")</f>
        <v>#VALUE!</v>
      </c>
      <c r="GT13" t="e">
        <f>AND(Plan!AS31,"AAAAAGb7V8k=")</f>
        <v>#VALUE!</v>
      </c>
      <c r="GU13" t="e">
        <f>AND(Plan!AT31,"AAAAAGb7V8o=")</f>
        <v>#VALUE!</v>
      </c>
      <c r="GV13" t="e">
        <f>AND(Plan!AU31,"AAAAAGb7V8s=")</f>
        <v>#VALUE!</v>
      </c>
      <c r="GW13" t="e">
        <f>AND(Plan!AV31,"AAAAAGb7V8w=")</f>
        <v>#VALUE!</v>
      </c>
      <c r="GX13" t="e">
        <f>AND(Plan!AW31,"AAAAAGb7V80=")</f>
        <v>#VALUE!</v>
      </c>
      <c r="GY13" t="e">
        <f>AND(Plan!AX31,"AAAAAGb7V84=")</f>
        <v>#VALUE!</v>
      </c>
      <c r="GZ13" t="e">
        <f>AND(Plan!AY31,"AAAAAGb7V88=")</f>
        <v>#VALUE!</v>
      </c>
      <c r="HA13" t="e">
        <f>AND(Plan!AZ31,"AAAAAGb7V9A=")</f>
        <v>#VALUE!</v>
      </c>
      <c r="HB13" t="e">
        <f>AND(Plan!BA31,"AAAAAGb7V9E=")</f>
        <v>#VALUE!</v>
      </c>
      <c r="HC13" t="e">
        <f>AND(Plan!BB31,"AAAAAGb7V9I=")</f>
        <v>#VALUE!</v>
      </c>
      <c r="HD13" t="e">
        <f>AND(Plan!BC31,"AAAAAGb7V9M=")</f>
        <v>#VALUE!</v>
      </c>
      <c r="HE13" t="e">
        <f>AND(Plan!BD31,"AAAAAGb7V9Q=")</f>
        <v>#VALUE!</v>
      </c>
      <c r="HF13" t="e">
        <f>AND(Plan!BE31,"AAAAAGb7V9U=")</f>
        <v>#VALUE!</v>
      </c>
      <c r="HG13" t="e">
        <f>AND(Plan!BF31,"AAAAAGb7V9Y=")</f>
        <v>#VALUE!</v>
      </c>
      <c r="HH13" t="e">
        <f>AND(Plan!BG31,"AAAAAGb7V9c=")</f>
        <v>#VALUE!</v>
      </c>
      <c r="HI13" t="e">
        <f>AND(Plan!BH31,"AAAAAGb7V9g=")</f>
        <v>#VALUE!</v>
      </c>
      <c r="HJ13" t="e">
        <f>AND(Plan!BI31,"AAAAAGb7V9k=")</f>
        <v>#VALUE!</v>
      </c>
      <c r="HK13" t="e">
        <f>AND(Plan!BJ31,"AAAAAGb7V9o=")</f>
        <v>#VALUE!</v>
      </c>
      <c r="HL13" t="e">
        <f>AND(Plan!BK31,"AAAAAGb7V9s=")</f>
        <v>#VALUE!</v>
      </c>
      <c r="HM13" t="e">
        <f>AND(Plan!BL31,"AAAAAGb7V9w=")</f>
        <v>#VALUE!</v>
      </c>
      <c r="HN13" t="e">
        <f>AND(Plan!BM31,"AAAAAGb7V90=")</f>
        <v>#VALUE!</v>
      </c>
      <c r="HO13" t="e">
        <f>AND(Plan!BN31,"AAAAAGb7V94=")</f>
        <v>#VALUE!</v>
      </c>
      <c r="HP13" t="e">
        <f>AND(Plan!BO31,"AAAAAGb7V98=")</f>
        <v>#VALUE!</v>
      </c>
      <c r="HQ13" t="e">
        <f>AND(Plan!BP31,"AAAAAGb7V+A=")</f>
        <v>#VALUE!</v>
      </c>
      <c r="HR13" t="e">
        <f>AND(Plan!BQ31,"AAAAAGb7V+E=")</f>
        <v>#VALUE!</v>
      </c>
      <c r="HS13" t="e">
        <f>AND(Plan!BR31,"AAAAAGb7V+I=")</f>
        <v>#VALUE!</v>
      </c>
      <c r="HT13" t="e">
        <f>AND(Plan!BS31,"AAAAAGb7V+M=")</f>
        <v>#VALUE!</v>
      </c>
      <c r="HU13" t="e">
        <f>AND(Plan!BT31,"AAAAAGb7V+Q=")</f>
        <v>#VALUE!</v>
      </c>
      <c r="HV13" t="e">
        <f>AND(Plan!BU31,"AAAAAGb7V+U=")</f>
        <v>#VALUE!</v>
      </c>
      <c r="HW13" t="e">
        <f>AND(Plan!BV31,"AAAAAGb7V+Y=")</f>
        <v>#VALUE!</v>
      </c>
      <c r="HX13" t="e">
        <f>AND(Plan!BW31,"AAAAAGb7V+c=")</f>
        <v>#VALUE!</v>
      </c>
      <c r="HY13" t="e">
        <f>AND(Plan!BX31,"AAAAAGb7V+g=")</f>
        <v>#VALUE!</v>
      </c>
      <c r="HZ13" t="e">
        <f>AND(Plan!BY31,"AAAAAGb7V+k=")</f>
        <v>#VALUE!</v>
      </c>
      <c r="IA13" t="e">
        <f>AND(Plan!BZ31,"AAAAAGb7V+o=")</f>
        <v>#VALUE!</v>
      </c>
      <c r="IB13" t="e">
        <f>AND(Plan!CA31,"AAAAAGb7V+s=")</f>
        <v>#VALUE!</v>
      </c>
      <c r="IC13" t="e">
        <f>AND(Plan!CB31,"AAAAAGb7V+w=")</f>
        <v>#VALUE!</v>
      </c>
      <c r="ID13" t="e">
        <f>AND(Plan!CC31,"AAAAAGb7V+0=")</f>
        <v>#VALUE!</v>
      </c>
      <c r="IE13" t="e">
        <f>AND(Plan!CD31,"AAAAAGb7V+4=")</f>
        <v>#VALUE!</v>
      </c>
      <c r="IF13" t="e">
        <f>AND(Plan!CE31,"AAAAAGb7V+8=")</f>
        <v>#VALUE!</v>
      </c>
      <c r="IG13" t="e">
        <f>AND(Plan!CF31,"AAAAAGb7V/A=")</f>
        <v>#VALUE!</v>
      </c>
      <c r="IH13" t="e">
        <f>AND(Plan!CG31,"AAAAAGb7V/E=")</f>
        <v>#VALUE!</v>
      </c>
      <c r="II13" t="e">
        <f>AND(Plan!CH31,"AAAAAGb7V/I=")</f>
        <v>#VALUE!</v>
      </c>
      <c r="IJ13" t="e">
        <f>AND(Plan!CI31,"AAAAAGb7V/M=")</f>
        <v>#VALUE!</v>
      </c>
      <c r="IK13" t="e">
        <f>AND(Plan!CJ31,"AAAAAGb7V/Q=")</f>
        <v>#VALUE!</v>
      </c>
      <c r="IL13" t="e">
        <f>AND(Plan!CK31,"AAAAAGb7V/U=")</f>
        <v>#VALUE!</v>
      </c>
      <c r="IM13" t="e">
        <f>AND(Plan!CL31,"AAAAAGb7V/Y=")</f>
        <v>#VALUE!</v>
      </c>
      <c r="IN13" t="e">
        <f>AND(Plan!CM31,"AAAAAGb7V/c=")</f>
        <v>#VALUE!</v>
      </c>
      <c r="IO13" t="e">
        <f>AND(Plan!CN31,"AAAAAGb7V/g=")</f>
        <v>#VALUE!</v>
      </c>
      <c r="IP13" t="e">
        <f>AND(Plan!CO31,"AAAAAGb7V/k=")</f>
        <v>#VALUE!</v>
      </c>
      <c r="IQ13" t="e">
        <f>AND(Plan!CP31,"AAAAAGb7V/o=")</f>
        <v>#VALUE!</v>
      </c>
      <c r="IR13" t="e">
        <f>AND(Plan!CQ31,"AAAAAGb7V/s=")</f>
        <v>#VALUE!</v>
      </c>
      <c r="IS13" t="e">
        <f>AND(Plan!CR31,"AAAAAGb7V/w=")</f>
        <v>#VALUE!</v>
      </c>
      <c r="IT13" t="e">
        <f>AND(Plan!CS31,"AAAAAGb7V/0=")</f>
        <v>#VALUE!</v>
      </c>
      <c r="IU13" t="e">
        <f>AND(Plan!CT31,"AAAAAGb7V/4=")</f>
        <v>#VALUE!</v>
      </c>
      <c r="IV13" t="e">
        <f>AND(Plan!CU31,"AAAAAGb7V/8=")</f>
        <v>#VALUE!</v>
      </c>
    </row>
    <row r="14" spans="1:256">
      <c r="A14" t="e">
        <f>AND(Plan!CV31,"AAAAACzn/wA=")</f>
        <v>#VALUE!</v>
      </c>
      <c r="B14" t="e">
        <f>AND(Plan!CW31,"AAAAACzn/wE=")</f>
        <v>#VALUE!</v>
      </c>
      <c r="C14" t="e">
        <f>IF(Plan!32:32,"AAAAACzn/wI=",0)</f>
        <v>#VALUE!</v>
      </c>
      <c r="D14" t="e">
        <f>AND(Plan!A32,"AAAAACzn/wM=")</f>
        <v>#VALUE!</v>
      </c>
      <c r="E14" t="e">
        <f>AND(Plan!B32,"AAAAACzn/wQ=")</f>
        <v>#VALUE!</v>
      </c>
      <c r="F14" t="e">
        <f>AND(Plan!C32,"AAAAACzn/wU=")</f>
        <v>#VALUE!</v>
      </c>
      <c r="G14" t="e">
        <f>AND(Plan!D32,"AAAAACzn/wY=")</f>
        <v>#VALUE!</v>
      </c>
      <c r="H14" t="e">
        <f>AND(Plan!E32,"AAAAACzn/wc=")</f>
        <v>#VALUE!</v>
      </c>
      <c r="I14" t="e">
        <f>AND(Plan!F32,"AAAAACzn/wg=")</f>
        <v>#VALUE!</v>
      </c>
      <c r="J14" t="e">
        <f>AND(Plan!G32,"AAAAACzn/wk=")</f>
        <v>#VALUE!</v>
      </c>
      <c r="K14" t="e">
        <f>AND(Plan!H32,"AAAAACzn/wo=")</f>
        <v>#VALUE!</v>
      </c>
      <c r="L14" t="e">
        <f>AND(Plan!I32,"AAAAACzn/ws=")</f>
        <v>#VALUE!</v>
      </c>
      <c r="M14" t="e">
        <f>AND(Plan!J32,"AAAAACzn/ww=")</f>
        <v>#VALUE!</v>
      </c>
      <c r="N14" t="e">
        <f>AND(Plan!K32,"AAAAACzn/w0=")</f>
        <v>#VALUE!</v>
      </c>
      <c r="O14" t="e">
        <f>AND(Plan!L32,"AAAAACzn/w4=")</f>
        <v>#VALUE!</v>
      </c>
      <c r="P14" t="e">
        <f>AND(Plan!M32,"AAAAACzn/w8=")</f>
        <v>#VALUE!</v>
      </c>
      <c r="Q14" t="e">
        <f>AND(Plan!N32,"AAAAACzn/xA=")</f>
        <v>#VALUE!</v>
      </c>
      <c r="R14" t="e">
        <f>AND(Plan!O32,"AAAAACzn/xE=")</f>
        <v>#VALUE!</v>
      </c>
      <c r="S14" t="e">
        <f>AND(Plan!P32,"AAAAACzn/xI=")</f>
        <v>#VALUE!</v>
      </c>
      <c r="T14" t="e">
        <f>AND(Plan!Q32,"AAAAACzn/xM=")</f>
        <v>#VALUE!</v>
      </c>
      <c r="U14" t="e">
        <f>AND(Plan!R32,"AAAAACzn/xQ=")</f>
        <v>#VALUE!</v>
      </c>
      <c r="V14" t="e">
        <f>AND(Plan!S32,"AAAAACzn/xU=")</f>
        <v>#VALUE!</v>
      </c>
      <c r="W14" t="e">
        <f>AND(Plan!T32,"AAAAACzn/xY=")</f>
        <v>#VALUE!</v>
      </c>
      <c r="X14" t="e">
        <f>AND(Plan!U32,"AAAAACzn/xc=")</f>
        <v>#VALUE!</v>
      </c>
      <c r="Y14" t="e">
        <f>AND(Plan!V32,"AAAAACzn/xg=")</f>
        <v>#VALUE!</v>
      </c>
      <c r="Z14" t="e">
        <f>AND(Plan!W32,"AAAAACzn/xk=")</f>
        <v>#VALUE!</v>
      </c>
      <c r="AA14" t="e">
        <f>AND(Plan!X32,"AAAAACzn/xo=")</f>
        <v>#VALUE!</v>
      </c>
      <c r="AB14" t="e">
        <f>AND(Plan!Y32,"AAAAACzn/xs=")</f>
        <v>#VALUE!</v>
      </c>
      <c r="AC14" t="e">
        <f>AND(Plan!Z32,"AAAAACzn/xw=")</f>
        <v>#VALUE!</v>
      </c>
      <c r="AD14" t="e">
        <f>AND(Plan!AA32,"AAAAACzn/x0=")</f>
        <v>#VALUE!</v>
      </c>
      <c r="AE14" t="e">
        <f>AND(Plan!AB32,"AAAAACzn/x4=")</f>
        <v>#VALUE!</v>
      </c>
      <c r="AF14" t="e">
        <f>AND(Plan!AC32,"AAAAACzn/x8=")</f>
        <v>#VALUE!</v>
      </c>
      <c r="AG14" t="e">
        <f>AND(Plan!AD32,"AAAAACzn/yA=")</f>
        <v>#VALUE!</v>
      </c>
      <c r="AH14" t="e">
        <f>AND(Plan!AE32,"AAAAACzn/yE=")</f>
        <v>#VALUE!</v>
      </c>
      <c r="AI14" t="e">
        <f>AND(Plan!AF32,"AAAAACzn/yI=")</f>
        <v>#VALUE!</v>
      </c>
      <c r="AJ14" t="e">
        <f>AND(Plan!AG32,"AAAAACzn/yM=")</f>
        <v>#VALUE!</v>
      </c>
      <c r="AK14" t="e">
        <f>AND(Plan!AH32,"AAAAACzn/yQ=")</f>
        <v>#VALUE!</v>
      </c>
      <c r="AL14" t="e">
        <f>AND(Plan!AI32,"AAAAACzn/yU=")</f>
        <v>#VALUE!</v>
      </c>
      <c r="AM14" t="e">
        <f>AND(Plan!AJ32,"AAAAACzn/yY=")</f>
        <v>#VALUE!</v>
      </c>
      <c r="AN14" t="e">
        <f>AND(Plan!AK32,"AAAAACzn/yc=")</f>
        <v>#VALUE!</v>
      </c>
      <c r="AO14" t="e">
        <f>AND(Plan!AL32,"AAAAACzn/yg=")</f>
        <v>#VALUE!</v>
      </c>
      <c r="AP14" t="e">
        <f>AND(Plan!AM32,"AAAAACzn/yk=")</f>
        <v>#VALUE!</v>
      </c>
      <c r="AQ14" t="e">
        <f>AND(Plan!AN32,"AAAAACzn/yo=")</f>
        <v>#VALUE!</v>
      </c>
      <c r="AR14" t="e">
        <f>AND(Plan!AO32,"AAAAACzn/ys=")</f>
        <v>#VALUE!</v>
      </c>
      <c r="AS14" t="e">
        <f>AND(Plan!AP32,"AAAAACzn/yw=")</f>
        <v>#VALUE!</v>
      </c>
      <c r="AT14" t="e">
        <f>AND(Plan!AQ32,"AAAAACzn/y0=")</f>
        <v>#VALUE!</v>
      </c>
      <c r="AU14" t="e">
        <f>AND(Plan!AR32,"AAAAACzn/y4=")</f>
        <v>#VALUE!</v>
      </c>
      <c r="AV14" t="e">
        <f>AND(Plan!AS32,"AAAAACzn/y8=")</f>
        <v>#VALUE!</v>
      </c>
      <c r="AW14" t="e">
        <f>AND(Plan!AT32,"AAAAACzn/zA=")</f>
        <v>#VALUE!</v>
      </c>
      <c r="AX14" t="e">
        <f>AND(Plan!AU32,"AAAAACzn/zE=")</f>
        <v>#VALUE!</v>
      </c>
      <c r="AY14" t="e">
        <f>AND(Plan!AV32,"AAAAACzn/zI=")</f>
        <v>#VALUE!</v>
      </c>
      <c r="AZ14" t="e">
        <f>AND(Plan!AW32,"AAAAACzn/zM=")</f>
        <v>#VALUE!</v>
      </c>
      <c r="BA14" t="e">
        <f>AND(Plan!AX32,"AAAAACzn/zQ=")</f>
        <v>#VALUE!</v>
      </c>
      <c r="BB14" t="e">
        <f>AND(Plan!AY32,"AAAAACzn/zU=")</f>
        <v>#VALUE!</v>
      </c>
      <c r="BC14" t="e">
        <f>AND(Plan!AZ32,"AAAAACzn/zY=")</f>
        <v>#VALUE!</v>
      </c>
      <c r="BD14" t="e">
        <f>AND(Plan!BA32,"AAAAACzn/zc=")</f>
        <v>#VALUE!</v>
      </c>
      <c r="BE14" t="e">
        <f>AND(Plan!BB32,"AAAAACzn/zg=")</f>
        <v>#VALUE!</v>
      </c>
      <c r="BF14" t="e">
        <f>AND(Plan!BC32,"AAAAACzn/zk=")</f>
        <v>#VALUE!</v>
      </c>
      <c r="BG14" t="e">
        <f>AND(Plan!BD32,"AAAAACzn/zo=")</f>
        <v>#VALUE!</v>
      </c>
      <c r="BH14" t="e">
        <f>AND(Plan!BE32,"AAAAACzn/zs=")</f>
        <v>#VALUE!</v>
      </c>
      <c r="BI14" t="e">
        <f>AND(Plan!BF32,"AAAAACzn/zw=")</f>
        <v>#VALUE!</v>
      </c>
      <c r="BJ14" t="e">
        <f>AND(Plan!BG32,"AAAAACzn/z0=")</f>
        <v>#VALUE!</v>
      </c>
      <c r="BK14" t="e">
        <f>AND(Plan!BH32,"AAAAACzn/z4=")</f>
        <v>#VALUE!</v>
      </c>
      <c r="BL14" t="e">
        <f>AND(Plan!BI32,"AAAAACzn/z8=")</f>
        <v>#VALUE!</v>
      </c>
      <c r="BM14" t="e">
        <f>AND(Plan!BJ32,"AAAAACzn/0A=")</f>
        <v>#VALUE!</v>
      </c>
      <c r="BN14" t="e">
        <f>AND(Plan!BK32,"AAAAACzn/0E=")</f>
        <v>#VALUE!</v>
      </c>
      <c r="BO14" t="e">
        <f>AND(Plan!BL32,"AAAAACzn/0I=")</f>
        <v>#VALUE!</v>
      </c>
      <c r="BP14" t="e">
        <f>AND(Plan!BM32,"AAAAACzn/0M=")</f>
        <v>#VALUE!</v>
      </c>
      <c r="BQ14" t="e">
        <f>AND(Plan!BN32,"AAAAACzn/0Q=")</f>
        <v>#VALUE!</v>
      </c>
      <c r="BR14" t="e">
        <f>AND(Plan!BO32,"AAAAACzn/0U=")</f>
        <v>#VALUE!</v>
      </c>
      <c r="BS14" t="e">
        <f>AND(Plan!BP32,"AAAAACzn/0Y=")</f>
        <v>#VALUE!</v>
      </c>
      <c r="BT14" t="e">
        <f>AND(Plan!BQ32,"AAAAACzn/0c=")</f>
        <v>#VALUE!</v>
      </c>
      <c r="BU14" t="e">
        <f>AND(Plan!BR32,"AAAAACzn/0g=")</f>
        <v>#VALUE!</v>
      </c>
      <c r="BV14" t="e">
        <f>AND(Plan!BS32,"AAAAACzn/0k=")</f>
        <v>#VALUE!</v>
      </c>
      <c r="BW14" t="e">
        <f>AND(Plan!BT32,"AAAAACzn/0o=")</f>
        <v>#VALUE!</v>
      </c>
      <c r="BX14" t="e">
        <f>AND(Plan!BU32,"AAAAACzn/0s=")</f>
        <v>#VALUE!</v>
      </c>
      <c r="BY14" t="e">
        <f>AND(Plan!BV32,"AAAAACzn/0w=")</f>
        <v>#VALUE!</v>
      </c>
      <c r="BZ14" t="e">
        <f>AND(Plan!BW32,"AAAAACzn/00=")</f>
        <v>#VALUE!</v>
      </c>
      <c r="CA14" t="e">
        <f>AND(Plan!BX32,"AAAAACzn/04=")</f>
        <v>#VALUE!</v>
      </c>
      <c r="CB14" t="e">
        <f>AND(Plan!BY32,"AAAAACzn/08=")</f>
        <v>#VALUE!</v>
      </c>
      <c r="CC14" t="e">
        <f>AND(Plan!BZ32,"AAAAACzn/1A=")</f>
        <v>#VALUE!</v>
      </c>
      <c r="CD14" t="e">
        <f>AND(Plan!CA32,"AAAAACzn/1E=")</f>
        <v>#VALUE!</v>
      </c>
      <c r="CE14" t="e">
        <f>AND(Plan!CB32,"AAAAACzn/1I=")</f>
        <v>#VALUE!</v>
      </c>
      <c r="CF14" t="e">
        <f>AND(Plan!CC32,"AAAAACzn/1M=")</f>
        <v>#VALUE!</v>
      </c>
      <c r="CG14" t="e">
        <f>AND(Plan!CD32,"AAAAACzn/1Q=")</f>
        <v>#VALUE!</v>
      </c>
      <c r="CH14" t="e">
        <f>AND(Plan!CE32,"AAAAACzn/1U=")</f>
        <v>#VALUE!</v>
      </c>
      <c r="CI14" t="e">
        <f>AND(Plan!CF32,"AAAAACzn/1Y=")</f>
        <v>#VALUE!</v>
      </c>
      <c r="CJ14" t="e">
        <f>AND(Plan!CG32,"AAAAACzn/1c=")</f>
        <v>#VALUE!</v>
      </c>
      <c r="CK14" t="e">
        <f>AND(Plan!CH32,"AAAAACzn/1g=")</f>
        <v>#VALUE!</v>
      </c>
      <c r="CL14" t="e">
        <f>AND(Plan!CI32,"AAAAACzn/1k=")</f>
        <v>#VALUE!</v>
      </c>
      <c r="CM14" t="e">
        <f>AND(Plan!CJ32,"AAAAACzn/1o=")</f>
        <v>#VALUE!</v>
      </c>
      <c r="CN14" t="e">
        <f>AND(Plan!CK32,"AAAAACzn/1s=")</f>
        <v>#VALUE!</v>
      </c>
      <c r="CO14" t="e">
        <f>AND(Plan!CL32,"AAAAACzn/1w=")</f>
        <v>#VALUE!</v>
      </c>
      <c r="CP14" t="e">
        <f>AND(Plan!CM32,"AAAAACzn/10=")</f>
        <v>#VALUE!</v>
      </c>
      <c r="CQ14" t="e">
        <f>AND(Plan!CN32,"AAAAACzn/14=")</f>
        <v>#VALUE!</v>
      </c>
      <c r="CR14" t="e">
        <f>AND(Plan!CO32,"AAAAACzn/18=")</f>
        <v>#VALUE!</v>
      </c>
      <c r="CS14" t="e">
        <f>AND(Plan!CP32,"AAAAACzn/2A=")</f>
        <v>#VALUE!</v>
      </c>
      <c r="CT14" t="e">
        <f>AND(Plan!CQ32,"AAAAACzn/2E=")</f>
        <v>#VALUE!</v>
      </c>
      <c r="CU14" t="e">
        <f>AND(Plan!CR32,"AAAAACzn/2I=")</f>
        <v>#VALUE!</v>
      </c>
      <c r="CV14" t="e">
        <f>AND(Plan!CS32,"AAAAACzn/2M=")</f>
        <v>#VALUE!</v>
      </c>
      <c r="CW14" t="e">
        <f>AND(Plan!CT32,"AAAAACzn/2Q=")</f>
        <v>#VALUE!</v>
      </c>
      <c r="CX14" t="e">
        <f>AND(Plan!CU32,"AAAAACzn/2U=")</f>
        <v>#VALUE!</v>
      </c>
      <c r="CY14" t="e">
        <f>AND(Plan!CV32,"AAAAACzn/2Y=")</f>
        <v>#VALUE!</v>
      </c>
      <c r="CZ14" t="e">
        <f>AND(Plan!CW32,"AAAAACzn/2c=")</f>
        <v>#VALUE!</v>
      </c>
      <c r="DA14">
        <f>IF(Plan!33:33,"AAAAACzn/2g=",0)</f>
        <v>0</v>
      </c>
      <c r="DB14" t="e">
        <f>AND(Plan!A33,"AAAAACzn/2k=")</f>
        <v>#VALUE!</v>
      </c>
      <c r="DC14" t="e">
        <f>AND(Plan!B33,"AAAAACzn/2o=")</f>
        <v>#VALUE!</v>
      </c>
      <c r="DD14" t="e">
        <f>AND(Plan!C33,"AAAAACzn/2s=")</f>
        <v>#VALUE!</v>
      </c>
      <c r="DE14" t="e">
        <f>AND(Plan!D33,"AAAAACzn/2w=")</f>
        <v>#VALUE!</v>
      </c>
      <c r="DF14" t="e">
        <f>AND(Plan!E33,"AAAAACzn/20=")</f>
        <v>#VALUE!</v>
      </c>
      <c r="DG14" t="e">
        <f>AND(Plan!F33,"AAAAACzn/24=")</f>
        <v>#VALUE!</v>
      </c>
      <c r="DH14" t="e">
        <f>AND(Plan!G33,"AAAAACzn/28=")</f>
        <v>#VALUE!</v>
      </c>
      <c r="DI14" t="e">
        <f>AND(Plan!H33,"AAAAACzn/3A=")</f>
        <v>#VALUE!</v>
      </c>
      <c r="DJ14" t="e">
        <f>AND(Plan!I33,"AAAAACzn/3E=")</f>
        <v>#VALUE!</v>
      </c>
      <c r="DK14" t="e">
        <f>AND(Plan!J33,"AAAAACzn/3I=")</f>
        <v>#VALUE!</v>
      </c>
      <c r="DL14" t="e">
        <f>AND(Plan!K33,"AAAAACzn/3M=")</f>
        <v>#VALUE!</v>
      </c>
      <c r="DM14" t="e">
        <f>AND(Plan!L33,"AAAAACzn/3Q=")</f>
        <v>#VALUE!</v>
      </c>
      <c r="DN14" t="e">
        <f>AND(Plan!M33,"AAAAACzn/3U=")</f>
        <v>#VALUE!</v>
      </c>
      <c r="DO14" t="e">
        <f>AND(Plan!N33,"AAAAACzn/3Y=")</f>
        <v>#VALUE!</v>
      </c>
      <c r="DP14" t="e">
        <f>AND(Plan!O33,"AAAAACzn/3c=")</f>
        <v>#VALUE!</v>
      </c>
      <c r="DQ14" t="e">
        <f>AND(Plan!P33,"AAAAACzn/3g=")</f>
        <v>#VALUE!</v>
      </c>
      <c r="DR14" t="e">
        <f>AND(Plan!Q33,"AAAAACzn/3k=")</f>
        <v>#VALUE!</v>
      </c>
      <c r="DS14" t="e">
        <f>AND(Plan!R33,"AAAAACzn/3o=")</f>
        <v>#VALUE!</v>
      </c>
      <c r="DT14" t="e">
        <f>AND(Plan!S33,"AAAAACzn/3s=")</f>
        <v>#VALUE!</v>
      </c>
      <c r="DU14" t="e">
        <f>AND(Plan!T33,"AAAAACzn/3w=")</f>
        <v>#VALUE!</v>
      </c>
      <c r="DV14" t="e">
        <f>AND(Plan!U33,"AAAAACzn/30=")</f>
        <v>#VALUE!</v>
      </c>
      <c r="DW14" t="e">
        <f>AND(Plan!V33,"AAAAACzn/34=")</f>
        <v>#VALUE!</v>
      </c>
      <c r="DX14" t="e">
        <f>AND(Plan!W33,"AAAAACzn/38=")</f>
        <v>#VALUE!</v>
      </c>
      <c r="DY14" t="e">
        <f>AND(Plan!X33,"AAAAACzn/4A=")</f>
        <v>#VALUE!</v>
      </c>
      <c r="DZ14" t="e">
        <f>AND(Plan!Y33,"AAAAACzn/4E=")</f>
        <v>#VALUE!</v>
      </c>
      <c r="EA14" t="e">
        <f>AND(Plan!Z33,"AAAAACzn/4I=")</f>
        <v>#VALUE!</v>
      </c>
      <c r="EB14" t="e">
        <f>AND(Plan!AA33,"AAAAACzn/4M=")</f>
        <v>#VALUE!</v>
      </c>
      <c r="EC14" t="e">
        <f>AND(Plan!AB33,"AAAAACzn/4Q=")</f>
        <v>#VALUE!</v>
      </c>
      <c r="ED14" t="e">
        <f>AND(Plan!AC33,"AAAAACzn/4U=")</f>
        <v>#VALUE!</v>
      </c>
      <c r="EE14" t="e">
        <f>AND(Plan!AD33,"AAAAACzn/4Y=")</f>
        <v>#VALUE!</v>
      </c>
      <c r="EF14" t="e">
        <f>AND(Plan!AE33,"AAAAACzn/4c=")</f>
        <v>#VALUE!</v>
      </c>
      <c r="EG14" t="e">
        <f>AND(Plan!AF33,"AAAAACzn/4g=")</f>
        <v>#VALUE!</v>
      </c>
      <c r="EH14" t="e">
        <f>AND(Plan!AG33,"AAAAACzn/4k=")</f>
        <v>#VALUE!</v>
      </c>
      <c r="EI14" t="e">
        <f>AND(Plan!AH33,"AAAAACzn/4o=")</f>
        <v>#VALUE!</v>
      </c>
      <c r="EJ14" t="e">
        <f>AND(Plan!AI33,"AAAAACzn/4s=")</f>
        <v>#VALUE!</v>
      </c>
      <c r="EK14" t="e">
        <f>AND(Plan!AJ33,"AAAAACzn/4w=")</f>
        <v>#VALUE!</v>
      </c>
      <c r="EL14" t="e">
        <f>AND(Plan!AK33,"AAAAACzn/40=")</f>
        <v>#VALUE!</v>
      </c>
      <c r="EM14" t="e">
        <f>AND(Plan!AL33,"AAAAACzn/44=")</f>
        <v>#VALUE!</v>
      </c>
      <c r="EN14" t="e">
        <f>AND(Plan!AM33,"AAAAACzn/48=")</f>
        <v>#VALUE!</v>
      </c>
      <c r="EO14" t="e">
        <f>AND(Plan!AN33,"AAAAACzn/5A=")</f>
        <v>#VALUE!</v>
      </c>
      <c r="EP14" t="e">
        <f>AND(Plan!AO33,"AAAAACzn/5E=")</f>
        <v>#VALUE!</v>
      </c>
      <c r="EQ14" t="e">
        <f>AND(Plan!AP33,"AAAAACzn/5I=")</f>
        <v>#VALUE!</v>
      </c>
      <c r="ER14" t="e">
        <f>AND(Plan!AQ33,"AAAAACzn/5M=")</f>
        <v>#VALUE!</v>
      </c>
      <c r="ES14" t="e">
        <f>AND(Plan!AR33,"AAAAACzn/5Q=")</f>
        <v>#VALUE!</v>
      </c>
      <c r="ET14" t="e">
        <f>AND(Plan!AS33,"AAAAACzn/5U=")</f>
        <v>#VALUE!</v>
      </c>
      <c r="EU14" t="e">
        <f>AND(Plan!AT33,"AAAAACzn/5Y=")</f>
        <v>#VALUE!</v>
      </c>
      <c r="EV14" t="e">
        <f>AND(Plan!AU33,"AAAAACzn/5c=")</f>
        <v>#VALUE!</v>
      </c>
      <c r="EW14" t="e">
        <f>AND(Plan!AV33,"AAAAACzn/5g=")</f>
        <v>#VALUE!</v>
      </c>
      <c r="EX14" t="e">
        <f>AND(Plan!AW33,"AAAAACzn/5k=")</f>
        <v>#VALUE!</v>
      </c>
      <c r="EY14" t="e">
        <f>AND(Plan!AX33,"AAAAACzn/5o=")</f>
        <v>#VALUE!</v>
      </c>
      <c r="EZ14" t="e">
        <f>AND(Plan!AY33,"AAAAACzn/5s=")</f>
        <v>#VALUE!</v>
      </c>
      <c r="FA14" t="e">
        <f>AND(Plan!AZ33,"AAAAACzn/5w=")</f>
        <v>#VALUE!</v>
      </c>
      <c r="FB14" t="e">
        <f>AND(Plan!BA33,"AAAAACzn/50=")</f>
        <v>#VALUE!</v>
      </c>
      <c r="FC14" t="e">
        <f>AND(Plan!BB33,"AAAAACzn/54=")</f>
        <v>#VALUE!</v>
      </c>
      <c r="FD14" t="e">
        <f>AND(Plan!BC33,"AAAAACzn/58=")</f>
        <v>#VALUE!</v>
      </c>
      <c r="FE14" t="e">
        <f>AND(Plan!BD33,"AAAAACzn/6A=")</f>
        <v>#VALUE!</v>
      </c>
      <c r="FF14" t="e">
        <f>AND(Plan!BE33,"AAAAACzn/6E=")</f>
        <v>#VALUE!</v>
      </c>
      <c r="FG14" t="e">
        <f>AND(Plan!BF33,"AAAAACzn/6I=")</f>
        <v>#VALUE!</v>
      </c>
      <c r="FH14" t="e">
        <f>AND(Plan!BG33,"AAAAACzn/6M=")</f>
        <v>#VALUE!</v>
      </c>
      <c r="FI14" t="e">
        <f>AND(Plan!BH33,"AAAAACzn/6Q=")</f>
        <v>#VALUE!</v>
      </c>
      <c r="FJ14" t="e">
        <f>AND(Plan!BI33,"AAAAACzn/6U=")</f>
        <v>#VALUE!</v>
      </c>
      <c r="FK14" t="e">
        <f>AND(Plan!BJ33,"AAAAACzn/6Y=")</f>
        <v>#VALUE!</v>
      </c>
      <c r="FL14" t="e">
        <f>AND(Plan!BK33,"AAAAACzn/6c=")</f>
        <v>#VALUE!</v>
      </c>
      <c r="FM14" t="e">
        <f>AND(Plan!BL33,"AAAAACzn/6g=")</f>
        <v>#VALUE!</v>
      </c>
      <c r="FN14" t="e">
        <f>AND(Plan!BM33,"AAAAACzn/6k=")</f>
        <v>#VALUE!</v>
      </c>
      <c r="FO14" t="e">
        <f>AND(Plan!BN33,"AAAAACzn/6o=")</f>
        <v>#VALUE!</v>
      </c>
      <c r="FP14" t="e">
        <f>AND(Plan!BO33,"AAAAACzn/6s=")</f>
        <v>#VALUE!</v>
      </c>
      <c r="FQ14" t="e">
        <f>AND(Plan!BP33,"AAAAACzn/6w=")</f>
        <v>#VALUE!</v>
      </c>
      <c r="FR14" t="e">
        <f>AND(Plan!BQ33,"AAAAACzn/60=")</f>
        <v>#VALUE!</v>
      </c>
      <c r="FS14" t="e">
        <f>AND(Plan!BR33,"AAAAACzn/64=")</f>
        <v>#VALUE!</v>
      </c>
      <c r="FT14" t="e">
        <f>AND(Plan!BS33,"AAAAACzn/68=")</f>
        <v>#VALUE!</v>
      </c>
      <c r="FU14" t="e">
        <f>AND(Plan!BT33,"AAAAACzn/7A=")</f>
        <v>#VALUE!</v>
      </c>
      <c r="FV14" t="e">
        <f>AND(Plan!BU33,"AAAAACzn/7E=")</f>
        <v>#VALUE!</v>
      </c>
      <c r="FW14" t="e">
        <f>AND(Plan!BV33,"AAAAACzn/7I=")</f>
        <v>#VALUE!</v>
      </c>
      <c r="FX14" t="e">
        <f>AND(Plan!BW33,"AAAAACzn/7M=")</f>
        <v>#VALUE!</v>
      </c>
      <c r="FY14" t="e">
        <f>AND(Plan!BX33,"AAAAACzn/7Q=")</f>
        <v>#VALUE!</v>
      </c>
      <c r="FZ14" t="e">
        <f>AND(Plan!BY33,"AAAAACzn/7U=")</f>
        <v>#VALUE!</v>
      </c>
      <c r="GA14" t="e">
        <f>AND(Plan!BZ33,"AAAAACzn/7Y=")</f>
        <v>#VALUE!</v>
      </c>
      <c r="GB14" t="e">
        <f>AND(Plan!CA33,"AAAAACzn/7c=")</f>
        <v>#VALUE!</v>
      </c>
      <c r="GC14" t="e">
        <f>AND(Plan!CB33,"AAAAACzn/7g=")</f>
        <v>#VALUE!</v>
      </c>
      <c r="GD14" t="e">
        <f>AND(Plan!CC33,"AAAAACzn/7k=")</f>
        <v>#VALUE!</v>
      </c>
      <c r="GE14" t="e">
        <f>AND(Plan!CD33,"AAAAACzn/7o=")</f>
        <v>#VALUE!</v>
      </c>
      <c r="GF14" t="e">
        <f>AND(Plan!CE33,"AAAAACzn/7s=")</f>
        <v>#VALUE!</v>
      </c>
      <c r="GG14" t="e">
        <f>AND(Plan!CF33,"AAAAACzn/7w=")</f>
        <v>#VALUE!</v>
      </c>
      <c r="GH14" t="e">
        <f>AND(Plan!CG33,"AAAAACzn/70=")</f>
        <v>#VALUE!</v>
      </c>
      <c r="GI14" t="e">
        <f>AND(Plan!CH33,"AAAAACzn/74=")</f>
        <v>#VALUE!</v>
      </c>
      <c r="GJ14" t="e">
        <f>AND(Plan!CI33,"AAAAACzn/78=")</f>
        <v>#VALUE!</v>
      </c>
      <c r="GK14" t="e">
        <f>AND(Plan!CJ33,"AAAAACzn/8A=")</f>
        <v>#VALUE!</v>
      </c>
      <c r="GL14" t="e">
        <f>AND(Plan!CK33,"AAAAACzn/8E=")</f>
        <v>#VALUE!</v>
      </c>
      <c r="GM14" t="e">
        <f>AND(Plan!CL33,"AAAAACzn/8I=")</f>
        <v>#VALUE!</v>
      </c>
      <c r="GN14" t="e">
        <f>AND(Plan!CM33,"AAAAACzn/8M=")</f>
        <v>#VALUE!</v>
      </c>
      <c r="GO14" t="e">
        <f>AND(Plan!CN33,"AAAAACzn/8Q=")</f>
        <v>#VALUE!</v>
      </c>
      <c r="GP14" t="e">
        <f>AND(Plan!CO33,"AAAAACzn/8U=")</f>
        <v>#VALUE!</v>
      </c>
      <c r="GQ14" t="e">
        <f>AND(Plan!CP33,"AAAAACzn/8Y=")</f>
        <v>#VALUE!</v>
      </c>
      <c r="GR14" t="e">
        <f>AND(Plan!CQ33,"AAAAACzn/8c=")</f>
        <v>#VALUE!</v>
      </c>
      <c r="GS14" t="e">
        <f>AND(Plan!CR33,"AAAAACzn/8g=")</f>
        <v>#VALUE!</v>
      </c>
      <c r="GT14" t="e">
        <f>AND(Plan!CS33,"AAAAACzn/8k=")</f>
        <v>#VALUE!</v>
      </c>
      <c r="GU14" t="e">
        <f>AND(Plan!CT33,"AAAAACzn/8o=")</f>
        <v>#VALUE!</v>
      </c>
      <c r="GV14" t="e">
        <f>AND(Plan!CU33,"AAAAACzn/8s=")</f>
        <v>#VALUE!</v>
      </c>
      <c r="GW14" t="e">
        <f>AND(Plan!CV33,"AAAAACzn/8w=")</f>
        <v>#VALUE!</v>
      </c>
      <c r="GX14" t="e">
        <f>AND(Plan!CW33,"AAAAACzn/80=")</f>
        <v>#VALUE!</v>
      </c>
      <c r="GY14">
        <f>IF(Plan!34:34,"AAAAACzn/84=",0)</f>
        <v>0</v>
      </c>
      <c r="GZ14" t="e">
        <f>AND(Plan!A34,"AAAAACzn/88=")</f>
        <v>#VALUE!</v>
      </c>
      <c r="HA14" t="e">
        <f>AND(Plan!B34,"AAAAACzn/9A=")</f>
        <v>#VALUE!</v>
      </c>
      <c r="HB14" t="e">
        <f>AND(Plan!C34,"AAAAACzn/9E=")</f>
        <v>#VALUE!</v>
      </c>
      <c r="HC14" t="e">
        <f>AND(Plan!D34,"AAAAACzn/9I=")</f>
        <v>#VALUE!</v>
      </c>
      <c r="HD14" t="e">
        <f>AND(Plan!E34,"AAAAACzn/9M=")</f>
        <v>#VALUE!</v>
      </c>
      <c r="HE14" t="e">
        <f>AND(Plan!F34,"AAAAACzn/9Q=")</f>
        <v>#VALUE!</v>
      </c>
      <c r="HF14" t="e">
        <f>AND(Plan!G34,"AAAAACzn/9U=")</f>
        <v>#VALUE!</v>
      </c>
      <c r="HG14" t="e">
        <f>AND(Plan!H34,"AAAAACzn/9Y=")</f>
        <v>#VALUE!</v>
      </c>
      <c r="HH14" t="e">
        <f>AND(Plan!I34,"AAAAACzn/9c=")</f>
        <v>#VALUE!</v>
      </c>
      <c r="HI14" t="e">
        <f>AND(Plan!J34,"AAAAACzn/9g=")</f>
        <v>#VALUE!</v>
      </c>
      <c r="HJ14" t="e">
        <f>AND(Plan!K34,"AAAAACzn/9k=")</f>
        <v>#VALUE!</v>
      </c>
      <c r="HK14" t="e">
        <f>AND(Plan!L34,"AAAAACzn/9o=")</f>
        <v>#VALUE!</v>
      </c>
      <c r="HL14" t="e">
        <f>AND(Plan!M34,"AAAAACzn/9s=")</f>
        <v>#VALUE!</v>
      </c>
      <c r="HM14" t="e">
        <f>AND(Plan!N34,"AAAAACzn/9w=")</f>
        <v>#VALUE!</v>
      </c>
      <c r="HN14" t="e">
        <f>AND(Plan!O34,"AAAAACzn/90=")</f>
        <v>#VALUE!</v>
      </c>
      <c r="HO14" t="e">
        <f>AND(Plan!P34,"AAAAACzn/94=")</f>
        <v>#VALUE!</v>
      </c>
      <c r="HP14" t="e">
        <f>AND(Plan!Q34,"AAAAACzn/98=")</f>
        <v>#VALUE!</v>
      </c>
      <c r="HQ14" t="e">
        <f>AND(Plan!R34,"AAAAACzn/+A=")</f>
        <v>#VALUE!</v>
      </c>
      <c r="HR14" t="e">
        <f>AND(Plan!S34,"AAAAACzn/+E=")</f>
        <v>#VALUE!</v>
      </c>
      <c r="HS14" t="e">
        <f>AND(Plan!T34,"AAAAACzn/+I=")</f>
        <v>#VALUE!</v>
      </c>
      <c r="HT14" t="e">
        <f>AND(Plan!U34,"AAAAACzn/+M=")</f>
        <v>#VALUE!</v>
      </c>
      <c r="HU14" t="e">
        <f>AND(Plan!V34,"AAAAACzn/+Q=")</f>
        <v>#VALUE!</v>
      </c>
      <c r="HV14" t="e">
        <f>AND(Plan!W34,"AAAAACzn/+U=")</f>
        <v>#VALUE!</v>
      </c>
      <c r="HW14" t="e">
        <f>AND(Plan!X34,"AAAAACzn/+Y=")</f>
        <v>#VALUE!</v>
      </c>
      <c r="HX14" t="e">
        <f>AND(Plan!Y34,"AAAAACzn/+c=")</f>
        <v>#VALUE!</v>
      </c>
      <c r="HY14" t="e">
        <f>AND(Plan!Z34,"AAAAACzn/+g=")</f>
        <v>#VALUE!</v>
      </c>
      <c r="HZ14" t="e">
        <f>AND(Plan!AA34,"AAAAACzn/+k=")</f>
        <v>#VALUE!</v>
      </c>
      <c r="IA14" t="e">
        <f>AND(Plan!AB34,"AAAAACzn/+o=")</f>
        <v>#VALUE!</v>
      </c>
      <c r="IB14" t="e">
        <f>AND(Plan!AC34,"AAAAACzn/+s=")</f>
        <v>#VALUE!</v>
      </c>
      <c r="IC14" t="e">
        <f>AND(Plan!AD34,"AAAAACzn/+w=")</f>
        <v>#VALUE!</v>
      </c>
      <c r="ID14" t="e">
        <f>AND(Plan!AE34,"AAAAACzn/+0=")</f>
        <v>#VALUE!</v>
      </c>
      <c r="IE14" t="e">
        <f>AND(Plan!AF34,"AAAAACzn/+4=")</f>
        <v>#VALUE!</v>
      </c>
      <c r="IF14" t="e">
        <f>AND(Plan!AG34,"AAAAACzn/+8=")</f>
        <v>#VALUE!</v>
      </c>
      <c r="IG14" t="e">
        <f>AND(Plan!AH34,"AAAAACzn//A=")</f>
        <v>#VALUE!</v>
      </c>
      <c r="IH14" t="e">
        <f>AND(Plan!AI34,"AAAAACzn//E=")</f>
        <v>#VALUE!</v>
      </c>
      <c r="II14" t="e">
        <f>AND(Plan!AJ34,"AAAAACzn//I=")</f>
        <v>#VALUE!</v>
      </c>
      <c r="IJ14" t="e">
        <f>AND(Plan!AK34,"AAAAACzn//M=")</f>
        <v>#VALUE!</v>
      </c>
      <c r="IK14" t="e">
        <f>AND(Plan!AL34,"AAAAACzn//Q=")</f>
        <v>#VALUE!</v>
      </c>
      <c r="IL14" t="e">
        <f>AND(Plan!AM34,"AAAAACzn//U=")</f>
        <v>#VALUE!</v>
      </c>
      <c r="IM14" t="e">
        <f>AND(Plan!AN34,"AAAAACzn//Y=")</f>
        <v>#VALUE!</v>
      </c>
      <c r="IN14" t="e">
        <f>AND(Plan!AO34,"AAAAACzn//c=")</f>
        <v>#VALUE!</v>
      </c>
      <c r="IO14" t="e">
        <f>AND(Plan!AP34,"AAAAACzn//g=")</f>
        <v>#VALUE!</v>
      </c>
      <c r="IP14" t="e">
        <f>AND(Plan!AQ34,"AAAAACzn//k=")</f>
        <v>#VALUE!</v>
      </c>
      <c r="IQ14" t="e">
        <f>AND(Plan!AR34,"AAAAACzn//o=")</f>
        <v>#VALUE!</v>
      </c>
      <c r="IR14" t="e">
        <f>AND(Plan!AS34,"AAAAACzn//s=")</f>
        <v>#VALUE!</v>
      </c>
      <c r="IS14" t="e">
        <f>AND(Plan!AT34,"AAAAACzn//w=")</f>
        <v>#VALUE!</v>
      </c>
      <c r="IT14" t="e">
        <f>AND(Plan!AU34,"AAAAACzn//0=")</f>
        <v>#VALUE!</v>
      </c>
      <c r="IU14" t="e">
        <f>AND(Plan!AV34,"AAAAACzn//4=")</f>
        <v>#VALUE!</v>
      </c>
      <c r="IV14" t="e">
        <f>AND(Plan!AW34,"AAAAACzn//8=")</f>
        <v>#VALUE!</v>
      </c>
    </row>
    <row r="15" spans="1:256">
      <c r="A15" t="e">
        <f>AND(Plan!AX34,"AAAAAHvd/wA=")</f>
        <v>#VALUE!</v>
      </c>
      <c r="B15" t="e">
        <f>AND(Plan!AY34,"AAAAAHvd/wE=")</f>
        <v>#VALUE!</v>
      </c>
      <c r="C15" t="e">
        <f>AND(Plan!AZ34,"AAAAAHvd/wI=")</f>
        <v>#VALUE!</v>
      </c>
      <c r="D15" t="e">
        <f>AND(Plan!BA34,"AAAAAHvd/wM=")</f>
        <v>#VALUE!</v>
      </c>
      <c r="E15" t="e">
        <f>AND(Plan!BB34,"AAAAAHvd/wQ=")</f>
        <v>#VALUE!</v>
      </c>
      <c r="F15" t="e">
        <f>AND(Plan!BC34,"AAAAAHvd/wU=")</f>
        <v>#VALUE!</v>
      </c>
      <c r="G15" t="e">
        <f>AND(Plan!BD34,"AAAAAHvd/wY=")</f>
        <v>#VALUE!</v>
      </c>
      <c r="H15" t="e">
        <f>AND(Plan!BE34,"AAAAAHvd/wc=")</f>
        <v>#VALUE!</v>
      </c>
      <c r="I15" t="e">
        <f>AND(Plan!BF34,"AAAAAHvd/wg=")</f>
        <v>#VALUE!</v>
      </c>
      <c r="J15" t="e">
        <f>AND(Plan!BG34,"AAAAAHvd/wk=")</f>
        <v>#VALUE!</v>
      </c>
      <c r="K15" t="e">
        <f>AND(Plan!BH34,"AAAAAHvd/wo=")</f>
        <v>#VALUE!</v>
      </c>
      <c r="L15" t="e">
        <f>AND(Plan!BI34,"AAAAAHvd/ws=")</f>
        <v>#VALUE!</v>
      </c>
      <c r="M15" t="e">
        <f>AND(Plan!BJ34,"AAAAAHvd/ww=")</f>
        <v>#VALUE!</v>
      </c>
      <c r="N15" t="e">
        <f>AND(Plan!BK34,"AAAAAHvd/w0=")</f>
        <v>#VALUE!</v>
      </c>
      <c r="O15" t="e">
        <f>AND(Plan!BL34,"AAAAAHvd/w4=")</f>
        <v>#VALUE!</v>
      </c>
      <c r="P15" t="e">
        <f>AND(Plan!BM34,"AAAAAHvd/w8=")</f>
        <v>#VALUE!</v>
      </c>
      <c r="Q15" t="e">
        <f>AND(Plan!BN34,"AAAAAHvd/xA=")</f>
        <v>#VALUE!</v>
      </c>
      <c r="R15" t="e">
        <f>AND(Plan!BO34,"AAAAAHvd/xE=")</f>
        <v>#VALUE!</v>
      </c>
      <c r="S15" t="e">
        <f>AND(Plan!BP34,"AAAAAHvd/xI=")</f>
        <v>#VALUE!</v>
      </c>
      <c r="T15" t="e">
        <f>AND(Plan!BQ34,"AAAAAHvd/xM=")</f>
        <v>#VALUE!</v>
      </c>
      <c r="U15" t="e">
        <f>AND(Plan!BR34,"AAAAAHvd/xQ=")</f>
        <v>#VALUE!</v>
      </c>
      <c r="V15" t="e">
        <f>AND(Plan!BS34,"AAAAAHvd/xU=")</f>
        <v>#VALUE!</v>
      </c>
      <c r="W15" t="e">
        <f>AND(Plan!BT34,"AAAAAHvd/xY=")</f>
        <v>#VALUE!</v>
      </c>
      <c r="X15" t="e">
        <f>AND(Plan!BU34,"AAAAAHvd/xc=")</f>
        <v>#VALUE!</v>
      </c>
      <c r="Y15" t="e">
        <f>AND(Plan!BV34,"AAAAAHvd/xg=")</f>
        <v>#VALUE!</v>
      </c>
      <c r="Z15" t="e">
        <f>AND(Plan!BW34,"AAAAAHvd/xk=")</f>
        <v>#VALUE!</v>
      </c>
      <c r="AA15" t="e">
        <f>AND(Plan!BX34,"AAAAAHvd/xo=")</f>
        <v>#VALUE!</v>
      </c>
      <c r="AB15" t="e">
        <f>AND(Plan!BY34,"AAAAAHvd/xs=")</f>
        <v>#VALUE!</v>
      </c>
      <c r="AC15" t="e">
        <f>AND(Plan!BZ34,"AAAAAHvd/xw=")</f>
        <v>#VALUE!</v>
      </c>
      <c r="AD15" t="e">
        <f>AND(Plan!CA34,"AAAAAHvd/x0=")</f>
        <v>#VALUE!</v>
      </c>
      <c r="AE15" t="e">
        <f>AND(Plan!CB34,"AAAAAHvd/x4=")</f>
        <v>#VALUE!</v>
      </c>
      <c r="AF15" t="e">
        <f>AND(Plan!CC34,"AAAAAHvd/x8=")</f>
        <v>#VALUE!</v>
      </c>
      <c r="AG15" t="e">
        <f>AND(Plan!CD34,"AAAAAHvd/yA=")</f>
        <v>#VALUE!</v>
      </c>
      <c r="AH15" t="e">
        <f>AND(Plan!CE34,"AAAAAHvd/yE=")</f>
        <v>#VALUE!</v>
      </c>
      <c r="AI15" t="e">
        <f>AND(Plan!CF34,"AAAAAHvd/yI=")</f>
        <v>#VALUE!</v>
      </c>
      <c r="AJ15" t="e">
        <f>AND(Plan!CG34,"AAAAAHvd/yM=")</f>
        <v>#VALUE!</v>
      </c>
      <c r="AK15" t="e">
        <f>AND(Plan!CH34,"AAAAAHvd/yQ=")</f>
        <v>#VALUE!</v>
      </c>
      <c r="AL15" t="e">
        <f>AND(Plan!CI34,"AAAAAHvd/yU=")</f>
        <v>#VALUE!</v>
      </c>
      <c r="AM15" t="e">
        <f>AND(Plan!CJ34,"AAAAAHvd/yY=")</f>
        <v>#VALUE!</v>
      </c>
      <c r="AN15" t="e">
        <f>AND(Plan!CK34,"AAAAAHvd/yc=")</f>
        <v>#VALUE!</v>
      </c>
      <c r="AO15" t="e">
        <f>AND(Plan!CL34,"AAAAAHvd/yg=")</f>
        <v>#VALUE!</v>
      </c>
      <c r="AP15" t="e">
        <f>AND(Plan!CM34,"AAAAAHvd/yk=")</f>
        <v>#VALUE!</v>
      </c>
      <c r="AQ15" t="e">
        <f>AND(Plan!CN34,"AAAAAHvd/yo=")</f>
        <v>#VALUE!</v>
      </c>
      <c r="AR15" t="e">
        <f>AND(Plan!CO34,"AAAAAHvd/ys=")</f>
        <v>#VALUE!</v>
      </c>
      <c r="AS15" t="e">
        <f>AND(Plan!CP34,"AAAAAHvd/yw=")</f>
        <v>#VALUE!</v>
      </c>
      <c r="AT15" t="e">
        <f>AND(Plan!CQ34,"AAAAAHvd/y0=")</f>
        <v>#VALUE!</v>
      </c>
      <c r="AU15" t="e">
        <f>AND(Plan!CR34,"AAAAAHvd/y4=")</f>
        <v>#VALUE!</v>
      </c>
      <c r="AV15" t="e">
        <f>AND(Plan!CS34,"AAAAAHvd/y8=")</f>
        <v>#VALUE!</v>
      </c>
      <c r="AW15" t="e">
        <f>AND(Plan!CT34,"AAAAAHvd/zA=")</f>
        <v>#VALUE!</v>
      </c>
      <c r="AX15" t="e">
        <f>AND(Plan!CU34,"AAAAAHvd/zE=")</f>
        <v>#VALUE!</v>
      </c>
      <c r="AY15" t="e">
        <f>AND(Plan!CV34,"AAAAAHvd/zI=")</f>
        <v>#VALUE!</v>
      </c>
      <c r="AZ15" t="e">
        <f>AND(Plan!CW34,"AAAAAHvd/zM=")</f>
        <v>#VALUE!</v>
      </c>
      <c r="BA15">
        <f>IF(Plan!35:35,"AAAAAHvd/zQ=",0)</f>
        <v>0</v>
      </c>
      <c r="BB15" t="e">
        <f>AND(Plan!A35,"AAAAAHvd/zU=")</f>
        <v>#VALUE!</v>
      </c>
      <c r="BC15" t="e">
        <f>AND(Plan!B35,"AAAAAHvd/zY=")</f>
        <v>#VALUE!</v>
      </c>
      <c r="BD15" t="e">
        <f>AND(Plan!C35,"AAAAAHvd/zc=")</f>
        <v>#VALUE!</v>
      </c>
      <c r="BE15" t="e">
        <f>AND(Plan!D35,"AAAAAHvd/zg=")</f>
        <v>#VALUE!</v>
      </c>
      <c r="BF15" t="e">
        <f>AND(Plan!E35,"AAAAAHvd/zk=")</f>
        <v>#VALUE!</v>
      </c>
      <c r="BG15" t="e">
        <f>AND(Plan!F35,"AAAAAHvd/zo=")</f>
        <v>#VALUE!</v>
      </c>
      <c r="BH15" t="e">
        <f>AND(Plan!G35,"AAAAAHvd/zs=")</f>
        <v>#VALUE!</v>
      </c>
      <c r="BI15" t="e">
        <f>AND(Plan!H35,"AAAAAHvd/zw=")</f>
        <v>#VALUE!</v>
      </c>
      <c r="BJ15" t="e">
        <f>AND(Plan!I35,"AAAAAHvd/z0=")</f>
        <v>#VALUE!</v>
      </c>
      <c r="BK15" t="e">
        <f>AND(Plan!J35,"AAAAAHvd/z4=")</f>
        <v>#VALUE!</v>
      </c>
      <c r="BL15" t="e">
        <f>AND(Plan!K35,"AAAAAHvd/z8=")</f>
        <v>#VALUE!</v>
      </c>
      <c r="BM15" t="e">
        <f>AND(Plan!L35,"AAAAAHvd/0A=")</f>
        <v>#VALUE!</v>
      </c>
      <c r="BN15" t="e">
        <f>AND(Plan!M35,"AAAAAHvd/0E=")</f>
        <v>#VALUE!</v>
      </c>
      <c r="BO15" t="e">
        <f>AND(Plan!N35,"AAAAAHvd/0I=")</f>
        <v>#VALUE!</v>
      </c>
      <c r="BP15" t="e">
        <f>AND(Plan!O35,"AAAAAHvd/0M=")</f>
        <v>#VALUE!</v>
      </c>
      <c r="BQ15" t="e">
        <f>AND(Plan!P35,"AAAAAHvd/0Q=")</f>
        <v>#VALUE!</v>
      </c>
      <c r="BR15" t="e">
        <f>AND(Plan!Q35,"AAAAAHvd/0U=")</f>
        <v>#VALUE!</v>
      </c>
      <c r="BS15" t="e">
        <f>AND(Plan!R35,"AAAAAHvd/0Y=")</f>
        <v>#VALUE!</v>
      </c>
      <c r="BT15" t="e">
        <f>AND(Plan!S35,"AAAAAHvd/0c=")</f>
        <v>#VALUE!</v>
      </c>
      <c r="BU15" t="e">
        <f>AND(Plan!T35,"AAAAAHvd/0g=")</f>
        <v>#VALUE!</v>
      </c>
      <c r="BV15" t="e">
        <f>AND(Plan!U35,"AAAAAHvd/0k=")</f>
        <v>#VALUE!</v>
      </c>
      <c r="BW15" t="e">
        <f>AND(Plan!V35,"AAAAAHvd/0o=")</f>
        <v>#VALUE!</v>
      </c>
      <c r="BX15" t="e">
        <f>AND(Plan!W35,"AAAAAHvd/0s=")</f>
        <v>#VALUE!</v>
      </c>
      <c r="BY15" t="e">
        <f>AND(Plan!X35,"AAAAAHvd/0w=")</f>
        <v>#VALUE!</v>
      </c>
      <c r="BZ15" t="e">
        <f>AND(Plan!Y35,"AAAAAHvd/00=")</f>
        <v>#VALUE!</v>
      </c>
      <c r="CA15" t="e">
        <f>AND(Plan!Z35,"AAAAAHvd/04=")</f>
        <v>#VALUE!</v>
      </c>
      <c r="CB15" t="e">
        <f>AND(Plan!AA35,"AAAAAHvd/08=")</f>
        <v>#VALUE!</v>
      </c>
      <c r="CC15" t="e">
        <f>AND(Plan!AB35,"AAAAAHvd/1A=")</f>
        <v>#VALUE!</v>
      </c>
      <c r="CD15" t="e">
        <f>AND(Plan!AC35,"AAAAAHvd/1E=")</f>
        <v>#VALUE!</v>
      </c>
      <c r="CE15" t="e">
        <f>AND(Plan!AD35,"AAAAAHvd/1I=")</f>
        <v>#VALUE!</v>
      </c>
      <c r="CF15" t="e">
        <f>AND(Plan!AE35,"AAAAAHvd/1M=")</f>
        <v>#VALUE!</v>
      </c>
      <c r="CG15" t="e">
        <f>AND(Plan!AF35,"AAAAAHvd/1Q=")</f>
        <v>#VALUE!</v>
      </c>
      <c r="CH15" t="e">
        <f>AND(Plan!AG35,"AAAAAHvd/1U=")</f>
        <v>#VALUE!</v>
      </c>
      <c r="CI15" t="e">
        <f>AND(Plan!AH35,"AAAAAHvd/1Y=")</f>
        <v>#VALUE!</v>
      </c>
      <c r="CJ15" t="e">
        <f>AND(Plan!AI35,"AAAAAHvd/1c=")</f>
        <v>#VALUE!</v>
      </c>
      <c r="CK15" t="e">
        <f>AND(Plan!AJ35,"AAAAAHvd/1g=")</f>
        <v>#VALUE!</v>
      </c>
      <c r="CL15" t="e">
        <f>AND(Plan!AK35,"AAAAAHvd/1k=")</f>
        <v>#VALUE!</v>
      </c>
      <c r="CM15" t="e">
        <f>AND(Plan!AL35,"AAAAAHvd/1o=")</f>
        <v>#VALUE!</v>
      </c>
      <c r="CN15" t="e">
        <f>AND(Plan!AM35,"AAAAAHvd/1s=")</f>
        <v>#VALUE!</v>
      </c>
      <c r="CO15" t="e">
        <f>AND(Plan!AN35,"AAAAAHvd/1w=")</f>
        <v>#VALUE!</v>
      </c>
      <c r="CP15" t="e">
        <f>AND(Plan!AO35,"AAAAAHvd/10=")</f>
        <v>#VALUE!</v>
      </c>
      <c r="CQ15" t="e">
        <f>AND(Plan!AP35,"AAAAAHvd/14=")</f>
        <v>#VALUE!</v>
      </c>
      <c r="CR15" t="e">
        <f>AND(Plan!AQ35,"AAAAAHvd/18=")</f>
        <v>#VALUE!</v>
      </c>
      <c r="CS15" t="e">
        <f>AND(Plan!AR35,"AAAAAHvd/2A=")</f>
        <v>#VALUE!</v>
      </c>
      <c r="CT15" t="e">
        <f>AND(Plan!AS35,"AAAAAHvd/2E=")</f>
        <v>#VALUE!</v>
      </c>
      <c r="CU15" t="e">
        <f>AND(Plan!AT35,"AAAAAHvd/2I=")</f>
        <v>#VALUE!</v>
      </c>
      <c r="CV15" t="e">
        <f>AND(Plan!AU35,"AAAAAHvd/2M=")</f>
        <v>#VALUE!</v>
      </c>
      <c r="CW15" t="e">
        <f>AND(Plan!AV35,"AAAAAHvd/2Q=")</f>
        <v>#VALUE!</v>
      </c>
      <c r="CX15" t="e">
        <f>AND(Plan!AW35,"AAAAAHvd/2U=")</f>
        <v>#VALUE!</v>
      </c>
      <c r="CY15" t="e">
        <f>AND(Plan!AX35,"AAAAAHvd/2Y=")</f>
        <v>#VALUE!</v>
      </c>
      <c r="CZ15" t="e">
        <f>AND(Plan!AY35,"AAAAAHvd/2c=")</f>
        <v>#VALUE!</v>
      </c>
      <c r="DA15" t="e">
        <f>AND(Plan!AZ35,"AAAAAHvd/2g=")</f>
        <v>#VALUE!</v>
      </c>
      <c r="DB15" t="e">
        <f>AND(Plan!BA35,"AAAAAHvd/2k=")</f>
        <v>#VALUE!</v>
      </c>
      <c r="DC15" t="e">
        <f>AND(Plan!BB35,"AAAAAHvd/2o=")</f>
        <v>#VALUE!</v>
      </c>
      <c r="DD15" t="e">
        <f>AND(Plan!BC35,"AAAAAHvd/2s=")</f>
        <v>#VALUE!</v>
      </c>
      <c r="DE15" t="e">
        <f>AND(Plan!BD35,"AAAAAHvd/2w=")</f>
        <v>#VALUE!</v>
      </c>
      <c r="DF15" t="e">
        <f>AND(Plan!BE35,"AAAAAHvd/20=")</f>
        <v>#VALUE!</v>
      </c>
      <c r="DG15" t="e">
        <f>AND(Plan!BF35,"AAAAAHvd/24=")</f>
        <v>#VALUE!</v>
      </c>
      <c r="DH15" t="e">
        <f>AND(Plan!BG35,"AAAAAHvd/28=")</f>
        <v>#VALUE!</v>
      </c>
      <c r="DI15" t="e">
        <f>AND(Plan!BH35,"AAAAAHvd/3A=")</f>
        <v>#VALUE!</v>
      </c>
      <c r="DJ15" t="e">
        <f>AND(Plan!BI35,"AAAAAHvd/3E=")</f>
        <v>#VALUE!</v>
      </c>
      <c r="DK15" t="e">
        <f>AND(Plan!BJ35,"AAAAAHvd/3I=")</f>
        <v>#VALUE!</v>
      </c>
      <c r="DL15" t="e">
        <f>AND(Plan!BK35,"AAAAAHvd/3M=")</f>
        <v>#VALUE!</v>
      </c>
      <c r="DM15" t="e">
        <f>AND(Plan!BL35,"AAAAAHvd/3Q=")</f>
        <v>#VALUE!</v>
      </c>
      <c r="DN15" t="e">
        <f>AND(Plan!BM35,"AAAAAHvd/3U=")</f>
        <v>#VALUE!</v>
      </c>
      <c r="DO15" t="e">
        <f>AND(Plan!BN35,"AAAAAHvd/3Y=")</f>
        <v>#VALUE!</v>
      </c>
      <c r="DP15" t="e">
        <f>AND(Plan!BO35,"AAAAAHvd/3c=")</f>
        <v>#VALUE!</v>
      </c>
      <c r="DQ15" t="e">
        <f>AND(Plan!BP35,"AAAAAHvd/3g=")</f>
        <v>#VALUE!</v>
      </c>
      <c r="DR15" t="e">
        <f>AND(Plan!BQ35,"AAAAAHvd/3k=")</f>
        <v>#VALUE!</v>
      </c>
      <c r="DS15" t="e">
        <f>AND(Plan!BR35,"AAAAAHvd/3o=")</f>
        <v>#VALUE!</v>
      </c>
      <c r="DT15" t="e">
        <f>AND(Plan!BS35,"AAAAAHvd/3s=")</f>
        <v>#VALUE!</v>
      </c>
      <c r="DU15" t="e">
        <f>AND(Plan!BT35,"AAAAAHvd/3w=")</f>
        <v>#VALUE!</v>
      </c>
      <c r="DV15" t="e">
        <f>AND(Plan!BU35,"AAAAAHvd/30=")</f>
        <v>#VALUE!</v>
      </c>
      <c r="DW15" t="e">
        <f>AND(Plan!BV35,"AAAAAHvd/34=")</f>
        <v>#VALUE!</v>
      </c>
      <c r="DX15" t="e">
        <f>AND(Plan!BW35,"AAAAAHvd/38=")</f>
        <v>#VALUE!</v>
      </c>
      <c r="DY15" t="e">
        <f>AND(Plan!BX35,"AAAAAHvd/4A=")</f>
        <v>#VALUE!</v>
      </c>
      <c r="DZ15" t="e">
        <f>AND(Plan!BY35,"AAAAAHvd/4E=")</f>
        <v>#VALUE!</v>
      </c>
      <c r="EA15" t="e">
        <f>AND(Plan!BZ35,"AAAAAHvd/4I=")</f>
        <v>#VALUE!</v>
      </c>
      <c r="EB15" t="e">
        <f>AND(Plan!CA35,"AAAAAHvd/4M=")</f>
        <v>#VALUE!</v>
      </c>
      <c r="EC15" t="e">
        <f>AND(Plan!CB35,"AAAAAHvd/4Q=")</f>
        <v>#VALUE!</v>
      </c>
      <c r="ED15" t="e">
        <f>AND(Plan!CC35,"AAAAAHvd/4U=")</f>
        <v>#VALUE!</v>
      </c>
      <c r="EE15" t="e">
        <f>AND(Plan!CD35,"AAAAAHvd/4Y=")</f>
        <v>#VALUE!</v>
      </c>
      <c r="EF15" t="e">
        <f>AND(Plan!CE35,"AAAAAHvd/4c=")</f>
        <v>#VALUE!</v>
      </c>
      <c r="EG15" t="e">
        <f>AND(Plan!CF35,"AAAAAHvd/4g=")</f>
        <v>#VALUE!</v>
      </c>
      <c r="EH15" t="e">
        <f>AND(Plan!CG35,"AAAAAHvd/4k=")</f>
        <v>#VALUE!</v>
      </c>
      <c r="EI15" t="e">
        <f>AND(Plan!CH35,"AAAAAHvd/4o=")</f>
        <v>#VALUE!</v>
      </c>
      <c r="EJ15" t="e">
        <f>AND(Plan!CI35,"AAAAAHvd/4s=")</f>
        <v>#VALUE!</v>
      </c>
      <c r="EK15" t="e">
        <f>AND(Plan!CJ35,"AAAAAHvd/4w=")</f>
        <v>#VALUE!</v>
      </c>
      <c r="EL15" t="e">
        <f>AND(Plan!CK35,"AAAAAHvd/40=")</f>
        <v>#VALUE!</v>
      </c>
      <c r="EM15" t="e">
        <f>AND(Plan!CL35,"AAAAAHvd/44=")</f>
        <v>#VALUE!</v>
      </c>
      <c r="EN15" t="e">
        <f>AND(Plan!CM35,"AAAAAHvd/48=")</f>
        <v>#VALUE!</v>
      </c>
      <c r="EO15" t="e">
        <f>AND(Plan!CN35,"AAAAAHvd/5A=")</f>
        <v>#VALUE!</v>
      </c>
      <c r="EP15" t="e">
        <f>AND(Plan!CO35,"AAAAAHvd/5E=")</f>
        <v>#VALUE!</v>
      </c>
      <c r="EQ15" t="e">
        <f>AND(Plan!CP35,"AAAAAHvd/5I=")</f>
        <v>#VALUE!</v>
      </c>
      <c r="ER15" t="e">
        <f>AND(Plan!CQ35,"AAAAAHvd/5M=")</f>
        <v>#VALUE!</v>
      </c>
      <c r="ES15" t="e">
        <f>AND(Plan!CR35,"AAAAAHvd/5Q=")</f>
        <v>#VALUE!</v>
      </c>
      <c r="ET15" t="e">
        <f>AND(Plan!CS35,"AAAAAHvd/5U=")</f>
        <v>#VALUE!</v>
      </c>
      <c r="EU15" t="e">
        <f>AND(Plan!CT35,"AAAAAHvd/5Y=")</f>
        <v>#VALUE!</v>
      </c>
      <c r="EV15" t="e">
        <f>AND(Plan!CU35,"AAAAAHvd/5c=")</f>
        <v>#VALUE!</v>
      </c>
      <c r="EW15" t="e">
        <f>AND(Plan!CV35,"AAAAAHvd/5g=")</f>
        <v>#VALUE!</v>
      </c>
      <c r="EX15" t="e">
        <f>AND(Plan!CW35,"AAAAAHvd/5k=")</f>
        <v>#VALUE!</v>
      </c>
      <c r="EY15">
        <f>IF(Plan!36:36,"AAAAAHvd/5o=",0)</f>
        <v>0</v>
      </c>
      <c r="EZ15" t="e">
        <f>AND(Plan!A36,"AAAAAHvd/5s=")</f>
        <v>#VALUE!</v>
      </c>
      <c r="FA15" t="e">
        <f>AND(Plan!B36,"AAAAAHvd/5w=")</f>
        <v>#VALUE!</v>
      </c>
      <c r="FB15" t="e">
        <f>AND(Plan!C36,"AAAAAHvd/50=")</f>
        <v>#VALUE!</v>
      </c>
      <c r="FC15" t="e">
        <f>AND(Plan!D36,"AAAAAHvd/54=")</f>
        <v>#VALUE!</v>
      </c>
      <c r="FD15" t="e">
        <f>AND(Plan!E36,"AAAAAHvd/58=")</f>
        <v>#VALUE!</v>
      </c>
      <c r="FE15" t="e">
        <f>AND(Plan!F36,"AAAAAHvd/6A=")</f>
        <v>#VALUE!</v>
      </c>
      <c r="FF15" t="e">
        <f>AND(Plan!G36,"AAAAAHvd/6E=")</f>
        <v>#VALUE!</v>
      </c>
      <c r="FG15" t="e">
        <f>AND(Plan!H36,"AAAAAHvd/6I=")</f>
        <v>#VALUE!</v>
      </c>
      <c r="FH15" t="e">
        <f>AND(Plan!I36,"AAAAAHvd/6M=")</f>
        <v>#VALUE!</v>
      </c>
      <c r="FI15" t="e">
        <f>AND(Plan!J36,"AAAAAHvd/6Q=")</f>
        <v>#VALUE!</v>
      </c>
      <c r="FJ15" t="e">
        <f>AND(Plan!K36,"AAAAAHvd/6U=")</f>
        <v>#VALUE!</v>
      </c>
      <c r="FK15" t="e">
        <f>AND(Plan!L36,"AAAAAHvd/6Y=")</f>
        <v>#VALUE!</v>
      </c>
      <c r="FL15" t="e">
        <f>AND(Plan!M36,"AAAAAHvd/6c=")</f>
        <v>#VALUE!</v>
      </c>
      <c r="FM15" t="e">
        <f>AND(Plan!N36,"AAAAAHvd/6g=")</f>
        <v>#VALUE!</v>
      </c>
      <c r="FN15" t="e">
        <f>AND(Plan!O36,"AAAAAHvd/6k=")</f>
        <v>#VALUE!</v>
      </c>
      <c r="FO15" t="e">
        <f>AND(Plan!P36,"AAAAAHvd/6o=")</f>
        <v>#VALUE!</v>
      </c>
      <c r="FP15" t="e">
        <f>AND(Plan!Q36,"AAAAAHvd/6s=")</f>
        <v>#VALUE!</v>
      </c>
      <c r="FQ15" t="e">
        <f>AND(Plan!R36,"AAAAAHvd/6w=")</f>
        <v>#VALUE!</v>
      </c>
      <c r="FR15" t="e">
        <f>AND(Plan!S36,"AAAAAHvd/60=")</f>
        <v>#VALUE!</v>
      </c>
      <c r="FS15" t="e">
        <f>AND(Plan!T36,"AAAAAHvd/64=")</f>
        <v>#VALUE!</v>
      </c>
      <c r="FT15" t="e">
        <f>AND(Plan!U36,"AAAAAHvd/68=")</f>
        <v>#VALUE!</v>
      </c>
      <c r="FU15" t="e">
        <f>AND(Plan!V36,"AAAAAHvd/7A=")</f>
        <v>#VALUE!</v>
      </c>
      <c r="FV15" t="e">
        <f>AND(Plan!W36,"AAAAAHvd/7E=")</f>
        <v>#VALUE!</v>
      </c>
      <c r="FW15" t="e">
        <f>AND(Plan!X36,"AAAAAHvd/7I=")</f>
        <v>#VALUE!</v>
      </c>
      <c r="FX15" t="e">
        <f>AND(Plan!Y36,"AAAAAHvd/7M=")</f>
        <v>#VALUE!</v>
      </c>
      <c r="FY15" t="e">
        <f>AND(Plan!Z36,"AAAAAHvd/7Q=")</f>
        <v>#VALUE!</v>
      </c>
      <c r="FZ15" t="e">
        <f>AND(Plan!AA36,"AAAAAHvd/7U=")</f>
        <v>#VALUE!</v>
      </c>
      <c r="GA15" t="e">
        <f>AND(Plan!AB36,"AAAAAHvd/7Y=")</f>
        <v>#VALUE!</v>
      </c>
      <c r="GB15" t="e">
        <f>AND(Plan!AC36,"AAAAAHvd/7c=")</f>
        <v>#VALUE!</v>
      </c>
      <c r="GC15" t="e">
        <f>AND(Plan!AD36,"AAAAAHvd/7g=")</f>
        <v>#VALUE!</v>
      </c>
      <c r="GD15" t="e">
        <f>AND(Plan!AE36,"AAAAAHvd/7k=")</f>
        <v>#VALUE!</v>
      </c>
      <c r="GE15" t="e">
        <f>AND(Plan!AF36,"AAAAAHvd/7o=")</f>
        <v>#VALUE!</v>
      </c>
      <c r="GF15" t="e">
        <f>AND(Plan!AG36,"AAAAAHvd/7s=")</f>
        <v>#VALUE!</v>
      </c>
      <c r="GG15" t="e">
        <f>AND(Plan!AH36,"AAAAAHvd/7w=")</f>
        <v>#VALUE!</v>
      </c>
      <c r="GH15" t="e">
        <f>AND(Plan!AI36,"AAAAAHvd/70=")</f>
        <v>#VALUE!</v>
      </c>
      <c r="GI15" t="e">
        <f>AND(Plan!AJ36,"AAAAAHvd/74=")</f>
        <v>#VALUE!</v>
      </c>
      <c r="GJ15" t="e">
        <f>AND(Plan!AK36,"AAAAAHvd/78=")</f>
        <v>#VALUE!</v>
      </c>
      <c r="GK15" t="e">
        <f>AND(Plan!AL36,"AAAAAHvd/8A=")</f>
        <v>#VALUE!</v>
      </c>
      <c r="GL15" t="e">
        <f>AND(Plan!AM36,"AAAAAHvd/8E=")</f>
        <v>#VALUE!</v>
      </c>
      <c r="GM15" t="e">
        <f>AND(Plan!AN36,"AAAAAHvd/8I=")</f>
        <v>#VALUE!</v>
      </c>
      <c r="GN15" t="e">
        <f>AND(Plan!AO36,"AAAAAHvd/8M=")</f>
        <v>#VALUE!</v>
      </c>
      <c r="GO15" t="e">
        <f>AND(Plan!AP36,"AAAAAHvd/8Q=")</f>
        <v>#VALUE!</v>
      </c>
      <c r="GP15" t="e">
        <f>AND(Plan!AQ36,"AAAAAHvd/8U=")</f>
        <v>#VALUE!</v>
      </c>
      <c r="GQ15" t="e">
        <f>AND(Plan!AR36,"AAAAAHvd/8Y=")</f>
        <v>#VALUE!</v>
      </c>
      <c r="GR15" t="e">
        <f>AND(Plan!AS36,"AAAAAHvd/8c=")</f>
        <v>#VALUE!</v>
      </c>
      <c r="GS15" t="e">
        <f>AND(Plan!AT36,"AAAAAHvd/8g=")</f>
        <v>#VALUE!</v>
      </c>
      <c r="GT15" t="e">
        <f>AND(Plan!AU36,"AAAAAHvd/8k=")</f>
        <v>#VALUE!</v>
      </c>
      <c r="GU15" t="e">
        <f>AND(Plan!AV36,"AAAAAHvd/8o=")</f>
        <v>#VALUE!</v>
      </c>
      <c r="GV15" t="e">
        <f>AND(Plan!AW36,"AAAAAHvd/8s=")</f>
        <v>#VALUE!</v>
      </c>
      <c r="GW15" t="e">
        <f>AND(Plan!AX36,"AAAAAHvd/8w=")</f>
        <v>#VALUE!</v>
      </c>
      <c r="GX15" t="e">
        <f>AND(Plan!AY36,"AAAAAHvd/80=")</f>
        <v>#VALUE!</v>
      </c>
      <c r="GY15" t="e">
        <f>AND(Plan!AZ36,"AAAAAHvd/84=")</f>
        <v>#VALUE!</v>
      </c>
      <c r="GZ15" t="e">
        <f>AND(Plan!BA36,"AAAAAHvd/88=")</f>
        <v>#VALUE!</v>
      </c>
      <c r="HA15" t="e">
        <f>AND(Plan!BB36,"AAAAAHvd/9A=")</f>
        <v>#VALUE!</v>
      </c>
      <c r="HB15" t="e">
        <f>AND(Plan!BC36,"AAAAAHvd/9E=")</f>
        <v>#VALUE!</v>
      </c>
      <c r="HC15" t="e">
        <f>AND(Plan!BD36,"AAAAAHvd/9I=")</f>
        <v>#VALUE!</v>
      </c>
      <c r="HD15" t="e">
        <f>AND(Plan!BE36,"AAAAAHvd/9M=")</f>
        <v>#VALUE!</v>
      </c>
      <c r="HE15" t="e">
        <f>AND(Plan!BF36,"AAAAAHvd/9Q=")</f>
        <v>#VALUE!</v>
      </c>
      <c r="HF15" t="e">
        <f>AND(Plan!BG36,"AAAAAHvd/9U=")</f>
        <v>#VALUE!</v>
      </c>
      <c r="HG15" t="e">
        <f>AND(Plan!BH36,"AAAAAHvd/9Y=")</f>
        <v>#VALUE!</v>
      </c>
      <c r="HH15" t="e">
        <f>AND(Plan!BI36,"AAAAAHvd/9c=")</f>
        <v>#VALUE!</v>
      </c>
      <c r="HI15" t="e">
        <f>AND(Plan!BJ36,"AAAAAHvd/9g=")</f>
        <v>#VALUE!</v>
      </c>
      <c r="HJ15" t="e">
        <f>AND(Plan!BK36,"AAAAAHvd/9k=")</f>
        <v>#VALUE!</v>
      </c>
      <c r="HK15" t="e">
        <f>AND(Plan!BL36,"AAAAAHvd/9o=")</f>
        <v>#VALUE!</v>
      </c>
      <c r="HL15" t="e">
        <f>AND(Plan!BM36,"AAAAAHvd/9s=")</f>
        <v>#VALUE!</v>
      </c>
      <c r="HM15" t="e">
        <f>AND(Plan!BN36,"AAAAAHvd/9w=")</f>
        <v>#VALUE!</v>
      </c>
      <c r="HN15" t="e">
        <f>AND(Plan!BO36,"AAAAAHvd/90=")</f>
        <v>#VALUE!</v>
      </c>
      <c r="HO15" t="e">
        <f>AND(Plan!BP36,"AAAAAHvd/94=")</f>
        <v>#VALUE!</v>
      </c>
      <c r="HP15" t="e">
        <f>AND(Plan!BQ36,"AAAAAHvd/98=")</f>
        <v>#VALUE!</v>
      </c>
      <c r="HQ15" t="e">
        <f>AND(Plan!BR36,"AAAAAHvd/+A=")</f>
        <v>#VALUE!</v>
      </c>
      <c r="HR15" t="e">
        <f>AND(Plan!BS36,"AAAAAHvd/+E=")</f>
        <v>#VALUE!</v>
      </c>
      <c r="HS15" t="e">
        <f>AND(Plan!BT36,"AAAAAHvd/+I=")</f>
        <v>#VALUE!</v>
      </c>
      <c r="HT15" t="e">
        <f>AND(Plan!BU36,"AAAAAHvd/+M=")</f>
        <v>#VALUE!</v>
      </c>
      <c r="HU15" t="e">
        <f>AND(Plan!BV36,"AAAAAHvd/+Q=")</f>
        <v>#VALUE!</v>
      </c>
      <c r="HV15" t="e">
        <f>AND(Plan!BW36,"AAAAAHvd/+U=")</f>
        <v>#VALUE!</v>
      </c>
      <c r="HW15" t="e">
        <f>AND(Plan!BX36,"AAAAAHvd/+Y=")</f>
        <v>#VALUE!</v>
      </c>
      <c r="HX15" t="e">
        <f>AND(Plan!BY36,"AAAAAHvd/+c=")</f>
        <v>#VALUE!</v>
      </c>
      <c r="HY15" t="e">
        <f>AND(Plan!BZ36,"AAAAAHvd/+g=")</f>
        <v>#VALUE!</v>
      </c>
      <c r="HZ15" t="e">
        <f>AND(Plan!CA36,"AAAAAHvd/+k=")</f>
        <v>#VALUE!</v>
      </c>
      <c r="IA15" t="e">
        <f>AND(Plan!CB36,"AAAAAHvd/+o=")</f>
        <v>#VALUE!</v>
      </c>
      <c r="IB15" t="e">
        <f>AND(Plan!CC36,"AAAAAHvd/+s=")</f>
        <v>#VALUE!</v>
      </c>
      <c r="IC15" t="e">
        <f>AND(Plan!CD36,"AAAAAHvd/+w=")</f>
        <v>#VALUE!</v>
      </c>
      <c r="ID15" t="e">
        <f>AND(Plan!CE36,"AAAAAHvd/+0=")</f>
        <v>#VALUE!</v>
      </c>
      <c r="IE15" t="e">
        <f>AND(Plan!CF36,"AAAAAHvd/+4=")</f>
        <v>#VALUE!</v>
      </c>
      <c r="IF15" t="e">
        <f>AND(Plan!CG36,"AAAAAHvd/+8=")</f>
        <v>#VALUE!</v>
      </c>
      <c r="IG15" t="e">
        <f>AND(Plan!CH36,"AAAAAHvd//A=")</f>
        <v>#VALUE!</v>
      </c>
      <c r="IH15" t="e">
        <f>AND(Plan!CI36,"AAAAAHvd//E=")</f>
        <v>#VALUE!</v>
      </c>
      <c r="II15" t="e">
        <f>AND(Plan!CJ36,"AAAAAHvd//I=")</f>
        <v>#VALUE!</v>
      </c>
      <c r="IJ15" t="e">
        <f>AND(Plan!CK36,"AAAAAHvd//M=")</f>
        <v>#VALUE!</v>
      </c>
      <c r="IK15" t="e">
        <f>AND(Plan!CL36,"AAAAAHvd//Q=")</f>
        <v>#VALUE!</v>
      </c>
      <c r="IL15" t="e">
        <f>AND(Plan!CM36,"AAAAAHvd//U=")</f>
        <v>#VALUE!</v>
      </c>
      <c r="IM15" t="e">
        <f>AND(Plan!CN36,"AAAAAHvd//Y=")</f>
        <v>#VALUE!</v>
      </c>
      <c r="IN15" t="e">
        <f>AND(Plan!CO36,"AAAAAHvd//c=")</f>
        <v>#VALUE!</v>
      </c>
      <c r="IO15" t="e">
        <f>AND(Plan!CP36,"AAAAAHvd//g=")</f>
        <v>#VALUE!</v>
      </c>
      <c r="IP15" t="e">
        <f>AND(Plan!CQ36,"AAAAAHvd//k=")</f>
        <v>#VALUE!</v>
      </c>
      <c r="IQ15" t="e">
        <f>AND(Plan!CR36,"AAAAAHvd//o=")</f>
        <v>#VALUE!</v>
      </c>
      <c r="IR15" t="e">
        <f>AND(Plan!CS36,"AAAAAHvd//s=")</f>
        <v>#VALUE!</v>
      </c>
      <c r="IS15" t="e">
        <f>AND(Plan!CT36,"AAAAAHvd//w=")</f>
        <v>#VALUE!</v>
      </c>
      <c r="IT15" t="e">
        <f>AND(Plan!CU36,"AAAAAHvd//0=")</f>
        <v>#VALUE!</v>
      </c>
      <c r="IU15" t="e">
        <f>AND(Plan!CV36,"AAAAAHvd//4=")</f>
        <v>#VALUE!</v>
      </c>
      <c r="IV15" t="e">
        <f>AND(Plan!CW36,"AAAAAHvd//8=")</f>
        <v>#VALUE!</v>
      </c>
    </row>
    <row r="16" spans="1:256">
      <c r="A16">
        <f>IF(Plan!37:37,"AAAAAHxv3gA=",0)</f>
        <v>0</v>
      </c>
      <c r="B16" t="e">
        <f>AND(Plan!A37,"AAAAAHxv3gE=")</f>
        <v>#VALUE!</v>
      </c>
      <c r="C16" t="e">
        <f>AND(Plan!B37,"AAAAAHxv3gI=")</f>
        <v>#VALUE!</v>
      </c>
      <c r="D16" t="e">
        <f>AND(Plan!C37,"AAAAAHxv3gM=")</f>
        <v>#VALUE!</v>
      </c>
      <c r="E16" t="e">
        <f>AND(Plan!D37,"AAAAAHxv3gQ=")</f>
        <v>#VALUE!</v>
      </c>
      <c r="F16" t="e">
        <f>AND(Plan!E37,"AAAAAHxv3gU=")</f>
        <v>#VALUE!</v>
      </c>
      <c r="G16" t="e">
        <f>AND(Plan!F37,"AAAAAHxv3gY=")</f>
        <v>#VALUE!</v>
      </c>
      <c r="H16" t="e">
        <f>AND(Plan!G37,"AAAAAHxv3gc=")</f>
        <v>#VALUE!</v>
      </c>
      <c r="I16" t="e">
        <f>AND(Plan!H37,"AAAAAHxv3gg=")</f>
        <v>#VALUE!</v>
      </c>
      <c r="J16" t="e">
        <f>AND(Plan!I37,"AAAAAHxv3gk=")</f>
        <v>#VALUE!</v>
      </c>
      <c r="K16" t="e">
        <f>AND(Plan!J37,"AAAAAHxv3go=")</f>
        <v>#VALUE!</v>
      </c>
      <c r="L16" t="e">
        <f>AND(Plan!K37,"AAAAAHxv3gs=")</f>
        <v>#VALUE!</v>
      </c>
      <c r="M16" t="e">
        <f>AND(Plan!L37,"AAAAAHxv3gw=")</f>
        <v>#VALUE!</v>
      </c>
      <c r="N16" t="e">
        <f>AND(Plan!M37,"AAAAAHxv3g0=")</f>
        <v>#VALUE!</v>
      </c>
      <c r="O16" t="e">
        <f>AND(Plan!N37,"AAAAAHxv3g4=")</f>
        <v>#VALUE!</v>
      </c>
      <c r="P16" t="e">
        <f>AND(Plan!O37,"AAAAAHxv3g8=")</f>
        <v>#VALUE!</v>
      </c>
      <c r="Q16" t="e">
        <f>AND(Plan!P37,"AAAAAHxv3hA=")</f>
        <v>#VALUE!</v>
      </c>
      <c r="R16" t="e">
        <f>AND(Plan!Q37,"AAAAAHxv3hE=")</f>
        <v>#VALUE!</v>
      </c>
      <c r="S16" t="e">
        <f>AND(Plan!R37,"AAAAAHxv3hI=")</f>
        <v>#VALUE!</v>
      </c>
      <c r="T16" t="e">
        <f>AND(Plan!S37,"AAAAAHxv3hM=")</f>
        <v>#VALUE!</v>
      </c>
      <c r="U16" t="e">
        <f>AND(Plan!T37,"AAAAAHxv3hQ=")</f>
        <v>#VALUE!</v>
      </c>
      <c r="V16" t="e">
        <f>AND(Plan!U37,"AAAAAHxv3hU=")</f>
        <v>#VALUE!</v>
      </c>
      <c r="W16" t="e">
        <f>AND(Plan!V37,"AAAAAHxv3hY=")</f>
        <v>#VALUE!</v>
      </c>
      <c r="X16" t="e">
        <f>AND(Plan!W37,"AAAAAHxv3hc=")</f>
        <v>#VALUE!</v>
      </c>
      <c r="Y16" t="e">
        <f>AND(Plan!X37,"AAAAAHxv3hg=")</f>
        <v>#VALUE!</v>
      </c>
      <c r="Z16" t="e">
        <f>AND(Plan!Y37,"AAAAAHxv3hk=")</f>
        <v>#VALUE!</v>
      </c>
      <c r="AA16" t="e">
        <f>AND(Plan!Z37,"AAAAAHxv3ho=")</f>
        <v>#VALUE!</v>
      </c>
      <c r="AB16" t="e">
        <f>AND(Plan!AA37,"AAAAAHxv3hs=")</f>
        <v>#VALUE!</v>
      </c>
      <c r="AC16" t="e">
        <f>AND(Plan!AB37,"AAAAAHxv3hw=")</f>
        <v>#VALUE!</v>
      </c>
      <c r="AD16" t="e">
        <f>AND(Plan!AC37,"AAAAAHxv3h0=")</f>
        <v>#VALUE!</v>
      </c>
      <c r="AE16" t="e">
        <f>AND(Plan!AD37,"AAAAAHxv3h4=")</f>
        <v>#VALUE!</v>
      </c>
      <c r="AF16" t="e">
        <f>AND(Plan!AE37,"AAAAAHxv3h8=")</f>
        <v>#VALUE!</v>
      </c>
      <c r="AG16" t="e">
        <f>AND(Plan!AF37,"AAAAAHxv3iA=")</f>
        <v>#VALUE!</v>
      </c>
      <c r="AH16" t="e">
        <f>AND(Plan!AG37,"AAAAAHxv3iE=")</f>
        <v>#VALUE!</v>
      </c>
      <c r="AI16" t="e">
        <f>AND(Plan!AH37,"AAAAAHxv3iI=")</f>
        <v>#VALUE!</v>
      </c>
      <c r="AJ16" t="e">
        <f>AND(Plan!AI37,"AAAAAHxv3iM=")</f>
        <v>#VALUE!</v>
      </c>
      <c r="AK16" t="e">
        <f>AND(Plan!AJ37,"AAAAAHxv3iQ=")</f>
        <v>#VALUE!</v>
      </c>
      <c r="AL16" t="e">
        <f>AND(Plan!AK37,"AAAAAHxv3iU=")</f>
        <v>#VALUE!</v>
      </c>
      <c r="AM16" t="e">
        <f>AND(Plan!AL37,"AAAAAHxv3iY=")</f>
        <v>#VALUE!</v>
      </c>
      <c r="AN16" t="e">
        <f>AND(Plan!AM37,"AAAAAHxv3ic=")</f>
        <v>#VALUE!</v>
      </c>
      <c r="AO16" t="e">
        <f>AND(Plan!AN37,"AAAAAHxv3ig=")</f>
        <v>#VALUE!</v>
      </c>
      <c r="AP16" t="e">
        <f>AND(Plan!AO37,"AAAAAHxv3ik=")</f>
        <v>#VALUE!</v>
      </c>
      <c r="AQ16" t="e">
        <f>AND(Plan!AP37,"AAAAAHxv3io=")</f>
        <v>#VALUE!</v>
      </c>
      <c r="AR16" t="e">
        <f>AND(Plan!AQ37,"AAAAAHxv3is=")</f>
        <v>#VALUE!</v>
      </c>
      <c r="AS16" t="e">
        <f>AND(Plan!AR37,"AAAAAHxv3iw=")</f>
        <v>#VALUE!</v>
      </c>
      <c r="AT16" t="e">
        <f>AND(Plan!AS37,"AAAAAHxv3i0=")</f>
        <v>#VALUE!</v>
      </c>
      <c r="AU16" t="e">
        <f>AND(Plan!AT37,"AAAAAHxv3i4=")</f>
        <v>#VALUE!</v>
      </c>
      <c r="AV16" t="e">
        <f>AND(Plan!AU37,"AAAAAHxv3i8=")</f>
        <v>#VALUE!</v>
      </c>
      <c r="AW16" t="e">
        <f>AND(Plan!AV37,"AAAAAHxv3jA=")</f>
        <v>#VALUE!</v>
      </c>
      <c r="AX16" t="e">
        <f>AND(Plan!AW37,"AAAAAHxv3jE=")</f>
        <v>#VALUE!</v>
      </c>
      <c r="AY16" t="e">
        <f>AND(Plan!AX37,"AAAAAHxv3jI=")</f>
        <v>#VALUE!</v>
      </c>
      <c r="AZ16" t="e">
        <f>AND(Plan!AY37,"AAAAAHxv3jM=")</f>
        <v>#VALUE!</v>
      </c>
      <c r="BA16" t="e">
        <f>AND(Plan!AZ37,"AAAAAHxv3jQ=")</f>
        <v>#VALUE!</v>
      </c>
      <c r="BB16" t="e">
        <f>AND(Plan!BA37,"AAAAAHxv3jU=")</f>
        <v>#VALUE!</v>
      </c>
      <c r="BC16" t="e">
        <f>AND(Plan!BB37,"AAAAAHxv3jY=")</f>
        <v>#VALUE!</v>
      </c>
      <c r="BD16" t="e">
        <f>AND(Plan!BC37,"AAAAAHxv3jc=")</f>
        <v>#VALUE!</v>
      </c>
      <c r="BE16" t="e">
        <f>AND(Plan!BD37,"AAAAAHxv3jg=")</f>
        <v>#VALUE!</v>
      </c>
      <c r="BF16" t="e">
        <f>AND(Plan!BE37,"AAAAAHxv3jk=")</f>
        <v>#VALUE!</v>
      </c>
      <c r="BG16" t="e">
        <f>AND(Plan!BF37,"AAAAAHxv3jo=")</f>
        <v>#VALUE!</v>
      </c>
      <c r="BH16" t="e">
        <f>AND(Plan!BG37,"AAAAAHxv3js=")</f>
        <v>#VALUE!</v>
      </c>
      <c r="BI16" t="e">
        <f>AND(Plan!BH37,"AAAAAHxv3jw=")</f>
        <v>#VALUE!</v>
      </c>
      <c r="BJ16" t="e">
        <f>AND(Plan!BI37,"AAAAAHxv3j0=")</f>
        <v>#VALUE!</v>
      </c>
      <c r="BK16" t="e">
        <f>AND(Plan!BJ37,"AAAAAHxv3j4=")</f>
        <v>#VALUE!</v>
      </c>
      <c r="BL16" t="e">
        <f>AND(Plan!BK37,"AAAAAHxv3j8=")</f>
        <v>#VALUE!</v>
      </c>
      <c r="BM16" t="e">
        <f>AND(Plan!BL37,"AAAAAHxv3kA=")</f>
        <v>#VALUE!</v>
      </c>
      <c r="BN16" t="e">
        <f>AND(Plan!BM37,"AAAAAHxv3kE=")</f>
        <v>#VALUE!</v>
      </c>
      <c r="BO16" t="e">
        <f>AND(Plan!BN37,"AAAAAHxv3kI=")</f>
        <v>#VALUE!</v>
      </c>
      <c r="BP16" t="e">
        <f>AND(Plan!BO37,"AAAAAHxv3kM=")</f>
        <v>#VALUE!</v>
      </c>
      <c r="BQ16" t="e">
        <f>AND(Plan!BP37,"AAAAAHxv3kQ=")</f>
        <v>#VALUE!</v>
      </c>
      <c r="BR16" t="e">
        <f>AND(Plan!BQ37,"AAAAAHxv3kU=")</f>
        <v>#VALUE!</v>
      </c>
      <c r="BS16" t="e">
        <f>AND(Plan!BR37,"AAAAAHxv3kY=")</f>
        <v>#VALUE!</v>
      </c>
      <c r="BT16" t="e">
        <f>AND(Plan!BS37,"AAAAAHxv3kc=")</f>
        <v>#VALUE!</v>
      </c>
      <c r="BU16" t="e">
        <f>AND(Plan!BT37,"AAAAAHxv3kg=")</f>
        <v>#VALUE!</v>
      </c>
      <c r="BV16" t="e">
        <f>AND(Plan!BU37,"AAAAAHxv3kk=")</f>
        <v>#VALUE!</v>
      </c>
      <c r="BW16" t="e">
        <f>AND(Plan!BV37,"AAAAAHxv3ko=")</f>
        <v>#VALUE!</v>
      </c>
      <c r="BX16" t="e">
        <f>AND(Plan!BW37,"AAAAAHxv3ks=")</f>
        <v>#VALUE!</v>
      </c>
      <c r="BY16" t="e">
        <f>AND(Plan!BX37,"AAAAAHxv3kw=")</f>
        <v>#VALUE!</v>
      </c>
      <c r="BZ16" t="e">
        <f>AND(Plan!BY37,"AAAAAHxv3k0=")</f>
        <v>#VALUE!</v>
      </c>
      <c r="CA16" t="e">
        <f>AND(Plan!BZ37,"AAAAAHxv3k4=")</f>
        <v>#VALUE!</v>
      </c>
      <c r="CB16" t="e">
        <f>AND(Plan!CA37,"AAAAAHxv3k8=")</f>
        <v>#VALUE!</v>
      </c>
      <c r="CC16" t="e">
        <f>AND(Plan!CB37,"AAAAAHxv3lA=")</f>
        <v>#VALUE!</v>
      </c>
      <c r="CD16" t="e">
        <f>AND(Plan!CC37,"AAAAAHxv3lE=")</f>
        <v>#VALUE!</v>
      </c>
      <c r="CE16" t="e">
        <f>AND(Plan!CD37,"AAAAAHxv3lI=")</f>
        <v>#VALUE!</v>
      </c>
      <c r="CF16" t="e">
        <f>AND(Plan!CE37,"AAAAAHxv3lM=")</f>
        <v>#VALUE!</v>
      </c>
      <c r="CG16" t="e">
        <f>AND(Plan!CF37,"AAAAAHxv3lQ=")</f>
        <v>#VALUE!</v>
      </c>
      <c r="CH16" t="e">
        <f>AND(Plan!CG37,"AAAAAHxv3lU=")</f>
        <v>#VALUE!</v>
      </c>
      <c r="CI16" t="e">
        <f>AND(Plan!CH37,"AAAAAHxv3lY=")</f>
        <v>#VALUE!</v>
      </c>
      <c r="CJ16" t="e">
        <f>AND(Plan!CI37,"AAAAAHxv3lc=")</f>
        <v>#VALUE!</v>
      </c>
      <c r="CK16" t="e">
        <f>AND(Plan!CJ37,"AAAAAHxv3lg=")</f>
        <v>#VALUE!</v>
      </c>
      <c r="CL16" t="e">
        <f>AND(Plan!CK37,"AAAAAHxv3lk=")</f>
        <v>#VALUE!</v>
      </c>
      <c r="CM16" t="e">
        <f>AND(Plan!CL37,"AAAAAHxv3lo=")</f>
        <v>#VALUE!</v>
      </c>
      <c r="CN16" t="e">
        <f>AND(Plan!CM37,"AAAAAHxv3ls=")</f>
        <v>#VALUE!</v>
      </c>
      <c r="CO16" t="e">
        <f>AND(Plan!CN37,"AAAAAHxv3lw=")</f>
        <v>#VALUE!</v>
      </c>
      <c r="CP16" t="e">
        <f>AND(Plan!CO37,"AAAAAHxv3l0=")</f>
        <v>#VALUE!</v>
      </c>
      <c r="CQ16" t="e">
        <f>AND(Plan!CP37,"AAAAAHxv3l4=")</f>
        <v>#VALUE!</v>
      </c>
      <c r="CR16" t="e">
        <f>AND(Plan!CQ37,"AAAAAHxv3l8=")</f>
        <v>#VALUE!</v>
      </c>
      <c r="CS16" t="e">
        <f>AND(Plan!CR37,"AAAAAHxv3mA=")</f>
        <v>#VALUE!</v>
      </c>
      <c r="CT16" t="e">
        <f>AND(Plan!CS37,"AAAAAHxv3mE=")</f>
        <v>#VALUE!</v>
      </c>
      <c r="CU16" t="e">
        <f>AND(Plan!CT37,"AAAAAHxv3mI=")</f>
        <v>#VALUE!</v>
      </c>
      <c r="CV16" t="e">
        <f>AND(Plan!CU37,"AAAAAHxv3mM=")</f>
        <v>#VALUE!</v>
      </c>
      <c r="CW16" t="e">
        <f>AND(Plan!CV37,"AAAAAHxv3mQ=")</f>
        <v>#VALUE!</v>
      </c>
      <c r="CX16" t="e">
        <f>AND(Plan!CW37,"AAAAAHxv3mU=")</f>
        <v>#VALUE!</v>
      </c>
      <c r="CY16">
        <f>IF(Plan!38:38,"AAAAAHxv3mY=",0)</f>
        <v>0</v>
      </c>
      <c r="CZ16" t="e">
        <f>AND(Plan!A38,"AAAAAHxv3mc=")</f>
        <v>#VALUE!</v>
      </c>
      <c r="DA16" t="e">
        <f>AND(Plan!B38,"AAAAAHxv3mg=")</f>
        <v>#VALUE!</v>
      </c>
      <c r="DB16" t="e">
        <f>AND(Plan!C38,"AAAAAHxv3mk=")</f>
        <v>#VALUE!</v>
      </c>
      <c r="DC16" t="e">
        <f>AND(Plan!D38,"AAAAAHxv3mo=")</f>
        <v>#VALUE!</v>
      </c>
      <c r="DD16" t="e">
        <f>AND(Plan!E38,"AAAAAHxv3ms=")</f>
        <v>#VALUE!</v>
      </c>
      <c r="DE16" t="e">
        <f>AND(Plan!F38,"AAAAAHxv3mw=")</f>
        <v>#VALUE!</v>
      </c>
      <c r="DF16" t="e">
        <f>AND(Plan!G38,"AAAAAHxv3m0=")</f>
        <v>#VALUE!</v>
      </c>
      <c r="DG16" t="e">
        <f>AND(Plan!H38,"AAAAAHxv3m4=")</f>
        <v>#VALUE!</v>
      </c>
      <c r="DH16" t="e">
        <f>AND(Plan!I38,"AAAAAHxv3m8=")</f>
        <v>#VALUE!</v>
      </c>
      <c r="DI16" t="e">
        <f>AND(Plan!J38,"AAAAAHxv3nA=")</f>
        <v>#VALUE!</v>
      </c>
      <c r="DJ16" t="e">
        <f>AND(Plan!K38,"AAAAAHxv3nE=")</f>
        <v>#VALUE!</v>
      </c>
      <c r="DK16" t="e">
        <f>AND(Plan!L38,"AAAAAHxv3nI=")</f>
        <v>#VALUE!</v>
      </c>
      <c r="DL16" t="e">
        <f>AND(Plan!M38,"AAAAAHxv3nM=")</f>
        <v>#VALUE!</v>
      </c>
      <c r="DM16" t="e">
        <f>AND(Plan!N38,"AAAAAHxv3nQ=")</f>
        <v>#VALUE!</v>
      </c>
      <c r="DN16" t="e">
        <f>AND(Plan!O38,"AAAAAHxv3nU=")</f>
        <v>#VALUE!</v>
      </c>
      <c r="DO16" t="e">
        <f>AND(Plan!P38,"AAAAAHxv3nY=")</f>
        <v>#VALUE!</v>
      </c>
      <c r="DP16" t="e">
        <f>AND(Plan!Q38,"AAAAAHxv3nc=")</f>
        <v>#VALUE!</v>
      </c>
      <c r="DQ16" t="e">
        <f>AND(Plan!R38,"AAAAAHxv3ng=")</f>
        <v>#VALUE!</v>
      </c>
      <c r="DR16" t="e">
        <f>AND(Plan!S38,"AAAAAHxv3nk=")</f>
        <v>#VALUE!</v>
      </c>
      <c r="DS16" t="e">
        <f>AND(Plan!T38,"AAAAAHxv3no=")</f>
        <v>#VALUE!</v>
      </c>
      <c r="DT16" t="e">
        <f>AND(Plan!U38,"AAAAAHxv3ns=")</f>
        <v>#VALUE!</v>
      </c>
      <c r="DU16" t="e">
        <f>AND(Plan!V38,"AAAAAHxv3nw=")</f>
        <v>#VALUE!</v>
      </c>
      <c r="DV16" t="e">
        <f>AND(Plan!W38,"AAAAAHxv3n0=")</f>
        <v>#VALUE!</v>
      </c>
      <c r="DW16" t="e">
        <f>AND(Plan!X38,"AAAAAHxv3n4=")</f>
        <v>#VALUE!</v>
      </c>
      <c r="DX16" t="e">
        <f>AND(Plan!Y38,"AAAAAHxv3n8=")</f>
        <v>#VALUE!</v>
      </c>
      <c r="DY16" t="e">
        <f>AND(Plan!Z38,"AAAAAHxv3oA=")</f>
        <v>#VALUE!</v>
      </c>
      <c r="DZ16" t="e">
        <f>AND(Plan!AA38,"AAAAAHxv3oE=")</f>
        <v>#VALUE!</v>
      </c>
      <c r="EA16" t="e">
        <f>AND(Plan!AB38,"AAAAAHxv3oI=")</f>
        <v>#VALUE!</v>
      </c>
      <c r="EB16" t="e">
        <f>AND(Plan!AC38,"AAAAAHxv3oM=")</f>
        <v>#VALUE!</v>
      </c>
      <c r="EC16" t="e">
        <f>AND(Plan!AD38,"AAAAAHxv3oQ=")</f>
        <v>#VALUE!</v>
      </c>
      <c r="ED16" t="e">
        <f>AND(Plan!AE38,"AAAAAHxv3oU=")</f>
        <v>#VALUE!</v>
      </c>
      <c r="EE16" t="e">
        <f>AND(Plan!AF38,"AAAAAHxv3oY=")</f>
        <v>#VALUE!</v>
      </c>
      <c r="EF16" t="e">
        <f>AND(Plan!AG38,"AAAAAHxv3oc=")</f>
        <v>#VALUE!</v>
      </c>
      <c r="EG16" t="e">
        <f>AND(Plan!AH38,"AAAAAHxv3og=")</f>
        <v>#VALUE!</v>
      </c>
      <c r="EH16" t="e">
        <f>AND(Plan!AI38,"AAAAAHxv3ok=")</f>
        <v>#VALUE!</v>
      </c>
      <c r="EI16" t="e">
        <f>AND(Plan!AJ38,"AAAAAHxv3oo=")</f>
        <v>#VALUE!</v>
      </c>
      <c r="EJ16" t="e">
        <f>AND(Plan!AK38,"AAAAAHxv3os=")</f>
        <v>#VALUE!</v>
      </c>
      <c r="EK16" t="e">
        <f>AND(Plan!AL38,"AAAAAHxv3ow=")</f>
        <v>#VALUE!</v>
      </c>
      <c r="EL16" t="e">
        <f>AND(Plan!AM38,"AAAAAHxv3o0=")</f>
        <v>#VALUE!</v>
      </c>
      <c r="EM16" t="e">
        <f>AND(Plan!AN38,"AAAAAHxv3o4=")</f>
        <v>#VALUE!</v>
      </c>
      <c r="EN16" t="e">
        <f>AND(Plan!AO38,"AAAAAHxv3o8=")</f>
        <v>#VALUE!</v>
      </c>
      <c r="EO16" t="e">
        <f>AND(Plan!AP38,"AAAAAHxv3pA=")</f>
        <v>#VALUE!</v>
      </c>
      <c r="EP16" t="e">
        <f>AND(Plan!AQ38,"AAAAAHxv3pE=")</f>
        <v>#VALUE!</v>
      </c>
      <c r="EQ16" t="e">
        <f>AND(Plan!AR38,"AAAAAHxv3pI=")</f>
        <v>#VALUE!</v>
      </c>
      <c r="ER16" t="e">
        <f>AND(Plan!AS38,"AAAAAHxv3pM=")</f>
        <v>#VALUE!</v>
      </c>
      <c r="ES16" t="e">
        <f>AND(Plan!AT38,"AAAAAHxv3pQ=")</f>
        <v>#VALUE!</v>
      </c>
      <c r="ET16" t="e">
        <f>AND(Plan!AU38,"AAAAAHxv3pU=")</f>
        <v>#VALUE!</v>
      </c>
      <c r="EU16" t="e">
        <f>AND(Plan!AV38,"AAAAAHxv3pY=")</f>
        <v>#VALUE!</v>
      </c>
      <c r="EV16" t="e">
        <f>AND(Plan!AW38,"AAAAAHxv3pc=")</f>
        <v>#VALUE!</v>
      </c>
      <c r="EW16" t="e">
        <f>AND(Plan!AX38,"AAAAAHxv3pg=")</f>
        <v>#VALUE!</v>
      </c>
      <c r="EX16" t="e">
        <f>AND(Plan!AY38,"AAAAAHxv3pk=")</f>
        <v>#VALUE!</v>
      </c>
      <c r="EY16" t="e">
        <f>AND(Plan!AZ38,"AAAAAHxv3po=")</f>
        <v>#VALUE!</v>
      </c>
      <c r="EZ16" t="e">
        <f>AND(Plan!BA38,"AAAAAHxv3ps=")</f>
        <v>#VALUE!</v>
      </c>
      <c r="FA16" t="e">
        <f>AND(Plan!BB38,"AAAAAHxv3pw=")</f>
        <v>#VALUE!</v>
      </c>
      <c r="FB16" t="e">
        <f>AND(Plan!BC38,"AAAAAHxv3p0=")</f>
        <v>#VALUE!</v>
      </c>
      <c r="FC16" t="e">
        <f>AND(Plan!BD38,"AAAAAHxv3p4=")</f>
        <v>#VALUE!</v>
      </c>
      <c r="FD16" t="e">
        <f>AND(Plan!BE38,"AAAAAHxv3p8=")</f>
        <v>#VALUE!</v>
      </c>
      <c r="FE16" t="e">
        <f>AND(Plan!BF38,"AAAAAHxv3qA=")</f>
        <v>#VALUE!</v>
      </c>
      <c r="FF16" t="e">
        <f>AND(Plan!BG38,"AAAAAHxv3qE=")</f>
        <v>#VALUE!</v>
      </c>
      <c r="FG16" t="e">
        <f>AND(Plan!BH38,"AAAAAHxv3qI=")</f>
        <v>#VALUE!</v>
      </c>
      <c r="FH16" t="e">
        <f>AND(Plan!BI38,"AAAAAHxv3qM=")</f>
        <v>#VALUE!</v>
      </c>
      <c r="FI16" t="e">
        <f>AND(Plan!BJ38,"AAAAAHxv3qQ=")</f>
        <v>#VALUE!</v>
      </c>
      <c r="FJ16" t="e">
        <f>AND(Plan!BK38,"AAAAAHxv3qU=")</f>
        <v>#VALUE!</v>
      </c>
      <c r="FK16" t="e">
        <f>AND(Plan!BL38,"AAAAAHxv3qY=")</f>
        <v>#VALUE!</v>
      </c>
      <c r="FL16" t="e">
        <f>AND(Plan!BM38,"AAAAAHxv3qc=")</f>
        <v>#VALUE!</v>
      </c>
      <c r="FM16" t="e">
        <f>AND(Plan!BN38,"AAAAAHxv3qg=")</f>
        <v>#VALUE!</v>
      </c>
      <c r="FN16" t="e">
        <f>AND(Plan!BO38,"AAAAAHxv3qk=")</f>
        <v>#VALUE!</v>
      </c>
      <c r="FO16" t="e">
        <f>AND(Plan!BP38,"AAAAAHxv3qo=")</f>
        <v>#VALUE!</v>
      </c>
      <c r="FP16" t="e">
        <f>AND(Plan!BQ38,"AAAAAHxv3qs=")</f>
        <v>#VALUE!</v>
      </c>
      <c r="FQ16" t="e">
        <f>AND(Plan!BR38,"AAAAAHxv3qw=")</f>
        <v>#VALUE!</v>
      </c>
      <c r="FR16" t="e">
        <f>AND(Plan!BS38,"AAAAAHxv3q0=")</f>
        <v>#VALUE!</v>
      </c>
      <c r="FS16" t="e">
        <f>AND(Plan!BT38,"AAAAAHxv3q4=")</f>
        <v>#VALUE!</v>
      </c>
      <c r="FT16" t="e">
        <f>AND(Plan!BU38,"AAAAAHxv3q8=")</f>
        <v>#VALUE!</v>
      </c>
      <c r="FU16" t="e">
        <f>AND(Plan!BV38,"AAAAAHxv3rA=")</f>
        <v>#VALUE!</v>
      </c>
      <c r="FV16" t="e">
        <f>AND(Plan!BW38,"AAAAAHxv3rE=")</f>
        <v>#VALUE!</v>
      </c>
      <c r="FW16" t="e">
        <f>AND(Plan!BX38,"AAAAAHxv3rI=")</f>
        <v>#VALUE!</v>
      </c>
      <c r="FX16" t="e">
        <f>AND(Plan!BY38,"AAAAAHxv3rM=")</f>
        <v>#VALUE!</v>
      </c>
      <c r="FY16" t="e">
        <f>AND(Plan!BZ38,"AAAAAHxv3rQ=")</f>
        <v>#VALUE!</v>
      </c>
      <c r="FZ16" t="e">
        <f>AND(Plan!CA38,"AAAAAHxv3rU=")</f>
        <v>#VALUE!</v>
      </c>
      <c r="GA16" t="e">
        <f>AND(Plan!CB38,"AAAAAHxv3rY=")</f>
        <v>#VALUE!</v>
      </c>
      <c r="GB16" t="e">
        <f>AND(Plan!CC38,"AAAAAHxv3rc=")</f>
        <v>#VALUE!</v>
      </c>
      <c r="GC16" t="e">
        <f>AND(Plan!CD38,"AAAAAHxv3rg=")</f>
        <v>#VALUE!</v>
      </c>
      <c r="GD16" t="e">
        <f>AND(Plan!CE38,"AAAAAHxv3rk=")</f>
        <v>#VALUE!</v>
      </c>
      <c r="GE16" t="e">
        <f>AND(Plan!CF38,"AAAAAHxv3ro=")</f>
        <v>#VALUE!</v>
      </c>
      <c r="GF16" t="e">
        <f>AND(Plan!CG38,"AAAAAHxv3rs=")</f>
        <v>#VALUE!</v>
      </c>
      <c r="GG16" t="e">
        <f>AND(Plan!CH38,"AAAAAHxv3rw=")</f>
        <v>#VALUE!</v>
      </c>
      <c r="GH16" t="e">
        <f>AND(Plan!CI38,"AAAAAHxv3r0=")</f>
        <v>#VALUE!</v>
      </c>
      <c r="GI16" t="e">
        <f>AND(Plan!CJ38,"AAAAAHxv3r4=")</f>
        <v>#VALUE!</v>
      </c>
      <c r="GJ16" t="e">
        <f>AND(Plan!CK38,"AAAAAHxv3r8=")</f>
        <v>#VALUE!</v>
      </c>
      <c r="GK16" t="e">
        <f>AND(Plan!CL38,"AAAAAHxv3sA=")</f>
        <v>#VALUE!</v>
      </c>
      <c r="GL16" t="e">
        <f>AND(Plan!CM38,"AAAAAHxv3sE=")</f>
        <v>#VALUE!</v>
      </c>
      <c r="GM16" t="e">
        <f>AND(Plan!CN38,"AAAAAHxv3sI=")</f>
        <v>#VALUE!</v>
      </c>
      <c r="GN16" t="e">
        <f>AND(Plan!CO38,"AAAAAHxv3sM=")</f>
        <v>#VALUE!</v>
      </c>
      <c r="GO16" t="e">
        <f>AND(Plan!CP38,"AAAAAHxv3sQ=")</f>
        <v>#VALUE!</v>
      </c>
      <c r="GP16" t="e">
        <f>AND(Plan!CQ38,"AAAAAHxv3sU=")</f>
        <v>#VALUE!</v>
      </c>
      <c r="GQ16" t="e">
        <f>AND(Plan!CR38,"AAAAAHxv3sY=")</f>
        <v>#VALUE!</v>
      </c>
      <c r="GR16" t="e">
        <f>AND(Plan!CS38,"AAAAAHxv3sc=")</f>
        <v>#VALUE!</v>
      </c>
      <c r="GS16" t="e">
        <f>AND(Plan!CT38,"AAAAAHxv3sg=")</f>
        <v>#VALUE!</v>
      </c>
      <c r="GT16" t="e">
        <f>AND(Plan!CU38,"AAAAAHxv3sk=")</f>
        <v>#VALUE!</v>
      </c>
      <c r="GU16" t="e">
        <f>AND(Plan!CV38,"AAAAAHxv3so=")</f>
        <v>#VALUE!</v>
      </c>
      <c r="GV16" t="e">
        <f>AND(Plan!CW38,"AAAAAHxv3ss=")</f>
        <v>#VALUE!</v>
      </c>
      <c r="GW16">
        <f>IF(Plan!39:39,"AAAAAHxv3sw=",0)</f>
        <v>0</v>
      </c>
      <c r="GX16" t="e">
        <f>AND(Plan!A39,"AAAAAHxv3s0=")</f>
        <v>#VALUE!</v>
      </c>
      <c r="GY16" t="e">
        <f>AND(Plan!B39,"AAAAAHxv3s4=")</f>
        <v>#VALUE!</v>
      </c>
      <c r="GZ16" t="e">
        <f>AND(Plan!C39,"AAAAAHxv3s8=")</f>
        <v>#VALUE!</v>
      </c>
      <c r="HA16" t="e">
        <f>AND(Plan!D39,"AAAAAHxv3tA=")</f>
        <v>#VALUE!</v>
      </c>
      <c r="HB16" t="e">
        <f>AND(Plan!E39,"AAAAAHxv3tE=")</f>
        <v>#VALUE!</v>
      </c>
      <c r="HC16" t="e">
        <f>AND(Plan!F39,"AAAAAHxv3tI=")</f>
        <v>#VALUE!</v>
      </c>
      <c r="HD16" t="e">
        <f>AND(Plan!G39,"AAAAAHxv3tM=")</f>
        <v>#VALUE!</v>
      </c>
      <c r="HE16" t="e">
        <f>AND(Plan!H39,"AAAAAHxv3tQ=")</f>
        <v>#VALUE!</v>
      </c>
      <c r="HF16" t="e">
        <f>AND(Plan!I39,"AAAAAHxv3tU=")</f>
        <v>#VALUE!</v>
      </c>
      <c r="HG16" t="e">
        <f>AND(Plan!J39,"AAAAAHxv3tY=")</f>
        <v>#VALUE!</v>
      </c>
      <c r="HH16" t="e">
        <f>AND(Plan!K39,"AAAAAHxv3tc=")</f>
        <v>#VALUE!</v>
      </c>
      <c r="HI16" t="e">
        <f>AND(Plan!L39,"AAAAAHxv3tg=")</f>
        <v>#VALUE!</v>
      </c>
      <c r="HJ16" t="e">
        <f>AND(Plan!M39,"AAAAAHxv3tk=")</f>
        <v>#VALUE!</v>
      </c>
      <c r="HK16" t="e">
        <f>AND(Plan!N39,"AAAAAHxv3to=")</f>
        <v>#VALUE!</v>
      </c>
      <c r="HL16" t="e">
        <f>AND(Plan!O39,"AAAAAHxv3ts=")</f>
        <v>#VALUE!</v>
      </c>
      <c r="HM16" t="e">
        <f>AND(Plan!P39,"AAAAAHxv3tw=")</f>
        <v>#VALUE!</v>
      </c>
      <c r="HN16" t="e">
        <f>AND(Plan!Q39,"AAAAAHxv3t0=")</f>
        <v>#VALUE!</v>
      </c>
      <c r="HO16" t="e">
        <f>AND(Plan!R39,"AAAAAHxv3t4=")</f>
        <v>#VALUE!</v>
      </c>
      <c r="HP16" t="e">
        <f>AND(Plan!S39,"AAAAAHxv3t8=")</f>
        <v>#VALUE!</v>
      </c>
      <c r="HQ16" t="e">
        <f>AND(Plan!T39,"AAAAAHxv3uA=")</f>
        <v>#VALUE!</v>
      </c>
      <c r="HR16" t="e">
        <f>AND(Plan!U39,"AAAAAHxv3uE=")</f>
        <v>#VALUE!</v>
      </c>
      <c r="HS16" t="e">
        <f>AND(Plan!V39,"AAAAAHxv3uI=")</f>
        <v>#VALUE!</v>
      </c>
      <c r="HT16" t="e">
        <f>AND(Plan!W39,"AAAAAHxv3uM=")</f>
        <v>#VALUE!</v>
      </c>
      <c r="HU16" t="e">
        <f>AND(Plan!X39,"AAAAAHxv3uQ=")</f>
        <v>#VALUE!</v>
      </c>
      <c r="HV16" t="e">
        <f>AND(Plan!Y39,"AAAAAHxv3uU=")</f>
        <v>#VALUE!</v>
      </c>
      <c r="HW16" t="e">
        <f>AND(Plan!Z39,"AAAAAHxv3uY=")</f>
        <v>#VALUE!</v>
      </c>
      <c r="HX16" t="e">
        <f>AND(Plan!AA39,"AAAAAHxv3uc=")</f>
        <v>#VALUE!</v>
      </c>
      <c r="HY16" t="e">
        <f>AND(Plan!AB39,"AAAAAHxv3ug=")</f>
        <v>#VALUE!</v>
      </c>
      <c r="HZ16" t="e">
        <f>AND(Plan!AC39,"AAAAAHxv3uk=")</f>
        <v>#VALUE!</v>
      </c>
      <c r="IA16" t="e">
        <f>AND(Plan!AD39,"AAAAAHxv3uo=")</f>
        <v>#VALUE!</v>
      </c>
      <c r="IB16" t="e">
        <f>AND(Plan!AE39,"AAAAAHxv3us=")</f>
        <v>#VALUE!</v>
      </c>
      <c r="IC16" t="e">
        <f>AND(Plan!AF39,"AAAAAHxv3uw=")</f>
        <v>#VALUE!</v>
      </c>
      <c r="ID16" t="e">
        <f>AND(Plan!AG39,"AAAAAHxv3u0=")</f>
        <v>#VALUE!</v>
      </c>
      <c r="IE16" t="e">
        <f>AND(Plan!AH39,"AAAAAHxv3u4=")</f>
        <v>#VALUE!</v>
      </c>
      <c r="IF16" t="e">
        <f>AND(Plan!AI39,"AAAAAHxv3u8=")</f>
        <v>#VALUE!</v>
      </c>
      <c r="IG16" t="e">
        <f>AND(Plan!AJ39,"AAAAAHxv3vA=")</f>
        <v>#VALUE!</v>
      </c>
      <c r="IH16" t="e">
        <f>AND(Plan!AK39,"AAAAAHxv3vE=")</f>
        <v>#VALUE!</v>
      </c>
      <c r="II16" t="e">
        <f>AND(Plan!AL39,"AAAAAHxv3vI=")</f>
        <v>#VALUE!</v>
      </c>
      <c r="IJ16" t="e">
        <f>AND(Plan!AM39,"AAAAAHxv3vM=")</f>
        <v>#VALUE!</v>
      </c>
      <c r="IK16" t="e">
        <f>AND(Plan!AN39,"AAAAAHxv3vQ=")</f>
        <v>#VALUE!</v>
      </c>
      <c r="IL16" t="e">
        <f>AND(Plan!AO39,"AAAAAHxv3vU=")</f>
        <v>#VALUE!</v>
      </c>
      <c r="IM16" t="e">
        <f>AND(Plan!AP39,"AAAAAHxv3vY=")</f>
        <v>#VALUE!</v>
      </c>
      <c r="IN16" t="e">
        <f>AND(Plan!AQ39,"AAAAAHxv3vc=")</f>
        <v>#VALUE!</v>
      </c>
      <c r="IO16" t="e">
        <f>AND(Plan!AR39,"AAAAAHxv3vg=")</f>
        <v>#VALUE!</v>
      </c>
      <c r="IP16" t="e">
        <f>AND(Plan!AS39,"AAAAAHxv3vk=")</f>
        <v>#VALUE!</v>
      </c>
      <c r="IQ16" t="e">
        <f>AND(Plan!AT39,"AAAAAHxv3vo=")</f>
        <v>#VALUE!</v>
      </c>
      <c r="IR16" t="e">
        <f>AND(Plan!AU39,"AAAAAHxv3vs=")</f>
        <v>#VALUE!</v>
      </c>
      <c r="IS16" t="e">
        <f>AND(Plan!AV39,"AAAAAHxv3vw=")</f>
        <v>#VALUE!</v>
      </c>
      <c r="IT16" t="e">
        <f>AND(Plan!AW39,"AAAAAHxv3v0=")</f>
        <v>#VALUE!</v>
      </c>
      <c r="IU16" t="e">
        <f>AND(Plan!AX39,"AAAAAHxv3v4=")</f>
        <v>#VALUE!</v>
      </c>
      <c r="IV16" t="e">
        <f>AND(Plan!AY39,"AAAAAHxv3v8=")</f>
        <v>#VALUE!</v>
      </c>
    </row>
    <row r="17" spans="1:256">
      <c r="A17" t="e">
        <f>AND(Plan!AZ39,"AAAAAG9//wA=")</f>
        <v>#VALUE!</v>
      </c>
      <c r="B17" t="e">
        <f>AND(Plan!BA39,"AAAAAG9//wE=")</f>
        <v>#VALUE!</v>
      </c>
      <c r="C17" t="e">
        <f>AND(Plan!BB39,"AAAAAG9//wI=")</f>
        <v>#VALUE!</v>
      </c>
      <c r="D17" t="e">
        <f>AND(Plan!BC39,"AAAAAG9//wM=")</f>
        <v>#VALUE!</v>
      </c>
      <c r="E17" t="e">
        <f>AND(Plan!BD39,"AAAAAG9//wQ=")</f>
        <v>#VALUE!</v>
      </c>
      <c r="F17" t="e">
        <f>AND(Plan!BE39,"AAAAAG9//wU=")</f>
        <v>#VALUE!</v>
      </c>
      <c r="G17" t="e">
        <f>AND(Plan!BF39,"AAAAAG9//wY=")</f>
        <v>#VALUE!</v>
      </c>
      <c r="H17" t="e">
        <f>AND(Plan!BG39,"AAAAAG9//wc=")</f>
        <v>#VALUE!</v>
      </c>
      <c r="I17" t="e">
        <f>AND(Plan!BH39,"AAAAAG9//wg=")</f>
        <v>#VALUE!</v>
      </c>
      <c r="J17" t="e">
        <f>AND(Plan!BI39,"AAAAAG9//wk=")</f>
        <v>#VALUE!</v>
      </c>
      <c r="K17" t="e">
        <f>AND(Plan!BJ39,"AAAAAG9//wo=")</f>
        <v>#VALUE!</v>
      </c>
      <c r="L17" t="e">
        <f>AND(Plan!BK39,"AAAAAG9//ws=")</f>
        <v>#VALUE!</v>
      </c>
      <c r="M17" t="e">
        <f>AND(Plan!BL39,"AAAAAG9//ww=")</f>
        <v>#VALUE!</v>
      </c>
      <c r="N17" t="e">
        <f>AND(Plan!BM39,"AAAAAG9//w0=")</f>
        <v>#VALUE!</v>
      </c>
      <c r="O17" t="e">
        <f>AND(Plan!BN39,"AAAAAG9//w4=")</f>
        <v>#VALUE!</v>
      </c>
      <c r="P17" t="e">
        <f>AND(Plan!BO39,"AAAAAG9//w8=")</f>
        <v>#VALUE!</v>
      </c>
      <c r="Q17" t="e">
        <f>AND(Plan!BP39,"AAAAAG9//xA=")</f>
        <v>#VALUE!</v>
      </c>
      <c r="R17" t="e">
        <f>AND(Plan!BQ39,"AAAAAG9//xE=")</f>
        <v>#VALUE!</v>
      </c>
      <c r="S17" t="e">
        <f>AND(Plan!BR39,"AAAAAG9//xI=")</f>
        <v>#VALUE!</v>
      </c>
      <c r="T17" t="e">
        <f>AND(Plan!BS39,"AAAAAG9//xM=")</f>
        <v>#VALUE!</v>
      </c>
      <c r="U17" t="e">
        <f>AND(Plan!BT39,"AAAAAG9//xQ=")</f>
        <v>#VALUE!</v>
      </c>
      <c r="V17" t="e">
        <f>AND(Plan!BU39,"AAAAAG9//xU=")</f>
        <v>#VALUE!</v>
      </c>
      <c r="W17" t="e">
        <f>AND(Plan!BV39,"AAAAAG9//xY=")</f>
        <v>#VALUE!</v>
      </c>
      <c r="X17" t="e">
        <f>AND(Plan!BW39,"AAAAAG9//xc=")</f>
        <v>#VALUE!</v>
      </c>
      <c r="Y17" t="e">
        <f>AND(Plan!BX39,"AAAAAG9//xg=")</f>
        <v>#VALUE!</v>
      </c>
      <c r="Z17" t="e">
        <f>AND(Plan!BY39,"AAAAAG9//xk=")</f>
        <v>#VALUE!</v>
      </c>
      <c r="AA17" t="e">
        <f>AND(Plan!BZ39,"AAAAAG9//xo=")</f>
        <v>#VALUE!</v>
      </c>
      <c r="AB17" t="e">
        <f>AND(Plan!CA39,"AAAAAG9//xs=")</f>
        <v>#VALUE!</v>
      </c>
      <c r="AC17" t="e">
        <f>AND(Plan!CB39,"AAAAAG9//xw=")</f>
        <v>#VALUE!</v>
      </c>
      <c r="AD17" t="e">
        <f>AND(Plan!CC39,"AAAAAG9//x0=")</f>
        <v>#VALUE!</v>
      </c>
      <c r="AE17" t="e">
        <f>AND(Plan!CD39,"AAAAAG9//x4=")</f>
        <v>#VALUE!</v>
      </c>
      <c r="AF17" t="e">
        <f>AND(Plan!CE39,"AAAAAG9//x8=")</f>
        <v>#VALUE!</v>
      </c>
      <c r="AG17" t="e">
        <f>AND(Plan!CF39,"AAAAAG9//yA=")</f>
        <v>#VALUE!</v>
      </c>
      <c r="AH17" t="e">
        <f>AND(Plan!CG39,"AAAAAG9//yE=")</f>
        <v>#VALUE!</v>
      </c>
      <c r="AI17" t="e">
        <f>AND(Plan!CH39,"AAAAAG9//yI=")</f>
        <v>#VALUE!</v>
      </c>
      <c r="AJ17" t="e">
        <f>AND(Plan!CI39,"AAAAAG9//yM=")</f>
        <v>#VALUE!</v>
      </c>
      <c r="AK17" t="e">
        <f>AND(Plan!CJ39,"AAAAAG9//yQ=")</f>
        <v>#VALUE!</v>
      </c>
      <c r="AL17" t="e">
        <f>AND(Plan!CK39,"AAAAAG9//yU=")</f>
        <v>#VALUE!</v>
      </c>
      <c r="AM17" t="e">
        <f>AND(Plan!CL39,"AAAAAG9//yY=")</f>
        <v>#VALUE!</v>
      </c>
      <c r="AN17" t="e">
        <f>AND(Plan!CM39,"AAAAAG9//yc=")</f>
        <v>#VALUE!</v>
      </c>
      <c r="AO17" t="e">
        <f>AND(Plan!CN39,"AAAAAG9//yg=")</f>
        <v>#VALUE!</v>
      </c>
      <c r="AP17" t="e">
        <f>AND(Plan!CO39,"AAAAAG9//yk=")</f>
        <v>#VALUE!</v>
      </c>
      <c r="AQ17" t="e">
        <f>AND(Plan!CP39,"AAAAAG9//yo=")</f>
        <v>#VALUE!</v>
      </c>
      <c r="AR17" t="e">
        <f>AND(Plan!CQ39,"AAAAAG9//ys=")</f>
        <v>#VALUE!</v>
      </c>
      <c r="AS17" t="e">
        <f>AND(Plan!CR39,"AAAAAG9//yw=")</f>
        <v>#VALUE!</v>
      </c>
      <c r="AT17" t="e">
        <f>AND(Plan!CS39,"AAAAAG9//y0=")</f>
        <v>#VALUE!</v>
      </c>
      <c r="AU17" t="e">
        <f>AND(Plan!CT39,"AAAAAG9//y4=")</f>
        <v>#VALUE!</v>
      </c>
      <c r="AV17" t="e">
        <f>AND(Plan!CU39,"AAAAAG9//y8=")</f>
        <v>#VALUE!</v>
      </c>
      <c r="AW17" t="e">
        <f>AND(Plan!CV39,"AAAAAG9//zA=")</f>
        <v>#VALUE!</v>
      </c>
      <c r="AX17" t="e">
        <f>AND(Plan!CW39,"AAAAAG9//zE=")</f>
        <v>#VALUE!</v>
      </c>
      <c r="AY17">
        <f>IF(Plan!40:40,"AAAAAG9//zI=",0)</f>
        <v>0</v>
      </c>
      <c r="AZ17" t="e">
        <f>AND(Plan!A40,"AAAAAG9//zM=")</f>
        <v>#VALUE!</v>
      </c>
      <c r="BA17" t="e">
        <f>AND(Plan!B40,"AAAAAG9//zQ=")</f>
        <v>#VALUE!</v>
      </c>
      <c r="BB17" t="e">
        <f>AND(Plan!C40,"AAAAAG9//zU=")</f>
        <v>#VALUE!</v>
      </c>
      <c r="BC17" t="e">
        <f>AND(Plan!D40,"AAAAAG9//zY=")</f>
        <v>#VALUE!</v>
      </c>
      <c r="BD17" t="e">
        <f>AND(Plan!E40,"AAAAAG9//zc=")</f>
        <v>#VALUE!</v>
      </c>
      <c r="BE17" t="e">
        <f>AND(Plan!F40,"AAAAAG9//zg=")</f>
        <v>#VALUE!</v>
      </c>
      <c r="BF17" t="e">
        <f>AND(Plan!G40,"AAAAAG9//zk=")</f>
        <v>#VALUE!</v>
      </c>
      <c r="BG17" t="e">
        <f>AND(Plan!H40,"AAAAAG9//zo=")</f>
        <v>#VALUE!</v>
      </c>
      <c r="BH17" t="e">
        <f>AND(Plan!I40,"AAAAAG9//zs=")</f>
        <v>#VALUE!</v>
      </c>
      <c r="BI17" t="e">
        <f>AND(Plan!J40,"AAAAAG9//zw=")</f>
        <v>#VALUE!</v>
      </c>
      <c r="BJ17" t="e">
        <f>AND(Plan!K40,"AAAAAG9//z0=")</f>
        <v>#VALUE!</v>
      </c>
      <c r="BK17" t="e">
        <f>AND(Plan!L40,"AAAAAG9//z4=")</f>
        <v>#VALUE!</v>
      </c>
      <c r="BL17" t="e">
        <f>AND(Plan!M40,"AAAAAG9//z8=")</f>
        <v>#VALUE!</v>
      </c>
      <c r="BM17" t="e">
        <f>AND(Plan!N40,"AAAAAG9//0A=")</f>
        <v>#VALUE!</v>
      </c>
      <c r="BN17" t="e">
        <f>AND(Plan!O40,"AAAAAG9//0E=")</f>
        <v>#VALUE!</v>
      </c>
      <c r="BO17" t="e">
        <f>AND(Plan!P40,"AAAAAG9//0I=")</f>
        <v>#VALUE!</v>
      </c>
      <c r="BP17" t="e">
        <f>AND(Plan!Q40,"AAAAAG9//0M=")</f>
        <v>#VALUE!</v>
      </c>
      <c r="BQ17" t="e">
        <f>AND(Plan!R40,"AAAAAG9//0Q=")</f>
        <v>#VALUE!</v>
      </c>
      <c r="BR17" t="e">
        <f>AND(Plan!S40,"AAAAAG9//0U=")</f>
        <v>#VALUE!</v>
      </c>
      <c r="BS17" t="e">
        <f>AND(Plan!T40,"AAAAAG9//0Y=")</f>
        <v>#VALUE!</v>
      </c>
      <c r="BT17" t="e">
        <f>AND(Plan!U40,"AAAAAG9//0c=")</f>
        <v>#VALUE!</v>
      </c>
      <c r="BU17" t="e">
        <f>AND(Plan!V40,"AAAAAG9//0g=")</f>
        <v>#VALUE!</v>
      </c>
      <c r="BV17" t="e">
        <f>AND(Plan!W40,"AAAAAG9//0k=")</f>
        <v>#VALUE!</v>
      </c>
      <c r="BW17" t="e">
        <f>AND(Plan!X40,"AAAAAG9//0o=")</f>
        <v>#VALUE!</v>
      </c>
      <c r="BX17" t="e">
        <f>AND(Plan!Y40,"AAAAAG9//0s=")</f>
        <v>#VALUE!</v>
      </c>
      <c r="BY17" t="e">
        <f>AND(Plan!Z40,"AAAAAG9//0w=")</f>
        <v>#VALUE!</v>
      </c>
      <c r="BZ17" t="e">
        <f>AND(Plan!AA40,"AAAAAG9//00=")</f>
        <v>#VALUE!</v>
      </c>
      <c r="CA17" t="e">
        <f>AND(Plan!AB40,"AAAAAG9//04=")</f>
        <v>#VALUE!</v>
      </c>
      <c r="CB17" t="e">
        <f>AND(Plan!AC40,"AAAAAG9//08=")</f>
        <v>#VALUE!</v>
      </c>
      <c r="CC17" t="e">
        <f>AND(Plan!AD40,"AAAAAG9//1A=")</f>
        <v>#VALUE!</v>
      </c>
      <c r="CD17" t="e">
        <f>AND(Plan!AE40,"AAAAAG9//1E=")</f>
        <v>#VALUE!</v>
      </c>
      <c r="CE17" t="e">
        <f>AND(Plan!AF40,"AAAAAG9//1I=")</f>
        <v>#VALUE!</v>
      </c>
      <c r="CF17" t="e">
        <f>AND(Plan!AG40,"AAAAAG9//1M=")</f>
        <v>#VALUE!</v>
      </c>
      <c r="CG17" t="e">
        <f>AND(Plan!AH40,"AAAAAG9//1Q=")</f>
        <v>#VALUE!</v>
      </c>
      <c r="CH17" t="e">
        <f>AND(Plan!AI40,"AAAAAG9//1U=")</f>
        <v>#VALUE!</v>
      </c>
      <c r="CI17" t="e">
        <f>AND(Plan!AJ40,"AAAAAG9//1Y=")</f>
        <v>#VALUE!</v>
      </c>
      <c r="CJ17" t="e">
        <f>AND(Plan!AK40,"AAAAAG9//1c=")</f>
        <v>#VALUE!</v>
      </c>
      <c r="CK17" t="e">
        <f>AND(Plan!AL40,"AAAAAG9//1g=")</f>
        <v>#VALUE!</v>
      </c>
      <c r="CL17" t="e">
        <f>AND(Plan!AM40,"AAAAAG9//1k=")</f>
        <v>#VALUE!</v>
      </c>
      <c r="CM17" t="e">
        <f>AND(Plan!AN40,"AAAAAG9//1o=")</f>
        <v>#VALUE!</v>
      </c>
      <c r="CN17" t="e">
        <f>AND(Plan!AO40,"AAAAAG9//1s=")</f>
        <v>#VALUE!</v>
      </c>
      <c r="CO17" t="e">
        <f>AND(Plan!AP40,"AAAAAG9//1w=")</f>
        <v>#VALUE!</v>
      </c>
      <c r="CP17" t="e">
        <f>AND(Plan!AQ40,"AAAAAG9//10=")</f>
        <v>#VALUE!</v>
      </c>
      <c r="CQ17" t="e">
        <f>AND(Plan!AR40,"AAAAAG9//14=")</f>
        <v>#VALUE!</v>
      </c>
      <c r="CR17" t="e">
        <f>AND(Plan!AS40,"AAAAAG9//18=")</f>
        <v>#VALUE!</v>
      </c>
      <c r="CS17" t="e">
        <f>AND(Plan!AT40,"AAAAAG9//2A=")</f>
        <v>#VALUE!</v>
      </c>
      <c r="CT17" t="e">
        <f>AND(Plan!AU40,"AAAAAG9//2E=")</f>
        <v>#VALUE!</v>
      </c>
      <c r="CU17" t="e">
        <f>AND(Plan!AV40,"AAAAAG9//2I=")</f>
        <v>#VALUE!</v>
      </c>
      <c r="CV17" t="e">
        <f>AND(Plan!AW40,"AAAAAG9//2M=")</f>
        <v>#VALUE!</v>
      </c>
      <c r="CW17" t="e">
        <f>AND(Plan!AX40,"AAAAAG9//2Q=")</f>
        <v>#VALUE!</v>
      </c>
      <c r="CX17" t="e">
        <f>AND(Plan!AY40,"AAAAAG9//2U=")</f>
        <v>#VALUE!</v>
      </c>
      <c r="CY17" t="e">
        <f>AND(Plan!AZ40,"AAAAAG9//2Y=")</f>
        <v>#VALUE!</v>
      </c>
      <c r="CZ17" t="e">
        <f>AND(Plan!BA40,"AAAAAG9//2c=")</f>
        <v>#VALUE!</v>
      </c>
      <c r="DA17" t="e">
        <f>AND(Plan!BB40,"AAAAAG9//2g=")</f>
        <v>#VALUE!</v>
      </c>
      <c r="DB17" t="e">
        <f>AND(Plan!BC40,"AAAAAG9//2k=")</f>
        <v>#VALUE!</v>
      </c>
      <c r="DC17" t="e">
        <f>AND(Plan!BD40,"AAAAAG9//2o=")</f>
        <v>#VALUE!</v>
      </c>
      <c r="DD17" t="e">
        <f>AND(Plan!BE40,"AAAAAG9//2s=")</f>
        <v>#VALUE!</v>
      </c>
      <c r="DE17" t="e">
        <f>AND(Plan!BF40,"AAAAAG9//2w=")</f>
        <v>#VALUE!</v>
      </c>
      <c r="DF17" t="e">
        <f>AND(Plan!BG40,"AAAAAG9//20=")</f>
        <v>#VALUE!</v>
      </c>
      <c r="DG17" t="e">
        <f>AND(Plan!BH40,"AAAAAG9//24=")</f>
        <v>#VALUE!</v>
      </c>
      <c r="DH17" t="e">
        <f>AND(Plan!BI40,"AAAAAG9//28=")</f>
        <v>#VALUE!</v>
      </c>
      <c r="DI17" t="e">
        <f>AND(Plan!BJ40,"AAAAAG9//3A=")</f>
        <v>#VALUE!</v>
      </c>
      <c r="DJ17" t="e">
        <f>AND(Plan!BK40,"AAAAAG9//3E=")</f>
        <v>#VALUE!</v>
      </c>
      <c r="DK17" t="e">
        <f>AND(Plan!BL40,"AAAAAG9//3I=")</f>
        <v>#VALUE!</v>
      </c>
      <c r="DL17" t="e">
        <f>AND(Plan!BM40,"AAAAAG9//3M=")</f>
        <v>#VALUE!</v>
      </c>
      <c r="DM17" t="e">
        <f>AND(Plan!BN40,"AAAAAG9//3Q=")</f>
        <v>#VALUE!</v>
      </c>
      <c r="DN17" t="e">
        <f>AND(Plan!BO40,"AAAAAG9//3U=")</f>
        <v>#VALUE!</v>
      </c>
      <c r="DO17" t="e">
        <f>AND(Plan!BP40,"AAAAAG9//3Y=")</f>
        <v>#VALUE!</v>
      </c>
      <c r="DP17" t="e">
        <f>AND(Plan!BQ40,"AAAAAG9//3c=")</f>
        <v>#VALUE!</v>
      </c>
      <c r="DQ17" t="e">
        <f>AND(Plan!BR40,"AAAAAG9//3g=")</f>
        <v>#VALUE!</v>
      </c>
      <c r="DR17" t="e">
        <f>AND(Plan!BS40,"AAAAAG9//3k=")</f>
        <v>#VALUE!</v>
      </c>
      <c r="DS17" t="e">
        <f>AND(Plan!BT40,"AAAAAG9//3o=")</f>
        <v>#VALUE!</v>
      </c>
      <c r="DT17" t="e">
        <f>AND(Plan!BU40,"AAAAAG9//3s=")</f>
        <v>#VALUE!</v>
      </c>
      <c r="DU17" t="e">
        <f>AND(Plan!BV40,"AAAAAG9//3w=")</f>
        <v>#VALUE!</v>
      </c>
      <c r="DV17" t="e">
        <f>AND(Plan!BW40,"AAAAAG9//30=")</f>
        <v>#VALUE!</v>
      </c>
      <c r="DW17" t="e">
        <f>AND(Plan!BX40,"AAAAAG9//34=")</f>
        <v>#VALUE!</v>
      </c>
      <c r="DX17" t="e">
        <f>AND(Plan!BY40,"AAAAAG9//38=")</f>
        <v>#VALUE!</v>
      </c>
      <c r="DY17" t="e">
        <f>AND(Plan!BZ40,"AAAAAG9//4A=")</f>
        <v>#VALUE!</v>
      </c>
      <c r="DZ17" t="e">
        <f>AND(Plan!CA40,"AAAAAG9//4E=")</f>
        <v>#VALUE!</v>
      </c>
      <c r="EA17" t="e">
        <f>AND(Plan!CB40,"AAAAAG9//4I=")</f>
        <v>#VALUE!</v>
      </c>
      <c r="EB17" t="e">
        <f>AND(Plan!CC40,"AAAAAG9//4M=")</f>
        <v>#VALUE!</v>
      </c>
      <c r="EC17" t="e">
        <f>AND(Plan!CD40,"AAAAAG9//4Q=")</f>
        <v>#VALUE!</v>
      </c>
      <c r="ED17" t="e">
        <f>AND(Plan!CE40,"AAAAAG9//4U=")</f>
        <v>#VALUE!</v>
      </c>
      <c r="EE17" t="e">
        <f>AND(Plan!CF40,"AAAAAG9//4Y=")</f>
        <v>#VALUE!</v>
      </c>
      <c r="EF17" t="e">
        <f>AND(Plan!CG40,"AAAAAG9//4c=")</f>
        <v>#VALUE!</v>
      </c>
      <c r="EG17" t="e">
        <f>AND(Plan!CH40,"AAAAAG9//4g=")</f>
        <v>#VALUE!</v>
      </c>
      <c r="EH17" t="e">
        <f>AND(Plan!CI40,"AAAAAG9//4k=")</f>
        <v>#VALUE!</v>
      </c>
      <c r="EI17" t="e">
        <f>AND(Plan!CJ40,"AAAAAG9//4o=")</f>
        <v>#VALUE!</v>
      </c>
      <c r="EJ17" t="e">
        <f>AND(Plan!CK40,"AAAAAG9//4s=")</f>
        <v>#VALUE!</v>
      </c>
      <c r="EK17" t="e">
        <f>AND(Plan!CL40,"AAAAAG9//4w=")</f>
        <v>#VALUE!</v>
      </c>
      <c r="EL17" t="e">
        <f>AND(Plan!CM40,"AAAAAG9//40=")</f>
        <v>#VALUE!</v>
      </c>
      <c r="EM17" t="e">
        <f>AND(Plan!CN40,"AAAAAG9//44=")</f>
        <v>#VALUE!</v>
      </c>
      <c r="EN17" t="e">
        <f>AND(Plan!CO40,"AAAAAG9//48=")</f>
        <v>#VALUE!</v>
      </c>
      <c r="EO17" t="e">
        <f>AND(Plan!CP40,"AAAAAG9//5A=")</f>
        <v>#VALUE!</v>
      </c>
      <c r="EP17" t="e">
        <f>AND(Plan!CQ40,"AAAAAG9//5E=")</f>
        <v>#VALUE!</v>
      </c>
      <c r="EQ17" t="e">
        <f>AND(Plan!CR40,"AAAAAG9//5I=")</f>
        <v>#VALUE!</v>
      </c>
      <c r="ER17" t="e">
        <f>AND(Plan!CS40,"AAAAAG9//5M=")</f>
        <v>#VALUE!</v>
      </c>
      <c r="ES17" t="e">
        <f>AND(Plan!CT40,"AAAAAG9//5Q=")</f>
        <v>#VALUE!</v>
      </c>
      <c r="ET17" t="e">
        <f>AND(Plan!CU40,"AAAAAG9//5U=")</f>
        <v>#VALUE!</v>
      </c>
      <c r="EU17" t="e">
        <f>AND(Plan!CV40,"AAAAAG9//5Y=")</f>
        <v>#VALUE!</v>
      </c>
      <c r="EV17" t="e">
        <f>AND(Plan!CW40,"AAAAAG9//5c=")</f>
        <v>#VALUE!</v>
      </c>
      <c r="EW17">
        <f>IF(Plan!41:41,"AAAAAG9//5g=",0)</f>
        <v>0</v>
      </c>
      <c r="EX17" t="e">
        <f>AND(Plan!A41,"AAAAAG9//5k=")</f>
        <v>#VALUE!</v>
      </c>
      <c r="EY17" t="e">
        <f>AND(Plan!B41,"AAAAAG9//5o=")</f>
        <v>#VALUE!</v>
      </c>
      <c r="EZ17" t="e">
        <f>AND(Plan!C41,"AAAAAG9//5s=")</f>
        <v>#VALUE!</v>
      </c>
      <c r="FA17" t="e">
        <f>AND(Plan!D41,"AAAAAG9//5w=")</f>
        <v>#VALUE!</v>
      </c>
      <c r="FB17" t="e">
        <f>AND(Plan!E41,"AAAAAG9//50=")</f>
        <v>#VALUE!</v>
      </c>
      <c r="FC17" t="e">
        <f>AND(Plan!F41,"AAAAAG9//54=")</f>
        <v>#VALUE!</v>
      </c>
      <c r="FD17" t="e">
        <f>AND(Plan!G41,"AAAAAG9//58=")</f>
        <v>#VALUE!</v>
      </c>
      <c r="FE17" t="e">
        <f>AND(Plan!H41,"AAAAAG9//6A=")</f>
        <v>#VALUE!</v>
      </c>
      <c r="FF17" t="e">
        <f>AND(Plan!I41,"AAAAAG9//6E=")</f>
        <v>#VALUE!</v>
      </c>
      <c r="FG17" t="e">
        <f>AND(Plan!J41,"AAAAAG9//6I=")</f>
        <v>#VALUE!</v>
      </c>
      <c r="FH17" t="e">
        <f>AND(Plan!K41,"AAAAAG9//6M=")</f>
        <v>#VALUE!</v>
      </c>
      <c r="FI17" t="e">
        <f>AND(Plan!L41,"AAAAAG9//6Q=")</f>
        <v>#VALUE!</v>
      </c>
      <c r="FJ17" t="e">
        <f>AND(Plan!M41,"AAAAAG9//6U=")</f>
        <v>#VALUE!</v>
      </c>
      <c r="FK17" t="e">
        <f>AND(Plan!N41,"AAAAAG9//6Y=")</f>
        <v>#VALUE!</v>
      </c>
      <c r="FL17" t="e">
        <f>AND(Plan!O41,"AAAAAG9//6c=")</f>
        <v>#VALUE!</v>
      </c>
      <c r="FM17" t="e">
        <f>AND(Plan!P41,"AAAAAG9//6g=")</f>
        <v>#VALUE!</v>
      </c>
      <c r="FN17" t="e">
        <f>AND(Plan!Q41,"AAAAAG9//6k=")</f>
        <v>#VALUE!</v>
      </c>
      <c r="FO17" t="e">
        <f>AND(Plan!R41,"AAAAAG9//6o=")</f>
        <v>#VALUE!</v>
      </c>
      <c r="FP17" t="e">
        <f>AND(Plan!S41,"AAAAAG9//6s=")</f>
        <v>#VALUE!</v>
      </c>
      <c r="FQ17" t="e">
        <f>AND(Plan!T41,"AAAAAG9//6w=")</f>
        <v>#VALUE!</v>
      </c>
      <c r="FR17" t="e">
        <f>AND(Plan!U41,"AAAAAG9//60=")</f>
        <v>#VALUE!</v>
      </c>
      <c r="FS17" t="e">
        <f>AND(Plan!V41,"AAAAAG9//64=")</f>
        <v>#VALUE!</v>
      </c>
      <c r="FT17" t="e">
        <f>AND(Plan!W41,"AAAAAG9//68=")</f>
        <v>#VALUE!</v>
      </c>
      <c r="FU17" t="e">
        <f>AND(Plan!X41,"AAAAAG9//7A=")</f>
        <v>#VALUE!</v>
      </c>
      <c r="FV17" t="e">
        <f>AND(Plan!Y41,"AAAAAG9//7E=")</f>
        <v>#VALUE!</v>
      </c>
      <c r="FW17" t="e">
        <f>AND(Plan!Z41,"AAAAAG9//7I=")</f>
        <v>#VALUE!</v>
      </c>
      <c r="FX17" t="e">
        <f>AND(Plan!AA41,"AAAAAG9//7M=")</f>
        <v>#VALUE!</v>
      </c>
      <c r="FY17" t="e">
        <f>AND(Plan!AB41,"AAAAAG9//7Q=")</f>
        <v>#VALUE!</v>
      </c>
      <c r="FZ17" t="e">
        <f>AND(Plan!AC41,"AAAAAG9//7U=")</f>
        <v>#VALUE!</v>
      </c>
      <c r="GA17" t="e">
        <f>AND(Plan!AD41,"AAAAAG9//7Y=")</f>
        <v>#VALUE!</v>
      </c>
      <c r="GB17" t="e">
        <f>AND(Plan!AE41,"AAAAAG9//7c=")</f>
        <v>#VALUE!</v>
      </c>
      <c r="GC17" t="e">
        <f>AND(Plan!AF41,"AAAAAG9//7g=")</f>
        <v>#VALUE!</v>
      </c>
      <c r="GD17" t="e">
        <f>AND(Plan!AG41,"AAAAAG9//7k=")</f>
        <v>#VALUE!</v>
      </c>
      <c r="GE17" t="e">
        <f>AND(Plan!AH41,"AAAAAG9//7o=")</f>
        <v>#VALUE!</v>
      </c>
      <c r="GF17" t="e">
        <f>AND(Plan!AI41,"AAAAAG9//7s=")</f>
        <v>#VALUE!</v>
      </c>
      <c r="GG17" t="e">
        <f>AND(Plan!AJ41,"AAAAAG9//7w=")</f>
        <v>#VALUE!</v>
      </c>
      <c r="GH17" t="e">
        <f>AND(Plan!AK41,"AAAAAG9//70=")</f>
        <v>#VALUE!</v>
      </c>
      <c r="GI17" t="e">
        <f>AND(Plan!AL41,"AAAAAG9//74=")</f>
        <v>#VALUE!</v>
      </c>
      <c r="GJ17" t="e">
        <f>AND(Plan!AM41,"AAAAAG9//78=")</f>
        <v>#VALUE!</v>
      </c>
      <c r="GK17" t="e">
        <f>AND(Plan!AN41,"AAAAAG9//8A=")</f>
        <v>#VALUE!</v>
      </c>
      <c r="GL17" t="e">
        <f>AND(Plan!AO41,"AAAAAG9//8E=")</f>
        <v>#VALUE!</v>
      </c>
      <c r="GM17" t="e">
        <f>AND(Plan!AP41,"AAAAAG9//8I=")</f>
        <v>#VALUE!</v>
      </c>
      <c r="GN17" t="e">
        <f>AND(Plan!AQ41,"AAAAAG9//8M=")</f>
        <v>#VALUE!</v>
      </c>
      <c r="GO17" t="e">
        <f>AND(Plan!AR41,"AAAAAG9//8Q=")</f>
        <v>#VALUE!</v>
      </c>
      <c r="GP17" t="e">
        <f>AND(Plan!AS41,"AAAAAG9//8U=")</f>
        <v>#VALUE!</v>
      </c>
      <c r="GQ17" t="e">
        <f>AND(Plan!AT41,"AAAAAG9//8Y=")</f>
        <v>#VALUE!</v>
      </c>
      <c r="GR17" t="e">
        <f>AND(Plan!AU41,"AAAAAG9//8c=")</f>
        <v>#VALUE!</v>
      </c>
      <c r="GS17" t="e">
        <f>AND(Plan!AV41,"AAAAAG9//8g=")</f>
        <v>#VALUE!</v>
      </c>
      <c r="GT17" t="e">
        <f>AND(Plan!AW41,"AAAAAG9//8k=")</f>
        <v>#VALUE!</v>
      </c>
      <c r="GU17" t="e">
        <f>AND(Plan!AX41,"AAAAAG9//8o=")</f>
        <v>#VALUE!</v>
      </c>
      <c r="GV17" t="e">
        <f>AND(Plan!AY41,"AAAAAG9//8s=")</f>
        <v>#VALUE!</v>
      </c>
      <c r="GW17" t="e">
        <f>AND(Plan!AZ41,"AAAAAG9//8w=")</f>
        <v>#VALUE!</v>
      </c>
      <c r="GX17" t="e">
        <f>AND(Plan!BA41,"AAAAAG9//80=")</f>
        <v>#VALUE!</v>
      </c>
      <c r="GY17" t="e">
        <f>AND(Plan!BB41,"AAAAAG9//84=")</f>
        <v>#VALUE!</v>
      </c>
      <c r="GZ17" t="e">
        <f>AND(Plan!BC41,"AAAAAG9//88=")</f>
        <v>#VALUE!</v>
      </c>
      <c r="HA17" t="e">
        <f>AND(Plan!BD41,"AAAAAG9//9A=")</f>
        <v>#VALUE!</v>
      </c>
      <c r="HB17" t="e">
        <f>AND(Plan!BE41,"AAAAAG9//9E=")</f>
        <v>#VALUE!</v>
      </c>
      <c r="HC17" t="e">
        <f>AND(Plan!BF41,"AAAAAG9//9I=")</f>
        <v>#VALUE!</v>
      </c>
      <c r="HD17" t="e">
        <f>AND(Plan!BG41,"AAAAAG9//9M=")</f>
        <v>#VALUE!</v>
      </c>
      <c r="HE17" t="e">
        <f>AND(Plan!BH41,"AAAAAG9//9Q=")</f>
        <v>#VALUE!</v>
      </c>
      <c r="HF17" t="e">
        <f>AND(Plan!BI41,"AAAAAG9//9U=")</f>
        <v>#VALUE!</v>
      </c>
      <c r="HG17" t="e">
        <f>AND(Plan!BJ41,"AAAAAG9//9Y=")</f>
        <v>#VALUE!</v>
      </c>
      <c r="HH17" t="e">
        <f>AND(Plan!BK41,"AAAAAG9//9c=")</f>
        <v>#VALUE!</v>
      </c>
      <c r="HI17" t="e">
        <f>AND(Plan!BL41,"AAAAAG9//9g=")</f>
        <v>#VALUE!</v>
      </c>
      <c r="HJ17" t="e">
        <f>AND(Plan!BM41,"AAAAAG9//9k=")</f>
        <v>#VALUE!</v>
      </c>
      <c r="HK17" t="e">
        <f>AND(Plan!BN41,"AAAAAG9//9o=")</f>
        <v>#VALUE!</v>
      </c>
      <c r="HL17" t="e">
        <f>AND(Plan!BO41,"AAAAAG9//9s=")</f>
        <v>#VALUE!</v>
      </c>
      <c r="HM17" t="e">
        <f>AND(Plan!BP41,"AAAAAG9//9w=")</f>
        <v>#VALUE!</v>
      </c>
      <c r="HN17" t="e">
        <f>AND(Plan!BQ41,"AAAAAG9//90=")</f>
        <v>#VALUE!</v>
      </c>
      <c r="HO17" t="e">
        <f>AND(Plan!BR41,"AAAAAG9//94=")</f>
        <v>#VALUE!</v>
      </c>
      <c r="HP17" t="e">
        <f>AND(Plan!BS41,"AAAAAG9//98=")</f>
        <v>#VALUE!</v>
      </c>
      <c r="HQ17" t="e">
        <f>AND(Plan!BT41,"AAAAAG9//+A=")</f>
        <v>#VALUE!</v>
      </c>
      <c r="HR17" t="e">
        <f>AND(Plan!BU41,"AAAAAG9//+E=")</f>
        <v>#VALUE!</v>
      </c>
      <c r="HS17" t="e">
        <f>AND(Plan!BV41,"AAAAAG9//+I=")</f>
        <v>#VALUE!</v>
      </c>
      <c r="HT17" t="e">
        <f>AND(Plan!BW41,"AAAAAG9//+M=")</f>
        <v>#VALUE!</v>
      </c>
      <c r="HU17" t="e">
        <f>AND(Plan!BX41,"AAAAAG9//+Q=")</f>
        <v>#VALUE!</v>
      </c>
      <c r="HV17" t="e">
        <f>AND(Plan!BY41,"AAAAAG9//+U=")</f>
        <v>#VALUE!</v>
      </c>
      <c r="HW17" t="e">
        <f>AND(Plan!BZ41,"AAAAAG9//+Y=")</f>
        <v>#VALUE!</v>
      </c>
      <c r="HX17" t="e">
        <f>AND(Plan!CA41,"AAAAAG9//+c=")</f>
        <v>#VALUE!</v>
      </c>
      <c r="HY17" t="e">
        <f>AND(Plan!CB41,"AAAAAG9//+g=")</f>
        <v>#VALUE!</v>
      </c>
      <c r="HZ17" t="e">
        <f>AND(Plan!CC41,"AAAAAG9//+k=")</f>
        <v>#VALUE!</v>
      </c>
      <c r="IA17" t="e">
        <f>AND(Plan!CD41,"AAAAAG9//+o=")</f>
        <v>#VALUE!</v>
      </c>
      <c r="IB17" t="e">
        <f>AND(Plan!CE41,"AAAAAG9//+s=")</f>
        <v>#VALUE!</v>
      </c>
      <c r="IC17" t="e">
        <f>AND(Plan!CF41,"AAAAAG9//+w=")</f>
        <v>#VALUE!</v>
      </c>
      <c r="ID17" t="e">
        <f>AND(Plan!CG41,"AAAAAG9//+0=")</f>
        <v>#VALUE!</v>
      </c>
      <c r="IE17" t="e">
        <f>AND(Plan!CH41,"AAAAAG9//+4=")</f>
        <v>#VALUE!</v>
      </c>
      <c r="IF17" t="e">
        <f>AND(Plan!CI41,"AAAAAG9//+8=")</f>
        <v>#VALUE!</v>
      </c>
      <c r="IG17" t="e">
        <f>AND(Plan!CJ41,"AAAAAG9///A=")</f>
        <v>#VALUE!</v>
      </c>
      <c r="IH17" t="e">
        <f>AND(Plan!CK41,"AAAAAG9///E=")</f>
        <v>#VALUE!</v>
      </c>
      <c r="II17" t="e">
        <f>AND(Plan!CL41,"AAAAAG9///I=")</f>
        <v>#VALUE!</v>
      </c>
      <c r="IJ17" t="e">
        <f>AND(Plan!CM41,"AAAAAG9///M=")</f>
        <v>#VALUE!</v>
      </c>
      <c r="IK17" t="e">
        <f>AND(Plan!CN41,"AAAAAG9///Q=")</f>
        <v>#VALUE!</v>
      </c>
      <c r="IL17" t="e">
        <f>AND(Plan!CO41,"AAAAAG9///U=")</f>
        <v>#VALUE!</v>
      </c>
      <c r="IM17" t="e">
        <f>AND(Plan!CP41,"AAAAAG9///Y=")</f>
        <v>#VALUE!</v>
      </c>
      <c r="IN17" t="e">
        <f>AND(Plan!CQ41,"AAAAAG9///c=")</f>
        <v>#VALUE!</v>
      </c>
      <c r="IO17" t="e">
        <f>AND(Plan!CR41,"AAAAAG9///g=")</f>
        <v>#VALUE!</v>
      </c>
      <c r="IP17" t="e">
        <f>AND(Plan!CS41,"AAAAAG9///k=")</f>
        <v>#VALUE!</v>
      </c>
      <c r="IQ17" t="e">
        <f>AND(Plan!CT41,"AAAAAG9///o=")</f>
        <v>#VALUE!</v>
      </c>
      <c r="IR17" t="e">
        <f>AND(Plan!CU41,"AAAAAG9///s=")</f>
        <v>#VALUE!</v>
      </c>
      <c r="IS17" t="e">
        <f>AND(Plan!CV41,"AAAAAG9///w=")</f>
        <v>#VALUE!</v>
      </c>
      <c r="IT17" t="e">
        <f>AND(Plan!CW41,"AAAAAG9///0=")</f>
        <v>#VALUE!</v>
      </c>
      <c r="IU17">
        <f>IF(Plan!42:42,"AAAAAG9///4=",0)</f>
        <v>0</v>
      </c>
      <c r="IV17" t="e">
        <f>AND(Plan!A42,"AAAAAG9///8=")</f>
        <v>#VALUE!</v>
      </c>
    </row>
    <row r="18" spans="1:256">
      <c r="A18" t="e">
        <f>AND(Plan!B42,"AAAAAHvd7gA=")</f>
        <v>#VALUE!</v>
      </c>
      <c r="B18" t="e">
        <f>AND(Plan!C42,"AAAAAHvd7gE=")</f>
        <v>#VALUE!</v>
      </c>
      <c r="C18" t="e">
        <f>AND(Plan!D42,"AAAAAHvd7gI=")</f>
        <v>#VALUE!</v>
      </c>
      <c r="D18" t="e">
        <f>AND(Plan!E42,"AAAAAHvd7gM=")</f>
        <v>#VALUE!</v>
      </c>
      <c r="E18" t="e">
        <f>AND(Plan!F42,"AAAAAHvd7gQ=")</f>
        <v>#VALUE!</v>
      </c>
      <c r="F18" t="e">
        <f>AND(Plan!G42,"AAAAAHvd7gU=")</f>
        <v>#VALUE!</v>
      </c>
      <c r="G18" t="e">
        <f>AND(Plan!H42,"AAAAAHvd7gY=")</f>
        <v>#VALUE!</v>
      </c>
      <c r="H18" t="e">
        <f>AND(Plan!I42,"AAAAAHvd7gc=")</f>
        <v>#VALUE!</v>
      </c>
      <c r="I18" t="e">
        <f>AND(Plan!J42,"AAAAAHvd7gg=")</f>
        <v>#VALUE!</v>
      </c>
      <c r="J18" t="e">
        <f>AND(Plan!K42,"AAAAAHvd7gk=")</f>
        <v>#VALUE!</v>
      </c>
      <c r="K18" t="e">
        <f>AND(Plan!L42,"AAAAAHvd7go=")</f>
        <v>#VALUE!</v>
      </c>
      <c r="L18" t="e">
        <f>AND(Plan!M42,"AAAAAHvd7gs=")</f>
        <v>#VALUE!</v>
      </c>
      <c r="M18" t="e">
        <f>AND(Plan!N42,"AAAAAHvd7gw=")</f>
        <v>#VALUE!</v>
      </c>
      <c r="N18" t="e">
        <f>AND(Plan!O42,"AAAAAHvd7g0=")</f>
        <v>#VALUE!</v>
      </c>
      <c r="O18" t="e">
        <f>AND(Plan!P42,"AAAAAHvd7g4=")</f>
        <v>#VALUE!</v>
      </c>
      <c r="P18" t="e">
        <f>AND(Plan!Q42,"AAAAAHvd7g8=")</f>
        <v>#VALUE!</v>
      </c>
      <c r="Q18" t="e">
        <f>AND(Plan!R42,"AAAAAHvd7hA=")</f>
        <v>#VALUE!</v>
      </c>
      <c r="R18" t="e">
        <f>AND(Plan!S42,"AAAAAHvd7hE=")</f>
        <v>#VALUE!</v>
      </c>
      <c r="S18" t="e">
        <f>AND(Plan!T42,"AAAAAHvd7hI=")</f>
        <v>#VALUE!</v>
      </c>
      <c r="T18" t="e">
        <f>AND(Plan!U42,"AAAAAHvd7hM=")</f>
        <v>#VALUE!</v>
      </c>
      <c r="U18" t="e">
        <f>AND(Plan!V42,"AAAAAHvd7hQ=")</f>
        <v>#VALUE!</v>
      </c>
      <c r="V18" t="e">
        <f>AND(Plan!W42,"AAAAAHvd7hU=")</f>
        <v>#VALUE!</v>
      </c>
      <c r="W18" t="e">
        <f>AND(Plan!X42,"AAAAAHvd7hY=")</f>
        <v>#VALUE!</v>
      </c>
      <c r="X18" t="e">
        <f>AND(Plan!Y42,"AAAAAHvd7hc=")</f>
        <v>#VALUE!</v>
      </c>
      <c r="Y18" t="e">
        <f>AND(Plan!Z42,"AAAAAHvd7hg=")</f>
        <v>#VALUE!</v>
      </c>
      <c r="Z18" t="e">
        <f>AND(Plan!AA42,"AAAAAHvd7hk=")</f>
        <v>#VALUE!</v>
      </c>
      <c r="AA18" t="e">
        <f>AND(Plan!AB42,"AAAAAHvd7ho=")</f>
        <v>#VALUE!</v>
      </c>
      <c r="AB18" t="e">
        <f>AND(Plan!AC42,"AAAAAHvd7hs=")</f>
        <v>#VALUE!</v>
      </c>
      <c r="AC18" t="e">
        <f>AND(Plan!AD42,"AAAAAHvd7hw=")</f>
        <v>#VALUE!</v>
      </c>
      <c r="AD18" t="e">
        <f>AND(Plan!AE42,"AAAAAHvd7h0=")</f>
        <v>#VALUE!</v>
      </c>
      <c r="AE18" t="e">
        <f>AND(Plan!AF42,"AAAAAHvd7h4=")</f>
        <v>#VALUE!</v>
      </c>
      <c r="AF18" t="e">
        <f>AND(Plan!AG42,"AAAAAHvd7h8=")</f>
        <v>#VALUE!</v>
      </c>
      <c r="AG18" t="e">
        <f>AND(Plan!AH42,"AAAAAHvd7iA=")</f>
        <v>#VALUE!</v>
      </c>
      <c r="AH18" t="e">
        <f>AND(Plan!AI42,"AAAAAHvd7iE=")</f>
        <v>#VALUE!</v>
      </c>
      <c r="AI18" t="e">
        <f>AND(Plan!AJ42,"AAAAAHvd7iI=")</f>
        <v>#VALUE!</v>
      </c>
      <c r="AJ18" t="e">
        <f>AND(Plan!AK42,"AAAAAHvd7iM=")</f>
        <v>#VALUE!</v>
      </c>
      <c r="AK18" t="e">
        <f>AND(Plan!AL42,"AAAAAHvd7iQ=")</f>
        <v>#VALUE!</v>
      </c>
      <c r="AL18" t="e">
        <f>AND(Plan!AM42,"AAAAAHvd7iU=")</f>
        <v>#VALUE!</v>
      </c>
      <c r="AM18" t="e">
        <f>AND(Plan!AN42,"AAAAAHvd7iY=")</f>
        <v>#VALUE!</v>
      </c>
      <c r="AN18" t="e">
        <f>AND(Plan!AO42,"AAAAAHvd7ic=")</f>
        <v>#VALUE!</v>
      </c>
      <c r="AO18" t="e">
        <f>AND(Plan!AP42,"AAAAAHvd7ig=")</f>
        <v>#VALUE!</v>
      </c>
      <c r="AP18" t="e">
        <f>AND(Plan!AQ42,"AAAAAHvd7ik=")</f>
        <v>#VALUE!</v>
      </c>
      <c r="AQ18" t="e">
        <f>AND(Plan!AR42,"AAAAAHvd7io=")</f>
        <v>#VALUE!</v>
      </c>
      <c r="AR18" t="e">
        <f>AND(Plan!AS42,"AAAAAHvd7is=")</f>
        <v>#VALUE!</v>
      </c>
      <c r="AS18" t="e">
        <f>AND(Plan!AT42,"AAAAAHvd7iw=")</f>
        <v>#VALUE!</v>
      </c>
      <c r="AT18" t="e">
        <f>AND(Plan!AU42,"AAAAAHvd7i0=")</f>
        <v>#VALUE!</v>
      </c>
      <c r="AU18" t="e">
        <f>AND(Plan!AV42,"AAAAAHvd7i4=")</f>
        <v>#VALUE!</v>
      </c>
      <c r="AV18" t="e">
        <f>AND(Plan!AW42,"AAAAAHvd7i8=")</f>
        <v>#VALUE!</v>
      </c>
      <c r="AW18" t="e">
        <f>AND(Plan!AX42,"AAAAAHvd7jA=")</f>
        <v>#VALUE!</v>
      </c>
      <c r="AX18" t="e">
        <f>AND(Plan!AY42,"AAAAAHvd7jE=")</f>
        <v>#VALUE!</v>
      </c>
      <c r="AY18" t="e">
        <f>AND(Plan!AZ42,"AAAAAHvd7jI=")</f>
        <v>#VALUE!</v>
      </c>
      <c r="AZ18" t="e">
        <f>AND(Plan!BA42,"AAAAAHvd7jM=")</f>
        <v>#VALUE!</v>
      </c>
      <c r="BA18" t="e">
        <f>AND(Plan!BB42,"AAAAAHvd7jQ=")</f>
        <v>#VALUE!</v>
      </c>
      <c r="BB18" t="e">
        <f>AND(Plan!BC42,"AAAAAHvd7jU=")</f>
        <v>#VALUE!</v>
      </c>
      <c r="BC18" t="e">
        <f>AND(Plan!BD42,"AAAAAHvd7jY=")</f>
        <v>#VALUE!</v>
      </c>
      <c r="BD18" t="e">
        <f>AND(Plan!BE42,"AAAAAHvd7jc=")</f>
        <v>#VALUE!</v>
      </c>
      <c r="BE18" t="e">
        <f>AND(Plan!BF42,"AAAAAHvd7jg=")</f>
        <v>#VALUE!</v>
      </c>
      <c r="BF18" t="e">
        <f>AND(Plan!BG42,"AAAAAHvd7jk=")</f>
        <v>#VALUE!</v>
      </c>
      <c r="BG18" t="e">
        <f>AND(Plan!BH42,"AAAAAHvd7jo=")</f>
        <v>#VALUE!</v>
      </c>
      <c r="BH18" t="e">
        <f>AND(Plan!BI42,"AAAAAHvd7js=")</f>
        <v>#VALUE!</v>
      </c>
      <c r="BI18" t="e">
        <f>AND(Plan!BJ42,"AAAAAHvd7jw=")</f>
        <v>#VALUE!</v>
      </c>
      <c r="BJ18" t="e">
        <f>AND(Plan!BK42,"AAAAAHvd7j0=")</f>
        <v>#VALUE!</v>
      </c>
      <c r="BK18" t="e">
        <f>AND(Plan!BL42,"AAAAAHvd7j4=")</f>
        <v>#VALUE!</v>
      </c>
      <c r="BL18" t="e">
        <f>AND(Plan!BM42,"AAAAAHvd7j8=")</f>
        <v>#VALUE!</v>
      </c>
      <c r="BM18" t="e">
        <f>AND(Plan!BN42,"AAAAAHvd7kA=")</f>
        <v>#VALUE!</v>
      </c>
      <c r="BN18" t="e">
        <f>AND(Plan!BO42,"AAAAAHvd7kE=")</f>
        <v>#VALUE!</v>
      </c>
      <c r="BO18" t="e">
        <f>AND(Plan!BP42,"AAAAAHvd7kI=")</f>
        <v>#VALUE!</v>
      </c>
      <c r="BP18" t="e">
        <f>AND(Plan!BQ42,"AAAAAHvd7kM=")</f>
        <v>#VALUE!</v>
      </c>
      <c r="BQ18" t="e">
        <f>AND(Plan!BR42,"AAAAAHvd7kQ=")</f>
        <v>#VALUE!</v>
      </c>
      <c r="BR18" t="e">
        <f>AND(Plan!BS42,"AAAAAHvd7kU=")</f>
        <v>#VALUE!</v>
      </c>
      <c r="BS18" t="e">
        <f>AND(Plan!BT42,"AAAAAHvd7kY=")</f>
        <v>#VALUE!</v>
      </c>
      <c r="BT18" t="e">
        <f>AND(Plan!BU42,"AAAAAHvd7kc=")</f>
        <v>#VALUE!</v>
      </c>
      <c r="BU18" t="e">
        <f>AND(Plan!BV42,"AAAAAHvd7kg=")</f>
        <v>#VALUE!</v>
      </c>
      <c r="BV18" t="e">
        <f>AND(Plan!BW42,"AAAAAHvd7kk=")</f>
        <v>#VALUE!</v>
      </c>
      <c r="BW18" t="e">
        <f>AND(Plan!BX42,"AAAAAHvd7ko=")</f>
        <v>#VALUE!</v>
      </c>
      <c r="BX18" t="e">
        <f>AND(Plan!BY42,"AAAAAHvd7ks=")</f>
        <v>#VALUE!</v>
      </c>
      <c r="BY18" t="e">
        <f>AND(Plan!BZ42,"AAAAAHvd7kw=")</f>
        <v>#VALUE!</v>
      </c>
      <c r="BZ18" t="e">
        <f>AND(Plan!CA42,"AAAAAHvd7k0=")</f>
        <v>#VALUE!</v>
      </c>
      <c r="CA18" t="e">
        <f>AND(Plan!CB42,"AAAAAHvd7k4=")</f>
        <v>#VALUE!</v>
      </c>
      <c r="CB18" t="e">
        <f>AND(Plan!CC42,"AAAAAHvd7k8=")</f>
        <v>#VALUE!</v>
      </c>
      <c r="CC18" t="e">
        <f>AND(Plan!CD42,"AAAAAHvd7lA=")</f>
        <v>#VALUE!</v>
      </c>
      <c r="CD18" t="e">
        <f>AND(Plan!CE42,"AAAAAHvd7lE=")</f>
        <v>#VALUE!</v>
      </c>
      <c r="CE18" t="e">
        <f>AND(Plan!CF42,"AAAAAHvd7lI=")</f>
        <v>#VALUE!</v>
      </c>
      <c r="CF18" t="e">
        <f>AND(Plan!CG42,"AAAAAHvd7lM=")</f>
        <v>#VALUE!</v>
      </c>
      <c r="CG18" t="e">
        <f>AND(Plan!CH42,"AAAAAHvd7lQ=")</f>
        <v>#VALUE!</v>
      </c>
      <c r="CH18" t="e">
        <f>AND(Plan!CI42,"AAAAAHvd7lU=")</f>
        <v>#VALUE!</v>
      </c>
      <c r="CI18" t="e">
        <f>AND(Plan!CJ42,"AAAAAHvd7lY=")</f>
        <v>#VALUE!</v>
      </c>
      <c r="CJ18" t="e">
        <f>AND(Plan!CK42,"AAAAAHvd7lc=")</f>
        <v>#VALUE!</v>
      </c>
      <c r="CK18" t="e">
        <f>AND(Plan!CL42,"AAAAAHvd7lg=")</f>
        <v>#VALUE!</v>
      </c>
      <c r="CL18" t="e">
        <f>AND(Plan!CM42,"AAAAAHvd7lk=")</f>
        <v>#VALUE!</v>
      </c>
      <c r="CM18" t="e">
        <f>AND(Plan!CN42,"AAAAAHvd7lo=")</f>
        <v>#VALUE!</v>
      </c>
      <c r="CN18" t="e">
        <f>AND(Plan!CO42,"AAAAAHvd7ls=")</f>
        <v>#VALUE!</v>
      </c>
      <c r="CO18" t="e">
        <f>AND(Plan!CP42,"AAAAAHvd7lw=")</f>
        <v>#VALUE!</v>
      </c>
      <c r="CP18" t="e">
        <f>AND(Plan!CQ42,"AAAAAHvd7l0=")</f>
        <v>#VALUE!</v>
      </c>
      <c r="CQ18" t="e">
        <f>AND(Plan!CR42,"AAAAAHvd7l4=")</f>
        <v>#VALUE!</v>
      </c>
      <c r="CR18" t="e">
        <f>AND(Plan!CS42,"AAAAAHvd7l8=")</f>
        <v>#VALUE!</v>
      </c>
      <c r="CS18" t="e">
        <f>AND(Plan!CT42,"AAAAAHvd7mA=")</f>
        <v>#VALUE!</v>
      </c>
      <c r="CT18" t="e">
        <f>AND(Plan!CU42,"AAAAAHvd7mE=")</f>
        <v>#VALUE!</v>
      </c>
      <c r="CU18" t="e">
        <f>AND(Plan!CV42,"AAAAAHvd7mI=")</f>
        <v>#VALUE!</v>
      </c>
      <c r="CV18" t="e">
        <f>AND(Plan!CW42,"AAAAAHvd7mM=")</f>
        <v>#VALUE!</v>
      </c>
      <c r="CW18">
        <f>IF(Plan!43:43,"AAAAAHvd7mQ=",0)</f>
        <v>0</v>
      </c>
      <c r="CX18" t="e">
        <f>AND(Plan!A43,"AAAAAHvd7mU=")</f>
        <v>#VALUE!</v>
      </c>
      <c r="CY18" t="e">
        <f>AND(Plan!B43,"AAAAAHvd7mY=")</f>
        <v>#VALUE!</v>
      </c>
      <c r="CZ18" t="e">
        <f>AND(Plan!C43,"AAAAAHvd7mc=")</f>
        <v>#VALUE!</v>
      </c>
      <c r="DA18" t="e">
        <f>AND(Plan!D43,"AAAAAHvd7mg=")</f>
        <v>#VALUE!</v>
      </c>
      <c r="DB18" t="e">
        <f>AND(Plan!E43,"AAAAAHvd7mk=")</f>
        <v>#VALUE!</v>
      </c>
      <c r="DC18" t="e">
        <f>AND(Plan!F43,"AAAAAHvd7mo=")</f>
        <v>#VALUE!</v>
      </c>
      <c r="DD18" t="e">
        <f>AND(Plan!G43,"AAAAAHvd7ms=")</f>
        <v>#VALUE!</v>
      </c>
      <c r="DE18" t="e">
        <f>AND(Plan!H43,"AAAAAHvd7mw=")</f>
        <v>#VALUE!</v>
      </c>
      <c r="DF18" t="e">
        <f>AND(Plan!I43,"AAAAAHvd7m0=")</f>
        <v>#VALUE!</v>
      </c>
      <c r="DG18" t="e">
        <f>AND(Plan!J43,"AAAAAHvd7m4=")</f>
        <v>#VALUE!</v>
      </c>
      <c r="DH18" t="e">
        <f>AND(Plan!K43,"AAAAAHvd7m8=")</f>
        <v>#VALUE!</v>
      </c>
      <c r="DI18" t="e">
        <f>AND(Plan!L43,"AAAAAHvd7nA=")</f>
        <v>#VALUE!</v>
      </c>
      <c r="DJ18" t="e">
        <f>AND(Plan!M43,"AAAAAHvd7nE=")</f>
        <v>#VALUE!</v>
      </c>
      <c r="DK18" t="e">
        <f>AND(Plan!N43,"AAAAAHvd7nI=")</f>
        <v>#VALUE!</v>
      </c>
      <c r="DL18" t="e">
        <f>AND(Plan!O43,"AAAAAHvd7nM=")</f>
        <v>#VALUE!</v>
      </c>
      <c r="DM18" t="e">
        <f>AND(Plan!P43,"AAAAAHvd7nQ=")</f>
        <v>#VALUE!</v>
      </c>
      <c r="DN18" t="e">
        <f>AND(Plan!Q43,"AAAAAHvd7nU=")</f>
        <v>#VALUE!</v>
      </c>
      <c r="DO18" t="e">
        <f>AND(Plan!R43,"AAAAAHvd7nY=")</f>
        <v>#VALUE!</v>
      </c>
      <c r="DP18" t="e">
        <f>AND(Plan!S43,"AAAAAHvd7nc=")</f>
        <v>#VALUE!</v>
      </c>
      <c r="DQ18" t="e">
        <f>AND(Plan!T43,"AAAAAHvd7ng=")</f>
        <v>#VALUE!</v>
      </c>
      <c r="DR18" t="e">
        <f>AND(Plan!U43,"AAAAAHvd7nk=")</f>
        <v>#VALUE!</v>
      </c>
      <c r="DS18" t="e">
        <f>AND(Plan!V43,"AAAAAHvd7no=")</f>
        <v>#VALUE!</v>
      </c>
      <c r="DT18" t="e">
        <f>AND(Plan!W43,"AAAAAHvd7ns=")</f>
        <v>#VALUE!</v>
      </c>
      <c r="DU18" t="e">
        <f>AND(Plan!X43,"AAAAAHvd7nw=")</f>
        <v>#VALUE!</v>
      </c>
      <c r="DV18" t="e">
        <f>AND(Plan!Y43,"AAAAAHvd7n0=")</f>
        <v>#VALUE!</v>
      </c>
      <c r="DW18" t="e">
        <f>AND(Plan!Z43,"AAAAAHvd7n4=")</f>
        <v>#VALUE!</v>
      </c>
      <c r="DX18" t="e">
        <f>AND(Plan!AA43,"AAAAAHvd7n8=")</f>
        <v>#VALUE!</v>
      </c>
      <c r="DY18" t="e">
        <f>AND(Plan!AB43,"AAAAAHvd7oA=")</f>
        <v>#VALUE!</v>
      </c>
      <c r="DZ18" t="e">
        <f>AND(Plan!AC43,"AAAAAHvd7oE=")</f>
        <v>#VALUE!</v>
      </c>
      <c r="EA18" t="e">
        <f>AND(Plan!AD43,"AAAAAHvd7oI=")</f>
        <v>#VALUE!</v>
      </c>
      <c r="EB18" t="e">
        <f>AND(Plan!AE43,"AAAAAHvd7oM=")</f>
        <v>#VALUE!</v>
      </c>
      <c r="EC18" t="e">
        <f>AND(Plan!AF43,"AAAAAHvd7oQ=")</f>
        <v>#VALUE!</v>
      </c>
      <c r="ED18" t="e">
        <f>AND(Plan!AG43,"AAAAAHvd7oU=")</f>
        <v>#VALUE!</v>
      </c>
      <c r="EE18" t="e">
        <f>AND(Plan!AH43,"AAAAAHvd7oY=")</f>
        <v>#VALUE!</v>
      </c>
      <c r="EF18" t="e">
        <f>AND(Plan!AI43,"AAAAAHvd7oc=")</f>
        <v>#VALUE!</v>
      </c>
      <c r="EG18" t="e">
        <f>AND(Plan!AJ43,"AAAAAHvd7og=")</f>
        <v>#VALUE!</v>
      </c>
      <c r="EH18" t="e">
        <f>AND(Plan!AK43,"AAAAAHvd7ok=")</f>
        <v>#VALUE!</v>
      </c>
      <c r="EI18" t="e">
        <f>AND(Plan!AL43,"AAAAAHvd7oo=")</f>
        <v>#VALUE!</v>
      </c>
      <c r="EJ18" t="e">
        <f>AND(Plan!AM43,"AAAAAHvd7os=")</f>
        <v>#VALUE!</v>
      </c>
      <c r="EK18" t="e">
        <f>AND(Plan!AN43,"AAAAAHvd7ow=")</f>
        <v>#VALUE!</v>
      </c>
      <c r="EL18" t="e">
        <f>AND(Plan!AO43,"AAAAAHvd7o0=")</f>
        <v>#VALUE!</v>
      </c>
      <c r="EM18" t="e">
        <f>AND(Plan!AP43,"AAAAAHvd7o4=")</f>
        <v>#VALUE!</v>
      </c>
      <c r="EN18" t="e">
        <f>AND(Plan!AQ43,"AAAAAHvd7o8=")</f>
        <v>#VALUE!</v>
      </c>
      <c r="EO18" t="e">
        <f>AND(Plan!AR43,"AAAAAHvd7pA=")</f>
        <v>#VALUE!</v>
      </c>
      <c r="EP18" t="e">
        <f>AND(Plan!AS43,"AAAAAHvd7pE=")</f>
        <v>#VALUE!</v>
      </c>
      <c r="EQ18" t="e">
        <f>AND(Plan!AT43,"AAAAAHvd7pI=")</f>
        <v>#VALUE!</v>
      </c>
      <c r="ER18" t="e">
        <f>AND(Plan!AU43,"AAAAAHvd7pM=")</f>
        <v>#VALUE!</v>
      </c>
      <c r="ES18" t="e">
        <f>AND(Plan!AV43,"AAAAAHvd7pQ=")</f>
        <v>#VALUE!</v>
      </c>
      <c r="ET18" t="e">
        <f>AND(Plan!AW43,"AAAAAHvd7pU=")</f>
        <v>#VALUE!</v>
      </c>
      <c r="EU18" t="e">
        <f>AND(Plan!AX43,"AAAAAHvd7pY=")</f>
        <v>#VALUE!</v>
      </c>
      <c r="EV18" t="e">
        <f>AND(Plan!AY43,"AAAAAHvd7pc=")</f>
        <v>#VALUE!</v>
      </c>
      <c r="EW18" t="e">
        <f>AND(Plan!AZ43,"AAAAAHvd7pg=")</f>
        <v>#VALUE!</v>
      </c>
      <c r="EX18" t="e">
        <f>AND(Plan!BA43,"AAAAAHvd7pk=")</f>
        <v>#VALUE!</v>
      </c>
      <c r="EY18" t="e">
        <f>AND(Plan!BB43,"AAAAAHvd7po=")</f>
        <v>#VALUE!</v>
      </c>
      <c r="EZ18" t="e">
        <f>AND(Plan!BC43,"AAAAAHvd7ps=")</f>
        <v>#VALUE!</v>
      </c>
      <c r="FA18" t="e">
        <f>AND(Plan!BD43,"AAAAAHvd7pw=")</f>
        <v>#VALUE!</v>
      </c>
      <c r="FB18" t="e">
        <f>AND(Plan!BE43,"AAAAAHvd7p0=")</f>
        <v>#VALUE!</v>
      </c>
      <c r="FC18" t="e">
        <f>AND(Plan!BF43,"AAAAAHvd7p4=")</f>
        <v>#VALUE!</v>
      </c>
      <c r="FD18" t="e">
        <f>AND(Plan!BG43,"AAAAAHvd7p8=")</f>
        <v>#VALUE!</v>
      </c>
      <c r="FE18" t="e">
        <f>AND(Plan!BH43,"AAAAAHvd7qA=")</f>
        <v>#VALUE!</v>
      </c>
      <c r="FF18" t="e">
        <f>AND(Plan!BI43,"AAAAAHvd7qE=")</f>
        <v>#VALUE!</v>
      </c>
      <c r="FG18" t="e">
        <f>AND(Plan!BJ43,"AAAAAHvd7qI=")</f>
        <v>#VALUE!</v>
      </c>
      <c r="FH18" t="e">
        <f>AND(Plan!BK43,"AAAAAHvd7qM=")</f>
        <v>#VALUE!</v>
      </c>
      <c r="FI18" t="e">
        <f>AND(Plan!BL43,"AAAAAHvd7qQ=")</f>
        <v>#VALUE!</v>
      </c>
      <c r="FJ18" t="e">
        <f>AND(Plan!BM43,"AAAAAHvd7qU=")</f>
        <v>#VALUE!</v>
      </c>
      <c r="FK18" t="e">
        <f>AND(Plan!BN43,"AAAAAHvd7qY=")</f>
        <v>#VALUE!</v>
      </c>
      <c r="FL18" t="e">
        <f>AND(Plan!BO43,"AAAAAHvd7qc=")</f>
        <v>#VALUE!</v>
      </c>
      <c r="FM18" t="e">
        <f>AND(Plan!BP43,"AAAAAHvd7qg=")</f>
        <v>#VALUE!</v>
      </c>
      <c r="FN18" t="e">
        <f>AND(Plan!BQ43,"AAAAAHvd7qk=")</f>
        <v>#VALUE!</v>
      </c>
      <c r="FO18" t="e">
        <f>AND(Plan!BR43,"AAAAAHvd7qo=")</f>
        <v>#VALUE!</v>
      </c>
      <c r="FP18" t="e">
        <f>AND(Plan!BS43,"AAAAAHvd7qs=")</f>
        <v>#VALUE!</v>
      </c>
      <c r="FQ18" t="e">
        <f>AND(Plan!BT43,"AAAAAHvd7qw=")</f>
        <v>#VALUE!</v>
      </c>
      <c r="FR18" t="e">
        <f>AND(Plan!BU43,"AAAAAHvd7q0=")</f>
        <v>#VALUE!</v>
      </c>
      <c r="FS18" t="e">
        <f>AND(Plan!BV43,"AAAAAHvd7q4=")</f>
        <v>#VALUE!</v>
      </c>
      <c r="FT18" t="e">
        <f>AND(Plan!BW43,"AAAAAHvd7q8=")</f>
        <v>#VALUE!</v>
      </c>
      <c r="FU18" t="e">
        <f>AND(Plan!BX43,"AAAAAHvd7rA=")</f>
        <v>#VALUE!</v>
      </c>
      <c r="FV18" t="e">
        <f>AND(Plan!BY43,"AAAAAHvd7rE=")</f>
        <v>#VALUE!</v>
      </c>
      <c r="FW18" t="e">
        <f>AND(Plan!BZ43,"AAAAAHvd7rI=")</f>
        <v>#VALUE!</v>
      </c>
      <c r="FX18" t="e">
        <f>AND(Plan!CA43,"AAAAAHvd7rM=")</f>
        <v>#VALUE!</v>
      </c>
      <c r="FY18" t="e">
        <f>AND(Plan!CB43,"AAAAAHvd7rQ=")</f>
        <v>#VALUE!</v>
      </c>
      <c r="FZ18" t="e">
        <f>AND(Plan!CC43,"AAAAAHvd7rU=")</f>
        <v>#VALUE!</v>
      </c>
      <c r="GA18" t="e">
        <f>AND(Plan!CD43,"AAAAAHvd7rY=")</f>
        <v>#VALUE!</v>
      </c>
      <c r="GB18" t="e">
        <f>AND(Plan!CE43,"AAAAAHvd7rc=")</f>
        <v>#VALUE!</v>
      </c>
      <c r="GC18" t="e">
        <f>AND(Plan!CF43,"AAAAAHvd7rg=")</f>
        <v>#VALUE!</v>
      </c>
      <c r="GD18" t="e">
        <f>AND(Plan!CG43,"AAAAAHvd7rk=")</f>
        <v>#VALUE!</v>
      </c>
      <c r="GE18" t="e">
        <f>AND(Plan!CH43,"AAAAAHvd7ro=")</f>
        <v>#VALUE!</v>
      </c>
      <c r="GF18" t="e">
        <f>AND(Plan!CI43,"AAAAAHvd7rs=")</f>
        <v>#VALUE!</v>
      </c>
      <c r="GG18" t="e">
        <f>AND(Plan!CJ43,"AAAAAHvd7rw=")</f>
        <v>#VALUE!</v>
      </c>
      <c r="GH18" t="e">
        <f>AND(Plan!CK43,"AAAAAHvd7r0=")</f>
        <v>#VALUE!</v>
      </c>
      <c r="GI18" t="e">
        <f>AND(Plan!CL43,"AAAAAHvd7r4=")</f>
        <v>#VALUE!</v>
      </c>
      <c r="GJ18" t="e">
        <f>AND(Plan!CM43,"AAAAAHvd7r8=")</f>
        <v>#VALUE!</v>
      </c>
      <c r="GK18" t="e">
        <f>AND(Plan!CN43,"AAAAAHvd7sA=")</f>
        <v>#VALUE!</v>
      </c>
      <c r="GL18" t="e">
        <f>AND(Plan!CO43,"AAAAAHvd7sE=")</f>
        <v>#VALUE!</v>
      </c>
      <c r="GM18" t="e">
        <f>AND(Plan!CP43,"AAAAAHvd7sI=")</f>
        <v>#VALUE!</v>
      </c>
      <c r="GN18" t="e">
        <f>AND(Plan!CQ43,"AAAAAHvd7sM=")</f>
        <v>#VALUE!</v>
      </c>
      <c r="GO18" t="e">
        <f>AND(Plan!CR43,"AAAAAHvd7sQ=")</f>
        <v>#VALUE!</v>
      </c>
      <c r="GP18" t="e">
        <f>AND(Plan!CS43,"AAAAAHvd7sU=")</f>
        <v>#VALUE!</v>
      </c>
      <c r="GQ18" t="e">
        <f>AND(Plan!CT43,"AAAAAHvd7sY=")</f>
        <v>#VALUE!</v>
      </c>
      <c r="GR18" t="e">
        <f>AND(Plan!CU43,"AAAAAHvd7sc=")</f>
        <v>#VALUE!</v>
      </c>
      <c r="GS18" t="e">
        <f>AND(Plan!CV43,"AAAAAHvd7sg=")</f>
        <v>#VALUE!</v>
      </c>
      <c r="GT18" t="e">
        <f>AND(Plan!CW43,"AAAAAHvd7sk=")</f>
        <v>#VALUE!</v>
      </c>
      <c r="GU18">
        <f>IF(Plan!44:44,"AAAAAHvd7so=",0)</f>
        <v>0</v>
      </c>
      <c r="GV18" t="e">
        <f>AND(Plan!A44,"AAAAAHvd7ss=")</f>
        <v>#VALUE!</v>
      </c>
      <c r="GW18" t="e">
        <f>AND(Plan!B44,"AAAAAHvd7sw=")</f>
        <v>#VALUE!</v>
      </c>
      <c r="GX18" t="e">
        <f>AND(Plan!C44,"AAAAAHvd7s0=")</f>
        <v>#VALUE!</v>
      </c>
      <c r="GY18" t="e">
        <f>AND(Plan!D44,"AAAAAHvd7s4=")</f>
        <v>#VALUE!</v>
      </c>
      <c r="GZ18" t="e">
        <f>AND(Plan!E44,"AAAAAHvd7s8=")</f>
        <v>#VALUE!</v>
      </c>
      <c r="HA18" t="e">
        <f>AND(Plan!F44,"AAAAAHvd7tA=")</f>
        <v>#VALUE!</v>
      </c>
      <c r="HB18" t="e">
        <f>AND(Plan!G44,"AAAAAHvd7tE=")</f>
        <v>#VALUE!</v>
      </c>
      <c r="HC18" t="e">
        <f>AND(Plan!H44,"AAAAAHvd7tI=")</f>
        <v>#VALUE!</v>
      </c>
      <c r="HD18" t="e">
        <f>AND(Plan!I44,"AAAAAHvd7tM=")</f>
        <v>#VALUE!</v>
      </c>
      <c r="HE18" t="e">
        <f>AND(Plan!J44,"AAAAAHvd7tQ=")</f>
        <v>#VALUE!</v>
      </c>
      <c r="HF18" t="e">
        <f>AND(Plan!K44,"AAAAAHvd7tU=")</f>
        <v>#VALUE!</v>
      </c>
      <c r="HG18" t="e">
        <f>AND(Plan!L44,"AAAAAHvd7tY=")</f>
        <v>#VALUE!</v>
      </c>
      <c r="HH18" t="e">
        <f>AND(Plan!M44,"AAAAAHvd7tc=")</f>
        <v>#VALUE!</v>
      </c>
      <c r="HI18" t="e">
        <f>AND(Plan!N44,"AAAAAHvd7tg=")</f>
        <v>#VALUE!</v>
      </c>
      <c r="HJ18" t="e">
        <f>AND(Plan!O44,"AAAAAHvd7tk=")</f>
        <v>#VALUE!</v>
      </c>
      <c r="HK18" t="e">
        <f>AND(Plan!P44,"AAAAAHvd7to=")</f>
        <v>#VALUE!</v>
      </c>
      <c r="HL18" t="e">
        <f>AND(Plan!Q44,"AAAAAHvd7ts=")</f>
        <v>#VALUE!</v>
      </c>
      <c r="HM18" t="e">
        <f>AND(Plan!R44,"AAAAAHvd7tw=")</f>
        <v>#VALUE!</v>
      </c>
      <c r="HN18" t="e">
        <f>AND(Plan!S44,"AAAAAHvd7t0=")</f>
        <v>#VALUE!</v>
      </c>
      <c r="HO18" t="e">
        <f>AND(Plan!T44,"AAAAAHvd7t4=")</f>
        <v>#VALUE!</v>
      </c>
      <c r="HP18" t="e">
        <f>AND(Plan!U44,"AAAAAHvd7t8=")</f>
        <v>#VALUE!</v>
      </c>
      <c r="HQ18" t="e">
        <f>AND(Plan!V44,"AAAAAHvd7uA=")</f>
        <v>#VALUE!</v>
      </c>
      <c r="HR18" t="e">
        <f>AND(Plan!W44,"AAAAAHvd7uE=")</f>
        <v>#VALUE!</v>
      </c>
      <c r="HS18" t="e">
        <f>AND(Plan!X44,"AAAAAHvd7uI=")</f>
        <v>#VALUE!</v>
      </c>
      <c r="HT18" t="e">
        <f>AND(Plan!Y44,"AAAAAHvd7uM=")</f>
        <v>#VALUE!</v>
      </c>
      <c r="HU18" t="e">
        <f>AND(Plan!Z44,"AAAAAHvd7uQ=")</f>
        <v>#VALUE!</v>
      </c>
      <c r="HV18" t="e">
        <f>AND(Plan!AA44,"AAAAAHvd7uU=")</f>
        <v>#VALUE!</v>
      </c>
      <c r="HW18" t="e">
        <f>AND(Plan!AB44,"AAAAAHvd7uY=")</f>
        <v>#VALUE!</v>
      </c>
      <c r="HX18" t="e">
        <f>AND(Plan!AC44,"AAAAAHvd7uc=")</f>
        <v>#VALUE!</v>
      </c>
      <c r="HY18" t="e">
        <f>AND(Plan!AD44,"AAAAAHvd7ug=")</f>
        <v>#VALUE!</v>
      </c>
      <c r="HZ18" t="e">
        <f>AND(Plan!AE44,"AAAAAHvd7uk=")</f>
        <v>#VALUE!</v>
      </c>
      <c r="IA18" t="e">
        <f>AND(Plan!AF44,"AAAAAHvd7uo=")</f>
        <v>#VALUE!</v>
      </c>
      <c r="IB18" t="e">
        <f>AND(Plan!AG44,"AAAAAHvd7us=")</f>
        <v>#VALUE!</v>
      </c>
      <c r="IC18" t="e">
        <f>AND(Plan!AH44,"AAAAAHvd7uw=")</f>
        <v>#VALUE!</v>
      </c>
      <c r="ID18" t="e">
        <f>AND(Plan!AI44,"AAAAAHvd7u0=")</f>
        <v>#VALUE!</v>
      </c>
      <c r="IE18" t="e">
        <f>AND(Plan!AJ44,"AAAAAHvd7u4=")</f>
        <v>#VALUE!</v>
      </c>
      <c r="IF18" t="e">
        <f>AND(Plan!AK44,"AAAAAHvd7u8=")</f>
        <v>#VALUE!</v>
      </c>
      <c r="IG18" t="e">
        <f>AND(Plan!AL44,"AAAAAHvd7vA=")</f>
        <v>#VALUE!</v>
      </c>
      <c r="IH18" t="e">
        <f>AND(Plan!AM44,"AAAAAHvd7vE=")</f>
        <v>#VALUE!</v>
      </c>
      <c r="II18" t="e">
        <f>AND(Plan!AN44,"AAAAAHvd7vI=")</f>
        <v>#VALUE!</v>
      </c>
      <c r="IJ18" t="e">
        <f>AND(Plan!AO44,"AAAAAHvd7vM=")</f>
        <v>#VALUE!</v>
      </c>
      <c r="IK18" t="e">
        <f>AND(Plan!AP44,"AAAAAHvd7vQ=")</f>
        <v>#VALUE!</v>
      </c>
      <c r="IL18" t="e">
        <f>AND(Plan!AQ44,"AAAAAHvd7vU=")</f>
        <v>#VALUE!</v>
      </c>
      <c r="IM18" t="e">
        <f>AND(Plan!AR44,"AAAAAHvd7vY=")</f>
        <v>#VALUE!</v>
      </c>
      <c r="IN18" t="e">
        <f>AND(Plan!AS44,"AAAAAHvd7vc=")</f>
        <v>#VALUE!</v>
      </c>
      <c r="IO18" t="e">
        <f>AND(Plan!AT44,"AAAAAHvd7vg=")</f>
        <v>#VALUE!</v>
      </c>
      <c r="IP18" t="e">
        <f>AND(Plan!AU44,"AAAAAHvd7vk=")</f>
        <v>#VALUE!</v>
      </c>
      <c r="IQ18" t="e">
        <f>AND(Plan!AV44,"AAAAAHvd7vo=")</f>
        <v>#VALUE!</v>
      </c>
      <c r="IR18" t="e">
        <f>AND(Plan!AW44,"AAAAAHvd7vs=")</f>
        <v>#VALUE!</v>
      </c>
      <c r="IS18" t="e">
        <f>AND(Plan!AX44,"AAAAAHvd7vw=")</f>
        <v>#VALUE!</v>
      </c>
      <c r="IT18" t="e">
        <f>AND(Plan!AY44,"AAAAAHvd7v0=")</f>
        <v>#VALUE!</v>
      </c>
      <c r="IU18" t="e">
        <f>AND(Plan!AZ44,"AAAAAHvd7v4=")</f>
        <v>#VALUE!</v>
      </c>
      <c r="IV18" t="e">
        <f>AND(Plan!BA44,"AAAAAHvd7v8=")</f>
        <v>#VALUE!</v>
      </c>
    </row>
    <row r="19" spans="1:256">
      <c r="A19" t="e">
        <f>AND(Plan!BB44,"AAAAAD13VwA=")</f>
        <v>#VALUE!</v>
      </c>
      <c r="B19" t="e">
        <f>AND(Plan!BC44,"AAAAAD13VwE=")</f>
        <v>#VALUE!</v>
      </c>
      <c r="C19" t="e">
        <f>AND(Plan!BD44,"AAAAAD13VwI=")</f>
        <v>#VALUE!</v>
      </c>
      <c r="D19" t="e">
        <f>AND(Plan!BE44,"AAAAAD13VwM=")</f>
        <v>#VALUE!</v>
      </c>
      <c r="E19" t="e">
        <f>AND(Plan!BF44,"AAAAAD13VwQ=")</f>
        <v>#VALUE!</v>
      </c>
      <c r="F19" t="e">
        <f>AND(Plan!BG44,"AAAAAD13VwU=")</f>
        <v>#VALUE!</v>
      </c>
      <c r="G19" t="e">
        <f>AND(Plan!BH44,"AAAAAD13VwY=")</f>
        <v>#VALUE!</v>
      </c>
      <c r="H19" t="e">
        <f>AND(Plan!BI44,"AAAAAD13Vwc=")</f>
        <v>#VALUE!</v>
      </c>
      <c r="I19" t="e">
        <f>AND(Plan!BJ44,"AAAAAD13Vwg=")</f>
        <v>#VALUE!</v>
      </c>
      <c r="J19" t="e">
        <f>AND(Plan!BK44,"AAAAAD13Vwk=")</f>
        <v>#VALUE!</v>
      </c>
      <c r="K19" t="e">
        <f>AND(Plan!BL44,"AAAAAD13Vwo=")</f>
        <v>#VALUE!</v>
      </c>
      <c r="L19" t="e">
        <f>AND(Plan!BM44,"AAAAAD13Vws=")</f>
        <v>#VALUE!</v>
      </c>
      <c r="M19" t="e">
        <f>AND(Plan!BN44,"AAAAAD13Vww=")</f>
        <v>#VALUE!</v>
      </c>
      <c r="N19" t="e">
        <f>AND(Plan!BO44,"AAAAAD13Vw0=")</f>
        <v>#VALUE!</v>
      </c>
      <c r="O19" t="e">
        <f>AND(Plan!BP44,"AAAAAD13Vw4=")</f>
        <v>#VALUE!</v>
      </c>
      <c r="P19" t="e">
        <f>AND(Plan!BQ44,"AAAAAD13Vw8=")</f>
        <v>#VALUE!</v>
      </c>
      <c r="Q19" t="e">
        <f>AND(Plan!BR44,"AAAAAD13VxA=")</f>
        <v>#VALUE!</v>
      </c>
      <c r="R19" t="e">
        <f>AND(Plan!BS44,"AAAAAD13VxE=")</f>
        <v>#VALUE!</v>
      </c>
      <c r="S19" t="e">
        <f>AND(Plan!BT44,"AAAAAD13VxI=")</f>
        <v>#VALUE!</v>
      </c>
      <c r="T19" t="e">
        <f>AND(Plan!BU44,"AAAAAD13VxM=")</f>
        <v>#VALUE!</v>
      </c>
      <c r="U19" t="e">
        <f>AND(Plan!BV44,"AAAAAD13VxQ=")</f>
        <v>#VALUE!</v>
      </c>
      <c r="V19" t="e">
        <f>AND(Plan!BW44,"AAAAAD13VxU=")</f>
        <v>#VALUE!</v>
      </c>
      <c r="W19" t="e">
        <f>AND(Plan!BX44,"AAAAAD13VxY=")</f>
        <v>#VALUE!</v>
      </c>
      <c r="X19" t="e">
        <f>AND(Plan!BY44,"AAAAAD13Vxc=")</f>
        <v>#VALUE!</v>
      </c>
      <c r="Y19" t="e">
        <f>AND(Plan!BZ44,"AAAAAD13Vxg=")</f>
        <v>#VALUE!</v>
      </c>
      <c r="Z19" t="e">
        <f>AND(Plan!CA44,"AAAAAD13Vxk=")</f>
        <v>#VALUE!</v>
      </c>
      <c r="AA19" t="e">
        <f>AND(Plan!CB44,"AAAAAD13Vxo=")</f>
        <v>#VALUE!</v>
      </c>
      <c r="AB19" t="e">
        <f>AND(Plan!CC44,"AAAAAD13Vxs=")</f>
        <v>#VALUE!</v>
      </c>
      <c r="AC19" t="e">
        <f>AND(Plan!CD44,"AAAAAD13Vxw=")</f>
        <v>#VALUE!</v>
      </c>
      <c r="AD19" t="e">
        <f>AND(Plan!CE44,"AAAAAD13Vx0=")</f>
        <v>#VALUE!</v>
      </c>
      <c r="AE19" t="e">
        <f>AND(Plan!CF44,"AAAAAD13Vx4=")</f>
        <v>#VALUE!</v>
      </c>
      <c r="AF19" t="e">
        <f>AND(Plan!CG44,"AAAAAD13Vx8=")</f>
        <v>#VALUE!</v>
      </c>
      <c r="AG19" t="e">
        <f>AND(Plan!CH44,"AAAAAD13VyA=")</f>
        <v>#VALUE!</v>
      </c>
      <c r="AH19" t="e">
        <f>AND(Plan!CI44,"AAAAAD13VyE=")</f>
        <v>#VALUE!</v>
      </c>
      <c r="AI19" t="e">
        <f>AND(Plan!CJ44,"AAAAAD13VyI=")</f>
        <v>#VALUE!</v>
      </c>
      <c r="AJ19" t="e">
        <f>AND(Plan!CK44,"AAAAAD13VyM=")</f>
        <v>#VALUE!</v>
      </c>
      <c r="AK19" t="e">
        <f>AND(Plan!CL44,"AAAAAD13VyQ=")</f>
        <v>#VALUE!</v>
      </c>
      <c r="AL19" t="e">
        <f>AND(Plan!CM44,"AAAAAD13VyU=")</f>
        <v>#VALUE!</v>
      </c>
      <c r="AM19" t="e">
        <f>AND(Plan!CN44,"AAAAAD13VyY=")</f>
        <v>#VALUE!</v>
      </c>
      <c r="AN19" t="e">
        <f>AND(Plan!CO44,"AAAAAD13Vyc=")</f>
        <v>#VALUE!</v>
      </c>
      <c r="AO19" t="e">
        <f>AND(Plan!CP44,"AAAAAD13Vyg=")</f>
        <v>#VALUE!</v>
      </c>
      <c r="AP19" t="e">
        <f>AND(Plan!CQ44,"AAAAAD13Vyk=")</f>
        <v>#VALUE!</v>
      </c>
      <c r="AQ19" t="e">
        <f>AND(Plan!CR44,"AAAAAD13Vyo=")</f>
        <v>#VALUE!</v>
      </c>
      <c r="AR19" t="e">
        <f>AND(Plan!CS44,"AAAAAD13Vys=")</f>
        <v>#VALUE!</v>
      </c>
      <c r="AS19" t="e">
        <f>AND(Plan!CT44,"AAAAAD13Vyw=")</f>
        <v>#VALUE!</v>
      </c>
      <c r="AT19" t="e">
        <f>AND(Plan!CU44,"AAAAAD13Vy0=")</f>
        <v>#VALUE!</v>
      </c>
      <c r="AU19" t="e">
        <f>AND(Plan!CV44,"AAAAAD13Vy4=")</f>
        <v>#VALUE!</v>
      </c>
      <c r="AV19" t="e">
        <f>AND(Plan!CW44,"AAAAAD13Vy8=")</f>
        <v>#VALUE!</v>
      </c>
      <c r="AW19">
        <f>IF(Plan!45:45,"AAAAAD13VzA=",0)</f>
        <v>0</v>
      </c>
      <c r="AX19" t="e">
        <f>AND(Plan!A45,"AAAAAD13VzE=")</f>
        <v>#VALUE!</v>
      </c>
      <c r="AY19" t="e">
        <f>AND(Plan!B45,"AAAAAD13VzI=")</f>
        <v>#VALUE!</v>
      </c>
      <c r="AZ19" t="e">
        <f>AND(Plan!C45,"AAAAAD13VzM=")</f>
        <v>#VALUE!</v>
      </c>
      <c r="BA19" t="e">
        <f>AND(Plan!D45,"AAAAAD13VzQ=")</f>
        <v>#VALUE!</v>
      </c>
      <c r="BB19" t="e">
        <f>AND(Plan!E45,"AAAAAD13VzU=")</f>
        <v>#VALUE!</v>
      </c>
      <c r="BC19" t="e">
        <f>AND(Plan!F45,"AAAAAD13VzY=")</f>
        <v>#VALUE!</v>
      </c>
      <c r="BD19" t="e">
        <f>AND(Plan!G45,"AAAAAD13Vzc=")</f>
        <v>#VALUE!</v>
      </c>
      <c r="BE19" t="e">
        <f>AND(Plan!H45,"AAAAAD13Vzg=")</f>
        <v>#VALUE!</v>
      </c>
      <c r="BF19" t="e">
        <f>AND(Plan!I45,"AAAAAD13Vzk=")</f>
        <v>#VALUE!</v>
      </c>
      <c r="BG19" t="e">
        <f>AND(Plan!J45,"AAAAAD13Vzo=")</f>
        <v>#VALUE!</v>
      </c>
      <c r="BH19" t="e">
        <f>AND(Plan!K45,"AAAAAD13Vzs=")</f>
        <v>#VALUE!</v>
      </c>
      <c r="BI19" t="e">
        <f>AND(Plan!L45,"AAAAAD13Vzw=")</f>
        <v>#VALUE!</v>
      </c>
      <c r="BJ19" t="e">
        <f>AND(Plan!M45,"AAAAAD13Vz0=")</f>
        <v>#VALUE!</v>
      </c>
      <c r="BK19" t="e">
        <f>AND(Plan!N45,"AAAAAD13Vz4=")</f>
        <v>#VALUE!</v>
      </c>
      <c r="BL19" t="e">
        <f>AND(Plan!O45,"AAAAAD13Vz8=")</f>
        <v>#VALUE!</v>
      </c>
      <c r="BM19" t="e">
        <f>AND(Plan!P45,"AAAAAD13V0A=")</f>
        <v>#VALUE!</v>
      </c>
      <c r="BN19" t="e">
        <f>AND(Plan!Q45,"AAAAAD13V0E=")</f>
        <v>#VALUE!</v>
      </c>
      <c r="BO19" t="e">
        <f>AND(Plan!R45,"AAAAAD13V0I=")</f>
        <v>#VALUE!</v>
      </c>
      <c r="BP19" t="e">
        <f>AND(Plan!S45,"AAAAAD13V0M=")</f>
        <v>#VALUE!</v>
      </c>
      <c r="BQ19" t="e">
        <f>AND(Plan!T45,"AAAAAD13V0Q=")</f>
        <v>#VALUE!</v>
      </c>
      <c r="BR19" t="e">
        <f>AND(Plan!U45,"AAAAAD13V0U=")</f>
        <v>#VALUE!</v>
      </c>
      <c r="BS19" t="e">
        <f>AND(Plan!V45,"AAAAAD13V0Y=")</f>
        <v>#VALUE!</v>
      </c>
      <c r="BT19" t="e">
        <f>AND(Plan!W45,"AAAAAD13V0c=")</f>
        <v>#VALUE!</v>
      </c>
      <c r="BU19" t="e">
        <f>AND(Plan!X45,"AAAAAD13V0g=")</f>
        <v>#VALUE!</v>
      </c>
      <c r="BV19" t="e">
        <f>AND(Plan!Y45,"AAAAAD13V0k=")</f>
        <v>#VALUE!</v>
      </c>
      <c r="BW19" t="e">
        <f>AND(Plan!Z45,"AAAAAD13V0o=")</f>
        <v>#VALUE!</v>
      </c>
      <c r="BX19" t="e">
        <f>AND(Plan!AA45,"AAAAAD13V0s=")</f>
        <v>#VALUE!</v>
      </c>
      <c r="BY19" t="e">
        <f>AND(Plan!AB45,"AAAAAD13V0w=")</f>
        <v>#VALUE!</v>
      </c>
      <c r="BZ19" t="e">
        <f>AND(Plan!AC45,"AAAAAD13V00=")</f>
        <v>#VALUE!</v>
      </c>
      <c r="CA19" t="e">
        <f>AND(Plan!AD45,"AAAAAD13V04=")</f>
        <v>#VALUE!</v>
      </c>
      <c r="CB19" t="e">
        <f>AND(Plan!AE45,"AAAAAD13V08=")</f>
        <v>#VALUE!</v>
      </c>
      <c r="CC19" t="e">
        <f>AND(Plan!AF45,"AAAAAD13V1A=")</f>
        <v>#VALUE!</v>
      </c>
      <c r="CD19" t="e">
        <f>AND(Plan!AG45,"AAAAAD13V1E=")</f>
        <v>#VALUE!</v>
      </c>
      <c r="CE19" t="e">
        <f>AND(Plan!AH45,"AAAAAD13V1I=")</f>
        <v>#VALUE!</v>
      </c>
      <c r="CF19" t="e">
        <f>AND(Plan!AI45,"AAAAAD13V1M=")</f>
        <v>#VALUE!</v>
      </c>
      <c r="CG19" t="e">
        <f>AND(Plan!AJ45,"AAAAAD13V1Q=")</f>
        <v>#VALUE!</v>
      </c>
      <c r="CH19" t="e">
        <f>AND(Plan!AK45,"AAAAAD13V1U=")</f>
        <v>#VALUE!</v>
      </c>
      <c r="CI19" t="e">
        <f>AND(Plan!AL45,"AAAAAD13V1Y=")</f>
        <v>#VALUE!</v>
      </c>
      <c r="CJ19" t="e">
        <f>AND(Plan!AM45,"AAAAAD13V1c=")</f>
        <v>#VALUE!</v>
      </c>
      <c r="CK19" t="e">
        <f>AND(Plan!AN45,"AAAAAD13V1g=")</f>
        <v>#VALUE!</v>
      </c>
      <c r="CL19" t="e">
        <f>AND(Plan!AO45,"AAAAAD13V1k=")</f>
        <v>#VALUE!</v>
      </c>
      <c r="CM19" t="e">
        <f>AND(Plan!AP45,"AAAAAD13V1o=")</f>
        <v>#VALUE!</v>
      </c>
      <c r="CN19" t="e">
        <f>AND(Plan!AQ45,"AAAAAD13V1s=")</f>
        <v>#VALUE!</v>
      </c>
      <c r="CO19" t="e">
        <f>AND(Plan!AR45,"AAAAAD13V1w=")</f>
        <v>#VALUE!</v>
      </c>
      <c r="CP19" t="e">
        <f>AND(Plan!AS45,"AAAAAD13V10=")</f>
        <v>#VALUE!</v>
      </c>
      <c r="CQ19" t="e">
        <f>AND(Plan!AT45,"AAAAAD13V14=")</f>
        <v>#VALUE!</v>
      </c>
      <c r="CR19" t="e">
        <f>AND(Plan!AU45,"AAAAAD13V18=")</f>
        <v>#VALUE!</v>
      </c>
      <c r="CS19" t="e">
        <f>AND(Plan!AV45,"AAAAAD13V2A=")</f>
        <v>#VALUE!</v>
      </c>
      <c r="CT19" t="e">
        <f>AND(Plan!AW45,"AAAAAD13V2E=")</f>
        <v>#VALUE!</v>
      </c>
      <c r="CU19" t="e">
        <f>AND(Plan!AX45,"AAAAAD13V2I=")</f>
        <v>#VALUE!</v>
      </c>
      <c r="CV19" t="e">
        <f>AND(Plan!AY45,"AAAAAD13V2M=")</f>
        <v>#VALUE!</v>
      </c>
      <c r="CW19" t="e">
        <f>AND(Plan!AZ45,"AAAAAD13V2Q=")</f>
        <v>#VALUE!</v>
      </c>
      <c r="CX19" t="e">
        <f>AND(Plan!BA45,"AAAAAD13V2U=")</f>
        <v>#VALUE!</v>
      </c>
      <c r="CY19" t="e">
        <f>AND(Plan!BB45,"AAAAAD13V2Y=")</f>
        <v>#VALUE!</v>
      </c>
      <c r="CZ19" t="e">
        <f>AND(Plan!BC45,"AAAAAD13V2c=")</f>
        <v>#VALUE!</v>
      </c>
      <c r="DA19" t="e">
        <f>AND(Plan!BD45,"AAAAAD13V2g=")</f>
        <v>#VALUE!</v>
      </c>
      <c r="DB19" t="e">
        <f>AND(Plan!BE45,"AAAAAD13V2k=")</f>
        <v>#VALUE!</v>
      </c>
      <c r="DC19" t="e">
        <f>AND(Plan!BF45,"AAAAAD13V2o=")</f>
        <v>#VALUE!</v>
      </c>
      <c r="DD19" t="e">
        <f>AND(Plan!BG45,"AAAAAD13V2s=")</f>
        <v>#VALUE!</v>
      </c>
      <c r="DE19" t="e">
        <f>AND(Plan!BH45,"AAAAAD13V2w=")</f>
        <v>#VALUE!</v>
      </c>
      <c r="DF19" t="e">
        <f>AND(Plan!BI45,"AAAAAD13V20=")</f>
        <v>#VALUE!</v>
      </c>
      <c r="DG19" t="e">
        <f>AND(Plan!BJ45,"AAAAAD13V24=")</f>
        <v>#VALUE!</v>
      </c>
      <c r="DH19" t="e">
        <f>AND(Plan!BK45,"AAAAAD13V28=")</f>
        <v>#VALUE!</v>
      </c>
      <c r="DI19" t="e">
        <f>AND(Plan!BL45,"AAAAAD13V3A=")</f>
        <v>#VALUE!</v>
      </c>
      <c r="DJ19" t="e">
        <f>AND(Plan!BM45,"AAAAAD13V3E=")</f>
        <v>#VALUE!</v>
      </c>
      <c r="DK19" t="e">
        <f>AND(Plan!BN45,"AAAAAD13V3I=")</f>
        <v>#VALUE!</v>
      </c>
      <c r="DL19" t="e">
        <f>AND(Plan!BO45,"AAAAAD13V3M=")</f>
        <v>#VALUE!</v>
      </c>
      <c r="DM19" t="e">
        <f>AND(Plan!BP45,"AAAAAD13V3Q=")</f>
        <v>#VALUE!</v>
      </c>
      <c r="DN19" t="e">
        <f>AND(Plan!BQ45,"AAAAAD13V3U=")</f>
        <v>#VALUE!</v>
      </c>
      <c r="DO19" t="e">
        <f>AND(Plan!BR45,"AAAAAD13V3Y=")</f>
        <v>#VALUE!</v>
      </c>
      <c r="DP19" t="e">
        <f>AND(Plan!BS45,"AAAAAD13V3c=")</f>
        <v>#VALUE!</v>
      </c>
      <c r="DQ19" t="e">
        <f>AND(Plan!BT45,"AAAAAD13V3g=")</f>
        <v>#VALUE!</v>
      </c>
      <c r="DR19" t="e">
        <f>AND(Plan!BU45,"AAAAAD13V3k=")</f>
        <v>#VALUE!</v>
      </c>
      <c r="DS19" t="e">
        <f>AND(Plan!BV45,"AAAAAD13V3o=")</f>
        <v>#VALUE!</v>
      </c>
      <c r="DT19" t="e">
        <f>AND(Plan!BW45,"AAAAAD13V3s=")</f>
        <v>#VALUE!</v>
      </c>
      <c r="DU19" t="e">
        <f>AND(Plan!BX45,"AAAAAD13V3w=")</f>
        <v>#VALUE!</v>
      </c>
      <c r="DV19" t="e">
        <f>AND(Plan!BY45,"AAAAAD13V30=")</f>
        <v>#VALUE!</v>
      </c>
      <c r="DW19" t="e">
        <f>AND(Plan!BZ45,"AAAAAD13V34=")</f>
        <v>#VALUE!</v>
      </c>
      <c r="DX19" t="e">
        <f>AND(Plan!CA45,"AAAAAD13V38=")</f>
        <v>#VALUE!</v>
      </c>
      <c r="DY19" t="e">
        <f>AND(Plan!CB45,"AAAAAD13V4A=")</f>
        <v>#VALUE!</v>
      </c>
      <c r="DZ19" t="e">
        <f>AND(Plan!CC45,"AAAAAD13V4E=")</f>
        <v>#VALUE!</v>
      </c>
      <c r="EA19" t="e">
        <f>AND(Plan!CD45,"AAAAAD13V4I=")</f>
        <v>#VALUE!</v>
      </c>
      <c r="EB19" t="e">
        <f>AND(Plan!CE45,"AAAAAD13V4M=")</f>
        <v>#VALUE!</v>
      </c>
      <c r="EC19" t="e">
        <f>AND(Plan!CF45,"AAAAAD13V4Q=")</f>
        <v>#VALUE!</v>
      </c>
      <c r="ED19" t="e">
        <f>AND(Plan!CG45,"AAAAAD13V4U=")</f>
        <v>#VALUE!</v>
      </c>
      <c r="EE19" t="e">
        <f>AND(Plan!CH45,"AAAAAD13V4Y=")</f>
        <v>#VALUE!</v>
      </c>
      <c r="EF19" t="e">
        <f>AND(Plan!CI45,"AAAAAD13V4c=")</f>
        <v>#VALUE!</v>
      </c>
      <c r="EG19" t="e">
        <f>AND(Plan!CJ45,"AAAAAD13V4g=")</f>
        <v>#VALUE!</v>
      </c>
      <c r="EH19" t="e">
        <f>AND(Plan!CK45,"AAAAAD13V4k=")</f>
        <v>#VALUE!</v>
      </c>
      <c r="EI19" t="e">
        <f>AND(Plan!CL45,"AAAAAD13V4o=")</f>
        <v>#VALUE!</v>
      </c>
      <c r="EJ19" t="e">
        <f>AND(Plan!CM45,"AAAAAD13V4s=")</f>
        <v>#VALUE!</v>
      </c>
      <c r="EK19" t="e">
        <f>AND(Plan!CN45,"AAAAAD13V4w=")</f>
        <v>#VALUE!</v>
      </c>
      <c r="EL19" t="e">
        <f>AND(Plan!CO45,"AAAAAD13V40=")</f>
        <v>#VALUE!</v>
      </c>
      <c r="EM19" t="e">
        <f>AND(Plan!CP45,"AAAAAD13V44=")</f>
        <v>#VALUE!</v>
      </c>
      <c r="EN19" t="e">
        <f>AND(Plan!CQ45,"AAAAAD13V48=")</f>
        <v>#VALUE!</v>
      </c>
      <c r="EO19" t="e">
        <f>AND(Plan!CR45,"AAAAAD13V5A=")</f>
        <v>#VALUE!</v>
      </c>
      <c r="EP19" t="e">
        <f>AND(Plan!CS45,"AAAAAD13V5E=")</f>
        <v>#VALUE!</v>
      </c>
      <c r="EQ19" t="e">
        <f>AND(Plan!CT45,"AAAAAD13V5I=")</f>
        <v>#VALUE!</v>
      </c>
      <c r="ER19" t="e">
        <f>AND(Plan!CU45,"AAAAAD13V5M=")</f>
        <v>#VALUE!</v>
      </c>
      <c r="ES19" t="e">
        <f>AND(Plan!CV45,"AAAAAD13V5Q=")</f>
        <v>#VALUE!</v>
      </c>
      <c r="ET19" t="e">
        <f>AND(Plan!CW45,"AAAAAD13V5U=")</f>
        <v>#VALUE!</v>
      </c>
      <c r="EU19">
        <f>IF(Plan!46:46,"AAAAAD13V5Y=",0)</f>
        <v>0</v>
      </c>
      <c r="EV19" t="e">
        <f>AND(Plan!A46,"AAAAAD13V5c=")</f>
        <v>#VALUE!</v>
      </c>
      <c r="EW19" t="e">
        <f>AND(Plan!B46,"AAAAAD13V5g=")</f>
        <v>#VALUE!</v>
      </c>
      <c r="EX19" t="e">
        <f>AND(Plan!C46,"AAAAAD13V5k=")</f>
        <v>#VALUE!</v>
      </c>
      <c r="EY19" t="e">
        <f>AND(Plan!D46,"AAAAAD13V5o=")</f>
        <v>#VALUE!</v>
      </c>
      <c r="EZ19" t="e">
        <f>AND(Plan!E46,"AAAAAD13V5s=")</f>
        <v>#VALUE!</v>
      </c>
      <c r="FA19" t="e">
        <f>AND(Plan!F46,"AAAAAD13V5w=")</f>
        <v>#VALUE!</v>
      </c>
      <c r="FB19" t="e">
        <f>AND(Plan!G46,"AAAAAD13V50=")</f>
        <v>#VALUE!</v>
      </c>
      <c r="FC19" t="e">
        <f>AND(Plan!H46,"AAAAAD13V54=")</f>
        <v>#VALUE!</v>
      </c>
      <c r="FD19" t="e">
        <f>AND(Plan!I46,"AAAAAD13V58=")</f>
        <v>#VALUE!</v>
      </c>
      <c r="FE19" t="e">
        <f>AND(Plan!J46,"AAAAAD13V6A=")</f>
        <v>#VALUE!</v>
      </c>
      <c r="FF19" t="e">
        <f>AND(Plan!K46,"AAAAAD13V6E=")</f>
        <v>#VALUE!</v>
      </c>
      <c r="FG19" t="e">
        <f>AND(Plan!L46,"AAAAAD13V6I=")</f>
        <v>#VALUE!</v>
      </c>
      <c r="FH19" t="e">
        <f>AND(Plan!M46,"AAAAAD13V6M=")</f>
        <v>#VALUE!</v>
      </c>
      <c r="FI19" t="e">
        <f>AND(Plan!N46,"AAAAAD13V6Q=")</f>
        <v>#VALUE!</v>
      </c>
      <c r="FJ19" t="e">
        <f>AND(Plan!O46,"AAAAAD13V6U=")</f>
        <v>#VALUE!</v>
      </c>
      <c r="FK19" t="e">
        <f>AND(Plan!P46,"AAAAAD13V6Y=")</f>
        <v>#VALUE!</v>
      </c>
      <c r="FL19" t="e">
        <f>AND(Plan!Q46,"AAAAAD13V6c=")</f>
        <v>#VALUE!</v>
      </c>
      <c r="FM19" t="e">
        <f>AND(Plan!R46,"AAAAAD13V6g=")</f>
        <v>#VALUE!</v>
      </c>
      <c r="FN19" t="e">
        <f>AND(Plan!S46,"AAAAAD13V6k=")</f>
        <v>#VALUE!</v>
      </c>
      <c r="FO19" t="e">
        <f>AND(Plan!T46,"AAAAAD13V6o=")</f>
        <v>#VALUE!</v>
      </c>
      <c r="FP19" t="e">
        <f>AND(Plan!U46,"AAAAAD13V6s=")</f>
        <v>#VALUE!</v>
      </c>
      <c r="FQ19" t="e">
        <f>AND(Plan!V46,"AAAAAD13V6w=")</f>
        <v>#VALUE!</v>
      </c>
      <c r="FR19" t="e">
        <f>AND(Plan!W46,"AAAAAD13V60=")</f>
        <v>#VALUE!</v>
      </c>
      <c r="FS19" t="e">
        <f>AND(Plan!X46,"AAAAAD13V64=")</f>
        <v>#VALUE!</v>
      </c>
      <c r="FT19" t="e">
        <f>AND(Plan!Y46,"AAAAAD13V68=")</f>
        <v>#VALUE!</v>
      </c>
      <c r="FU19" t="e">
        <f>AND(Plan!Z46,"AAAAAD13V7A=")</f>
        <v>#VALUE!</v>
      </c>
      <c r="FV19" t="e">
        <f>AND(Plan!AA46,"AAAAAD13V7E=")</f>
        <v>#VALUE!</v>
      </c>
      <c r="FW19" t="e">
        <f>AND(Plan!AB46,"AAAAAD13V7I=")</f>
        <v>#VALUE!</v>
      </c>
      <c r="FX19" t="e">
        <f>AND(Plan!AC46,"AAAAAD13V7M=")</f>
        <v>#VALUE!</v>
      </c>
      <c r="FY19" t="e">
        <f>AND(Plan!AD46,"AAAAAD13V7Q=")</f>
        <v>#VALUE!</v>
      </c>
      <c r="FZ19" t="e">
        <f>AND(Plan!AE46,"AAAAAD13V7U=")</f>
        <v>#VALUE!</v>
      </c>
      <c r="GA19" t="e">
        <f>AND(Plan!AF46,"AAAAAD13V7Y=")</f>
        <v>#VALUE!</v>
      </c>
      <c r="GB19" t="e">
        <f>AND(Plan!AG46,"AAAAAD13V7c=")</f>
        <v>#VALUE!</v>
      </c>
      <c r="GC19" t="e">
        <f>AND(Plan!AH46,"AAAAAD13V7g=")</f>
        <v>#VALUE!</v>
      </c>
      <c r="GD19" t="e">
        <f>AND(Plan!AI46,"AAAAAD13V7k=")</f>
        <v>#VALUE!</v>
      </c>
      <c r="GE19" t="e">
        <f>AND(Plan!AJ46,"AAAAAD13V7o=")</f>
        <v>#VALUE!</v>
      </c>
      <c r="GF19" t="e">
        <f>AND(Plan!AK46,"AAAAAD13V7s=")</f>
        <v>#VALUE!</v>
      </c>
      <c r="GG19" t="e">
        <f>AND(Plan!AL46,"AAAAAD13V7w=")</f>
        <v>#VALUE!</v>
      </c>
      <c r="GH19" t="e">
        <f>AND(Plan!AM46,"AAAAAD13V70=")</f>
        <v>#VALUE!</v>
      </c>
      <c r="GI19" t="e">
        <f>AND(Plan!AN46,"AAAAAD13V74=")</f>
        <v>#VALUE!</v>
      </c>
      <c r="GJ19" t="e">
        <f>AND(Plan!AO46,"AAAAAD13V78=")</f>
        <v>#VALUE!</v>
      </c>
      <c r="GK19" t="e">
        <f>AND(Plan!AP46,"AAAAAD13V8A=")</f>
        <v>#VALUE!</v>
      </c>
      <c r="GL19" t="e">
        <f>AND(Plan!AQ46,"AAAAAD13V8E=")</f>
        <v>#VALUE!</v>
      </c>
      <c r="GM19" t="e">
        <f>AND(Plan!AR46,"AAAAAD13V8I=")</f>
        <v>#VALUE!</v>
      </c>
      <c r="GN19" t="e">
        <f>AND(Plan!AS46,"AAAAAD13V8M=")</f>
        <v>#VALUE!</v>
      </c>
      <c r="GO19" t="e">
        <f>AND(Plan!AT46,"AAAAAD13V8Q=")</f>
        <v>#VALUE!</v>
      </c>
      <c r="GP19" t="e">
        <f>AND(Plan!AU46,"AAAAAD13V8U=")</f>
        <v>#VALUE!</v>
      </c>
      <c r="GQ19" t="e">
        <f>AND(Plan!AV46,"AAAAAD13V8Y=")</f>
        <v>#VALUE!</v>
      </c>
      <c r="GR19" t="e">
        <f>AND(Plan!AW46,"AAAAAD13V8c=")</f>
        <v>#VALUE!</v>
      </c>
      <c r="GS19" t="e">
        <f>AND(Plan!AX46,"AAAAAD13V8g=")</f>
        <v>#VALUE!</v>
      </c>
      <c r="GT19" t="e">
        <f>AND(Plan!AY46,"AAAAAD13V8k=")</f>
        <v>#VALUE!</v>
      </c>
      <c r="GU19" t="e">
        <f>AND(Plan!AZ46,"AAAAAD13V8o=")</f>
        <v>#VALUE!</v>
      </c>
      <c r="GV19" t="e">
        <f>AND(Plan!BA46,"AAAAAD13V8s=")</f>
        <v>#VALUE!</v>
      </c>
      <c r="GW19" t="e">
        <f>AND(Plan!BB46,"AAAAAD13V8w=")</f>
        <v>#VALUE!</v>
      </c>
      <c r="GX19" t="e">
        <f>AND(Plan!BC46,"AAAAAD13V80=")</f>
        <v>#VALUE!</v>
      </c>
      <c r="GY19" t="e">
        <f>AND(Plan!BD46,"AAAAAD13V84=")</f>
        <v>#VALUE!</v>
      </c>
      <c r="GZ19" t="e">
        <f>AND(Plan!BE46,"AAAAAD13V88=")</f>
        <v>#VALUE!</v>
      </c>
      <c r="HA19" t="e">
        <f>AND(Plan!BF46,"AAAAAD13V9A=")</f>
        <v>#VALUE!</v>
      </c>
      <c r="HB19" t="e">
        <f>AND(Plan!BG46,"AAAAAD13V9E=")</f>
        <v>#VALUE!</v>
      </c>
      <c r="HC19" t="e">
        <f>AND(Plan!BH46,"AAAAAD13V9I=")</f>
        <v>#VALUE!</v>
      </c>
      <c r="HD19" t="e">
        <f>AND(Plan!BI46,"AAAAAD13V9M=")</f>
        <v>#VALUE!</v>
      </c>
      <c r="HE19" t="e">
        <f>AND(Plan!BJ46,"AAAAAD13V9Q=")</f>
        <v>#VALUE!</v>
      </c>
      <c r="HF19" t="e">
        <f>AND(Plan!BK46,"AAAAAD13V9U=")</f>
        <v>#VALUE!</v>
      </c>
      <c r="HG19" t="e">
        <f>AND(Plan!BL46,"AAAAAD13V9Y=")</f>
        <v>#VALUE!</v>
      </c>
      <c r="HH19" t="e">
        <f>AND(Plan!BM46,"AAAAAD13V9c=")</f>
        <v>#VALUE!</v>
      </c>
      <c r="HI19" t="e">
        <f>AND(Plan!BN46,"AAAAAD13V9g=")</f>
        <v>#VALUE!</v>
      </c>
      <c r="HJ19" t="e">
        <f>AND(Plan!BO46,"AAAAAD13V9k=")</f>
        <v>#VALUE!</v>
      </c>
      <c r="HK19" t="e">
        <f>AND(Plan!BP46,"AAAAAD13V9o=")</f>
        <v>#VALUE!</v>
      </c>
      <c r="HL19" t="e">
        <f>AND(Plan!BQ46,"AAAAAD13V9s=")</f>
        <v>#VALUE!</v>
      </c>
      <c r="HM19" t="e">
        <f>AND(Plan!BR46,"AAAAAD13V9w=")</f>
        <v>#VALUE!</v>
      </c>
      <c r="HN19" t="e">
        <f>AND(Plan!BS46,"AAAAAD13V90=")</f>
        <v>#VALUE!</v>
      </c>
      <c r="HO19" t="e">
        <f>AND(Plan!BT46,"AAAAAD13V94=")</f>
        <v>#VALUE!</v>
      </c>
      <c r="HP19" t="e">
        <f>AND(Plan!BU46,"AAAAAD13V98=")</f>
        <v>#VALUE!</v>
      </c>
      <c r="HQ19" t="e">
        <f>AND(Plan!BV46,"AAAAAD13V+A=")</f>
        <v>#VALUE!</v>
      </c>
      <c r="HR19" t="e">
        <f>AND(Plan!BW46,"AAAAAD13V+E=")</f>
        <v>#VALUE!</v>
      </c>
      <c r="HS19" t="e">
        <f>AND(Plan!BX46,"AAAAAD13V+I=")</f>
        <v>#VALUE!</v>
      </c>
      <c r="HT19" t="e">
        <f>AND(Plan!BY46,"AAAAAD13V+M=")</f>
        <v>#VALUE!</v>
      </c>
      <c r="HU19" t="e">
        <f>AND(Plan!BZ46,"AAAAAD13V+Q=")</f>
        <v>#VALUE!</v>
      </c>
      <c r="HV19" t="e">
        <f>AND(Plan!CA46,"AAAAAD13V+U=")</f>
        <v>#VALUE!</v>
      </c>
      <c r="HW19" t="e">
        <f>AND(Plan!CB46,"AAAAAD13V+Y=")</f>
        <v>#VALUE!</v>
      </c>
      <c r="HX19" t="e">
        <f>AND(Plan!CC46,"AAAAAD13V+c=")</f>
        <v>#VALUE!</v>
      </c>
      <c r="HY19" t="e">
        <f>AND(Plan!CD46,"AAAAAD13V+g=")</f>
        <v>#VALUE!</v>
      </c>
      <c r="HZ19" t="e">
        <f>AND(Plan!CE46,"AAAAAD13V+k=")</f>
        <v>#VALUE!</v>
      </c>
      <c r="IA19" t="e">
        <f>AND(Plan!CF46,"AAAAAD13V+o=")</f>
        <v>#VALUE!</v>
      </c>
      <c r="IB19" t="e">
        <f>AND(Plan!CG46,"AAAAAD13V+s=")</f>
        <v>#VALUE!</v>
      </c>
      <c r="IC19" t="e">
        <f>AND(Plan!CH46,"AAAAAD13V+w=")</f>
        <v>#VALUE!</v>
      </c>
      <c r="ID19" t="e">
        <f>AND(Plan!CI46,"AAAAAD13V+0=")</f>
        <v>#VALUE!</v>
      </c>
      <c r="IE19" t="e">
        <f>AND(Plan!CJ46,"AAAAAD13V+4=")</f>
        <v>#VALUE!</v>
      </c>
      <c r="IF19" t="e">
        <f>AND(Plan!CK46,"AAAAAD13V+8=")</f>
        <v>#VALUE!</v>
      </c>
      <c r="IG19" t="e">
        <f>AND(Plan!CL46,"AAAAAD13V/A=")</f>
        <v>#VALUE!</v>
      </c>
      <c r="IH19" t="e">
        <f>AND(Plan!CM46,"AAAAAD13V/E=")</f>
        <v>#VALUE!</v>
      </c>
      <c r="II19" t="e">
        <f>AND(Plan!CN46,"AAAAAD13V/I=")</f>
        <v>#VALUE!</v>
      </c>
      <c r="IJ19" t="e">
        <f>AND(Plan!CO46,"AAAAAD13V/M=")</f>
        <v>#VALUE!</v>
      </c>
      <c r="IK19" t="e">
        <f>AND(Plan!CP46,"AAAAAD13V/Q=")</f>
        <v>#VALUE!</v>
      </c>
      <c r="IL19" t="e">
        <f>AND(Plan!CQ46,"AAAAAD13V/U=")</f>
        <v>#VALUE!</v>
      </c>
      <c r="IM19" t="e">
        <f>AND(Plan!CR46,"AAAAAD13V/Y=")</f>
        <v>#VALUE!</v>
      </c>
      <c r="IN19" t="e">
        <f>AND(Plan!CS46,"AAAAAD13V/c=")</f>
        <v>#VALUE!</v>
      </c>
      <c r="IO19" t="e">
        <f>AND(Plan!CT46,"AAAAAD13V/g=")</f>
        <v>#VALUE!</v>
      </c>
      <c r="IP19" t="e">
        <f>AND(Plan!CU46,"AAAAAD13V/k=")</f>
        <v>#VALUE!</v>
      </c>
      <c r="IQ19" t="e">
        <f>AND(Plan!CV46,"AAAAAD13V/o=")</f>
        <v>#VALUE!</v>
      </c>
      <c r="IR19" t="e">
        <f>AND(Plan!CW46,"AAAAAD13V/s=")</f>
        <v>#VALUE!</v>
      </c>
      <c r="IS19">
        <f>IF(Plan!47:47,"AAAAAD13V/w=",0)</f>
        <v>0</v>
      </c>
      <c r="IT19" t="e">
        <f>AND(Plan!A47,"AAAAAD13V/0=")</f>
        <v>#VALUE!</v>
      </c>
      <c r="IU19" t="e">
        <f>AND(Plan!B47,"AAAAAD13V/4=")</f>
        <v>#VALUE!</v>
      </c>
      <c r="IV19" t="e">
        <f>AND(Plan!C47,"AAAAAD13V/8=")</f>
        <v>#VALUE!</v>
      </c>
    </row>
    <row r="20" spans="1:256">
      <c r="A20" t="e">
        <f>AND(Plan!D47,"AAAAAHz6UgA=")</f>
        <v>#VALUE!</v>
      </c>
      <c r="B20" t="e">
        <f>AND(Plan!E47,"AAAAAHz6UgE=")</f>
        <v>#VALUE!</v>
      </c>
      <c r="C20" t="e">
        <f>AND(Plan!F47,"AAAAAHz6UgI=")</f>
        <v>#VALUE!</v>
      </c>
      <c r="D20" t="e">
        <f>AND(Plan!G47,"AAAAAHz6UgM=")</f>
        <v>#VALUE!</v>
      </c>
      <c r="E20" t="e">
        <f>AND(Plan!H47,"AAAAAHz6UgQ=")</f>
        <v>#VALUE!</v>
      </c>
      <c r="F20" t="e">
        <f>AND(Plan!I47,"AAAAAHz6UgU=")</f>
        <v>#VALUE!</v>
      </c>
      <c r="G20" t="e">
        <f>AND(Plan!J47,"AAAAAHz6UgY=")</f>
        <v>#VALUE!</v>
      </c>
      <c r="H20" t="e">
        <f>AND(Plan!K47,"AAAAAHz6Ugc=")</f>
        <v>#VALUE!</v>
      </c>
      <c r="I20" t="e">
        <f>AND(Plan!L47,"AAAAAHz6Ugg=")</f>
        <v>#VALUE!</v>
      </c>
      <c r="J20" t="e">
        <f>AND(Plan!M47,"AAAAAHz6Ugk=")</f>
        <v>#VALUE!</v>
      </c>
      <c r="K20" t="e">
        <f>AND(Plan!N47,"AAAAAHz6Ugo=")</f>
        <v>#VALUE!</v>
      </c>
      <c r="L20" t="e">
        <f>AND(Plan!O47,"AAAAAHz6Ugs=")</f>
        <v>#VALUE!</v>
      </c>
      <c r="M20" t="e">
        <f>AND(Plan!P47,"AAAAAHz6Ugw=")</f>
        <v>#VALUE!</v>
      </c>
      <c r="N20" t="e">
        <f>AND(Plan!Q47,"AAAAAHz6Ug0=")</f>
        <v>#VALUE!</v>
      </c>
      <c r="O20" t="e">
        <f>AND(Plan!R47,"AAAAAHz6Ug4=")</f>
        <v>#VALUE!</v>
      </c>
      <c r="P20" t="e">
        <f>AND(Plan!S47,"AAAAAHz6Ug8=")</f>
        <v>#VALUE!</v>
      </c>
      <c r="Q20" t="e">
        <f>AND(Plan!T47,"AAAAAHz6UhA=")</f>
        <v>#VALUE!</v>
      </c>
      <c r="R20" t="e">
        <f>AND(Plan!U47,"AAAAAHz6UhE=")</f>
        <v>#VALUE!</v>
      </c>
      <c r="S20" t="e">
        <f>AND(Plan!V47,"AAAAAHz6UhI=")</f>
        <v>#VALUE!</v>
      </c>
      <c r="T20" t="e">
        <f>AND(Plan!W47,"AAAAAHz6UhM=")</f>
        <v>#VALUE!</v>
      </c>
      <c r="U20" t="e">
        <f>AND(Plan!X47,"AAAAAHz6UhQ=")</f>
        <v>#VALUE!</v>
      </c>
      <c r="V20" t="e">
        <f>AND(Plan!Y47,"AAAAAHz6UhU=")</f>
        <v>#VALUE!</v>
      </c>
      <c r="W20" t="e">
        <f>AND(Plan!Z47,"AAAAAHz6UhY=")</f>
        <v>#VALUE!</v>
      </c>
      <c r="X20" t="e">
        <f>AND(Plan!AA47,"AAAAAHz6Uhc=")</f>
        <v>#VALUE!</v>
      </c>
      <c r="Y20" t="e">
        <f>AND(Plan!AB47,"AAAAAHz6Uhg=")</f>
        <v>#VALUE!</v>
      </c>
      <c r="Z20" t="e">
        <f>AND(Plan!AC47,"AAAAAHz6Uhk=")</f>
        <v>#VALUE!</v>
      </c>
      <c r="AA20" t="e">
        <f>AND(Plan!AD47,"AAAAAHz6Uho=")</f>
        <v>#VALUE!</v>
      </c>
      <c r="AB20" t="e">
        <f>AND(Plan!AE47,"AAAAAHz6Uhs=")</f>
        <v>#VALUE!</v>
      </c>
      <c r="AC20" t="e">
        <f>AND(Plan!AF47,"AAAAAHz6Uhw=")</f>
        <v>#VALUE!</v>
      </c>
      <c r="AD20" t="e">
        <f>AND(Plan!AG47,"AAAAAHz6Uh0=")</f>
        <v>#VALUE!</v>
      </c>
      <c r="AE20" t="e">
        <f>AND(Plan!AH47,"AAAAAHz6Uh4=")</f>
        <v>#VALUE!</v>
      </c>
      <c r="AF20" t="e">
        <f>AND(Plan!AI47,"AAAAAHz6Uh8=")</f>
        <v>#VALUE!</v>
      </c>
      <c r="AG20" t="e">
        <f>AND(Plan!AJ47,"AAAAAHz6UiA=")</f>
        <v>#VALUE!</v>
      </c>
      <c r="AH20" t="e">
        <f>AND(Plan!AK47,"AAAAAHz6UiE=")</f>
        <v>#VALUE!</v>
      </c>
      <c r="AI20" t="e">
        <f>AND(Plan!AL47,"AAAAAHz6UiI=")</f>
        <v>#VALUE!</v>
      </c>
      <c r="AJ20" t="e">
        <f>AND(Plan!AM47,"AAAAAHz6UiM=")</f>
        <v>#VALUE!</v>
      </c>
      <c r="AK20" t="e">
        <f>AND(Plan!AN47,"AAAAAHz6UiQ=")</f>
        <v>#VALUE!</v>
      </c>
      <c r="AL20" t="e">
        <f>AND(Plan!AO47,"AAAAAHz6UiU=")</f>
        <v>#VALUE!</v>
      </c>
      <c r="AM20" t="e">
        <f>AND(Plan!AP47,"AAAAAHz6UiY=")</f>
        <v>#VALUE!</v>
      </c>
      <c r="AN20" t="e">
        <f>AND(Plan!AQ47,"AAAAAHz6Uic=")</f>
        <v>#VALUE!</v>
      </c>
      <c r="AO20" t="e">
        <f>AND(Plan!AR47,"AAAAAHz6Uig=")</f>
        <v>#VALUE!</v>
      </c>
      <c r="AP20" t="e">
        <f>AND(Plan!AS47,"AAAAAHz6Uik=")</f>
        <v>#VALUE!</v>
      </c>
      <c r="AQ20" t="e">
        <f>AND(Plan!AT47,"AAAAAHz6Uio=")</f>
        <v>#VALUE!</v>
      </c>
      <c r="AR20" t="e">
        <f>AND(Plan!AU47,"AAAAAHz6Uis=")</f>
        <v>#VALUE!</v>
      </c>
      <c r="AS20" t="e">
        <f>AND(Plan!AV47,"AAAAAHz6Uiw=")</f>
        <v>#VALUE!</v>
      </c>
      <c r="AT20" t="e">
        <f>AND(Plan!AW47,"AAAAAHz6Ui0=")</f>
        <v>#VALUE!</v>
      </c>
      <c r="AU20" t="e">
        <f>AND(Plan!AX47,"AAAAAHz6Ui4=")</f>
        <v>#VALUE!</v>
      </c>
      <c r="AV20" t="e">
        <f>AND(Plan!AY47,"AAAAAHz6Ui8=")</f>
        <v>#VALUE!</v>
      </c>
      <c r="AW20" t="e">
        <f>AND(Plan!AZ47,"AAAAAHz6UjA=")</f>
        <v>#VALUE!</v>
      </c>
      <c r="AX20" t="e">
        <f>AND(Plan!BA47,"AAAAAHz6UjE=")</f>
        <v>#VALUE!</v>
      </c>
      <c r="AY20" t="e">
        <f>AND(Plan!BB47,"AAAAAHz6UjI=")</f>
        <v>#VALUE!</v>
      </c>
      <c r="AZ20" t="e">
        <f>AND(Plan!BC47,"AAAAAHz6UjM=")</f>
        <v>#VALUE!</v>
      </c>
      <c r="BA20" t="e">
        <f>AND(Plan!BD47,"AAAAAHz6UjQ=")</f>
        <v>#VALUE!</v>
      </c>
      <c r="BB20" t="e">
        <f>AND(Plan!BE47,"AAAAAHz6UjU=")</f>
        <v>#VALUE!</v>
      </c>
      <c r="BC20" t="e">
        <f>AND(Plan!BF47,"AAAAAHz6UjY=")</f>
        <v>#VALUE!</v>
      </c>
      <c r="BD20" t="e">
        <f>AND(Plan!BG47,"AAAAAHz6Ujc=")</f>
        <v>#VALUE!</v>
      </c>
      <c r="BE20" t="e">
        <f>AND(Plan!BH47,"AAAAAHz6Ujg=")</f>
        <v>#VALUE!</v>
      </c>
      <c r="BF20" t="e">
        <f>AND(Plan!BI47,"AAAAAHz6Ujk=")</f>
        <v>#VALUE!</v>
      </c>
      <c r="BG20" t="e">
        <f>AND(Plan!BJ47,"AAAAAHz6Ujo=")</f>
        <v>#VALUE!</v>
      </c>
      <c r="BH20" t="e">
        <f>AND(Plan!BK47,"AAAAAHz6Ujs=")</f>
        <v>#VALUE!</v>
      </c>
      <c r="BI20" t="e">
        <f>AND(Plan!BL47,"AAAAAHz6Ujw=")</f>
        <v>#VALUE!</v>
      </c>
      <c r="BJ20" t="e">
        <f>AND(Plan!BM47,"AAAAAHz6Uj0=")</f>
        <v>#VALUE!</v>
      </c>
      <c r="BK20" t="e">
        <f>AND(Plan!BN47,"AAAAAHz6Uj4=")</f>
        <v>#VALUE!</v>
      </c>
      <c r="BL20" t="e">
        <f>AND(Plan!BO47,"AAAAAHz6Uj8=")</f>
        <v>#VALUE!</v>
      </c>
      <c r="BM20" t="e">
        <f>AND(Plan!BP47,"AAAAAHz6UkA=")</f>
        <v>#VALUE!</v>
      </c>
      <c r="BN20" t="e">
        <f>AND(Plan!BQ47,"AAAAAHz6UkE=")</f>
        <v>#VALUE!</v>
      </c>
      <c r="BO20" t="e">
        <f>AND(Plan!BR47,"AAAAAHz6UkI=")</f>
        <v>#VALUE!</v>
      </c>
      <c r="BP20" t="e">
        <f>AND(Plan!BS47,"AAAAAHz6UkM=")</f>
        <v>#VALUE!</v>
      </c>
      <c r="BQ20" t="e">
        <f>AND(Plan!BT47,"AAAAAHz6UkQ=")</f>
        <v>#VALUE!</v>
      </c>
      <c r="BR20" t="e">
        <f>AND(Plan!BU47,"AAAAAHz6UkU=")</f>
        <v>#VALUE!</v>
      </c>
      <c r="BS20" t="e">
        <f>AND(Plan!BV47,"AAAAAHz6UkY=")</f>
        <v>#VALUE!</v>
      </c>
      <c r="BT20" t="e">
        <f>AND(Plan!BW47,"AAAAAHz6Ukc=")</f>
        <v>#VALUE!</v>
      </c>
      <c r="BU20" t="e">
        <f>AND(Plan!BX47,"AAAAAHz6Ukg=")</f>
        <v>#VALUE!</v>
      </c>
      <c r="BV20" t="e">
        <f>AND(Plan!BY47,"AAAAAHz6Ukk=")</f>
        <v>#VALUE!</v>
      </c>
      <c r="BW20" t="e">
        <f>AND(Plan!BZ47,"AAAAAHz6Uko=")</f>
        <v>#VALUE!</v>
      </c>
      <c r="BX20" t="e">
        <f>AND(Plan!CA47,"AAAAAHz6Uks=")</f>
        <v>#VALUE!</v>
      </c>
      <c r="BY20" t="e">
        <f>AND(Plan!CB47,"AAAAAHz6Ukw=")</f>
        <v>#VALUE!</v>
      </c>
      <c r="BZ20" t="e">
        <f>AND(Plan!CC47,"AAAAAHz6Uk0=")</f>
        <v>#VALUE!</v>
      </c>
      <c r="CA20" t="e">
        <f>AND(Plan!CD47,"AAAAAHz6Uk4=")</f>
        <v>#VALUE!</v>
      </c>
      <c r="CB20" t="e">
        <f>AND(Plan!CE47,"AAAAAHz6Uk8=")</f>
        <v>#VALUE!</v>
      </c>
      <c r="CC20" t="e">
        <f>AND(Plan!CF47,"AAAAAHz6UlA=")</f>
        <v>#VALUE!</v>
      </c>
      <c r="CD20" t="e">
        <f>AND(Plan!CG47,"AAAAAHz6UlE=")</f>
        <v>#VALUE!</v>
      </c>
      <c r="CE20" t="e">
        <f>AND(Plan!CH47,"AAAAAHz6UlI=")</f>
        <v>#VALUE!</v>
      </c>
      <c r="CF20" t="e">
        <f>AND(Plan!CI47,"AAAAAHz6UlM=")</f>
        <v>#VALUE!</v>
      </c>
      <c r="CG20" t="e">
        <f>AND(Plan!CJ47,"AAAAAHz6UlQ=")</f>
        <v>#VALUE!</v>
      </c>
      <c r="CH20" t="e">
        <f>AND(Plan!CK47,"AAAAAHz6UlU=")</f>
        <v>#VALUE!</v>
      </c>
      <c r="CI20" t="e">
        <f>AND(Plan!CL47,"AAAAAHz6UlY=")</f>
        <v>#VALUE!</v>
      </c>
      <c r="CJ20" t="e">
        <f>AND(Plan!CM47,"AAAAAHz6Ulc=")</f>
        <v>#VALUE!</v>
      </c>
      <c r="CK20" t="e">
        <f>AND(Plan!CN47,"AAAAAHz6Ulg=")</f>
        <v>#VALUE!</v>
      </c>
      <c r="CL20" t="e">
        <f>AND(Plan!CO47,"AAAAAHz6Ulk=")</f>
        <v>#VALUE!</v>
      </c>
      <c r="CM20" t="e">
        <f>AND(Plan!CP47,"AAAAAHz6Ulo=")</f>
        <v>#VALUE!</v>
      </c>
      <c r="CN20" t="e">
        <f>AND(Plan!CQ47,"AAAAAHz6Uls=")</f>
        <v>#VALUE!</v>
      </c>
      <c r="CO20" t="e">
        <f>AND(Plan!CR47,"AAAAAHz6Ulw=")</f>
        <v>#VALUE!</v>
      </c>
      <c r="CP20" t="e">
        <f>AND(Plan!CS47,"AAAAAHz6Ul0=")</f>
        <v>#VALUE!</v>
      </c>
      <c r="CQ20" t="e">
        <f>AND(Plan!CT47,"AAAAAHz6Ul4=")</f>
        <v>#VALUE!</v>
      </c>
      <c r="CR20" t="e">
        <f>AND(Plan!CU47,"AAAAAHz6Ul8=")</f>
        <v>#VALUE!</v>
      </c>
      <c r="CS20" t="e">
        <f>AND(Plan!CV47,"AAAAAHz6UmA=")</f>
        <v>#VALUE!</v>
      </c>
      <c r="CT20" t="e">
        <f>AND(Plan!CW47,"AAAAAHz6UmE=")</f>
        <v>#VALUE!</v>
      </c>
      <c r="CU20">
        <f>IF(Plan!48:48,"AAAAAHz6UmI=",0)</f>
        <v>0</v>
      </c>
      <c r="CV20" t="e">
        <f>AND(Plan!A48,"AAAAAHz6UmM=")</f>
        <v>#VALUE!</v>
      </c>
      <c r="CW20" t="e">
        <f>AND(Plan!B48,"AAAAAHz6UmQ=")</f>
        <v>#VALUE!</v>
      </c>
      <c r="CX20" t="e">
        <f>AND(Plan!C48,"AAAAAHz6UmU=")</f>
        <v>#VALUE!</v>
      </c>
      <c r="CY20" t="e">
        <f>AND(Plan!D48,"AAAAAHz6UmY=")</f>
        <v>#VALUE!</v>
      </c>
      <c r="CZ20" t="e">
        <f>AND(Plan!E48,"AAAAAHz6Umc=")</f>
        <v>#VALUE!</v>
      </c>
      <c r="DA20" t="e">
        <f>AND(Plan!F48,"AAAAAHz6Umg=")</f>
        <v>#VALUE!</v>
      </c>
      <c r="DB20" t="e">
        <f>AND(Plan!G48,"AAAAAHz6Umk=")</f>
        <v>#VALUE!</v>
      </c>
      <c r="DC20" t="e">
        <f>AND(Plan!H48,"AAAAAHz6Umo=")</f>
        <v>#VALUE!</v>
      </c>
      <c r="DD20" t="e">
        <f>AND(Plan!I48,"AAAAAHz6Ums=")</f>
        <v>#VALUE!</v>
      </c>
      <c r="DE20" t="e">
        <f>AND(Plan!J48,"AAAAAHz6Umw=")</f>
        <v>#VALUE!</v>
      </c>
      <c r="DF20" t="e">
        <f>AND(Plan!K48,"AAAAAHz6Um0=")</f>
        <v>#VALUE!</v>
      </c>
      <c r="DG20" t="e">
        <f>AND(Plan!L48,"AAAAAHz6Um4=")</f>
        <v>#VALUE!</v>
      </c>
      <c r="DH20" t="e">
        <f>AND(Plan!M48,"AAAAAHz6Um8=")</f>
        <v>#VALUE!</v>
      </c>
      <c r="DI20" t="e">
        <f>AND(Plan!N48,"AAAAAHz6UnA=")</f>
        <v>#VALUE!</v>
      </c>
      <c r="DJ20" t="e">
        <f>AND(Plan!O48,"AAAAAHz6UnE=")</f>
        <v>#VALUE!</v>
      </c>
      <c r="DK20" t="e">
        <f>AND(Plan!P48,"AAAAAHz6UnI=")</f>
        <v>#VALUE!</v>
      </c>
      <c r="DL20" t="e">
        <f>AND(Plan!Q48,"AAAAAHz6UnM=")</f>
        <v>#VALUE!</v>
      </c>
      <c r="DM20" t="e">
        <f>AND(Plan!R48,"AAAAAHz6UnQ=")</f>
        <v>#VALUE!</v>
      </c>
      <c r="DN20" t="e">
        <f>AND(Plan!S48,"AAAAAHz6UnU=")</f>
        <v>#VALUE!</v>
      </c>
      <c r="DO20" t="e">
        <f>AND(Plan!T48,"AAAAAHz6UnY=")</f>
        <v>#VALUE!</v>
      </c>
      <c r="DP20" t="e">
        <f>AND(Plan!U48,"AAAAAHz6Unc=")</f>
        <v>#VALUE!</v>
      </c>
      <c r="DQ20" t="e">
        <f>AND(Plan!V48,"AAAAAHz6Ung=")</f>
        <v>#VALUE!</v>
      </c>
      <c r="DR20" t="e">
        <f>AND(Plan!W48,"AAAAAHz6Unk=")</f>
        <v>#VALUE!</v>
      </c>
      <c r="DS20" t="e">
        <f>AND(Plan!X48,"AAAAAHz6Uno=")</f>
        <v>#VALUE!</v>
      </c>
      <c r="DT20" t="e">
        <f>AND(Plan!Y48,"AAAAAHz6Uns=")</f>
        <v>#VALUE!</v>
      </c>
      <c r="DU20" t="e">
        <f>AND(Plan!Z48,"AAAAAHz6Unw=")</f>
        <v>#VALUE!</v>
      </c>
      <c r="DV20" t="e">
        <f>AND(Plan!AA48,"AAAAAHz6Un0=")</f>
        <v>#VALUE!</v>
      </c>
      <c r="DW20" t="e">
        <f>AND(Plan!AB48,"AAAAAHz6Un4=")</f>
        <v>#VALUE!</v>
      </c>
      <c r="DX20" t="e">
        <f>AND(Plan!AC48,"AAAAAHz6Un8=")</f>
        <v>#VALUE!</v>
      </c>
      <c r="DY20" t="e">
        <f>AND(Plan!AD48,"AAAAAHz6UoA=")</f>
        <v>#VALUE!</v>
      </c>
      <c r="DZ20" t="e">
        <f>AND(Plan!AE48,"AAAAAHz6UoE=")</f>
        <v>#VALUE!</v>
      </c>
      <c r="EA20" t="e">
        <f>AND(Plan!AF48,"AAAAAHz6UoI=")</f>
        <v>#VALUE!</v>
      </c>
      <c r="EB20" t="e">
        <f>AND(Plan!AG48,"AAAAAHz6UoM=")</f>
        <v>#VALUE!</v>
      </c>
      <c r="EC20" t="e">
        <f>AND(Plan!AH48,"AAAAAHz6UoQ=")</f>
        <v>#VALUE!</v>
      </c>
      <c r="ED20" t="e">
        <f>AND(Plan!AI48,"AAAAAHz6UoU=")</f>
        <v>#VALUE!</v>
      </c>
      <c r="EE20" t="e">
        <f>AND(Plan!AJ48,"AAAAAHz6UoY=")</f>
        <v>#VALUE!</v>
      </c>
      <c r="EF20" t="e">
        <f>AND(Plan!AK48,"AAAAAHz6Uoc=")</f>
        <v>#VALUE!</v>
      </c>
      <c r="EG20" t="e">
        <f>AND(Plan!AL48,"AAAAAHz6Uog=")</f>
        <v>#VALUE!</v>
      </c>
      <c r="EH20" t="e">
        <f>AND(Plan!AM48,"AAAAAHz6Uok=")</f>
        <v>#VALUE!</v>
      </c>
      <c r="EI20" t="e">
        <f>AND(Plan!AN48,"AAAAAHz6Uoo=")</f>
        <v>#VALUE!</v>
      </c>
      <c r="EJ20" t="e">
        <f>AND(Plan!AO48,"AAAAAHz6Uos=")</f>
        <v>#VALUE!</v>
      </c>
      <c r="EK20" t="e">
        <f>AND(Plan!AP48,"AAAAAHz6Uow=")</f>
        <v>#VALUE!</v>
      </c>
      <c r="EL20" t="e">
        <f>AND(Plan!AQ48,"AAAAAHz6Uo0=")</f>
        <v>#VALUE!</v>
      </c>
      <c r="EM20" t="e">
        <f>AND(Plan!AR48,"AAAAAHz6Uo4=")</f>
        <v>#VALUE!</v>
      </c>
      <c r="EN20" t="e">
        <f>AND(Plan!AS48,"AAAAAHz6Uo8=")</f>
        <v>#VALUE!</v>
      </c>
      <c r="EO20" t="e">
        <f>AND(Plan!AT48,"AAAAAHz6UpA=")</f>
        <v>#VALUE!</v>
      </c>
      <c r="EP20" t="e">
        <f>AND(Plan!AU48,"AAAAAHz6UpE=")</f>
        <v>#VALUE!</v>
      </c>
      <c r="EQ20" t="e">
        <f>AND(Plan!AV48,"AAAAAHz6UpI=")</f>
        <v>#VALUE!</v>
      </c>
      <c r="ER20" t="e">
        <f>AND(Plan!AW48,"AAAAAHz6UpM=")</f>
        <v>#VALUE!</v>
      </c>
      <c r="ES20" t="e">
        <f>AND(Plan!AX48,"AAAAAHz6UpQ=")</f>
        <v>#VALUE!</v>
      </c>
      <c r="ET20" t="e">
        <f>AND(Plan!AY48,"AAAAAHz6UpU=")</f>
        <v>#VALUE!</v>
      </c>
      <c r="EU20" t="e">
        <f>AND(Plan!AZ48,"AAAAAHz6UpY=")</f>
        <v>#VALUE!</v>
      </c>
      <c r="EV20" t="e">
        <f>AND(Plan!BA48,"AAAAAHz6Upc=")</f>
        <v>#VALUE!</v>
      </c>
      <c r="EW20" t="e">
        <f>AND(Plan!BB48,"AAAAAHz6Upg=")</f>
        <v>#VALUE!</v>
      </c>
      <c r="EX20" t="e">
        <f>AND(Plan!BC48,"AAAAAHz6Upk=")</f>
        <v>#VALUE!</v>
      </c>
      <c r="EY20" t="e">
        <f>AND(Plan!BD48,"AAAAAHz6Upo=")</f>
        <v>#VALUE!</v>
      </c>
      <c r="EZ20" t="e">
        <f>AND(Plan!BE48,"AAAAAHz6Ups=")</f>
        <v>#VALUE!</v>
      </c>
      <c r="FA20" t="e">
        <f>AND(Plan!BF48,"AAAAAHz6Upw=")</f>
        <v>#VALUE!</v>
      </c>
      <c r="FB20" t="e">
        <f>AND(Plan!BG48,"AAAAAHz6Up0=")</f>
        <v>#VALUE!</v>
      </c>
      <c r="FC20" t="e">
        <f>AND(Plan!BH48,"AAAAAHz6Up4=")</f>
        <v>#VALUE!</v>
      </c>
      <c r="FD20" t="e">
        <f>AND(Plan!BI48,"AAAAAHz6Up8=")</f>
        <v>#VALUE!</v>
      </c>
      <c r="FE20" t="e">
        <f>AND(Plan!BJ48,"AAAAAHz6UqA=")</f>
        <v>#VALUE!</v>
      </c>
      <c r="FF20" t="e">
        <f>AND(Plan!BK48,"AAAAAHz6UqE=")</f>
        <v>#VALUE!</v>
      </c>
      <c r="FG20" t="e">
        <f>AND(Plan!BL48,"AAAAAHz6UqI=")</f>
        <v>#VALUE!</v>
      </c>
      <c r="FH20" t="e">
        <f>AND(Plan!BM48,"AAAAAHz6UqM=")</f>
        <v>#VALUE!</v>
      </c>
      <c r="FI20" t="e">
        <f>AND(Plan!BN48,"AAAAAHz6UqQ=")</f>
        <v>#VALUE!</v>
      </c>
      <c r="FJ20" t="e">
        <f>AND(Plan!BO48,"AAAAAHz6UqU=")</f>
        <v>#VALUE!</v>
      </c>
      <c r="FK20" t="e">
        <f>AND(Plan!BP48,"AAAAAHz6UqY=")</f>
        <v>#VALUE!</v>
      </c>
      <c r="FL20" t="e">
        <f>AND(Plan!BQ48,"AAAAAHz6Uqc=")</f>
        <v>#VALUE!</v>
      </c>
      <c r="FM20" t="e">
        <f>AND(Plan!BR48,"AAAAAHz6Uqg=")</f>
        <v>#VALUE!</v>
      </c>
      <c r="FN20" t="e">
        <f>AND(Plan!BS48,"AAAAAHz6Uqk=")</f>
        <v>#VALUE!</v>
      </c>
      <c r="FO20" t="e">
        <f>AND(Plan!BT48,"AAAAAHz6Uqo=")</f>
        <v>#VALUE!</v>
      </c>
      <c r="FP20" t="e">
        <f>AND(Plan!BU48,"AAAAAHz6Uqs=")</f>
        <v>#VALUE!</v>
      </c>
      <c r="FQ20" t="e">
        <f>AND(Plan!BV48,"AAAAAHz6Uqw=")</f>
        <v>#VALUE!</v>
      </c>
      <c r="FR20" t="e">
        <f>AND(Plan!BW48,"AAAAAHz6Uq0=")</f>
        <v>#VALUE!</v>
      </c>
      <c r="FS20" t="e">
        <f>AND(Plan!BX48,"AAAAAHz6Uq4=")</f>
        <v>#VALUE!</v>
      </c>
      <c r="FT20" t="e">
        <f>AND(Plan!BY48,"AAAAAHz6Uq8=")</f>
        <v>#VALUE!</v>
      </c>
      <c r="FU20" t="e">
        <f>AND(Plan!BZ48,"AAAAAHz6UrA=")</f>
        <v>#VALUE!</v>
      </c>
      <c r="FV20" t="e">
        <f>AND(Plan!CA48,"AAAAAHz6UrE=")</f>
        <v>#VALUE!</v>
      </c>
      <c r="FW20" t="e">
        <f>AND(Plan!CB48,"AAAAAHz6UrI=")</f>
        <v>#VALUE!</v>
      </c>
      <c r="FX20" t="e">
        <f>AND(Plan!CC48,"AAAAAHz6UrM=")</f>
        <v>#VALUE!</v>
      </c>
      <c r="FY20" t="e">
        <f>AND(Plan!CD48,"AAAAAHz6UrQ=")</f>
        <v>#VALUE!</v>
      </c>
      <c r="FZ20" t="e">
        <f>AND(Plan!CE48,"AAAAAHz6UrU=")</f>
        <v>#VALUE!</v>
      </c>
      <c r="GA20" t="e">
        <f>AND(Plan!CF48,"AAAAAHz6UrY=")</f>
        <v>#VALUE!</v>
      </c>
      <c r="GB20" t="e">
        <f>AND(Plan!CG48,"AAAAAHz6Urc=")</f>
        <v>#VALUE!</v>
      </c>
      <c r="GC20" t="e">
        <f>AND(Plan!CH48,"AAAAAHz6Urg=")</f>
        <v>#VALUE!</v>
      </c>
      <c r="GD20" t="e">
        <f>AND(Plan!CI48,"AAAAAHz6Urk=")</f>
        <v>#VALUE!</v>
      </c>
      <c r="GE20" t="e">
        <f>AND(Plan!CJ48,"AAAAAHz6Uro=")</f>
        <v>#VALUE!</v>
      </c>
      <c r="GF20" t="e">
        <f>AND(Plan!CK48,"AAAAAHz6Urs=")</f>
        <v>#VALUE!</v>
      </c>
      <c r="GG20" t="e">
        <f>AND(Plan!CL48,"AAAAAHz6Urw=")</f>
        <v>#VALUE!</v>
      </c>
      <c r="GH20" t="e">
        <f>AND(Plan!CM48,"AAAAAHz6Ur0=")</f>
        <v>#VALUE!</v>
      </c>
      <c r="GI20" t="e">
        <f>AND(Plan!CN48,"AAAAAHz6Ur4=")</f>
        <v>#VALUE!</v>
      </c>
      <c r="GJ20" t="e">
        <f>AND(Plan!CO48,"AAAAAHz6Ur8=")</f>
        <v>#VALUE!</v>
      </c>
      <c r="GK20" t="e">
        <f>AND(Plan!CP48,"AAAAAHz6UsA=")</f>
        <v>#VALUE!</v>
      </c>
      <c r="GL20" t="e">
        <f>AND(Plan!CQ48,"AAAAAHz6UsE=")</f>
        <v>#VALUE!</v>
      </c>
      <c r="GM20" t="e">
        <f>AND(Plan!CR48,"AAAAAHz6UsI=")</f>
        <v>#VALUE!</v>
      </c>
      <c r="GN20" t="e">
        <f>AND(Plan!CS48,"AAAAAHz6UsM=")</f>
        <v>#VALUE!</v>
      </c>
      <c r="GO20" t="e">
        <f>AND(Plan!CT48,"AAAAAHz6UsQ=")</f>
        <v>#VALUE!</v>
      </c>
      <c r="GP20" t="e">
        <f>AND(Plan!CU48,"AAAAAHz6UsU=")</f>
        <v>#VALUE!</v>
      </c>
      <c r="GQ20" t="e">
        <f>AND(Plan!CV48,"AAAAAHz6UsY=")</f>
        <v>#VALUE!</v>
      </c>
      <c r="GR20" t="e">
        <f>AND(Plan!CW48,"AAAAAHz6Usc=")</f>
        <v>#VALUE!</v>
      </c>
      <c r="GS20">
        <f>IF(Plan!49:49,"AAAAAHz6Usg=",0)</f>
        <v>0</v>
      </c>
      <c r="GT20" t="e">
        <f>AND(Plan!A49,"AAAAAHz6Usk=")</f>
        <v>#VALUE!</v>
      </c>
      <c r="GU20" t="e">
        <f>AND(Plan!B49,"AAAAAHz6Uso=")</f>
        <v>#VALUE!</v>
      </c>
      <c r="GV20" t="e">
        <f>AND(Plan!C49,"AAAAAHz6Uss=")</f>
        <v>#VALUE!</v>
      </c>
      <c r="GW20" t="e">
        <f>AND(Plan!D49,"AAAAAHz6Usw=")</f>
        <v>#VALUE!</v>
      </c>
      <c r="GX20" t="e">
        <f>AND(Plan!E49,"AAAAAHz6Us0=")</f>
        <v>#VALUE!</v>
      </c>
      <c r="GY20" t="e">
        <f>AND(Plan!F49,"AAAAAHz6Us4=")</f>
        <v>#VALUE!</v>
      </c>
      <c r="GZ20" t="e">
        <f>AND(Plan!G49,"AAAAAHz6Us8=")</f>
        <v>#VALUE!</v>
      </c>
      <c r="HA20" t="e">
        <f>AND(Plan!H49,"AAAAAHz6UtA=")</f>
        <v>#VALUE!</v>
      </c>
      <c r="HB20" t="e">
        <f>AND(Plan!I49,"AAAAAHz6UtE=")</f>
        <v>#VALUE!</v>
      </c>
      <c r="HC20" t="e">
        <f>AND(Plan!J49,"AAAAAHz6UtI=")</f>
        <v>#VALUE!</v>
      </c>
      <c r="HD20" t="e">
        <f>AND(Plan!K49,"AAAAAHz6UtM=")</f>
        <v>#VALUE!</v>
      </c>
      <c r="HE20" t="e">
        <f>AND(Plan!L49,"AAAAAHz6UtQ=")</f>
        <v>#VALUE!</v>
      </c>
      <c r="HF20" t="e">
        <f>AND(Plan!M49,"AAAAAHz6UtU=")</f>
        <v>#VALUE!</v>
      </c>
      <c r="HG20" t="e">
        <f>AND(Plan!N49,"AAAAAHz6UtY=")</f>
        <v>#VALUE!</v>
      </c>
      <c r="HH20" t="e">
        <f>AND(Plan!O49,"AAAAAHz6Utc=")</f>
        <v>#VALUE!</v>
      </c>
      <c r="HI20" t="e">
        <f>AND(Plan!P49,"AAAAAHz6Utg=")</f>
        <v>#VALUE!</v>
      </c>
      <c r="HJ20" t="e">
        <f>AND(Plan!Q49,"AAAAAHz6Utk=")</f>
        <v>#VALUE!</v>
      </c>
      <c r="HK20" t="e">
        <f>AND(Plan!R49,"AAAAAHz6Uto=")</f>
        <v>#VALUE!</v>
      </c>
      <c r="HL20" t="e">
        <f>AND(Plan!S49,"AAAAAHz6Uts=")</f>
        <v>#VALUE!</v>
      </c>
      <c r="HM20" t="e">
        <f>AND(Plan!T49,"AAAAAHz6Utw=")</f>
        <v>#VALUE!</v>
      </c>
      <c r="HN20" t="e">
        <f>AND(Plan!U49,"AAAAAHz6Ut0=")</f>
        <v>#VALUE!</v>
      </c>
      <c r="HO20" t="e">
        <f>AND(Plan!V49,"AAAAAHz6Ut4=")</f>
        <v>#VALUE!</v>
      </c>
      <c r="HP20" t="e">
        <f>AND(Plan!W49,"AAAAAHz6Ut8=")</f>
        <v>#VALUE!</v>
      </c>
      <c r="HQ20" t="e">
        <f>AND(Plan!X49,"AAAAAHz6UuA=")</f>
        <v>#VALUE!</v>
      </c>
      <c r="HR20" t="e">
        <f>AND(Plan!Y49,"AAAAAHz6UuE=")</f>
        <v>#VALUE!</v>
      </c>
      <c r="HS20" t="e">
        <f>AND(Plan!Z49,"AAAAAHz6UuI=")</f>
        <v>#VALUE!</v>
      </c>
      <c r="HT20" t="e">
        <f>AND(Plan!AA49,"AAAAAHz6UuM=")</f>
        <v>#VALUE!</v>
      </c>
      <c r="HU20" t="e">
        <f>AND(Plan!AB49,"AAAAAHz6UuQ=")</f>
        <v>#VALUE!</v>
      </c>
      <c r="HV20" t="e">
        <f>AND(Plan!AC49,"AAAAAHz6UuU=")</f>
        <v>#VALUE!</v>
      </c>
      <c r="HW20" t="e">
        <f>AND(Plan!AD49,"AAAAAHz6UuY=")</f>
        <v>#VALUE!</v>
      </c>
      <c r="HX20" t="e">
        <f>AND(Plan!AE49,"AAAAAHz6Uuc=")</f>
        <v>#VALUE!</v>
      </c>
      <c r="HY20" t="e">
        <f>AND(Plan!AF49,"AAAAAHz6Uug=")</f>
        <v>#VALUE!</v>
      </c>
      <c r="HZ20" t="e">
        <f>AND(Plan!AG49,"AAAAAHz6Uuk=")</f>
        <v>#VALUE!</v>
      </c>
      <c r="IA20" t="e">
        <f>AND(Plan!AH49,"AAAAAHz6Uuo=")</f>
        <v>#VALUE!</v>
      </c>
      <c r="IB20" t="e">
        <f>AND(Plan!AI49,"AAAAAHz6Uus=")</f>
        <v>#VALUE!</v>
      </c>
      <c r="IC20" t="e">
        <f>AND(Plan!AJ49,"AAAAAHz6Uuw=")</f>
        <v>#VALUE!</v>
      </c>
      <c r="ID20" t="e">
        <f>AND(Plan!AK49,"AAAAAHz6Uu0=")</f>
        <v>#VALUE!</v>
      </c>
      <c r="IE20" t="e">
        <f>AND(Plan!AL49,"AAAAAHz6Uu4=")</f>
        <v>#VALUE!</v>
      </c>
      <c r="IF20" t="e">
        <f>AND(Plan!AM49,"AAAAAHz6Uu8=")</f>
        <v>#VALUE!</v>
      </c>
      <c r="IG20" t="e">
        <f>AND(Plan!AN49,"AAAAAHz6UvA=")</f>
        <v>#VALUE!</v>
      </c>
      <c r="IH20" t="e">
        <f>AND(Plan!AO49,"AAAAAHz6UvE=")</f>
        <v>#VALUE!</v>
      </c>
      <c r="II20" t="e">
        <f>AND(Plan!AP49,"AAAAAHz6UvI=")</f>
        <v>#VALUE!</v>
      </c>
      <c r="IJ20" t="e">
        <f>AND(Plan!AQ49,"AAAAAHz6UvM=")</f>
        <v>#VALUE!</v>
      </c>
      <c r="IK20" t="e">
        <f>AND(Plan!AR49,"AAAAAHz6UvQ=")</f>
        <v>#VALUE!</v>
      </c>
      <c r="IL20" t="e">
        <f>AND(Plan!AS49,"AAAAAHz6UvU=")</f>
        <v>#VALUE!</v>
      </c>
      <c r="IM20" t="e">
        <f>AND(Plan!AT49,"AAAAAHz6UvY=")</f>
        <v>#VALUE!</v>
      </c>
      <c r="IN20" t="e">
        <f>AND(Plan!AU49,"AAAAAHz6Uvc=")</f>
        <v>#VALUE!</v>
      </c>
      <c r="IO20" t="e">
        <f>AND(Plan!AV49,"AAAAAHz6Uvg=")</f>
        <v>#VALUE!</v>
      </c>
      <c r="IP20" t="e">
        <f>AND(Plan!AW49,"AAAAAHz6Uvk=")</f>
        <v>#VALUE!</v>
      </c>
      <c r="IQ20" t="e">
        <f>AND(Plan!AX49,"AAAAAHz6Uvo=")</f>
        <v>#VALUE!</v>
      </c>
      <c r="IR20" t="e">
        <f>AND(Plan!AY49,"AAAAAHz6Uvs=")</f>
        <v>#VALUE!</v>
      </c>
      <c r="IS20" t="e">
        <f>AND(Plan!AZ49,"AAAAAHz6Uvw=")</f>
        <v>#VALUE!</v>
      </c>
      <c r="IT20" t="e">
        <f>AND(Plan!BA49,"AAAAAHz6Uv0=")</f>
        <v>#VALUE!</v>
      </c>
      <c r="IU20" t="e">
        <f>AND(Plan!BB49,"AAAAAHz6Uv4=")</f>
        <v>#VALUE!</v>
      </c>
      <c r="IV20" t="e">
        <f>AND(Plan!BC49,"AAAAAHz6Uv8=")</f>
        <v>#VALUE!</v>
      </c>
    </row>
    <row r="21" spans="1:256">
      <c r="A21" t="e">
        <f>AND(Plan!BD49,"AAAAAB390wA=")</f>
        <v>#VALUE!</v>
      </c>
      <c r="B21" t="e">
        <f>AND(Plan!BE49,"AAAAAB390wE=")</f>
        <v>#VALUE!</v>
      </c>
      <c r="C21" t="e">
        <f>AND(Plan!BF49,"AAAAAB390wI=")</f>
        <v>#VALUE!</v>
      </c>
      <c r="D21" t="e">
        <f>AND(Plan!BG49,"AAAAAB390wM=")</f>
        <v>#VALUE!</v>
      </c>
      <c r="E21" t="e">
        <f>AND(Plan!BH49,"AAAAAB390wQ=")</f>
        <v>#VALUE!</v>
      </c>
      <c r="F21" t="e">
        <f>AND(Plan!BI49,"AAAAAB390wU=")</f>
        <v>#VALUE!</v>
      </c>
      <c r="G21" t="e">
        <f>AND(Plan!BJ49,"AAAAAB390wY=")</f>
        <v>#VALUE!</v>
      </c>
      <c r="H21" t="e">
        <f>AND(Plan!BK49,"AAAAAB390wc=")</f>
        <v>#VALUE!</v>
      </c>
      <c r="I21" t="e">
        <f>AND(Plan!BL49,"AAAAAB390wg=")</f>
        <v>#VALUE!</v>
      </c>
      <c r="J21" t="e">
        <f>AND(Plan!BM49,"AAAAAB390wk=")</f>
        <v>#VALUE!</v>
      </c>
      <c r="K21" t="e">
        <f>AND(Plan!BN49,"AAAAAB390wo=")</f>
        <v>#VALUE!</v>
      </c>
      <c r="L21" t="e">
        <f>AND(Plan!BO49,"AAAAAB390ws=")</f>
        <v>#VALUE!</v>
      </c>
      <c r="M21" t="e">
        <f>AND(Plan!BP49,"AAAAAB390ww=")</f>
        <v>#VALUE!</v>
      </c>
      <c r="N21" t="e">
        <f>AND(Plan!BQ49,"AAAAAB390w0=")</f>
        <v>#VALUE!</v>
      </c>
      <c r="O21" t="e">
        <f>AND(Plan!BR49,"AAAAAB390w4=")</f>
        <v>#VALUE!</v>
      </c>
      <c r="P21" t="e">
        <f>AND(Plan!BS49,"AAAAAB390w8=")</f>
        <v>#VALUE!</v>
      </c>
      <c r="Q21" t="e">
        <f>AND(Plan!BT49,"AAAAAB390xA=")</f>
        <v>#VALUE!</v>
      </c>
      <c r="R21" t="e">
        <f>AND(Plan!BU49,"AAAAAB390xE=")</f>
        <v>#VALUE!</v>
      </c>
      <c r="S21" t="e">
        <f>AND(Plan!BV49,"AAAAAB390xI=")</f>
        <v>#VALUE!</v>
      </c>
      <c r="T21" t="e">
        <f>AND(Plan!BW49,"AAAAAB390xM=")</f>
        <v>#VALUE!</v>
      </c>
      <c r="U21" t="e">
        <f>AND(Plan!BX49,"AAAAAB390xQ=")</f>
        <v>#VALUE!</v>
      </c>
      <c r="V21" t="e">
        <f>AND(Plan!BY49,"AAAAAB390xU=")</f>
        <v>#VALUE!</v>
      </c>
      <c r="W21" t="e">
        <f>AND(Plan!BZ49,"AAAAAB390xY=")</f>
        <v>#VALUE!</v>
      </c>
      <c r="X21" t="e">
        <f>AND(Plan!CA49,"AAAAAB390xc=")</f>
        <v>#VALUE!</v>
      </c>
      <c r="Y21" t="e">
        <f>AND(Plan!CB49,"AAAAAB390xg=")</f>
        <v>#VALUE!</v>
      </c>
      <c r="Z21" t="e">
        <f>AND(Plan!CC49,"AAAAAB390xk=")</f>
        <v>#VALUE!</v>
      </c>
      <c r="AA21" t="e">
        <f>AND(Plan!CD49,"AAAAAB390xo=")</f>
        <v>#VALUE!</v>
      </c>
      <c r="AB21" t="e">
        <f>AND(Plan!CE49,"AAAAAB390xs=")</f>
        <v>#VALUE!</v>
      </c>
      <c r="AC21" t="e">
        <f>AND(Plan!CF49,"AAAAAB390xw=")</f>
        <v>#VALUE!</v>
      </c>
      <c r="AD21" t="e">
        <f>AND(Plan!CG49,"AAAAAB390x0=")</f>
        <v>#VALUE!</v>
      </c>
      <c r="AE21" t="e">
        <f>AND(Plan!CH49,"AAAAAB390x4=")</f>
        <v>#VALUE!</v>
      </c>
      <c r="AF21" t="e">
        <f>AND(Plan!CI49,"AAAAAB390x8=")</f>
        <v>#VALUE!</v>
      </c>
      <c r="AG21" t="e">
        <f>AND(Plan!CJ49,"AAAAAB390yA=")</f>
        <v>#VALUE!</v>
      </c>
      <c r="AH21" t="e">
        <f>AND(Plan!CK49,"AAAAAB390yE=")</f>
        <v>#VALUE!</v>
      </c>
      <c r="AI21" t="e">
        <f>AND(Plan!CL49,"AAAAAB390yI=")</f>
        <v>#VALUE!</v>
      </c>
      <c r="AJ21" t="e">
        <f>AND(Plan!CM49,"AAAAAB390yM=")</f>
        <v>#VALUE!</v>
      </c>
      <c r="AK21" t="e">
        <f>AND(Plan!CN49,"AAAAAB390yQ=")</f>
        <v>#VALUE!</v>
      </c>
      <c r="AL21" t="e">
        <f>AND(Plan!CO49,"AAAAAB390yU=")</f>
        <v>#VALUE!</v>
      </c>
      <c r="AM21" t="e">
        <f>AND(Plan!CP49,"AAAAAB390yY=")</f>
        <v>#VALUE!</v>
      </c>
      <c r="AN21" t="e">
        <f>AND(Plan!CQ49,"AAAAAB390yc=")</f>
        <v>#VALUE!</v>
      </c>
      <c r="AO21" t="e">
        <f>AND(Plan!CR49,"AAAAAB390yg=")</f>
        <v>#VALUE!</v>
      </c>
      <c r="AP21" t="e">
        <f>AND(Plan!CS49,"AAAAAB390yk=")</f>
        <v>#VALUE!</v>
      </c>
      <c r="AQ21" t="e">
        <f>AND(Plan!CT49,"AAAAAB390yo=")</f>
        <v>#VALUE!</v>
      </c>
      <c r="AR21" t="e">
        <f>AND(Plan!CU49,"AAAAAB390ys=")</f>
        <v>#VALUE!</v>
      </c>
      <c r="AS21" t="e">
        <f>AND(Plan!CV49,"AAAAAB390yw=")</f>
        <v>#VALUE!</v>
      </c>
      <c r="AT21" t="e">
        <f>AND(Plan!CW49,"AAAAAB390y0=")</f>
        <v>#VALUE!</v>
      </c>
      <c r="AU21">
        <f>IF(Plan!50:50,"AAAAAB390y4=",0)</f>
        <v>0</v>
      </c>
      <c r="AV21" t="e">
        <f>AND(Plan!A50,"AAAAAB390y8=")</f>
        <v>#VALUE!</v>
      </c>
      <c r="AW21" t="e">
        <f>AND(Plan!B50,"AAAAAB390zA=")</f>
        <v>#VALUE!</v>
      </c>
      <c r="AX21" t="e">
        <f>AND(Plan!C50,"AAAAAB390zE=")</f>
        <v>#VALUE!</v>
      </c>
      <c r="AY21" t="e">
        <f>AND(Plan!D50,"AAAAAB390zI=")</f>
        <v>#VALUE!</v>
      </c>
      <c r="AZ21" t="e">
        <f>AND(Plan!E50,"AAAAAB390zM=")</f>
        <v>#VALUE!</v>
      </c>
      <c r="BA21" t="e">
        <f>AND(Plan!F50,"AAAAAB390zQ=")</f>
        <v>#VALUE!</v>
      </c>
      <c r="BB21" t="e">
        <f>AND(Plan!G50,"AAAAAB390zU=")</f>
        <v>#VALUE!</v>
      </c>
      <c r="BC21" t="e">
        <f>AND(Plan!H50,"AAAAAB390zY=")</f>
        <v>#VALUE!</v>
      </c>
      <c r="BD21" t="e">
        <f>AND(Plan!I50,"AAAAAB390zc=")</f>
        <v>#VALUE!</v>
      </c>
      <c r="BE21" t="e">
        <f>AND(Plan!J50,"AAAAAB390zg=")</f>
        <v>#VALUE!</v>
      </c>
      <c r="BF21" t="e">
        <f>AND(Plan!K50,"AAAAAB390zk=")</f>
        <v>#VALUE!</v>
      </c>
      <c r="BG21" t="e">
        <f>AND(Plan!L50,"AAAAAB390zo=")</f>
        <v>#VALUE!</v>
      </c>
      <c r="BH21" t="e">
        <f>AND(Plan!M50,"AAAAAB390zs=")</f>
        <v>#VALUE!</v>
      </c>
      <c r="BI21" t="e">
        <f>AND(Plan!N50,"AAAAAB390zw=")</f>
        <v>#VALUE!</v>
      </c>
      <c r="BJ21" t="e">
        <f>AND(Plan!O50,"AAAAAB390z0=")</f>
        <v>#VALUE!</v>
      </c>
      <c r="BK21" t="e">
        <f>AND(Plan!P50,"AAAAAB390z4=")</f>
        <v>#VALUE!</v>
      </c>
      <c r="BL21" t="e">
        <f>AND(Plan!Q50,"AAAAAB390z8=")</f>
        <v>#VALUE!</v>
      </c>
      <c r="BM21" t="e">
        <f>AND(Plan!R50,"AAAAAB3900A=")</f>
        <v>#VALUE!</v>
      </c>
      <c r="BN21" t="e">
        <f>AND(Plan!S50,"AAAAAB3900E=")</f>
        <v>#VALUE!</v>
      </c>
      <c r="BO21" t="e">
        <f>AND(Plan!T50,"AAAAAB3900I=")</f>
        <v>#VALUE!</v>
      </c>
      <c r="BP21" t="e">
        <f>AND(Plan!U50,"AAAAAB3900M=")</f>
        <v>#VALUE!</v>
      </c>
      <c r="BQ21" t="e">
        <f>AND(Plan!V50,"AAAAAB3900Q=")</f>
        <v>#VALUE!</v>
      </c>
      <c r="BR21" t="e">
        <f>AND(Plan!W50,"AAAAAB3900U=")</f>
        <v>#VALUE!</v>
      </c>
      <c r="BS21" t="e">
        <f>AND(Plan!X50,"AAAAAB3900Y=")</f>
        <v>#VALUE!</v>
      </c>
      <c r="BT21" t="e">
        <f>AND(Plan!Y50,"AAAAAB3900c=")</f>
        <v>#VALUE!</v>
      </c>
      <c r="BU21" t="e">
        <f>AND(Plan!Z50,"AAAAAB3900g=")</f>
        <v>#VALUE!</v>
      </c>
      <c r="BV21" t="e">
        <f>AND(Plan!AA50,"AAAAAB3900k=")</f>
        <v>#VALUE!</v>
      </c>
      <c r="BW21" t="e">
        <f>AND(Plan!AB50,"AAAAAB3900o=")</f>
        <v>#VALUE!</v>
      </c>
      <c r="BX21" t="e">
        <f>AND(Plan!AC50,"AAAAAB3900s=")</f>
        <v>#VALUE!</v>
      </c>
      <c r="BY21" t="e">
        <f>AND(Plan!AD50,"AAAAAB3900w=")</f>
        <v>#VALUE!</v>
      </c>
      <c r="BZ21" t="e">
        <f>AND(Plan!AE50,"AAAAAB39000=")</f>
        <v>#VALUE!</v>
      </c>
      <c r="CA21" t="e">
        <f>AND(Plan!AF50,"AAAAAB39004=")</f>
        <v>#VALUE!</v>
      </c>
      <c r="CB21" t="e">
        <f>AND(Plan!AG50,"AAAAAB39008=")</f>
        <v>#VALUE!</v>
      </c>
      <c r="CC21" t="e">
        <f>AND(Plan!AH50,"AAAAAB3901A=")</f>
        <v>#VALUE!</v>
      </c>
      <c r="CD21" t="e">
        <f>AND(Plan!AI50,"AAAAAB3901E=")</f>
        <v>#VALUE!</v>
      </c>
      <c r="CE21" t="e">
        <f>AND(Plan!AJ50,"AAAAAB3901I=")</f>
        <v>#VALUE!</v>
      </c>
      <c r="CF21" t="e">
        <f>AND(Plan!AK50,"AAAAAB3901M=")</f>
        <v>#VALUE!</v>
      </c>
      <c r="CG21" t="e">
        <f>AND(Plan!AL50,"AAAAAB3901Q=")</f>
        <v>#VALUE!</v>
      </c>
      <c r="CH21" t="e">
        <f>AND(Plan!AM50,"AAAAAB3901U=")</f>
        <v>#VALUE!</v>
      </c>
      <c r="CI21" t="e">
        <f>AND(Plan!AN50,"AAAAAB3901Y=")</f>
        <v>#VALUE!</v>
      </c>
      <c r="CJ21" t="e">
        <f>AND(Plan!AO50,"AAAAAB3901c=")</f>
        <v>#VALUE!</v>
      </c>
      <c r="CK21" t="e">
        <f>AND(Plan!AP50,"AAAAAB3901g=")</f>
        <v>#VALUE!</v>
      </c>
      <c r="CL21" t="e">
        <f>AND(Plan!AQ50,"AAAAAB3901k=")</f>
        <v>#VALUE!</v>
      </c>
      <c r="CM21" t="e">
        <f>AND(Plan!AR50,"AAAAAB3901o=")</f>
        <v>#VALUE!</v>
      </c>
      <c r="CN21" t="e">
        <f>AND(Plan!AS50,"AAAAAB3901s=")</f>
        <v>#VALUE!</v>
      </c>
      <c r="CO21" t="e">
        <f>AND(Plan!AT50,"AAAAAB3901w=")</f>
        <v>#VALUE!</v>
      </c>
      <c r="CP21" t="e">
        <f>AND(Plan!AU50,"AAAAAB39010=")</f>
        <v>#VALUE!</v>
      </c>
      <c r="CQ21" t="e">
        <f>AND(Plan!AV50,"AAAAAB39014=")</f>
        <v>#VALUE!</v>
      </c>
      <c r="CR21" t="e">
        <f>AND(Plan!AW50,"AAAAAB39018=")</f>
        <v>#VALUE!</v>
      </c>
      <c r="CS21" t="e">
        <f>AND(Plan!AX50,"AAAAAB3902A=")</f>
        <v>#VALUE!</v>
      </c>
      <c r="CT21" t="e">
        <f>AND(Plan!AY50,"AAAAAB3902E=")</f>
        <v>#VALUE!</v>
      </c>
      <c r="CU21" t="e">
        <f>AND(Plan!AZ50,"AAAAAB3902I=")</f>
        <v>#VALUE!</v>
      </c>
      <c r="CV21" t="e">
        <f>AND(Plan!BA50,"AAAAAB3902M=")</f>
        <v>#VALUE!</v>
      </c>
      <c r="CW21" t="e">
        <f>AND(Plan!BB50,"AAAAAB3902Q=")</f>
        <v>#VALUE!</v>
      </c>
      <c r="CX21" t="e">
        <f>AND(Plan!BC50,"AAAAAB3902U=")</f>
        <v>#VALUE!</v>
      </c>
      <c r="CY21" t="e">
        <f>AND(Plan!BD50,"AAAAAB3902Y=")</f>
        <v>#VALUE!</v>
      </c>
      <c r="CZ21" t="e">
        <f>AND(Plan!BE50,"AAAAAB3902c=")</f>
        <v>#VALUE!</v>
      </c>
      <c r="DA21" t="e">
        <f>AND(Plan!BF50,"AAAAAB3902g=")</f>
        <v>#VALUE!</v>
      </c>
      <c r="DB21" t="e">
        <f>AND(Plan!BG50,"AAAAAB3902k=")</f>
        <v>#VALUE!</v>
      </c>
      <c r="DC21" t="e">
        <f>AND(Plan!BH50,"AAAAAB3902o=")</f>
        <v>#VALUE!</v>
      </c>
      <c r="DD21" t="e">
        <f>AND(Plan!BI50,"AAAAAB3902s=")</f>
        <v>#VALUE!</v>
      </c>
      <c r="DE21" t="e">
        <f>AND(Plan!BJ50,"AAAAAB3902w=")</f>
        <v>#VALUE!</v>
      </c>
      <c r="DF21" t="e">
        <f>AND(Plan!BK50,"AAAAAB39020=")</f>
        <v>#VALUE!</v>
      </c>
      <c r="DG21" t="e">
        <f>AND(Plan!BL50,"AAAAAB39024=")</f>
        <v>#VALUE!</v>
      </c>
      <c r="DH21" t="e">
        <f>AND(Plan!BM50,"AAAAAB39028=")</f>
        <v>#VALUE!</v>
      </c>
      <c r="DI21" t="e">
        <f>AND(Plan!BN50,"AAAAAB3903A=")</f>
        <v>#VALUE!</v>
      </c>
      <c r="DJ21" t="e">
        <f>AND(Plan!BO50,"AAAAAB3903E=")</f>
        <v>#VALUE!</v>
      </c>
      <c r="DK21" t="e">
        <f>AND(Plan!BP50,"AAAAAB3903I=")</f>
        <v>#VALUE!</v>
      </c>
      <c r="DL21" t="e">
        <f>AND(Plan!BQ50,"AAAAAB3903M=")</f>
        <v>#VALUE!</v>
      </c>
      <c r="DM21" t="e">
        <f>AND(Plan!BR50,"AAAAAB3903Q=")</f>
        <v>#VALUE!</v>
      </c>
      <c r="DN21" t="e">
        <f>AND(Plan!BS50,"AAAAAB3903U=")</f>
        <v>#VALUE!</v>
      </c>
      <c r="DO21" t="e">
        <f>AND(Plan!BT50,"AAAAAB3903Y=")</f>
        <v>#VALUE!</v>
      </c>
      <c r="DP21" t="e">
        <f>AND(Plan!BU50,"AAAAAB3903c=")</f>
        <v>#VALUE!</v>
      </c>
      <c r="DQ21" t="e">
        <f>AND(Plan!BV50,"AAAAAB3903g=")</f>
        <v>#VALUE!</v>
      </c>
      <c r="DR21" t="e">
        <f>AND(Plan!BW50,"AAAAAB3903k=")</f>
        <v>#VALUE!</v>
      </c>
      <c r="DS21" t="e">
        <f>AND(Plan!BX50,"AAAAAB3903o=")</f>
        <v>#VALUE!</v>
      </c>
      <c r="DT21" t="e">
        <f>AND(Plan!BY50,"AAAAAB3903s=")</f>
        <v>#VALUE!</v>
      </c>
      <c r="DU21" t="e">
        <f>AND(Plan!BZ50,"AAAAAB3903w=")</f>
        <v>#VALUE!</v>
      </c>
      <c r="DV21" t="e">
        <f>AND(Plan!CA50,"AAAAAB39030=")</f>
        <v>#VALUE!</v>
      </c>
      <c r="DW21" t="e">
        <f>AND(Plan!CB50,"AAAAAB39034=")</f>
        <v>#VALUE!</v>
      </c>
      <c r="DX21" t="e">
        <f>AND(Plan!CC50,"AAAAAB39038=")</f>
        <v>#VALUE!</v>
      </c>
      <c r="DY21" t="e">
        <f>AND(Plan!CD50,"AAAAAB3904A=")</f>
        <v>#VALUE!</v>
      </c>
      <c r="DZ21" t="e">
        <f>AND(Plan!CE50,"AAAAAB3904E=")</f>
        <v>#VALUE!</v>
      </c>
      <c r="EA21" t="e">
        <f>AND(Plan!CF50,"AAAAAB3904I=")</f>
        <v>#VALUE!</v>
      </c>
      <c r="EB21" t="e">
        <f>AND(Plan!CG50,"AAAAAB3904M=")</f>
        <v>#VALUE!</v>
      </c>
      <c r="EC21" t="e">
        <f>AND(Plan!CH50,"AAAAAB3904Q=")</f>
        <v>#VALUE!</v>
      </c>
      <c r="ED21" t="e">
        <f>AND(Plan!CI50,"AAAAAB3904U=")</f>
        <v>#VALUE!</v>
      </c>
      <c r="EE21" t="e">
        <f>AND(Plan!CJ50,"AAAAAB3904Y=")</f>
        <v>#VALUE!</v>
      </c>
      <c r="EF21" t="e">
        <f>AND(Plan!CK50,"AAAAAB3904c=")</f>
        <v>#VALUE!</v>
      </c>
      <c r="EG21" t="e">
        <f>AND(Plan!CL50,"AAAAAB3904g=")</f>
        <v>#VALUE!</v>
      </c>
      <c r="EH21" t="e">
        <f>AND(Plan!CM50,"AAAAAB3904k=")</f>
        <v>#VALUE!</v>
      </c>
      <c r="EI21" t="e">
        <f>AND(Plan!CN50,"AAAAAB3904o=")</f>
        <v>#VALUE!</v>
      </c>
      <c r="EJ21" t="e">
        <f>AND(Plan!CO50,"AAAAAB3904s=")</f>
        <v>#VALUE!</v>
      </c>
      <c r="EK21" t="e">
        <f>AND(Plan!CP50,"AAAAAB3904w=")</f>
        <v>#VALUE!</v>
      </c>
      <c r="EL21" t="e">
        <f>AND(Plan!CQ50,"AAAAAB39040=")</f>
        <v>#VALUE!</v>
      </c>
      <c r="EM21" t="e">
        <f>AND(Plan!CR50,"AAAAAB39044=")</f>
        <v>#VALUE!</v>
      </c>
      <c r="EN21" t="e">
        <f>AND(Plan!CS50,"AAAAAB39048=")</f>
        <v>#VALUE!</v>
      </c>
      <c r="EO21" t="e">
        <f>AND(Plan!CT50,"AAAAAB3905A=")</f>
        <v>#VALUE!</v>
      </c>
      <c r="EP21" t="e">
        <f>AND(Plan!CU50,"AAAAAB3905E=")</f>
        <v>#VALUE!</v>
      </c>
      <c r="EQ21" t="e">
        <f>AND(Plan!CV50,"AAAAAB3905I=")</f>
        <v>#VALUE!</v>
      </c>
      <c r="ER21" t="e">
        <f>AND(Plan!CW50,"AAAAAB3905M=")</f>
        <v>#VALUE!</v>
      </c>
      <c r="ES21">
        <f>IF(Plan!51:51,"AAAAAB3905Q=",0)</f>
        <v>0</v>
      </c>
      <c r="ET21" t="e">
        <f>AND(Plan!A51,"AAAAAB3905U=")</f>
        <v>#VALUE!</v>
      </c>
      <c r="EU21" t="e">
        <f>AND(Plan!B51,"AAAAAB3905Y=")</f>
        <v>#VALUE!</v>
      </c>
      <c r="EV21" t="e">
        <f>AND(Plan!C51,"AAAAAB3905c=")</f>
        <v>#VALUE!</v>
      </c>
      <c r="EW21" t="e">
        <f>AND(Plan!D51,"AAAAAB3905g=")</f>
        <v>#VALUE!</v>
      </c>
      <c r="EX21" t="e">
        <f>AND(Plan!E51,"AAAAAB3905k=")</f>
        <v>#VALUE!</v>
      </c>
      <c r="EY21" t="e">
        <f>AND(Plan!F51,"AAAAAB3905o=")</f>
        <v>#VALUE!</v>
      </c>
      <c r="EZ21" t="e">
        <f>AND(Plan!G51,"AAAAAB3905s=")</f>
        <v>#VALUE!</v>
      </c>
      <c r="FA21" t="e">
        <f>AND(Plan!H51,"AAAAAB3905w=")</f>
        <v>#VALUE!</v>
      </c>
      <c r="FB21" t="e">
        <f>AND(Plan!I51,"AAAAAB39050=")</f>
        <v>#VALUE!</v>
      </c>
      <c r="FC21" t="e">
        <f>AND(Plan!J51,"AAAAAB39054=")</f>
        <v>#VALUE!</v>
      </c>
      <c r="FD21" t="e">
        <f>AND(Plan!K51,"AAAAAB39058=")</f>
        <v>#VALUE!</v>
      </c>
      <c r="FE21" t="e">
        <f>AND(Plan!L51,"AAAAAB3906A=")</f>
        <v>#VALUE!</v>
      </c>
      <c r="FF21" t="e">
        <f>AND(Plan!M51,"AAAAAB3906E=")</f>
        <v>#VALUE!</v>
      </c>
      <c r="FG21" t="e">
        <f>AND(Plan!N51,"AAAAAB3906I=")</f>
        <v>#VALUE!</v>
      </c>
      <c r="FH21" t="e">
        <f>AND(Plan!O51,"AAAAAB3906M=")</f>
        <v>#VALUE!</v>
      </c>
      <c r="FI21" t="e">
        <f>AND(Plan!P51,"AAAAAB3906Q=")</f>
        <v>#VALUE!</v>
      </c>
      <c r="FJ21" t="e">
        <f>AND(Plan!Q51,"AAAAAB3906U=")</f>
        <v>#VALUE!</v>
      </c>
      <c r="FK21" t="e">
        <f>AND(Plan!R51,"AAAAAB3906Y=")</f>
        <v>#VALUE!</v>
      </c>
      <c r="FL21" t="e">
        <f>AND(Plan!S51,"AAAAAB3906c=")</f>
        <v>#VALUE!</v>
      </c>
      <c r="FM21" t="e">
        <f>AND(Plan!T51,"AAAAAB3906g=")</f>
        <v>#VALUE!</v>
      </c>
      <c r="FN21" t="e">
        <f>AND(Plan!U51,"AAAAAB3906k=")</f>
        <v>#VALUE!</v>
      </c>
      <c r="FO21" t="e">
        <f>AND(Plan!V51,"AAAAAB3906o=")</f>
        <v>#VALUE!</v>
      </c>
      <c r="FP21" t="e">
        <f>AND(Plan!W51,"AAAAAB3906s=")</f>
        <v>#VALUE!</v>
      </c>
      <c r="FQ21" t="e">
        <f>AND(Plan!X51,"AAAAAB3906w=")</f>
        <v>#VALUE!</v>
      </c>
      <c r="FR21" t="e">
        <f>AND(Plan!Y51,"AAAAAB39060=")</f>
        <v>#VALUE!</v>
      </c>
      <c r="FS21" t="e">
        <f>AND(Plan!Z51,"AAAAAB39064=")</f>
        <v>#VALUE!</v>
      </c>
      <c r="FT21" t="e">
        <f>AND(Plan!AA51,"AAAAAB39068=")</f>
        <v>#VALUE!</v>
      </c>
      <c r="FU21" t="e">
        <f>AND(Plan!AB51,"AAAAAB3907A=")</f>
        <v>#VALUE!</v>
      </c>
      <c r="FV21" t="e">
        <f>AND(Plan!AC51,"AAAAAB3907E=")</f>
        <v>#VALUE!</v>
      </c>
      <c r="FW21" t="e">
        <f>AND(Plan!AD51,"AAAAAB3907I=")</f>
        <v>#VALUE!</v>
      </c>
      <c r="FX21" t="e">
        <f>AND(Plan!AE51,"AAAAAB3907M=")</f>
        <v>#VALUE!</v>
      </c>
      <c r="FY21" t="e">
        <f>AND(Plan!AF51,"AAAAAB3907Q=")</f>
        <v>#VALUE!</v>
      </c>
      <c r="FZ21" t="e">
        <f>AND(Plan!AG51,"AAAAAB3907U=")</f>
        <v>#VALUE!</v>
      </c>
      <c r="GA21" t="e">
        <f>AND(Plan!AH51,"AAAAAB3907Y=")</f>
        <v>#VALUE!</v>
      </c>
      <c r="GB21" t="e">
        <f>AND(Plan!AI51,"AAAAAB3907c=")</f>
        <v>#VALUE!</v>
      </c>
      <c r="GC21" t="e">
        <f>AND(Plan!AJ51,"AAAAAB3907g=")</f>
        <v>#VALUE!</v>
      </c>
      <c r="GD21" t="e">
        <f>AND(Plan!AK51,"AAAAAB3907k=")</f>
        <v>#VALUE!</v>
      </c>
      <c r="GE21" t="e">
        <f>AND(Plan!AL51,"AAAAAB3907o=")</f>
        <v>#VALUE!</v>
      </c>
      <c r="GF21" t="e">
        <f>AND(Plan!AM51,"AAAAAB3907s=")</f>
        <v>#VALUE!</v>
      </c>
      <c r="GG21" t="e">
        <f>AND(Plan!AN51,"AAAAAB3907w=")</f>
        <v>#VALUE!</v>
      </c>
      <c r="GH21" t="e">
        <f>AND(Plan!AO51,"AAAAAB39070=")</f>
        <v>#VALUE!</v>
      </c>
      <c r="GI21" t="e">
        <f>AND(Plan!AP51,"AAAAAB39074=")</f>
        <v>#VALUE!</v>
      </c>
      <c r="GJ21" t="e">
        <f>AND(Plan!AQ51,"AAAAAB39078=")</f>
        <v>#VALUE!</v>
      </c>
      <c r="GK21" t="e">
        <f>AND(Plan!AR51,"AAAAAB3908A=")</f>
        <v>#VALUE!</v>
      </c>
      <c r="GL21" t="e">
        <f>AND(Plan!AS51,"AAAAAB3908E=")</f>
        <v>#VALUE!</v>
      </c>
      <c r="GM21" t="e">
        <f>AND(Plan!AT51,"AAAAAB3908I=")</f>
        <v>#VALUE!</v>
      </c>
      <c r="GN21" t="e">
        <f>AND(Plan!AU51,"AAAAAB3908M=")</f>
        <v>#VALUE!</v>
      </c>
      <c r="GO21" t="e">
        <f>AND(Plan!AV51,"AAAAAB3908Q=")</f>
        <v>#VALUE!</v>
      </c>
      <c r="GP21" t="e">
        <f>AND(Plan!AW51,"AAAAAB3908U=")</f>
        <v>#VALUE!</v>
      </c>
      <c r="GQ21" t="e">
        <f>AND(Plan!AX51,"AAAAAB3908Y=")</f>
        <v>#VALUE!</v>
      </c>
      <c r="GR21" t="e">
        <f>AND(Plan!AY51,"AAAAAB3908c=")</f>
        <v>#VALUE!</v>
      </c>
      <c r="GS21" t="e">
        <f>AND(Plan!AZ51,"AAAAAB3908g=")</f>
        <v>#VALUE!</v>
      </c>
      <c r="GT21" t="e">
        <f>AND(Plan!BA51,"AAAAAB3908k=")</f>
        <v>#VALUE!</v>
      </c>
      <c r="GU21" t="e">
        <f>AND(Plan!BB51,"AAAAAB3908o=")</f>
        <v>#VALUE!</v>
      </c>
      <c r="GV21" t="e">
        <f>AND(Plan!BC51,"AAAAAB3908s=")</f>
        <v>#VALUE!</v>
      </c>
      <c r="GW21" t="e">
        <f>AND(Plan!BD51,"AAAAAB3908w=")</f>
        <v>#VALUE!</v>
      </c>
      <c r="GX21" t="e">
        <f>AND(Plan!BE51,"AAAAAB39080=")</f>
        <v>#VALUE!</v>
      </c>
      <c r="GY21" t="e">
        <f>AND(Plan!BF51,"AAAAAB39084=")</f>
        <v>#VALUE!</v>
      </c>
      <c r="GZ21" t="e">
        <f>AND(Plan!BG51,"AAAAAB39088=")</f>
        <v>#VALUE!</v>
      </c>
      <c r="HA21" t="e">
        <f>AND(Plan!BH51,"AAAAAB3909A=")</f>
        <v>#VALUE!</v>
      </c>
      <c r="HB21" t="e">
        <f>AND(Plan!BI51,"AAAAAB3909E=")</f>
        <v>#VALUE!</v>
      </c>
      <c r="HC21" t="e">
        <f>AND(Plan!BJ51,"AAAAAB3909I=")</f>
        <v>#VALUE!</v>
      </c>
      <c r="HD21" t="e">
        <f>AND(Plan!BK51,"AAAAAB3909M=")</f>
        <v>#VALUE!</v>
      </c>
      <c r="HE21" t="e">
        <f>AND(Plan!BL51,"AAAAAB3909Q=")</f>
        <v>#VALUE!</v>
      </c>
      <c r="HF21" t="e">
        <f>AND(Plan!BM51,"AAAAAB3909U=")</f>
        <v>#VALUE!</v>
      </c>
      <c r="HG21" t="e">
        <f>AND(Plan!BN51,"AAAAAB3909Y=")</f>
        <v>#VALUE!</v>
      </c>
      <c r="HH21" t="e">
        <f>AND(Plan!BO51,"AAAAAB3909c=")</f>
        <v>#VALUE!</v>
      </c>
      <c r="HI21" t="e">
        <f>AND(Plan!BP51,"AAAAAB3909g=")</f>
        <v>#VALUE!</v>
      </c>
      <c r="HJ21" t="e">
        <f>AND(Plan!BQ51,"AAAAAB3909k=")</f>
        <v>#VALUE!</v>
      </c>
      <c r="HK21" t="e">
        <f>AND(Plan!BR51,"AAAAAB3909o=")</f>
        <v>#VALUE!</v>
      </c>
      <c r="HL21" t="e">
        <f>AND(Plan!BS51,"AAAAAB3909s=")</f>
        <v>#VALUE!</v>
      </c>
      <c r="HM21" t="e">
        <f>AND(Plan!BT51,"AAAAAB3909w=")</f>
        <v>#VALUE!</v>
      </c>
      <c r="HN21" t="e">
        <f>AND(Plan!BU51,"AAAAAB39090=")</f>
        <v>#VALUE!</v>
      </c>
      <c r="HO21" t="e">
        <f>AND(Plan!BV51,"AAAAAB39094=")</f>
        <v>#VALUE!</v>
      </c>
      <c r="HP21" t="e">
        <f>AND(Plan!BW51,"AAAAAB39098=")</f>
        <v>#VALUE!</v>
      </c>
      <c r="HQ21" t="e">
        <f>AND(Plan!BX51,"AAAAAB390+A=")</f>
        <v>#VALUE!</v>
      </c>
      <c r="HR21" t="e">
        <f>AND(Plan!BY51,"AAAAAB390+E=")</f>
        <v>#VALUE!</v>
      </c>
      <c r="HS21" t="e">
        <f>AND(Plan!BZ51,"AAAAAB390+I=")</f>
        <v>#VALUE!</v>
      </c>
      <c r="HT21" t="e">
        <f>AND(Plan!CA51,"AAAAAB390+M=")</f>
        <v>#VALUE!</v>
      </c>
      <c r="HU21" t="e">
        <f>AND(Plan!CB51,"AAAAAB390+Q=")</f>
        <v>#VALUE!</v>
      </c>
      <c r="HV21" t="e">
        <f>AND(Plan!CC51,"AAAAAB390+U=")</f>
        <v>#VALUE!</v>
      </c>
      <c r="HW21" t="e">
        <f>AND(Plan!CD51,"AAAAAB390+Y=")</f>
        <v>#VALUE!</v>
      </c>
      <c r="HX21" t="e">
        <f>AND(Plan!CE51,"AAAAAB390+c=")</f>
        <v>#VALUE!</v>
      </c>
      <c r="HY21" t="e">
        <f>AND(Plan!CF51,"AAAAAB390+g=")</f>
        <v>#VALUE!</v>
      </c>
      <c r="HZ21" t="e">
        <f>AND(Plan!CG51,"AAAAAB390+k=")</f>
        <v>#VALUE!</v>
      </c>
      <c r="IA21" t="e">
        <f>AND(Plan!CH51,"AAAAAB390+o=")</f>
        <v>#VALUE!</v>
      </c>
      <c r="IB21" t="e">
        <f>AND(Plan!CI51,"AAAAAB390+s=")</f>
        <v>#VALUE!</v>
      </c>
      <c r="IC21" t="e">
        <f>AND(Plan!CJ51,"AAAAAB390+w=")</f>
        <v>#VALUE!</v>
      </c>
      <c r="ID21" t="e">
        <f>AND(Plan!CK51,"AAAAAB390+0=")</f>
        <v>#VALUE!</v>
      </c>
      <c r="IE21" t="e">
        <f>AND(Plan!CL51,"AAAAAB390+4=")</f>
        <v>#VALUE!</v>
      </c>
      <c r="IF21" t="e">
        <f>AND(Plan!CM51,"AAAAAB390+8=")</f>
        <v>#VALUE!</v>
      </c>
      <c r="IG21" t="e">
        <f>AND(Plan!CN51,"AAAAAB390/A=")</f>
        <v>#VALUE!</v>
      </c>
      <c r="IH21" t="e">
        <f>AND(Plan!CO51,"AAAAAB390/E=")</f>
        <v>#VALUE!</v>
      </c>
      <c r="II21" t="e">
        <f>AND(Plan!CP51,"AAAAAB390/I=")</f>
        <v>#VALUE!</v>
      </c>
      <c r="IJ21" t="e">
        <f>AND(Plan!CQ51,"AAAAAB390/M=")</f>
        <v>#VALUE!</v>
      </c>
      <c r="IK21" t="e">
        <f>AND(Plan!CR51,"AAAAAB390/Q=")</f>
        <v>#VALUE!</v>
      </c>
      <c r="IL21" t="e">
        <f>AND(Plan!CS51,"AAAAAB390/U=")</f>
        <v>#VALUE!</v>
      </c>
      <c r="IM21" t="e">
        <f>AND(Plan!CT51,"AAAAAB390/Y=")</f>
        <v>#VALUE!</v>
      </c>
      <c r="IN21" t="e">
        <f>AND(Plan!CU51,"AAAAAB390/c=")</f>
        <v>#VALUE!</v>
      </c>
      <c r="IO21" t="e">
        <f>AND(Plan!CV51,"AAAAAB390/g=")</f>
        <v>#VALUE!</v>
      </c>
      <c r="IP21" t="e">
        <f>AND(Plan!CW51,"AAAAAB390/k=")</f>
        <v>#VALUE!</v>
      </c>
      <c r="IQ21">
        <f>IF(Plan!52:52,"AAAAAB390/o=",0)</f>
        <v>0</v>
      </c>
      <c r="IR21" t="e">
        <f>AND(Plan!A52,"AAAAAB390/s=")</f>
        <v>#VALUE!</v>
      </c>
      <c r="IS21" t="e">
        <f>AND(Plan!B52,"AAAAAB390/w=")</f>
        <v>#VALUE!</v>
      </c>
      <c r="IT21" t="e">
        <f>AND(Plan!C52,"AAAAAB390/0=")</f>
        <v>#VALUE!</v>
      </c>
      <c r="IU21" t="e">
        <f>AND(Plan!D52,"AAAAAB390/4=")</f>
        <v>#VALUE!</v>
      </c>
      <c r="IV21" t="e">
        <f>AND(Plan!E52,"AAAAAB390/8=")</f>
        <v>#VALUE!</v>
      </c>
    </row>
    <row r="22" spans="1:256">
      <c r="A22" t="e">
        <f>AND(Plan!F52,"AAAAAHv/QwA=")</f>
        <v>#VALUE!</v>
      </c>
      <c r="B22" t="e">
        <f>AND(Plan!G52,"AAAAAHv/QwE=")</f>
        <v>#VALUE!</v>
      </c>
      <c r="C22" t="e">
        <f>AND(Plan!H52,"AAAAAHv/QwI=")</f>
        <v>#VALUE!</v>
      </c>
      <c r="D22" t="e">
        <f>AND(Plan!I52,"AAAAAHv/QwM=")</f>
        <v>#VALUE!</v>
      </c>
      <c r="E22" t="e">
        <f>AND(Plan!J52,"AAAAAHv/QwQ=")</f>
        <v>#VALUE!</v>
      </c>
      <c r="F22" t="e">
        <f>AND(Plan!K52,"AAAAAHv/QwU=")</f>
        <v>#VALUE!</v>
      </c>
      <c r="G22" t="e">
        <f>AND(Plan!L52,"AAAAAHv/QwY=")</f>
        <v>#VALUE!</v>
      </c>
      <c r="H22" t="e">
        <f>AND(Plan!M52,"AAAAAHv/Qwc=")</f>
        <v>#VALUE!</v>
      </c>
      <c r="I22" t="e">
        <f>AND(Plan!N52,"AAAAAHv/Qwg=")</f>
        <v>#VALUE!</v>
      </c>
      <c r="J22" t="e">
        <f>AND(Plan!O52,"AAAAAHv/Qwk=")</f>
        <v>#VALUE!</v>
      </c>
      <c r="K22" t="e">
        <f>AND(Plan!P52,"AAAAAHv/Qwo=")</f>
        <v>#VALUE!</v>
      </c>
      <c r="L22" t="e">
        <f>AND(Plan!Q52,"AAAAAHv/Qws=")</f>
        <v>#VALUE!</v>
      </c>
      <c r="M22" t="e">
        <f>AND(Plan!R52,"AAAAAHv/Qww=")</f>
        <v>#VALUE!</v>
      </c>
      <c r="N22" t="e">
        <f>AND(Plan!S52,"AAAAAHv/Qw0=")</f>
        <v>#VALUE!</v>
      </c>
      <c r="O22" t="e">
        <f>AND(Plan!T52,"AAAAAHv/Qw4=")</f>
        <v>#VALUE!</v>
      </c>
      <c r="P22" t="e">
        <f>AND(Plan!U52,"AAAAAHv/Qw8=")</f>
        <v>#VALUE!</v>
      </c>
      <c r="Q22" t="e">
        <f>AND(Plan!V52,"AAAAAHv/QxA=")</f>
        <v>#VALUE!</v>
      </c>
      <c r="R22" t="e">
        <f>AND(Plan!W52,"AAAAAHv/QxE=")</f>
        <v>#VALUE!</v>
      </c>
      <c r="S22" t="e">
        <f>AND(Plan!X52,"AAAAAHv/QxI=")</f>
        <v>#VALUE!</v>
      </c>
      <c r="T22" t="e">
        <f>AND(Plan!Y52,"AAAAAHv/QxM=")</f>
        <v>#VALUE!</v>
      </c>
      <c r="U22" t="e">
        <f>AND(Plan!Z52,"AAAAAHv/QxQ=")</f>
        <v>#VALUE!</v>
      </c>
      <c r="V22" t="e">
        <f>AND(Plan!AA52,"AAAAAHv/QxU=")</f>
        <v>#VALUE!</v>
      </c>
      <c r="W22" t="e">
        <f>AND(Plan!AB52,"AAAAAHv/QxY=")</f>
        <v>#VALUE!</v>
      </c>
      <c r="X22" t="e">
        <f>AND(Plan!AC52,"AAAAAHv/Qxc=")</f>
        <v>#VALUE!</v>
      </c>
      <c r="Y22" t="e">
        <f>AND(Plan!AD52,"AAAAAHv/Qxg=")</f>
        <v>#VALUE!</v>
      </c>
      <c r="Z22" t="e">
        <f>AND(Plan!AE52,"AAAAAHv/Qxk=")</f>
        <v>#VALUE!</v>
      </c>
      <c r="AA22" t="e">
        <f>AND(Plan!AF52,"AAAAAHv/Qxo=")</f>
        <v>#VALUE!</v>
      </c>
      <c r="AB22" t="e">
        <f>AND(Plan!AG52,"AAAAAHv/Qxs=")</f>
        <v>#VALUE!</v>
      </c>
      <c r="AC22" t="e">
        <f>AND(Plan!AH52,"AAAAAHv/Qxw=")</f>
        <v>#VALUE!</v>
      </c>
      <c r="AD22" t="e">
        <f>AND(Plan!AI52,"AAAAAHv/Qx0=")</f>
        <v>#VALUE!</v>
      </c>
      <c r="AE22" t="e">
        <f>AND(Plan!AJ52,"AAAAAHv/Qx4=")</f>
        <v>#VALUE!</v>
      </c>
      <c r="AF22" t="e">
        <f>AND(Plan!AK52,"AAAAAHv/Qx8=")</f>
        <v>#VALUE!</v>
      </c>
      <c r="AG22" t="e">
        <f>AND(Plan!AL52,"AAAAAHv/QyA=")</f>
        <v>#VALUE!</v>
      </c>
      <c r="AH22" t="e">
        <f>AND(Plan!AM52,"AAAAAHv/QyE=")</f>
        <v>#VALUE!</v>
      </c>
      <c r="AI22" t="e">
        <f>AND(Plan!AN52,"AAAAAHv/QyI=")</f>
        <v>#VALUE!</v>
      </c>
      <c r="AJ22" t="e">
        <f>AND(Plan!AO52,"AAAAAHv/QyM=")</f>
        <v>#VALUE!</v>
      </c>
      <c r="AK22" t="e">
        <f>AND(Plan!AP52,"AAAAAHv/QyQ=")</f>
        <v>#VALUE!</v>
      </c>
      <c r="AL22" t="e">
        <f>AND(Plan!AQ52,"AAAAAHv/QyU=")</f>
        <v>#VALUE!</v>
      </c>
      <c r="AM22" t="e">
        <f>AND(Plan!AR52,"AAAAAHv/QyY=")</f>
        <v>#VALUE!</v>
      </c>
      <c r="AN22" t="e">
        <f>AND(Plan!AS52,"AAAAAHv/Qyc=")</f>
        <v>#VALUE!</v>
      </c>
      <c r="AO22" t="e">
        <f>AND(Plan!AT52,"AAAAAHv/Qyg=")</f>
        <v>#VALUE!</v>
      </c>
      <c r="AP22" t="e">
        <f>AND(Plan!AU52,"AAAAAHv/Qyk=")</f>
        <v>#VALUE!</v>
      </c>
      <c r="AQ22" t="e">
        <f>AND(Plan!AV52,"AAAAAHv/Qyo=")</f>
        <v>#VALUE!</v>
      </c>
      <c r="AR22" t="e">
        <f>AND(Plan!AW52,"AAAAAHv/Qys=")</f>
        <v>#VALUE!</v>
      </c>
      <c r="AS22" t="e">
        <f>AND(Plan!AX52,"AAAAAHv/Qyw=")</f>
        <v>#VALUE!</v>
      </c>
      <c r="AT22" t="e">
        <f>AND(Plan!AY52,"AAAAAHv/Qy0=")</f>
        <v>#VALUE!</v>
      </c>
      <c r="AU22" t="e">
        <f>AND(Plan!AZ52,"AAAAAHv/Qy4=")</f>
        <v>#VALUE!</v>
      </c>
      <c r="AV22" t="e">
        <f>AND(Plan!BA52,"AAAAAHv/Qy8=")</f>
        <v>#VALUE!</v>
      </c>
      <c r="AW22" t="e">
        <f>AND(Plan!BB52,"AAAAAHv/QzA=")</f>
        <v>#VALUE!</v>
      </c>
      <c r="AX22" t="e">
        <f>AND(Plan!BC52,"AAAAAHv/QzE=")</f>
        <v>#VALUE!</v>
      </c>
      <c r="AY22" t="e">
        <f>AND(Plan!BD52,"AAAAAHv/QzI=")</f>
        <v>#VALUE!</v>
      </c>
      <c r="AZ22" t="e">
        <f>AND(Plan!BE52,"AAAAAHv/QzM=")</f>
        <v>#VALUE!</v>
      </c>
      <c r="BA22" t="e">
        <f>AND(Plan!BF52,"AAAAAHv/QzQ=")</f>
        <v>#VALUE!</v>
      </c>
      <c r="BB22" t="e">
        <f>AND(Plan!BG52,"AAAAAHv/QzU=")</f>
        <v>#VALUE!</v>
      </c>
      <c r="BC22" t="e">
        <f>AND(Plan!BH52,"AAAAAHv/QzY=")</f>
        <v>#VALUE!</v>
      </c>
      <c r="BD22" t="e">
        <f>AND(Plan!BI52,"AAAAAHv/Qzc=")</f>
        <v>#VALUE!</v>
      </c>
      <c r="BE22" t="e">
        <f>AND(Plan!BJ52,"AAAAAHv/Qzg=")</f>
        <v>#VALUE!</v>
      </c>
      <c r="BF22" t="e">
        <f>AND(Plan!BK52,"AAAAAHv/Qzk=")</f>
        <v>#VALUE!</v>
      </c>
      <c r="BG22" t="e">
        <f>AND(Plan!BL52,"AAAAAHv/Qzo=")</f>
        <v>#VALUE!</v>
      </c>
      <c r="BH22" t="e">
        <f>AND(Plan!BM52,"AAAAAHv/Qzs=")</f>
        <v>#VALUE!</v>
      </c>
      <c r="BI22" t="e">
        <f>AND(Plan!BN52,"AAAAAHv/Qzw=")</f>
        <v>#VALUE!</v>
      </c>
      <c r="BJ22" t="e">
        <f>AND(Plan!BO52,"AAAAAHv/Qz0=")</f>
        <v>#VALUE!</v>
      </c>
      <c r="BK22" t="e">
        <f>AND(Plan!BP52,"AAAAAHv/Qz4=")</f>
        <v>#VALUE!</v>
      </c>
      <c r="BL22" t="e">
        <f>AND(Plan!BQ52,"AAAAAHv/Qz8=")</f>
        <v>#VALUE!</v>
      </c>
      <c r="BM22" t="e">
        <f>AND(Plan!BR52,"AAAAAHv/Q0A=")</f>
        <v>#VALUE!</v>
      </c>
      <c r="BN22" t="e">
        <f>AND(Plan!BS52,"AAAAAHv/Q0E=")</f>
        <v>#VALUE!</v>
      </c>
      <c r="BO22" t="e">
        <f>AND(Plan!BT52,"AAAAAHv/Q0I=")</f>
        <v>#VALUE!</v>
      </c>
      <c r="BP22" t="e">
        <f>AND(Plan!BU52,"AAAAAHv/Q0M=")</f>
        <v>#VALUE!</v>
      </c>
      <c r="BQ22" t="e">
        <f>AND(Plan!BV52,"AAAAAHv/Q0Q=")</f>
        <v>#VALUE!</v>
      </c>
      <c r="BR22" t="e">
        <f>AND(Plan!BW52,"AAAAAHv/Q0U=")</f>
        <v>#VALUE!</v>
      </c>
      <c r="BS22" t="e">
        <f>AND(Plan!BX52,"AAAAAHv/Q0Y=")</f>
        <v>#VALUE!</v>
      </c>
      <c r="BT22" t="e">
        <f>AND(Plan!BY52,"AAAAAHv/Q0c=")</f>
        <v>#VALUE!</v>
      </c>
      <c r="BU22" t="e">
        <f>AND(Plan!BZ52,"AAAAAHv/Q0g=")</f>
        <v>#VALUE!</v>
      </c>
      <c r="BV22" t="e">
        <f>AND(Plan!CA52,"AAAAAHv/Q0k=")</f>
        <v>#VALUE!</v>
      </c>
      <c r="BW22" t="e">
        <f>AND(Plan!CB52,"AAAAAHv/Q0o=")</f>
        <v>#VALUE!</v>
      </c>
      <c r="BX22" t="e">
        <f>AND(Plan!CC52,"AAAAAHv/Q0s=")</f>
        <v>#VALUE!</v>
      </c>
      <c r="BY22" t="e">
        <f>AND(Plan!CD52,"AAAAAHv/Q0w=")</f>
        <v>#VALUE!</v>
      </c>
      <c r="BZ22" t="e">
        <f>AND(Plan!CE52,"AAAAAHv/Q00=")</f>
        <v>#VALUE!</v>
      </c>
      <c r="CA22" t="e">
        <f>AND(Plan!CF52,"AAAAAHv/Q04=")</f>
        <v>#VALUE!</v>
      </c>
      <c r="CB22" t="e">
        <f>AND(Plan!CG52,"AAAAAHv/Q08=")</f>
        <v>#VALUE!</v>
      </c>
      <c r="CC22" t="e">
        <f>AND(Plan!CH52,"AAAAAHv/Q1A=")</f>
        <v>#VALUE!</v>
      </c>
      <c r="CD22" t="e">
        <f>AND(Plan!CI52,"AAAAAHv/Q1E=")</f>
        <v>#VALUE!</v>
      </c>
      <c r="CE22" t="e">
        <f>AND(Plan!CJ52,"AAAAAHv/Q1I=")</f>
        <v>#VALUE!</v>
      </c>
      <c r="CF22" t="e">
        <f>AND(Plan!CK52,"AAAAAHv/Q1M=")</f>
        <v>#VALUE!</v>
      </c>
      <c r="CG22" t="e">
        <f>AND(Plan!CL52,"AAAAAHv/Q1Q=")</f>
        <v>#VALUE!</v>
      </c>
      <c r="CH22" t="e">
        <f>AND(Plan!CM52,"AAAAAHv/Q1U=")</f>
        <v>#VALUE!</v>
      </c>
      <c r="CI22" t="e">
        <f>AND(Plan!CN52,"AAAAAHv/Q1Y=")</f>
        <v>#VALUE!</v>
      </c>
      <c r="CJ22" t="e">
        <f>AND(Plan!CO52,"AAAAAHv/Q1c=")</f>
        <v>#VALUE!</v>
      </c>
      <c r="CK22" t="e">
        <f>AND(Plan!CP52,"AAAAAHv/Q1g=")</f>
        <v>#VALUE!</v>
      </c>
      <c r="CL22" t="e">
        <f>AND(Plan!CQ52,"AAAAAHv/Q1k=")</f>
        <v>#VALUE!</v>
      </c>
      <c r="CM22" t="e">
        <f>AND(Plan!CR52,"AAAAAHv/Q1o=")</f>
        <v>#VALUE!</v>
      </c>
      <c r="CN22" t="e">
        <f>AND(Plan!CS52,"AAAAAHv/Q1s=")</f>
        <v>#VALUE!</v>
      </c>
      <c r="CO22" t="e">
        <f>AND(Plan!CT52,"AAAAAHv/Q1w=")</f>
        <v>#VALUE!</v>
      </c>
      <c r="CP22" t="e">
        <f>AND(Plan!CU52,"AAAAAHv/Q10=")</f>
        <v>#VALUE!</v>
      </c>
      <c r="CQ22" t="e">
        <f>AND(Plan!CV52,"AAAAAHv/Q14=")</f>
        <v>#VALUE!</v>
      </c>
      <c r="CR22" t="e">
        <f>AND(Plan!CW52,"AAAAAHv/Q18=")</f>
        <v>#VALUE!</v>
      </c>
      <c r="CS22">
        <f>IF(Plan!53:53,"AAAAAHv/Q2A=",0)</f>
        <v>0</v>
      </c>
      <c r="CT22" t="e">
        <f>AND(Plan!A53,"AAAAAHv/Q2E=")</f>
        <v>#VALUE!</v>
      </c>
      <c r="CU22" t="e">
        <f>AND(Plan!B53,"AAAAAHv/Q2I=")</f>
        <v>#VALUE!</v>
      </c>
      <c r="CV22" t="e">
        <f>AND(Plan!C53,"AAAAAHv/Q2M=")</f>
        <v>#VALUE!</v>
      </c>
      <c r="CW22" t="e">
        <f>AND(Plan!D53,"AAAAAHv/Q2Q=")</f>
        <v>#VALUE!</v>
      </c>
      <c r="CX22" t="e">
        <f>AND(Plan!E53,"AAAAAHv/Q2U=")</f>
        <v>#VALUE!</v>
      </c>
      <c r="CY22" t="e">
        <f>AND(Plan!F53,"AAAAAHv/Q2Y=")</f>
        <v>#VALUE!</v>
      </c>
      <c r="CZ22" t="e">
        <f>AND(Plan!G53,"AAAAAHv/Q2c=")</f>
        <v>#VALUE!</v>
      </c>
      <c r="DA22" t="e">
        <f>AND(Plan!H53,"AAAAAHv/Q2g=")</f>
        <v>#VALUE!</v>
      </c>
      <c r="DB22" t="e">
        <f>AND(Plan!I53,"AAAAAHv/Q2k=")</f>
        <v>#VALUE!</v>
      </c>
      <c r="DC22" t="e">
        <f>AND(Plan!J53,"AAAAAHv/Q2o=")</f>
        <v>#VALUE!</v>
      </c>
      <c r="DD22" t="e">
        <f>AND(Plan!K53,"AAAAAHv/Q2s=")</f>
        <v>#VALUE!</v>
      </c>
      <c r="DE22" t="e">
        <f>AND(Plan!L53,"AAAAAHv/Q2w=")</f>
        <v>#VALUE!</v>
      </c>
      <c r="DF22" t="e">
        <f>AND(Plan!M53,"AAAAAHv/Q20=")</f>
        <v>#VALUE!</v>
      </c>
      <c r="DG22" t="e">
        <f>AND(Plan!N53,"AAAAAHv/Q24=")</f>
        <v>#VALUE!</v>
      </c>
      <c r="DH22" t="e">
        <f>AND(Plan!O53,"AAAAAHv/Q28=")</f>
        <v>#VALUE!</v>
      </c>
      <c r="DI22" t="e">
        <f>AND(Plan!P53,"AAAAAHv/Q3A=")</f>
        <v>#VALUE!</v>
      </c>
      <c r="DJ22" t="e">
        <f>AND(Plan!Q53,"AAAAAHv/Q3E=")</f>
        <v>#VALUE!</v>
      </c>
      <c r="DK22" t="e">
        <f>AND(Plan!R53,"AAAAAHv/Q3I=")</f>
        <v>#VALUE!</v>
      </c>
      <c r="DL22" t="e">
        <f>AND(Plan!S53,"AAAAAHv/Q3M=")</f>
        <v>#VALUE!</v>
      </c>
      <c r="DM22" t="e">
        <f>AND(Plan!T53,"AAAAAHv/Q3Q=")</f>
        <v>#VALUE!</v>
      </c>
      <c r="DN22" t="e">
        <f>AND(Plan!U53,"AAAAAHv/Q3U=")</f>
        <v>#VALUE!</v>
      </c>
      <c r="DO22" t="e">
        <f>AND(Plan!V53,"AAAAAHv/Q3Y=")</f>
        <v>#VALUE!</v>
      </c>
      <c r="DP22" t="e">
        <f>AND(Plan!W53,"AAAAAHv/Q3c=")</f>
        <v>#VALUE!</v>
      </c>
      <c r="DQ22" t="e">
        <f>AND(Plan!X53,"AAAAAHv/Q3g=")</f>
        <v>#VALUE!</v>
      </c>
      <c r="DR22" t="e">
        <f>AND(Plan!Y53,"AAAAAHv/Q3k=")</f>
        <v>#VALUE!</v>
      </c>
      <c r="DS22" t="e">
        <f>AND(Plan!Z53,"AAAAAHv/Q3o=")</f>
        <v>#VALUE!</v>
      </c>
      <c r="DT22" t="e">
        <f>AND(Plan!AA53,"AAAAAHv/Q3s=")</f>
        <v>#VALUE!</v>
      </c>
      <c r="DU22" t="e">
        <f>AND(Plan!AB53,"AAAAAHv/Q3w=")</f>
        <v>#VALUE!</v>
      </c>
      <c r="DV22" t="e">
        <f>AND(Plan!AC53,"AAAAAHv/Q30=")</f>
        <v>#VALUE!</v>
      </c>
      <c r="DW22" t="e">
        <f>AND(Plan!AD53,"AAAAAHv/Q34=")</f>
        <v>#VALUE!</v>
      </c>
      <c r="DX22" t="e">
        <f>AND(Plan!AE53,"AAAAAHv/Q38=")</f>
        <v>#VALUE!</v>
      </c>
      <c r="DY22" t="e">
        <f>AND(Plan!AF53,"AAAAAHv/Q4A=")</f>
        <v>#VALUE!</v>
      </c>
      <c r="DZ22" t="e">
        <f>AND(Plan!AG53,"AAAAAHv/Q4E=")</f>
        <v>#VALUE!</v>
      </c>
      <c r="EA22" t="e">
        <f>AND(Plan!AH53,"AAAAAHv/Q4I=")</f>
        <v>#VALUE!</v>
      </c>
      <c r="EB22" t="e">
        <f>AND(Plan!AI53,"AAAAAHv/Q4M=")</f>
        <v>#VALUE!</v>
      </c>
      <c r="EC22" t="e">
        <f>AND(Plan!AJ53,"AAAAAHv/Q4Q=")</f>
        <v>#VALUE!</v>
      </c>
      <c r="ED22" t="e">
        <f>AND(Plan!AK53,"AAAAAHv/Q4U=")</f>
        <v>#VALUE!</v>
      </c>
      <c r="EE22" t="e">
        <f>AND(Plan!AL53,"AAAAAHv/Q4Y=")</f>
        <v>#VALUE!</v>
      </c>
      <c r="EF22" t="e">
        <f>AND(Plan!AM53,"AAAAAHv/Q4c=")</f>
        <v>#VALUE!</v>
      </c>
      <c r="EG22" t="e">
        <f>AND(Plan!AN53,"AAAAAHv/Q4g=")</f>
        <v>#VALUE!</v>
      </c>
      <c r="EH22" t="e">
        <f>AND(Plan!AO53,"AAAAAHv/Q4k=")</f>
        <v>#VALUE!</v>
      </c>
      <c r="EI22" t="e">
        <f>AND(Plan!AP53,"AAAAAHv/Q4o=")</f>
        <v>#VALUE!</v>
      </c>
      <c r="EJ22" t="e">
        <f>AND(Plan!AQ53,"AAAAAHv/Q4s=")</f>
        <v>#VALUE!</v>
      </c>
      <c r="EK22" t="e">
        <f>AND(Plan!AR53,"AAAAAHv/Q4w=")</f>
        <v>#VALUE!</v>
      </c>
      <c r="EL22" t="e">
        <f>AND(Plan!AS53,"AAAAAHv/Q40=")</f>
        <v>#VALUE!</v>
      </c>
      <c r="EM22" t="e">
        <f>AND(Plan!AT53,"AAAAAHv/Q44=")</f>
        <v>#VALUE!</v>
      </c>
      <c r="EN22" t="e">
        <f>AND(Plan!AU53,"AAAAAHv/Q48=")</f>
        <v>#VALUE!</v>
      </c>
      <c r="EO22" t="e">
        <f>AND(Plan!AV53,"AAAAAHv/Q5A=")</f>
        <v>#VALUE!</v>
      </c>
      <c r="EP22" t="e">
        <f>AND(Plan!AW53,"AAAAAHv/Q5E=")</f>
        <v>#VALUE!</v>
      </c>
      <c r="EQ22" t="e">
        <f>AND(Plan!AX53,"AAAAAHv/Q5I=")</f>
        <v>#VALUE!</v>
      </c>
      <c r="ER22" t="e">
        <f>AND(Plan!AY53,"AAAAAHv/Q5M=")</f>
        <v>#VALUE!</v>
      </c>
      <c r="ES22" t="e">
        <f>AND(Plan!AZ53,"AAAAAHv/Q5Q=")</f>
        <v>#VALUE!</v>
      </c>
      <c r="ET22" t="e">
        <f>AND(Plan!BA53,"AAAAAHv/Q5U=")</f>
        <v>#VALUE!</v>
      </c>
      <c r="EU22" t="e">
        <f>AND(Plan!BB53,"AAAAAHv/Q5Y=")</f>
        <v>#VALUE!</v>
      </c>
      <c r="EV22" t="e">
        <f>AND(Plan!BC53,"AAAAAHv/Q5c=")</f>
        <v>#VALUE!</v>
      </c>
      <c r="EW22" t="e">
        <f>AND(Plan!BD53,"AAAAAHv/Q5g=")</f>
        <v>#VALUE!</v>
      </c>
      <c r="EX22" t="e">
        <f>AND(Plan!BE53,"AAAAAHv/Q5k=")</f>
        <v>#VALUE!</v>
      </c>
      <c r="EY22" t="e">
        <f>AND(Plan!BF53,"AAAAAHv/Q5o=")</f>
        <v>#VALUE!</v>
      </c>
      <c r="EZ22" t="e">
        <f>AND(Plan!BG53,"AAAAAHv/Q5s=")</f>
        <v>#VALUE!</v>
      </c>
      <c r="FA22" t="e">
        <f>AND(Plan!BH53,"AAAAAHv/Q5w=")</f>
        <v>#VALUE!</v>
      </c>
      <c r="FB22" t="e">
        <f>AND(Plan!BI53,"AAAAAHv/Q50=")</f>
        <v>#VALUE!</v>
      </c>
      <c r="FC22" t="e">
        <f>AND(Plan!BJ53,"AAAAAHv/Q54=")</f>
        <v>#VALUE!</v>
      </c>
      <c r="FD22" t="e">
        <f>AND(Plan!BK53,"AAAAAHv/Q58=")</f>
        <v>#VALUE!</v>
      </c>
      <c r="FE22" t="e">
        <f>AND(Plan!BL53,"AAAAAHv/Q6A=")</f>
        <v>#VALUE!</v>
      </c>
      <c r="FF22" t="e">
        <f>AND(Plan!BM53,"AAAAAHv/Q6E=")</f>
        <v>#VALUE!</v>
      </c>
      <c r="FG22" t="e">
        <f>AND(Plan!BN53,"AAAAAHv/Q6I=")</f>
        <v>#VALUE!</v>
      </c>
      <c r="FH22" t="e">
        <f>AND(Plan!BO53,"AAAAAHv/Q6M=")</f>
        <v>#VALUE!</v>
      </c>
      <c r="FI22" t="e">
        <f>AND(Plan!BP53,"AAAAAHv/Q6Q=")</f>
        <v>#VALUE!</v>
      </c>
      <c r="FJ22" t="e">
        <f>AND(Plan!BQ53,"AAAAAHv/Q6U=")</f>
        <v>#VALUE!</v>
      </c>
      <c r="FK22" t="e">
        <f>AND(Plan!BR53,"AAAAAHv/Q6Y=")</f>
        <v>#VALUE!</v>
      </c>
      <c r="FL22" t="e">
        <f>AND(Plan!BS53,"AAAAAHv/Q6c=")</f>
        <v>#VALUE!</v>
      </c>
      <c r="FM22" t="e">
        <f>AND(Plan!BT53,"AAAAAHv/Q6g=")</f>
        <v>#VALUE!</v>
      </c>
      <c r="FN22" t="e">
        <f>AND(Plan!BU53,"AAAAAHv/Q6k=")</f>
        <v>#VALUE!</v>
      </c>
      <c r="FO22" t="e">
        <f>AND(Plan!BV53,"AAAAAHv/Q6o=")</f>
        <v>#VALUE!</v>
      </c>
      <c r="FP22" t="e">
        <f>AND(Plan!BW53,"AAAAAHv/Q6s=")</f>
        <v>#VALUE!</v>
      </c>
      <c r="FQ22" t="e">
        <f>AND(Plan!BX53,"AAAAAHv/Q6w=")</f>
        <v>#VALUE!</v>
      </c>
      <c r="FR22" t="e">
        <f>AND(Plan!BY53,"AAAAAHv/Q60=")</f>
        <v>#VALUE!</v>
      </c>
      <c r="FS22" t="e">
        <f>AND(Plan!BZ53,"AAAAAHv/Q64=")</f>
        <v>#VALUE!</v>
      </c>
      <c r="FT22" t="e">
        <f>AND(Plan!CA53,"AAAAAHv/Q68=")</f>
        <v>#VALUE!</v>
      </c>
      <c r="FU22" t="e">
        <f>AND(Plan!CB53,"AAAAAHv/Q7A=")</f>
        <v>#VALUE!</v>
      </c>
      <c r="FV22" t="e">
        <f>AND(Plan!CC53,"AAAAAHv/Q7E=")</f>
        <v>#VALUE!</v>
      </c>
      <c r="FW22" t="e">
        <f>AND(Plan!CD53,"AAAAAHv/Q7I=")</f>
        <v>#VALUE!</v>
      </c>
      <c r="FX22" t="e">
        <f>AND(Plan!CE53,"AAAAAHv/Q7M=")</f>
        <v>#VALUE!</v>
      </c>
      <c r="FY22" t="e">
        <f>AND(Plan!CF53,"AAAAAHv/Q7Q=")</f>
        <v>#VALUE!</v>
      </c>
      <c r="FZ22" t="e">
        <f>AND(Plan!CG53,"AAAAAHv/Q7U=")</f>
        <v>#VALUE!</v>
      </c>
      <c r="GA22" t="e">
        <f>AND(Plan!CH53,"AAAAAHv/Q7Y=")</f>
        <v>#VALUE!</v>
      </c>
      <c r="GB22" t="e">
        <f>AND(Plan!CI53,"AAAAAHv/Q7c=")</f>
        <v>#VALUE!</v>
      </c>
      <c r="GC22" t="e">
        <f>AND(Plan!CJ53,"AAAAAHv/Q7g=")</f>
        <v>#VALUE!</v>
      </c>
      <c r="GD22" t="e">
        <f>AND(Plan!CK53,"AAAAAHv/Q7k=")</f>
        <v>#VALUE!</v>
      </c>
      <c r="GE22" t="e">
        <f>AND(Plan!CL53,"AAAAAHv/Q7o=")</f>
        <v>#VALUE!</v>
      </c>
      <c r="GF22" t="e">
        <f>AND(Plan!CM53,"AAAAAHv/Q7s=")</f>
        <v>#VALUE!</v>
      </c>
      <c r="GG22" t="e">
        <f>AND(Plan!CN53,"AAAAAHv/Q7w=")</f>
        <v>#VALUE!</v>
      </c>
      <c r="GH22" t="e">
        <f>AND(Plan!CO53,"AAAAAHv/Q70=")</f>
        <v>#VALUE!</v>
      </c>
      <c r="GI22" t="e">
        <f>AND(Plan!CP53,"AAAAAHv/Q74=")</f>
        <v>#VALUE!</v>
      </c>
      <c r="GJ22" t="e">
        <f>AND(Plan!CQ53,"AAAAAHv/Q78=")</f>
        <v>#VALUE!</v>
      </c>
      <c r="GK22" t="e">
        <f>AND(Plan!CR53,"AAAAAHv/Q8A=")</f>
        <v>#VALUE!</v>
      </c>
      <c r="GL22" t="e">
        <f>AND(Plan!CS53,"AAAAAHv/Q8E=")</f>
        <v>#VALUE!</v>
      </c>
      <c r="GM22" t="e">
        <f>AND(Plan!CT53,"AAAAAHv/Q8I=")</f>
        <v>#VALUE!</v>
      </c>
      <c r="GN22" t="e">
        <f>AND(Plan!CU53,"AAAAAHv/Q8M=")</f>
        <v>#VALUE!</v>
      </c>
      <c r="GO22" t="e">
        <f>AND(Plan!CV53,"AAAAAHv/Q8Q=")</f>
        <v>#VALUE!</v>
      </c>
      <c r="GP22" t="e">
        <f>AND(Plan!CW53,"AAAAAHv/Q8U=")</f>
        <v>#VALUE!</v>
      </c>
      <c r="GQ22">
        <f>IF(Plan!54:54,"AAAAAHv/Q8Y=",0)</f>
        <v>0</v>
      </c>
      <c r="GR22" t="e">
        <f>AND(Plan!A54,"AAAAAHv/Q8c=")</f>
        <v>#VALUE!</v>
      </c>
      <c r="GS22" t="e">
        <f>AND(Plan!B54,"AAAAAHv/Q8g=")</f>
        <v>#VALUE!</v>
      </c>
      <c r="GT22" t="e">
        <f>AND(Plan!C54,"AAAAAHv/Q8k=")</f>
        <v>#VALUE!</v>
      </c>
      <c r="GU22" t="e">
        <f>AND(Plan!D54,"AAAAAHv/Q8o=")</f>
        <v>#VALUE!</v>
      </c>
      <c r="GV22" t="e">
        <f>AND(Plan!E54,"AAAAAHv/Q8s=")</f>
        <v>#VALUE!</v>
      </c>
      <c r="GW22" t="e">
        <f>AND(Plan!F54,"AAAAAHv/Q8w=")</f>
        <v>#VALUE!</v>
      </c>
      <c r="GX22" t="e">
        <f>AND(Plan!G54,"AAAAAHv/Q80=")</f>
        <v>#VALUE!</v>
      </c>
      <c r="GY22" t="e">
        <f>AND(Plan!H54,"AAAAAHv/Q84=")</f>
        <v>#VALUE!</v>
      </c>
      <c r="GZ22" t="e">
        <f>AND(Plan!I54,"AAAAAHv/Q88=")</f>
        <v>#VALUE!</v>
      </c>
      <c r="HA22" t="e">
        <f>AND(Plan!J54,"AAAAAHv/Q9A=")</f>
        <v>#VALUE!</v>
      </c>
      <c r="HB22" t="e">
        <f>AND(Plan!K54,"AAAAAHv/Q9E=")</f>
        <v>#VALUE!</v>
      </c>
      <c r="HC22" t="e">
        <f>AND(Plan!L54,"AAAAAHv/Q9I=")</f>
        <v>#VALUE!</v>
      </c>
      <c r="HD22" t="e">
        <f>AND(Plan!M54,"AAAAAHv/Q9M=")</f>
        <v>#VALUE!</v>
      </c>
      <c r="HE22" t="e">
        <f>AND(Plan!N54,"AAAAAHv/Q9Q=")</f>
        <v>#VALUE!</v>
      </c>
      <c r="HF22" t="e">
        <f>AND(Plan!O54,"AAAAAHv/Q9U=")</f>
        <v>#VALUE!</v>
      </c>
      <c r="HG22" t="e">
        <f>AND(Plan!P54,"AAAAAHv/Q9Y=")</f>
        <v>#VALUE!</v>
      </c>
      <c r="HH22" t="e">
        <f>AND(Plan!Q54,"AAAAAHv/Q9c=")</f>
        <v>#VALUE!</v>
      </c>
      <c r="HI22" t="e">
        <f>AND(Plan!R54,"AAAAAHv/Q9g=")</f>
        <v>#VALUE!</v>
      </c>
      <c r="HJ22" t="e">
        <f>AND(Plan!S54,"AAAAAHv/Q9k=")</f>
        <v>#VALUE!</v>
      </c>
      <c r="HK22" t="e">
        <f>AND(Plan!T54,"AAAAAHv/Q9o=")</f>
        <v>#VALUE!</v>
      </c>
      <c r="HL22" t="e">
        <f>AND(Plan!U54,"AAAAAHv/Q9s=")</f>
        <v>#VALUE!</v>
      </c>
      <c r="HM22" t="e">
        <f>AND(Plan!V54,"AAAAAHv/Q9w=")</f>
        <v>#VALUE!</v>
      </c>
      <c r="HN22" t="e">
        <f>AND(Plan!W54,"AAAAAHv/Q90=")</f>
        <v>#VALUE!</v>
      </c>
      <c r="HO22" t="e">
        <f>AND(Plan!X54,"AAAAAHv/Q94=")</f>
        <v>#VALUE!</v>
      </c>
      <c r="HP22" t="e">
        <f>AND(Plan!Y54,"AAAAAHv/Q98=")</f>
        <v>#VALUE!</v>
      </c>
      <c r="HQ22" t="e">
        <f>AND(Plan!Z54,"AAAAAHv/Q+A=")</f>
        <v>#VALUE!</v>
      </c>
      <c r="HR22" t="e">
        <f>AND(Plan!AA54,"AAAAAHv/Q+E=")</f>
        <v>#VALUE!</v>
      </c>
      <c r="HS22" t="e">
        <f>AND(Plan!AB54,"AAAAAHv/Q+I=")</f>
        <v>#VALUE!</v>
      </c>
      <c r="HT22" t="e">
        <f>AND(Plan!AC54,"AAAAAHv/Q+M=")</f>
        <v>#VALUE!</v>
      </c>
      <c r="HU22" t="e">
        <f>AND(Plan!AD54,"AAAAAHv/Q+Q=")</f>
        <v>#VALUE!</v>
      </c>
      <c r="HV22" t="e">
        <f>AND(Plan!AE54,"AAAAAHv/Q+U=")</f>
        <v>#VALUE!</v>
      </c>
      <c r="HW22" t="e">
        <f>AND(Plan!AF54,"AAAAAHv/Q+Y=")</f>
        <v>#VALUE!</v>
      </c>
      <c r="HX22" t="e">
        <f>AND(Plan!AG54,"AAAAAHv/Q+c=")</f>
        <v>#VALUE!</v>
      </c>
      <c r="HY22" t="e">
        <f>AND(Plan!AH54,"AAAAAHv/Q+g=")</f>
        <v>#VALUE!</v>
      </c>
      <c r="HZ22" t="e">
        <f>AND(Plan!AI54,"AAAAAHv/Q+k=")</f>
        <v>#VALUE!</v>
      </c>
      <c r="IA22" t="e">
        <f>AND(Plan!AJ54,"AAAAAHv/Q+o=")</f>
        <v>#VALUE!</v>
      </c>
      <c r="IB22" t="e">
        <f>AND(Plan!AK54,"AAAAAHv/Q+s=")</f>
        <v>#VALUE!</v>
      </c>
      <c r="IC22" t="e">
        <f>AND(Plan!AL54,"AAAAAHv/Q+w=")</f>
        <v>#VALUE!</v>
      </c>
      <c r="ID22" t="e">
        <f>AND(Plan!AM54,"AAAAAHv/Q+0=")</f>
        <v>#VALUE!</v>
      </c>
      <c r="IE22" t="e">
        <f>AND(Plan!AN54,"AAAAAHv/Q+4=")</f>
        <v>#VALUE!</v>
      </c>
      <c r="IF22" t="e">
        <f>AND(Plan!AO54,"AAAAAHv/Q+8=")</f>
        <v>#VALUE!</v>
      </c>
      <c r="IG22" t="e">
        <f>AND(Plan!AP54,"AAAAAHv/Q/A=")</f>
        <v>#VALUE!</v>
      </c>
      <c r="IH22" t="e">
        <f>AND(Plan!AQ54,"AAAAAHv/Q/E=")</f>
        <v>#VALUE!</v>
      </c>
      <c r="II22" t="e">
        <f>AND(Plan!AR54,"AAAAAHv/Q/I=")</f>
        <v>#VALUE!</v>
      </c>
      <c r="IJ22" t="e">
        <f>AND(Plan!AS54,"AAAAAHv/Q/M=")</f>
        <v>#VALUE!</v>
      </c>
      <c r="IK22" t="e">
        <f>AND(Plan!AT54,"AAAAAHv/Q/Q=")</f>
        <v>#VALUE!</v>
      </c>
      <c r="IL22" t="e">
        <f>AND(Plan!AU54,"AAAAAHv/Q/U=")</f>
        <v>#VALUE!</v>
      </c>
      <c r="IM22" t="e">
        <f>AND(Plan!AV54,"AAAAAHv/Q/Y=")</f>
        <v>#VALUE!</v>
      </c>
      <c r="IN22" t="e">
        <f>AND(Plan!AW54,"AAAAAHv/Q/c=")</f>
        <v>#VALUE!</v>
      </c>
      <c r="IO22" t="e">
        <f>AND(Plan!AX54,"AAAAAHv/Q/g=")</f>
        <v>#VALUE!</v>
      </c>
      <c r="IP22" t="e">
        <f>AND(Plan!AY54,"AAAAAHv/Q/k=")</f>
        <v>#VALUE!</v>
      </c>
      <c r="IQ22" t="e">
        <f>AND(Plan!AZ54,"AAAAAHv/Q/o=")</f>
        <v>#VALUE!</v>
      </c>
      <c r="IR22" t="e">
        <f>AND(Plan!BA54,"AAAAAHv/Q/s=")</f>
        <v>#VALUE!</v>
      </c>
      <c r="IS22" t="e">
        <f>AND(Plan!BB54,"AAAAAHv/Q/w=")</f>
        <v>#VALUE!</v>
      </c>
      <c r="IT22" t="e">
        <f>AND(Plan!BC54,"AAAAAHv/Q/0=")</f>
        <v>#VALUE!</v>
      </c>
      <c r="IU22" t="e">
        <f>AND(Plan!BD54,"AAAAAHv/Q/4=")</f>
        <v>#VALUE!</v>
      </c>
      <c r="IV22" t="e">
        <f>AND(Plan!BE54,"AAAAAHv/Q/8=")</f>
        <v>#VALUE!</v>
      </c>
    </row>
    <row r="23" spans="1:256">
      <c r="A23" t="e">
        <f>AND(Plan!BF54,"AAAAAH8/7gA=")</f>
        <v>#VALUE!</v>
      </c>
      <c r="B23" t="e">
        <f>AND(Plan!BG54,"AAAAAH8/7gE=")</f>
        <v>#VALUE!</v>
      </c>
      <c r="C23" t="e">
        <f>AND(Plan!BH54,"AAAAAH8/7gI=")</f>
        <v>#VALUE!</v>
      </c>
      <c r="D23" t="e">
        <f>AND(Plan!BI54,"AAAAAH8/7gM=")</f>
        <v>#VALUE!</v>
      </c>
      <c r="E23" t="e">
        <f>AND(Plan!BJ54,"AAAAAH8/7gQ=")</f>
        <v>#VALUE!</v>
      </c>
      <c r="F23" t="e">
        <f>AND(Plan!BK54,"AAAAAH8/7gU=")</f>
        <v>#VALUE!</v>
      </c>
      <c r="G23" t="e">
        <f>AND(Plan!BL54,"AAAAAH8/7gY=")</f>
        <v>#VALUE!</v>
      </c>
      <c r="H23" t="e">
        <f>AND(Plan!BM54,"AAAAAH8/7gc=")</f>
        <v>#VALUE!</v>
      </c>
      <c r="I23" t="e">
        <f>AND(Plan!BN54,"AAAAAH8/7gg=")</f>
        <v>#VALUE!</v>
      </c>
      <c r="J23" t="e">
        <f>AND(Plan!BO54,"AAAAAH8/7gk=")</f>
        <v>#VALUE!</v>
      </c>
      <c r="K23" t="e">
        <f>AND(Plan!BP54,"AAAAAH8/7go=")</f>
        <v>#VALUE!</v>
      </c>
      <c r="L23" t="e">
        <f>AND(Plan!BQ54,"AAAAAH8/7gs=")</f>
        <v>#VALUE!</v>
      </c>
      <c r="M23" t="e">
        <f>AND(Plan!BR54,"AAAAAH8/7gw=")</f>
        <v>#VALUE!</v>
      </c>
      <c r="N23" t="e">
        <f>AND(Plan!BS54,"AAAAAH8/7g0=")</f>
        <v>#VALUE!</v>
      </c>
      <c r="O23" t="e">
        <f>AND(Plan!BT54,"AAAAAH8/7g4=")</f>
        <v>#VALUE!</v>
      </c>
      <c r="P23" t="e">
        <f>AND(Plan!BU54,"AAAAAH8/7g8=")</f>
        <v>#VALUE!</v>
      </c>
      <c r="Q23" t="e">
        <f>AND(Plan!BV54,"AAAAAH8/7hA=")</f>
        <v>#VALUE!</v>
      </c>
      <c r="R23" t="e">
        <f>AND(Plan!BW54,"AAAAAH8/7hE=")</f>
        <v>#VALUE!</v>
      </c>
      <c r="S23" t="e">
        <f>AND(Plan!BX54,"AAAAAH8/7hI=")</f>
        <v>#VALUE!</v>
      </c>
      <c r="T23" t="e">
        <f>AND(Plan!BY54,"AAAAAH8/7hM=")</f>
        <v>#VALUE!</v>
      </c>
      <c r="U23" t="e">
        <f>AND(Plan!BZ54,"AAAAAH8/7hQ=")</f>
        <v>#VALUE!</v>
      </c>
      <c r="V23" t="e">
        <f>AND(Plan!CA54,"AAAAAH8/7hU=")</f>
        <v>#VALUE!</v>
      </c>
      <c r="W23" t="e">
        <f>AND(Plan!CB54,"AAAAAH8/7hY=")</f>
        <v>#VALUE!</v>
      </c>
      <c r="X23" t="e">
        <f>AND(Plan!CC54,"AAAAAH8/7hc=")</f>
        <v>#VALUE!</v>
      </c>
      <c r="Y23" t="e">
        <f>AND(Plan!CD54,"AAAAAH8/7hg=")</f>
        <v>#VALUE!</v>
      </c>
      <c r="Z23" t="e">
        <f>AND(Plan!CE54,"AAAAAH8/7hk=")</f>
        <v>#VALUE!</v>
      </c>
      <c r="AA23" t="e">
        <f>AND(Plan!CF54,"AAAAAH8/7ho=")</f>
        <v>#VALUE!</v>
      </c>
      <c r="AB23" t="e">
        <f>AND(Plan!CG54,"AAAAAH8/7hs=")</f>
        <v>#VALUE!</v>
      </c>
      <c r="AC23" t="e">
        <f>AND(Plan!CH54,"AAAAAH8/7hw=")</f>
        <v>#VALUE!</v>
      </c>
      <c r="AD23" t="e">
        <f>AND(Plan!CI54,"AAAAAH8/7h0=")</f>
        <v>#VALUE!</v>
      </c>
      <c r="AE23" t="e">
        <f>AND(Plan!CJ54,"AAAAAH8/7h4=")</f>
        <v>#VALUE!</v>
      </c>
      <c r="AF23" t="e">
        <f>AND(Plan!CK54,"AAAAAH8/7h8=")</f>
        <v>#VALUE!</v>
      </c>
      <c r="AG23" t="e">
        <f>AND(Plan!CL54,"AAAAAH8/7iA=")</f>
        <v>#VALUE!</v>
      </c>
      <c r="AH23" t="e">
        <f>AND(Plan!CM54,"AAAAAH8/7iE=")</f>
        <v>#VALUE!</v>
      </c>
      <c r="AI23" t="e">
        <f>AND(Plan!CN54,"AAAAAH8/7iI=")</f>
        <v>#VALUE!</v>
      </c>
      <c r="AJ23" t="e">
        <f>AND(Plan!CO54,"AAAAAH8/7iM=")</f>
        <v>#VALUE!</v>
      </c>
      <c r="AK23" t="e">
        <f>AND(Plan!CP54,"AAAAAH8/7iQ=")</f>
        <v>#VALUE!</v>
      </c>
      <c r="AL23" t="e">
        <f>AND(Plan!CQ54,"AAAAAH8/7iU=")</f>
        <v>#VALUE!</v>
      </c>
      <c r="AM23" t="e">
        <f>AND(Plan!CR54,"AAAAAH8/7iY=")</f>
        <v>#VALUE!</v>
      </c>
      <c r="AN23" t="e">
        <f>AND(Plan!CS54,"AAAAAH8/7ic=")</f>
        <v>#VALUE!</v>
      </c>
      <c r="AO23" t="e">
        <f>AND(Plan!CT54,"AAAAAH8/7ig=")</f>
        <v>#VALUE!</v>
      </c>
      <c r="AP23" t="e">
        <f>AND(Plan!CU54,"AAAAAH8/7ik=")</f>
        <v>#VALUE!</v>
      </c>
      <c r="AQ23" t="e">
        <f>AND(Plan!CV54,"AAAAAH8/7io=")</f>
        <v>#VALUE!</v>
      </c>
      <c r="AR23" t="e">
        <f>AND(Plan!CW54,"AAAAAH8/7is=")</f>
        <v>#VALUE!</v>
      </c>
      <c r="AS23">
        <f>IF(Plan!55:55,"AAAAAH8/7iw=",0)</f>
        <v>0</v>
      </c>
      <c r="AT23" t="e">
        <f>AND(Plan!A55,"AAAAAH8/7i0=")</f>
        <v>#VALUE!</v>
      </c>
      <c r="AU23" t="e">
        <f>AND(Plan!B55,"AAAAAH8/7i4=")</f>
        <v>#VALUE!</v>
      </c>
      <c r="AV23" t="e">
        <f>AND(Plan!C55,"AAAAAH8/7i8=")</f>
        <v>#VALUE!</v>
      </c>
      <c r="AW23" t="e">
        <f>AND(Plan!D55,"AAAAAH8/7jA=")</f>
        <v>#VALUE!</v>
      </c>
      <c r="AX23" t="e">
        <f>AND(Plan!E55,"AAAAAH8/7jE=")</f>
        <v>#VALUE!</v>
      </c>
      <c r="AY23" t="e">
        <f>AND(Plan!F55,"AAAAAH8/7jI=")</f>
        <v>#VALUE!</v>
      </c>
      <c r="AZ23" t="e">
        <f>AND(Plan!G55,"AAAAAH8/7jM=")</f>
        <v>#VALUE!</v>
      </c>
      <c r="BA23" t="e">
        <f>AND(Plan!H55,"AAAAAH8/7jQ=")</f>
        <v>#VALUE!</v>
      </c>
      <c r="BB23" t="e">
        <f>AND(Plan!I55,"AAAAAH8/7jU=")</f>
        <v>#VALUE!</v>
      </c>
      <c r="BC23" t="e">
        <f>AND(Plan!J55,"AAAAAH8/7jY=")</f>
        <v>#VALUE!</v>
      </c>
      <c r="BD23" t="e">
        <f>AND(Plan!K55,"AAAAAH8/7jc=")</f>
        <v>#VALUE!</v>
      </c>
      <c r="BE23" t="e">
        <f>AND(Plan!L55,"AAAAAH8/7jg=")</f>
        <v>#VALUE!</v>
      </c>
      <c r="BF23" t="e">
        <f>AND(Plan!M55,"AAAAAH8/7jk=")</f>
        <v>#VALUE!</v>
      </c>
      <c r="BG23" t="e">
        <f>AND(Plan!N55,"AAAAAH8/7jo=")</f>
        <v>#VALUE!</v>
      </c>
      <c r="BH23" t="e">
        <f>AND(Plan!O55,"AAAAAH8/7js=")</f>
        <v>#VALUE!</v>
      </c>
      <c r="BI23" t="e">
        <f>AND(Plan!P55,"AAAAAH8/7jw=")</f>
        <v>#VALUE!</v>
      </c>
      <c r="BJ23" t="e">
        <f>AND(Plan!Q55,"AAAAAH8/7j0=")</f>
        <v>#VALUE!</v>
      </c>
      <c r="BK23" t="e">
        <f>AND(Plan!R55,"AAAAAH8/7j4=")</f>
        <v>#VALUE!</v>
      </c>
      <c r="BL23" t="e">
        <f>AND(Plan!S55,"AAAAAH8/7j8=")</f>
        <v>#VALUE!</v>
      </c>
      <c r="BM23" t="e">
        <f>AND(Plan!T55,"AAAAAH8/7kA=")</f>
        <v>#VALUE!</v>
      </c>
      <c r="BN23" t="e">
        <f>AND(Plan!U55,"AAAAAH8/7kE=")</f>
        <v>#VALUE!</v>
      </c>
      <c r="BO23" t="e">
        <f>AND(Plan!V55,"AAAAAH8/7kI=")</f>
        <v>#VALUE!</v>
      </c>
      <c r="BP23" t="e">
        <f>AND(Plan!W55,"AAAAAH8/7kM=")</f>
        <v>#VALUE!</v>
      </c>
      <c r="BQ23" t="e">
        <f>AND(Plan!X55,"AAAAAH8/7kQ=")</f>
        <v>#VALUE!</v>
      </c>
      <c r="BR23" t="e">
        <f>AND(Plan!Y55,"AAAAAH8/7kU=")</f>
        <v>#VALUE!</v>
      </c>
      <c r="BS23" t="e">
        <f>AND(Plan!Z55,"AAAAAH8/7kY=")</f>
        <v>#VALUE!</v>
      </c>
      <c r="BT23" t="e">
        <f>AND(Plan!AA55,"AAAAAH8/7kc=")</f>
        <v>#VALUE!</v>
      </c>
      <c r="BU23" t="e">
        <f>AND(Plan!AB55,"AAAAAH8/7kg=")</f>
        <v>#VALUE!</v>
      </c>
      <c r="BV23" t="e">
        <f>AND(Plan!AC55,"AAAAAH8/7kk=")</f>
        <v>#VALUE!</v>
      </c>
      <c r="BW23" t="e">
        <f>AND(Plan!AD55,"AAAAAH8/7ko=")</f>
        <v>#VALUE!</v>
      </c>
      <c r="BX23" t="e">
        <f>AND(Plan!AE55,"AAAAAH8/7ks=")</f>
        <v>#VALUE!</v>
      </c>
      <c r="BY23" t="e">
        <f>AND(Plan!AF55,"AAAAAH8/7kw=")</f>
        <v>#VALUE!</v>
      </c>
      <c r="BZ23" t="e">
        <f>AND(Plan!AG55,"AAAAAH8/7k0=")</f>
        <v>#VALUE!</v>
      </c>
      <c r="CA23" t="e">
        <f>AND(Plan!AH55,"AAAAAH8/7k4=")</f>
        <v>#VALUE!</v>
      </c>
      <c r="CB23" t="e">
        <f>AND(Plan!AI55,"AAAAAH8/7k8=")</f>
        <v>#VALUE!</v>
      </c>
      <c r="CC23" t="e">
        <f>AND(Plan!AJ55,"AAAAAH8/7lA=")</f>
        <v>#VALUE!</v>
      </c>
      <c r="CD23" t="e">
        <f>AND(Plan!AK55,"AAAAAH8/7lE=")</f>
        <v>#VALUE!</v>
      </c>
      <c r="CE23" t="e">
        <f>AND(Plan!AL55,"AAAAAH8/7lI=")</f>
        <v>#VALUE!</v>
      </c>
      <c r="CF23" t="e">
        <f>AND(Plan!AM55,"AAAAAH8/7lM=")</f>
        <v>#VALUE!</v>
      </c>
      <c r="CG23" t="e">
        <f>AND(Plan!AN55,"AAAAAH8/7lQ=")</f>
        <v>#VALUE!</v>
      </c>
      <c r="CH23" t="e">
        <f>AND(Plan!AO55,"AAAAAH8/7lU=")</f>
        <v>#VALUE!</v>
      </c>
      <c r="CI23" t="e">
        <f>AND(Plan!AP55,"AAAAAH8/7lY=")</f>
        <v>#VALUE!</v>
      </c>
      <c r="CJ23" t="e">
        <f>AND(Plan!AQ55,"AAAAAH8/7lc=")</f>
        <v>#VALUE!</v>
      </c>
      <c r="CK23" t="e">
        <f>AND(Plan!AR55,"AAAAAH8/7lg=")</f>
        <v>#VALUE!</v>
      </c>
      <c r="CL23" t="e">
        <f>AND(Plan!AS55,"AAAAAH8/7lk=")</f>
        <v>#VALUE!</v>
      </c>
      <c r="CM23" t="e">
        <f>AND(Plan!AT55,"AAAAAH8/7lo=")</f>
        <v>#VALUE!</v>
      </c>
      <c r="CN23" t="e">
        <f>AND(Plan!AU55,"AAAAAH8/7ls=")</f>
        <v>#VALUE!</v>
      </c>
      <c r="CO23" t="e">
        <f>AND(Plan!AV55,"AAAAAH8/7lw=")</f>
        <v>#VALUE!</v>
      </c>
      <c r="CP23" t="e">
        <f>AND(Plan!AW55,"AAAAAH8/7l0=")</f>
        <v>#VALUE!</v>
      </c>
      <c r="CQ23" t="e">
        <f>AND(Plan!AX55,"AAAAAH8/7l4=")</f>
        <v>#VALUE!</v>
      </c>
      <c r="CR23" t="e">
        <f>AND(Plan!AY55,"AAAAAH8/7l8=")</f>
        <v>#VALUE!</v>
      </c>
      <c r="CS23" t="e">
        <f>AND(Plan!AZ55,"AAAAAH8/7mA=")</f>
        <v>#VALUE!</v>
      </c>
      <c r="CT23" t="e">
        <f>AND(Plan!BA55,"AAAAAH8/7mE=")</f>
        <v>#VALUE!</v>
      </c>
      <c r="CU23" t="e">
        <f>AND(Plan!BB55,"AAAAAH8/7mI=")</f>
        <v>#VALUE!</v>
      </c>
      <c r="CV23" t="e">
        <f>AND(Plan!BC55,"AAAAAH8/7mM=")</f>
        <v>#VALUE!</v>
      </c>
      <c r="CW23" t="e">
        <f>AND(Plan!BD55,"AAAAAH8/7mQ=")</f>
        <v>#VALUE!</v>
      </c>
      <c r="CX23" t="e">
        <f>AND(Plan!BE55,"AAAAAH8/7mU=")</f>
        <v>#VALUE!</v>
      </c>
      <c r="CY23" t="e">
        <f>AND(Plan!BF55,"AAAAAH8/7mY=")</f>
        <v>#VALUE!</v>
      </c>
      <c r="CZ23" t="e">
        <f>AND(Plan!BG55,"AAAAAH8/7mc=")</f>
        <v>#VALUE!</v>
      </c>
      <c r="DA23" t="e">
        <f>AND(Plan!BH55,"AAAAAH8/7mg=")</f>
        <v>#VALUE!</v>
      </c>
      <c r="DB23" t="e">
        <f>AND(Plan!BI55,"AAAAAH8/7mk=")</f>
        <v>#VALUE!</v>
      </c>
      <c r="DC23" t="e">
        <f>AND(Plan!BJ55,"AAAAAH8/7mo=")</f>
        <v>#VALUE!</v>
      </c>
      <c r="DD23" t="e">
        <f>AND(Plan!BK55,"AAAAAH8/7ms=")</f>
        <v>#VALUE!</v>
      </c>
      <c r="DE23" t="e">
        <f>AND(Plan!BL55,"AAAAAH8/7mw=")</f>
        <v>#VALUE!</v>
      </c>
      <c r="DF23" t="e">
        <f>AND(Plan!BM55,"AAAAAH8/7m0=")</f>
        <v>#VALUE!</v>
      </c>
      <c r="DG23" t="e">
        <f>AND(Plan!BN55,"AAAAAH8/7m4=")</f>
        <v>#VALUE!</v>
      </c>
      <c r="DH23" t="e">
        <f>AND(Plan!BO55,"AAAAAH8/7m8=")</f>
        <v>#VALUE!</v>
      </c>
      <c r="DI23" t="e">
        <f>AND(Plan!BP55,"AAAAAH8/7nA=")</f>
        <v>#VALUE!</v>
      </c>
      <c r="DJ23" t="e">
        <f>AND(Plan!BQ55,"AAAAAH8/7nE=")</f>
        <v>#VALUE!</v>
      </c>
      <c r="DK23" t="e">
        <f>AND(Plan!BR55,"AAAAAH8/7nI=")</f>
        <v>#VALUE!</v>
      </c>
      <c r="DL23" t="e">
        <f>AND(Plan!BS55,"AAAAAH8/7nM=")</f>
        <v>#VALUE!</v>
      </c>
      <c r="DM23" t="e">
        <f>AND(Plan!BT55,"AAAAAH8/7nQ=")</f>
        <v>#VALUE!</v>
      </c>
      <c r="DN23" t="e">
        <f>AND(Plan!BU55,"AAAAAH8/7nU=")</f>
        <v>#VALUE!</v>
      </c>
      <c r="DO23" t="e">
        <f>AND(Plan!BV55,"AAAAAH8/7nY=")</f>
        <v>#VALUE!</v>
      </c>
      <c r="DP23" t="e">
        <f>AND(Plan!BW55,"AAAAAH8/7nc=")</f>
        <v>#VALUE!</v>
      </c>
      <c r="DQ23" t="e">
        <f>AND(Plan!BX55,"AAAAAH8/7ng=")</f>
        <v>#VALUE!</v>
      </c>
      <c r="DR23" t="e">
        <f>AND(Plan!BY55,"AAAAAH8/7nk=")</f>
        <v>#VALUE!</v>
      </c>
      <c r="DS23" t="e">
        <f>AND(Plan!BZ55,"AAAAAH8/7no=")</f>
        <v>#VALUE!</v>
      </c>
      <c r="DT23" t="e">
        <f>AND(Plan!CA55,"AAAAAH8/7ns=")</f>
        <v>#VALUE!</v>
      </c>
      <c r="DU23" t="e">
        <f>AND(Plan!CB55,"AAAAAH8/7nw=")</f>
        <v>#VALUE!</v>
      </c>
      <c r="DV23" t="e">
        <f>AND(Plan!CC55,"AAAAAH8/7n0=")</f>
        <v>#VALUE!</v>
      </c>
      <c r="DW23" t="e">
        <f>AND(Plan!CD55,"AAAAAH8/7n4=")</f>
        <v>#VALUE!</v>
      </c>
      <c r="DX23" t="e">
        <f>AND(Plan!CE55,"AAAAAH8/7n8=")</f>
        <v>#VALUE!</v>
      </c>
      <c r="DY23" t="e">
        <f>AND(Plan!CF55,"AAAAAH8/7oA=")</f>
        <v>#VALUE!</v>
      </c>
      <c r="DZ23" t="e">
        <f>AND(Plan!CG55,"AAAAAH8/7oE=")</f>
        <v>#VALUE!</v>
      </c>
      <c r="EA23" t="e">
        <f>AND(Plan!CH55,"AAAAAH8/7oI=")</f>
        <v>#VALUE!</v>
      </c>
      <c r="EB23" t="e">
        <f>AND(Plan!CI55,"AAAAAH8/7oM=")</f>
        <v>#VALUE!</v>
      </c>
      <c r="EC23" t="e">
        <f>AND(Plan!CJ55,"AAAAAH8/7oQ=")</f>
        <v>#VALUE!</v>
      </c>
      <c r="ED23" t="e">
        <f>AND(Plan!CK55,"AAAAAH8/7oU=")</f>
        <v>#VALUE!</v>
      </c>
      <c r="EE23" t="e">
        <f>AND(Plan!CL55,"AAAAAH8/7oY=")</f>
        <v>#VALUE!</v>
      </c>
      <c r="EF23" t="e">
        <f>AND(Plan!CM55,"AAAAAH8/7oc=")</f>
        <v>#VALUE!</v>
      </c>
      <c r="EG23" t="e">
        <f>AND(Plan!CN55,"AAAAAH8/7og=")</f>
        <v>#VALUE!</v>
      </c>
      <c r="EH23" t="e">
        <f>AND(Plan!CO55,"AAAAAH8/7ok=")</f>
        <v>#VALUE!</v>
      </c>
      <c r="EI23" t="e">
        <f>AND(Plan!CP55,"AAAAAH8/7oo=")</f>
        <v>#VALUE!</v>
      </c>
      <c r="EJ23" t="e">
        <f>AND(Plan!CQ55,"AAAAAH8/7os=")</f>
        <v>#VALUE!</v>
      </c>
      <c r="EK23" t="e">
        <f>AND(Plan!CR55,"AAAAAH8/7ow=")</f>
        <v>#VALUE!</v>
      </c>
      <c r="EL23" t="e">
        <f>AND(Plan!CS55,"AAAAAH8/7o0=")</f>
        <v>#VALUE!</v>
      </c>
      <c r="EM23" t="e">
        <f>AND(Plan!CT55,"AAAAAH8/7o4=")</f>
        <v>#VALUE!</v>
      </c>
      <c r="EN23" t="e">
        <f>AND(Plan!CU55,"AAAAAH8/7o8=")</f>
        <v>#VALUE!</v>
      </c>
      <c r="EO23" t="e">
        <f>AND(Plan!CV55,"AAAAAH8/7pA=")</f>
        <v>#VALUE!</v>
      </c>
      <c r="EP23" t="e">
        <f>AND(Plan!CW55,"AAAAAH8/7pE=")</f>
        <v>#VALUE!</v>
      </c>
      <c r="EQ23">
        <f>IF(Plan!56:56,"AAAAAH8/7pI=",0)</f>
        <v>0</v>
      </c>
      <c r="ER23" t="e">
        <f>AND(Plan!A56,"AAAAAH8/7pM=")</f>
        <v>#VALUE!</v>
      </c>
      <c r="ES23" t="e">
        <f>AND(Plan!B56,"AAAAAH8/7pQ=")</f>
        <v>#VALUE!</v>
      </c>
      <c r="ET23" t="e">
        <f>AND(Plan!C56,"AAAAAH8/7pU=")</f>
        <v>#VALUE!</v>
      </c>
      <c r="EU23" t="e">
        <f>AND(Plan!D56,"AAAAAH8/7pY=")</f>
        <v>#VALUE!</v>
      </c>
      <c r="EV23" t="e">
        <f>AND(Plan!E56,"AAAAAH8/7pc=")</f>
        <v>#VALUE!</v>
      </c>
      <c r="EW23" t="e">
        <f>AND(Plan!F56,"AAAAAH8/7pg=")</f>
        <v>#VALUE!</v>
      </c>
      <c r="EX23" t="e">
        <f>AND(Plan!G56,"AAAAAH8/7pk=")</f>
        <v>#VALUE!</v>
      </c>
      <c r="EY23" t="e">
        <f>AND(Plan!H56,"AAAAAH8/7po=")</f>
        <v>#VALUE!</v>
      </c>
      <c r="EZ23" t="e">
        <f>AND(Plan!I56,"AAAAAH8/7ps=")</f>
        <v>#VALUE!</v>
      </c>
      <c r="FA23" t="e">
        <f>AND(Plan!J56,"AAAAAH8/7pw=")</f>
        <v>#VALUE!</v>
      </c>
      <c r="FB23" t="e">
        <f>AND(Plan!K56,"AAAAAH8/7p0=")</f>
        <v>#VALUE!</v>
      </c>
      <c r="FC23" t="e">
        <f>AND(Plan!L56,"AAAAAH8/7p4=")</f>
        <v>#VALUE!</v>
      </c>
      <c r="FD23" t="e">
        <f>AND(Plan!M56,"AAAAAH8/7p8=")</f>
        <v>#VALUE!</v>
      </c>
      <c r="FE23" t="e">
        <f>AND(Plan!N56,"AAAAAH8/7qA=")</f>
        <v>#VALUE!</v>
      </c>
      <c r="FF23" t="e">
        <f>AND(Plan!O56,"AAAAAH8/7qE=")</f>
        <v>#VALUE!</v>
      </c>
      <c r="FG23" t="e">
        <f>AND(Plan!P56,"AAAAAH8/7qI=")</f>
        <v>#VALUE!</v>
      </c>
      <c r="FH23" t="e">
        <f>AND(Plan!Q56,"AAAAAH8/7qM=")</f>
        <v>#VALUE!</v>
      </c>
      <c r="FI23" t="e">
        <f>AND(Plan!R56,"AAAAAH8/7qQ=")</f>
        <v>#VALUE!</v>
      </c>
      <c r="FJ23" t="e">
        <f>AND(Plan!S56,"AAAAAH8/7qU=")</f>
        <v>#VALUE!</v>
      </c>
      <c r="FK23" t="e">
        <f>AND(Plan!T56,"AAAAAH8/7qY=")</f>
        <v>#VALUE!</v>
      </c>
      <c r="FL23" t="e">
        <f>AND(Plan!U56,"AAAAAH8/7qc=")</f>
        <v>#VALUE!</v>
      </c>
      <c r="FM23" t="e">
        <f>AND(Plan!V56,"AAAAAH8/7qg=")</f>
        <v>#VALUE!</v>
      </c>
      <c r="FN23" t="e">
        <f>AND(Plan!W56,"AAAAAH8/7qk=")</f>
        <v>#VALUE!</v>
      </c>
      <c r="FO23" t="e">
        <f>AND(Plan!X56,"AAAAAH8/7qo=")</f>
        <v>#VALUE!</v>
      </c>
      <c r="FP23" t="e">
        <f>AND(Plan!Y56,"AAAAAH8/7qs=")</f>
        <v>#VALUE!</v>
      </c>
      <c r="FQ23" t="e">
        <f>AND(Plan!Z56,"AAAAAH8/7qw=")</f>
        <v>#VALUE!</v>
      </c>
      <c r="FR23" t="e">
        <f>AND(Plan!AA56,"AAAAAH8/7q0=")</f>
        <v>#VALUE!</v>
      </c>
      <c r="FS23" t="e">
        <f>AND(Plan!AB56,"AAAAAH8/7q4=")</f>
        <v>#VALUE!</v>
      </c>
      <c r="FT23" t="e">
        <f>AND(Plan!AC56,"AAAAAH8/7q8=")</f>
        <v>#VALUE!</v>
      </c>
      <c r="FU23" t="e">
        <f>AND(Plan!AD56,"AAAAAH8/7rA=")</f>
        <v>#VALUE!</v>
      </c>
      <c r="FV23" t="e">
        <f>AND(Plan!AE56,"AAAAAH8/7rE=")</f>
        <v>#VALUE!</v>
      </c>
      <c r="FW23" t="e">
        <f>AND(Plan!AF56,"AAAAAH8/7rI=")</f>
        <v>#VALUE!</v>
      </c>
      <c r="FX23" t="e">
        <f>AND(Plan!AG56,"AAAAAH8/7rM=")</f>
        <v>#VALUE!</v>
      </c>
      <c r="FY23" t="e">
        <f>AND(Plan!AH56,"AAAAAH8/7rQ=")</f>
        <v>#VALUE!</v>
      </c>
      <c r="FZ23" t="e">
        <f>AND(Plan!AI56,"AAAAAH8/7rU=")</f>
        <v>#VALUE!</v>
      </c>
      <c r="GA23" t="e">
        <f>AND(Plan!AJ56,"AAAAAH8/7rY=")</f>
        <v>#VALUE!</v>
      </c>
      <c r="GB23" t="e">
        <f>AND(Plan!AK56,"AAAAAH8/7rc=")</f>
        <v>#VALUE!</v>
      </c>
      <c r="GC23" t="e">
        <f>AND(Plan!AL56,"AAAAAH8/7rg=")</f>
        <v>#VALUE!</v>
      </c>
      <c r="GD23" t="e">
        <f>AND(Plan!AM56,"AAAAAH8/7rk=")</f>
        <v>#VALUE!</v>
      </c>
      <c r="GE23" t="e">
        <f>AND(Plan!AN56,"AAAAAH8/7ro=")</f>
        <v>#VALUE!</v>
      </c>
      <c r="GF23" t="e">
        <f>AND(Plan!AO56,"AAAAAH8/7rs=")</f>
        <v>#VALUE!</v>
      </c>
      <c r="GG23" t="e">
        <f>AND(Plan!AP56,"AAAAAH8/7rw=")</f>
        <v>#VALUE!</v>
      </c>
      <c r="GH23" t="e">
        <f>AND(Plan!AQ56,"AAAAAH8/7r0=")</f>
        <v>#VALUE!</v>
      </c>
      <c r="GI23" t="e">
        <f>AND(Plan!AR56,"AAAAAH8/7r4=")</f>
        <v>#VALUE!</v>
      </c>
      <c r="GJ23" t="e">
        <f>AND(Plan!AS56,"AAAAAH8/7r8=")</f>
        <v>#VALUE!</v>
      </c>
      <c r="GK23" t="e">
        <f>AND(Plan!AT56,"AAAAAH8/7sA=")</f>
        <v>#VALUE!</v>
      </c>
      <c r="GL23" t="e">
        <f>AND(Plan!AU56,"AAAAAH8/7sE=")</f>
        <v>#VALUE!</v>
      </c>
      <c r="GM23" t="e">
        <f>AND(Plan!AV56,"AAAAAH8/7sI=")</f>
        <v>#VALUE!</v>
      </c>
      <c r="GN23" t="e">
        <f>AND(Plan!AW56,"AAAAAH8/7sM=")</f>
        <v>#VALUE!</v>
      </c>
      <c r="GO23" t="e">
        <f>AND(Plan!AX56,"AAAAAH8/7sQ=")</f>
        <v>#VALUE!</v>
      </c>
      <c r="GP23" t="e">
        <f>AND(Plan!AY56,"AAAAAH8/7sU=")</f>
        <v>#VALUE!</v>
      </c>
      <c r="GQ23" t="e">
        <f>AND(Plan!AZ56,"AAAAAH8/7sY=")</f>
        <v>#VALUE!</v>
      </c>
      <c r="GR23" t="e">
        <f>AND(Plan!BA56,"AAAAAH8/7sc=")</f>
        <v>#VALUE!</v>
      </c>
      <c r="GS23" t="e">
        <f>AND(Plan!BB56,"AAAAAH8/7sg=")</f>
        <v>#VALUE!</v>
      </c>
      <c r="GT23" t="e">
        <f>AND(Plan!BC56,"AAAAAH8/7sk=")</f>
        <v>#VALUE!</v>
      </c>
      <c r="GU23" t="e">
        <f>AND(Plan!BD56,"AAAAAH8/7so=")</f>
        <v>#VALUE!</v>
      </c>
      <c r="GV23" t="e">
        <f>AND(Plan!BE56,"AAAAAH8/7ss=")</f>
        <v>#VALUE!</v>
      </c>
      <c r="GW23" t="e">
        <f>AND(Plan!BF56,"AAAAAH8/7sw=")</f>
        <v>#VALUE!</v>
      </c>
      <c r="GX23" t="e">
        <f>AND(Plan!BG56,"AAAAAH8/7s0=")</f>
        <v>#VALUE!</v>
      </c>
      <c r="GY23" t="e">
        <f>AND(Plan!BH56,"AAAAAH8/7s4=")</f>
        <v>#VALUE!</v>
      </c>
      <c r="GZ23" t="e">
        <f>AND(Plan!BI56,"AAAAAH8/7s8=")</f>
        <v>#VALUE!</v>
      </c>
      <c r="HA23" t="e">
        <f>AND(Plan!BJ56,"AAAAAH8/7tA=")</f>
        <v>#VALUE!</v>
      </c>
      <c r="HB23" t="e">
        <f>AND(Plan!BK56,"AAAAAH8/7tE=")</f>
        <v>#VALUE!</v>
      </c>
      <c r="HC23" t="e">
        <f>AND(Plan!BL56,"AAAAAH8/7tI=")</f>
        <v>#VALUE!</v>
      </c>
      <c r="HD23" t="e">
        <f>AND(Plan!BM56,"AAAAAH8/7tM=")</f>
        <v>#VALUE!</v>
      </c>
      <c r="HE23" t="e">
        <f>AND(Plan!BN56,"AAAAAH8/7tQ=")</f>
        <v>#VALUE!</v>
      </c>
      <c r="HF23" t="e">
        <f>AND(Plan!BO56,"AAAAAH8/7tU=")</f>
        <v>#VALUE!</v>
      </c>
      <c r="HG23" t="e">
        <f>AND(Plan!BP56,"AAAAAH8/7tY=")</f>
        <v>#VALUE!</v>
      </c>
      <c r="HH23" t="e">
        <f>AND(Plan!BQ56,"AAAAAH8/7tc=")</f>
        <v>#VALUE!</v>
      </c>
      <c r="HI23" t="e">
        <f>AND(Plan!BR56,"AAAAAH8/7tg=")</f>
        <v>#VALUE!</v>
      </c>
      <c r="HJ23" t="e">
        <f>AND(Plan!BS56,"AAAAAH8/7tk=")</f>
        <v>#VALUE!</v>
      </c>
      <c r="HK23" t="e">
        <f>AND(Plan!BT56,"AAAAAH8/7to=")</f>
        <v>#VALUE!</v>
      </c>
      <c r="HL23" t="e">
        <f>AND(Plan!BU56,"AAAAAH8/7ts=")</f>
        <v>#VALUE!</v>
      </c>
      <c r="HM23" t="e">
        <f>AND(Plan!BV56,"AAAAAH8/7tw=")</f>
        <v>#VALUE!</v>
      </c>
      <c r="HN23" t="e">
        <f>AND(Plan!BW56,"AAAAAH8/7t0=")</f>
        <v>#VALUE!</v>
      </c>
      <c r="HO23" t="e">
        <f>AND(Plan!BX56,"AAAAAH8/7t4=")</f>
        <v>#VALUE!</v>
      </c>
      <c r="HP23" t="e">
        <f>AND(Plan!BY56,"AAAAAH8/7t8=")</f>
        <v>#VALUE!</v>
      </c>
      <c r="HQ23" t="e">
        <f>AND(Plan!BZ56,"AAAAAH8/7uA=")</f>
        <v>#VALUE!</v>
      </c>
      <c r="HR23" t="e">
        <f>AND(Plan!CA56,"AAAAAH8/7uE=")</f>
        <v>#VALUE!</v>
      </c>
      <c r="HS23" t="e">
        <f>AND(Plan!CB56,"AAAAAH8/7uI=")</f>
        <v>#VALUE!</v>
      </c>
      <c r="HT23" t="e">
        <f>AND(Plan!CC56,"AAAAAH8/7uM=")</f>
        <v>#VALUE!</v>
      </c>
      <c r="HU23" t="e">
        <f>AND(Plan!CD56,"AAAAAH8/7uQ=")</f>
        <v>#VALUE!</v>
      </c>
      <c r="HV23" t="e">
        <f>AND(Plan!CE56,"AAAAAH8/7uU=")</f>
        <v>#VALUE!</v>
      </c>
      <c r="HW23" t="e">
        <f>AND(Plan!CF56,"AAAAAH8/7uY=")</f>
        <v>#VALUE!</v>
      </c>
      <c r="HX23" t="e">
        <f>AND(Plan!CG56,"AAAAAH8/7uc=")</f>
        <v>#VALUE!</v>
      </c>
      <c r="HY23" t="e">
        <f>AND(Plan!CH56,"AAAAAH8/7ug=")</f>
        <v>#VALUE!</v>
      </c>
      <c r="HZ23" t="e">
        <f>AND(Plan!CI56,"AAAAAH8/7uk=")</f>
        <v>#VALUE!</v>
      </c>
      <c r="IA23" t="e">
        <f>AND(Plan!CJ56,"AAAAAH8/7uo=")</f>
        <v>#VALUE!</v>
      </c>
      <c r="IB23" t="e">
        <f>AND(Plan!CK56,"AAAAAH8/7us=")</f>
        <v>#VALUE!</v>
      </c>
      <c r="IC23" t="e">
        <f>AND(Plan!CL56,"AAAAAH8/7uw=")</f>
        <v>#VALUE!</v>
      </c>
      <c r="ID23" t="e">
        <f>AND(Plan!CM56,"AAAAAH8/7u0=")</f>
        <v>#VALUE!</v>
      </c>
      <c r="IE23" t="e">
        <f>AND(Plan!CN56,"AAAAAH8/7u4=")</f>
        <v>#VALUE!</v>
      </c>
      <c r="IF23" t="e">
        <f>AND(Plan!CO56,"AAAAAH8/7u8=")</f>
        <v>#VALUE!</v>
      </c>
      <c r="IG23" t="e">
        <f>AND(Plan!CP56,"AAAAAH8/7vA=")</f>
        <v>#VALUE!</v>
      </c>
      <c r="IH23" t="e">
        <f>AND(Plan!CQ56,"AAAAAH8/7vE=")</f>
        <v>#VALUE!</v>
      </c>
      <c r="II23" t="e">
        <f>AND(Plan!CR56,"AAAAAH8/7vI=")</f>
        <v>#VALUE!</v>
      </c>
      <c r="IJ23" t="e">
        <f>AND(Plan!CS56,"AAAAAH8/7vM=")</f>
        <v>#VALUE!</v>
      </c>
      <c r="IK23" t="e">
        <f>AND(Plan!CT56,"AAAAAH8/7vQ=")</f>
        <v>#VALUE!</v>
      </c>
      <c r="IL23" t="e">
        <f>AND(Plan!CU56,"AAAAAH8/7vU=")</f>
        <v>#VALUE!</v>
      </c>
      <c r="IM23" t="e">
        <f>AND(Plan!CV56,"AAAAAH8/7vY=")</f>
        <v>#VALUE!</v>
      </c>
      <c r="IN23" t="e">
        <f>AND(Plan!CW56,"AAAAAH8/7vc=")</f>
        <v>#VALUE!</v>
      </c>
      <c r="IO23">
        <f>IF(Plan!57:57,"AAAAAH8/7vg=",0)</f>
        <v>0</v>
      </c>
      <c r="IP23" t="e">
        <f>AND(Plan!A57,"AAAAAH8/7vk=")</f>
        <v>#VALUE!</v>
      </c>
      <c r="IQ23" t="e">
        <f>AND(Plan!B57,"AAAAAH8/7vo=")</f>
        <v>#VALUE!</v>
      </c>
      <c r="IR23" t="e">
        <f>AND(Plan!#REF!,"AAAAAH8/7vs=")</f>
        <v>#REF!</v>
      </c>
      <c r="IS23" t="e">
        <f>AND(Plan!#REF!,"AAAAAH8/7vw=")</f>
        <v>#REF!</v>
      </c>
      <c r="IT23" t="e">
        <f>AND(Plan!#REF!,"AAAAAH8/7v0=")</f>
        <v>#REF!</v>
      </c>
      <c r="IU23" t="e">
        <f>AND(Plan!#REF!,"AAAAAH8/7v4=")</f>
        <v>#REF!</v>
      </c>
      <c r="IV23" t="e">
        <f>AND(Plan!#REF!,"AAAAAH8/7v8=")</f>
        <v>#REF!</v>
      </c>
    </row>
    <row r="24" spans="1:256">
      <c r="A24" t="e">
        <f>AND(Plan!H57,"AAAAAH/HdwA=")</f>
        <v>#VALUE!</v>
      </c>
      <c r="B24" t="e">
        <f>AND(Plan!I57,"AAAAAH/HdwE=")</f>
        <v>#VALUE!</v>
      </c>
      <c r="C24" t="e">
        <f>AND(Plan!J57,"AAAAAH/HdwI=")</f>
        <v>#VALUE!</v>
      </c>
      <c r="D24" t="e">
        <f>AND(Plan!K57,"AAAAAH/HdwM=")</f>
        <v>#VALUE!</v>
      </c>
      <c r="E24" t="e">
        <f>AND(Plan!L57,"AAAAAH/HdwQ=")</f>
        <v>#VALUE!</v>
      </c>
      <c r="F24" t="e">
        <f>AND(Plan!M57,"AAAAAH/HdwU=")</f>
        <v>#VALUE!</v>
      </c>
      <c r="G24" t="e">
        <f>AND(Plan!N57,"AAAAAH/HdwY=")</f>
        <v>#VALUE!</v>
      </c>
      <c r="H24" t="e">
        <f>AND(Plan!O57,"AAAAAH/Hdwc=")</f>
        <v>#VALUE!</v>
      </c>
      <c r="I24" t="e">
        <f>AND(Plan!P57,"AAAAAH/Hdwg=")</f>
        <v>#VALUE!</v>
      </c>
      <c r="J24" t="e">
        <f>AND(Plan!Q57,"AAAAAH/Hdwk=")</f>
        <v>#VALUE!</v>
      </c>
      <c r="K24" t="e">
        <f>AND(Plan!R57,"AAAAAH/Hdwo=")</f>
        <v>#VALUE!</v>
      </c>
      <c r="L24" t="e">
        <f>AND(Plan!S57,"AAAAAH/Hdws=")</f>
        <v>#VALUE!</v>
      </c>
      <c r="M24" t="e">
        <f>AND(Plan!T57,"AAAAAH/Hdww=")</f>
        <v>#VALUE!</v>
      </c>
      <c r="N24" t="e">
        <f>AND(Plan!U57,"AAAAAH/Hdw0=")</f>
        <v>#VALUE!</v>
      </c>
      <c r="O24" t="e">
        <f>AND(Plan!V57,"AAAAAH/Hdw4=")</f>
        <v>#VALUE!</v>
      </c>
      <c r="P24" t="e">
        <f>AND(Plan!W57,"AAAAAH/Hdw8=")</f>
        <v>#VALUE!</v>
      </c>
      <c r="Q24" t="e">
        <f>AND(Plan!X57,"AAAAAH/HdxA=")</f>
        <v>#VALUE!</v>
      </c>
      <c r="R24" t="e">
        <f>AND(Plan!Y57,"AAAAAH/HdxE=")</f>
        <v>#VALUE!</v>
      </c>
      <c r="S24" t="e">
        <f>AND(Plan!Z57,"AAAAAH/HdxI=")</f>
        <v>#VALUE!</v>
      </c>
      <c r="T24" t="e">
        <f>AND(Plan!AA57,"AAAAAH/HdxM=")</f>
        <v>#VALUE!</v>
      </c>
      <c r="U24" t="e">
        <f>AND(Plan!AB57,"AAAAAH/HdxQ=")</f>
        <v>#VALUE!</v>
      </c>
      <c r="V24" t="e">
        <f>AND(Plan!AC57,"AAAAAH/HdxU=")</f>
        <v>#VALUE!</v>
      </c>
      <c r="W24" t="e">
        <f>AND(Plan!AD57,"AAAAAH/HdxY=")</f>
        <v>#VALUE!</v>
      </c>
      <c r="X24" t="e">
        <f>AND(Plan!AE57,"AAAAAH/Hdxc=")</f>
        <v>#VALUE!</v>
      </c>
      <c r="Y24" t="e">
        <f>AND(Plan!AF57,"AAAAAH/Hdxg=")</f>
        <v>#VALUE!</v>
      </c>
      <c r="Z24" t="e">
        <f>AND(Plan!AG57,"AAAAAH/Hdxk=")</f>
        <v>#VALUE!</v>
      </c>
      <c r="AA24" t="e">
        <f>AND(Plan!AH57,"AAAAAH/Hdxo=")</f>
        <v>#VALUE!</v>
      </c>
      <c r="AB24" t="e">
        <f>AND(Plan!AI57,"AAAAAH/Hdxs=")</f>
        <v>#VALUE!</v>
      </c>
      <c r="AC24" t="e">
        <f>AND(Plan!AJ57,"AAAAAH/Hdxw=")</f>
        <v>#VALUE!</v>
      </c>
      <c r="AD24" t="e">
        <f>AND(Plan!AK57,"AAAAAH/Hdx0=")</f>
        <v>#VALUE!</v>
      </c>
      <c r="AE24" t="e">
        <f>AND(Plan!AL57,"AAAAAH/Hdx4=")</f>
        <v>#VALUE!</v>
      </c>
      <c r="AF24" t="e">
        <f>AND(Plan!AM57,"AAAAAH/Hdx8=")</f>
        <v>#VALUE!</v>
      </c>
      <c r="AG24" t="e">
        <f>AND(Plan!AN57,"AAAAAH/HdyA=")</f>
        <v>#VALUE!</v>
      </c>
      <c r="AH24" t="e">
        <f>AND(Plan!AO57,"AAAAAH/HdyE=")</f>
        <v>#VALUE!</v>
      </c>
      <c r="AI24" t="e">
        <f>AND(Plan!AP57,"AAAAAH/HdyI=")</f>
        <v>#VALUE!</v>
      </c>
      <c r="AJ24" t="e">
        <f>AND(Plan!AQ57,"AAAAAH/HdyM=")</f>
        <v>#VALUE!</v>
      </c>
      <c r="AK24" t="e">
        <f>AND(Plan!AR57,"AAAAAH/HdyQ=")</f>
        <v>#VALUE!</v>
      </c>
      <c r="AL24" t="e">
        <f>AND(Plan!AS57,"AAAAAH/HdyU=")</f>
        <v>#VALUE!</v>
      </c>
      <c r="AM24" t="e">
        <f>AND(Plan!AT57,"AAAAAH/HdyY=")</f>
        <v>#VALUE!</v>
      </c>
      <c r="AN24" t="e">
        <f>AND(Plan!AU57,"AAAAAH/Hdyc=")</f>
        <v>#VALUE!</v>
      </c>
      <c r="AO24" t="e">
        <f>AND(Plan!AV57,"AAAAAH/Hdyg=")</f>
        <v>#VALUE!</v>
      </c>
      <c r="AP24" t="e">
        <f>AND(Plan!AW57,"AAAAAH/Hdyk=")</f>
        <v>#VALUE!</v>
      </c>
      <c r="AQ24" t="e">
        <f>AND(Plan!AX57,"AAAAAH/Hdyo=")</f>
        <v>#VALUE!</v>
      </c>
      <c r="AR24" t="e">
        <f>AND(Plan!AY57,"AAAAAH/Hdys=")</f>
        <v>#VALUE!</v>
      </c>
      <c r="AS24" t="e">
        <f>AND(Plan!AZ57,"AAAAAH/Hdyw=")</f>
        <v>#VALUE!</v>
      </c>
      <c r="AT24" t="e">
        <f>AND(Plan!BA57,"AAAAAH/Hdy0=")</f>
        <v>#VALUE!</v>
      </c>
      <c r="AU24" t="e">
        <f>AND(Plan!BB57,"AAAAAH/Hdy4=")</f>
        <v>#VALUE!</v>
      </c>
      <c r="AV24" t="e">
        <f>AND(Plan!BC57,"AAAAAH/Hdy8=")</f>
        <v>#VALUE!</v>
      </c>
      <c r="AW24" t="e">
        <f>AND(Plan!BD57,"AAAAAH/HdzA=")</f>
        <v>#VALUE!</v>
      </c>
      <c r="AX24" t="e">
        <f>AND(Plan!BE57,"AAAAAH/HdzE=")</f>
        <v>#VALUE!</v>
      </c>
      <c r="AY24" t="e">
        <f>AND(Plan!BF57,"AAAAAH/HdzI=")</f>
        <v>#VALUE!</v>
      </c>
      <c r="AZ24" t="e">
        <f>AND(Plan!BG57,"AAAAAH/HdzM=")</f>
        <v>#VALUE!</v>
      </c>
      <c r="BA24" t="e">
        <f>AND(Plan!BH57,"AAAAAH/HdzQ=")</f>
        <v>#VALUE!</v>
      </c>
      <c r="BB24" t="e">
        <f>AND(Plan!BI57,"AAAAAH/HdzU=")</f>
        <v>#VALUE!</v>
      </c>
      <c r="BC24" t="e">
        <f>AND(Plan!BJ57,"AAAAAH/HdzY=")</f>
        <v>#VALUE!</v>
      </c>
      <c r="BD24" t="e">
        <f>AND(Plan!BK57,"AAAAAH/Hdzc=")</f>
        <v>#VALUE!</v>
      </c>
      <c r="BE24" t="e">
        <f>AND(Plan!BL57,"AAAAAH/Hdzg=")</f>
        <v>#VALUE!</v>
      </c>
      <c r="BF24" t="e">
        <f>AND(Plan!BM57,"AAAAAH/Hdzk=")</f>
        <v>#VALUE!</v>
      </c>
      <c r="BG24" t="e">
        <f>AND(Plan!BN57,"AAAAAH/Hdzo=")</f>
        <v>#VALUE!</v>
      </c>
      <c r="BH24" t="e">
        <f>AND(Plan!BO57,"AAAAAH/Hdzs=")</f>
        <v>#VALUE!</v>
      </c>
      <c r="BI24" t="e">
        <f>AND(Plan!BP57,"AAAAAH/Hdzw=")</f>
        <v>#VALUE!</v>
      </c>
      <c r="BJ24" t="e">
        <f>AND(Plan!BQ57,"AAAAAH/Hdz0=")</f>
        <v>#VALUE!</v>
      </c>
      <c r="BK24" t="e">
        <f>AND(Plan!BR57,"AAAAAH/Hdz4=")</f>
        <v>#VALUE!</v>
      </c>
      <c r="BL24" t="e">
        <f>AND(Plan!BS57,"AAAAAH/Hdz8=")</f>
        <v>#VALUE!</v>
      </c>
      <c r="BM24" t="e">
        <f>AND(Plan!BT57,"AAAAAH/Hd0A=")</f>
        <v>#VALUE!</v>
      </c>
      <c r="BN24" t="e">
        <f>AND(Plan!BU57,"AAAAAH/Hd0E=")</f>
        <v>#VALUE!</v>
      </c>
      <c r="BO24" t="e">
        <f>AND(Plan!BV57,"AAAAAH/Hd0I=")</f>
        <v>#VALUE!</v>
      </c>
      <c r="BP24" t="e">
        <f>AND(Plan!BW57,"AAAAAH/Hd0M=")</f>
        <v>#VALUE!</v>
      </c>
      <c r="BQ24" t="e">
        <f>AND(Plan!BX57,"AAAAAH/Hd0Q=")</f>
        <v>#VALUE!</v>
      </c>
      <c r="BR24" t="e">
        <f>AND(Plan!BY57,"AAAAAH/Hd0U=")</f>
        <v>#VALUE!</v>
      </c>
      <c r="BS24" t="e">
        <f>AND(Plan!BZ57,"AAAAAH/Hd0Y=")</f>
        <v>#VALUE!</v>
      </c>
      <c r="BT24" t="e">
        <f>AND(Plan!CA57,"AAAAAH/Hd0c=")</f>
        <v>#VALUE!</v>
      </c>
      <c r="BU24" t="e">
        <f>AND(Plan!CB57,"AAAAAH/Hd0g=")</f>
        <v>#VALUE!</v>
      </c>
      <c r="BV24" t="e">
        <f>AND(Plan!CC57,"AAAAAH/Hd0k=")</f>
        <v>#VALUE!</v>
      </c>
      <c r="BW24" t="e">
        <f>AND(Plan!CD57,"AAAAAH/Hd0o=")</f>
        <v>#VALUE!</v>
      </c>
      <c r="BX24" t="e">
        <f>AND(Plan!CE57,"AAAAAH/Hd0s=")</f>
        <v>#VALUE!</v>
      </c>
      <c r="BY24" t="e">
        <f>AND(Plan!CF57,"AAAAAH/Hd0w=")</f>
        <v>#VALUE!</v>
      </c>
      <c r="BZ24" t="e">
        <f>AND(Plan!CG57,"AAAAAH/Hd00=")</f>
        <v>#VALUE!</v>
      </c>
      <c r="CA24" t="e">
        <f>AND(Plan!CH57,"AAAAAH/Hd04=")</f>
        <v>#VALUE!</v>
      </c>
      <c r="CB24" t="e">
        <f>AND(Plan!CI57,"AAAAAH/Hd08=")</f>
        <v>#VALUE!</v>
      </c>
      <c r="CC24" t="e">
        <f>AND(Plan!CJ57,"AAAAAH/Hd1A=")</f>
        <v>#VALUE!</v>
      </c>
      <c r="CD24" t="e">
        <f>AND(Plan!CK57,"AAAAAH/Hd1E=")</f>
        <v>#VALUE!</v>
      </c>
      <c r="CE24" t="e">
        <f>AND(Plan!CL57,"AAAAAH/Hd1I=")</f>
        <v>#VALUE!</v>
      </c>
      <c r="CF24" t="e">
        <f>AND(Plan!CM57,"AAAAAH/Hd1M=")</f>
        <v>#VALUE!</v>
      </c>
      <c r="CG24" t="e">
        <f>AND(Plan!CN57,"AAAAAH/Hd1Q=")</f>
        <v>#VALUE!</v>
      </c>
      <c r="CH24" t="e">
        <f>AND(Plan!CO57,"AAAAAH/Hd1U=")</f>
        <v>#VALUE!</v>
      </c>
      <c r="CI24" t="e">
        <f>AND(Plan!CP57,"AAAAAH/Hd1Y=")</f>
        <v>#VALUE!</v>
      </c>
      <c r="CJ24" t="e">
        <f>AND(Plan!CQ57,"AAAAAH/Hd1c=")</f>
        <v>#VALUE!</v>
      </c>
      <c r="CK24" t="e">
        <f>AND(Plan!CR57,"AAAAAH/Hd1g=")</f>
        <v>#VALUE!</v>
      </c>
      <c r="CL24" t="e">
        <f>AND(Plan!CS57,"AAAAAH/Hd1k=")</f>
        <v>#VALUE!</v>
      </c>
      <c r="CM24" t="e">
        <f>AND(Plan!CT57,"AAAAAH/Hd1o=")</f>
        <v>#VALUE!</v>
      </c>
      <c r="CN24" t="e">
        <f>AND(Plan!CU57,"AAAAAH/Hd1s=")</f>
        <v>#VALUE!</v>
      </c>
      <c r="CO24" t="e">
        <f>AND(Plan!CV57,"AAAAAH/Hd1w=")</f>
        <v>#VALUE!</v>
      </c>
      <c r="CP24" t="e">
        <f>AND(Plan!CW57,"AAAAAH/Hd10=")</f>
        <v>#VALUE!</v>
      </c>
      <c r="CQ24">
        <f>IF(Plan!58:58,"AAAAAH/Hd14=",0)</f>
        <v>0</v>
      </c>
      <c r="CR24" t="e">
        <f>AND(Plan!A58,"AAAAAH/Hd18=")</f>
        <v>#VALUE!</v>
      </c>
      <c r="CS24" t="e">
        <f>AND(Plan!B58,"AAAAAH/Hd2A=")</f>
        <v>#VALUE!</v>
      </c>
      <c r="CT24" t="e">
        <f>AND(Plan!#REF!,"AAAAAH/Hd2E=")</f>
        <v>#REF!</v>
      </c>
      <c r="CU24" t="e">
        <f>AND(Plan!#REF!,"AAAAAH/Hd2I=")</f>
        <v>#REF!</v>
      </c>
      <c r="CV24" t="e">
        <f>AND(Plan!#REF!,"AAAAAH/Hd2M=")</f>
        <v>#REF!</v>
      </c>
      <c r="CW24" t="e">
        <f>AND(Plan!#REF!,"AAAAAH/Hd2Q=")</f>
        <v>#REF!</v>
      </c>
      <c r="CX24" t="e">
        <f>AND(Plan!#REF!,"AAAAAH/Hd2U=")</f>
        <v>#REF!</v>
      </c>
      <c r="CY24" t="e">
        <f>AND(Plan!H58,"AAAAAH/Hd2Y=")</f>
        <v>#VALUE!</v>
      </c>
      <c r="CZ24" t="e">
        <f>AND(Plan!I58,"AAAAAH/Hd2c=")</f>
        <v>#VALUE!</v>
      </c>
      <c r="DA24" t="e">
        <f>AND(Plan!J58,"AAAAAH/Hd2g=")</f>
        <v>#VALUE!</v>
      </c>
      <c r="DB24" t="e">
        <f>AND(Plan!K58,"AAAAAH/Hd2k=")</f>
        <v>#VALUE!</v>
      </c>
      <c r="DC24" t="e">
        <f>AND(Plan!L58,"AAAAAH/Hd2o=")</f>
        <v>#VALUE!</v>
      </c>
      <c r="DD24" t="e">
        <f>AND(Plan!M58,"AAAAAH/Hd2s=")</f>
        <v>#VALUE!</v>
      </c>
      <c r="DE24" t="e">
        <f>AND(Plan!N58,"AAAAAH/Hd2w=")</f>
        <v>#VALUE!</v>
      </c>
      <c r="DF24" t="e">
        <f>AND(Plan!O58,"AAAAAH/Hd20=")</f>
        <v>#VALUE!</v>
      </c>
      <c r="DG24" t="e">
        <f>AND(Plan!P58,"AAAAAH/Hd24=")</f>
        <v>#VALUE!</v>
      </c>
      <c r="DH24" t="e">
        <f>AND(Plan!Q58,"AAAAAH/Hd28=")</f>
        <v>#VALUE!</v>
      </c>
      <c r="DI24" t="e">
        <f>AND(Plan!R58,"AAAAAH/Hd3A=")</f>
        <v>#VALUE!</v>
      </c>
      <c r="DJ24" t="e">
        <f>AND(Plan!S58,"AAAAAH/Hd3E=")</f>
        <v>#VALUE!</v>
      </c>
      <c r="DK24" t="e">
        <f>AND(Plan!T58,"AAAAAH/Hd3I=")</f>
        <v>#VALUE!</v>
      </c>
      <c r="DL24" t="e">
        <f>AND(Plan!U58,"AAAAAH/Hd3M=")</f>
        <v>#VALUE!</v>
      </c>
      <c r="DM24" t="e">
        <f>AND(Plan!V58,"AAAAAH/Hd3Q=")</f>
        <v>#VALUE!</v>
      </c>
      <c r="DN24" t="e">
        <f>AND(Plan!W58,"AAAAAH/Hd3U=")</f>
        <v>#VALUE!</v>
      </c>
      <c r="DO24" t="e">
        <f>AND(Plan!X58,"AAAAAH/Hd3Y=")</f>
        <v>#VALUE!</v>
      </c>
      <c r="DP24" t="e">
        <f>AND(Plan!Y58,"AAAAAH/Hd3c=")</f>
        <v>#VALUE!</v>
      </c>
      <c r="DQ24" t="e">
        <f>AND(Plan!Z58,"AAAAAH/Hd3g=")</f>
        <v>#VALUE!</v>
      </c>
      <c r="DR24" t="e">
        <f>AND(Plan!AA58,"AAAAAH/Hd3k=")</f>
        <v>#VALUE!</v>
      </c>
      <c r="DS24" t="e">
        <f>AND(Plan!AB58,"AAAAAH/Hd3o=")</f>
        <v>#VALUE!</v>
      </c>
      <c r="DT24" t="e">
        <f>AND(Plan!AC58,"AAAAAH/Hd3s=")</f>
        <v>#VALUE!</v>
      </c>
      <c r="DU24" t="e">
        <f>AND(Plan!AD58,"AAAAAH/Hd3w=")</f>
        <v>#VALUE!</v>
      </c>
      <c r="DV24" t="e">
        <f>AND(Plan!AE58,"AAAAAH/Hd30=")</f>
        <v>#VALUE!</v>
      </c>
      <c r="DW24" t="e">
        <f>AND(Plan!AF58,"AAAAAH/Hd34=")</f>
        <v>#VALUE!</v>
      </c>
      <c r="DX24" t="e">
        <f>AND(Plan!AG58,"AAAAAH/Hd38=")</f>
        <v>#VALUE!</v>
      </c>
      <c r="DY24" t="e">
        <f>AND(Plan!AH58,"AAAAAH/Hd4A=")</f>
        <v>#VALUE!</v>
      </c>
      <c r="DZ24" t="e">
        <f>AND(Plan!AI58,"AAAAAH/Hd4E=")</f>
        <v>#VALUE!</v>
      </c>
      <c r="EA24" t="e">
        <f>AND(Plan!AJ58,"AAAAAH/Hd4I=")</f>
        <v>#VALUE!</v>
      </c>
      <c r="EB24" t="e">
        <f>AND(Plan!AK58,"AAAAAH/Hd4M=")</f>
        <v>#VALUE!</v>
      </c>
      <c r="EC24" t="e">
        <f>AND(Plan!AL58,"AAAAAH/Hd4Q=")</f>
        <v>#VALUE!</v>
      </c>
      <c r="ED24" t="e">
        <f>AND(Plan!AM58,"AAAAAH/Hd4U=")</f>
        <v>#VALUE!</v>
      </c>
      <c r="EE24" t="e">
        <f>AND(Plan!AN58,"AAAAAH/Hd4Y=")</f>
        <v>#VALUE!</v>
      </c>
      <c r="EF24" t="e">
        <f>AND(Plan!AO58,"AAAAAH/Hd4c=")</f>
        <v>#VALUE!</v>
      </c>
      <c r="EG24" t="e">
        <f>AND(Plan!AP58,"AAAAAH/Hd4g=")</f>
        <v>#VALUE!</v>
      </c>
      <c r="EH24" t="e">
        <f>AND(Plan!AQ58,"AAAAAH/Hd4k=")</f>
        <v>#VALUE!</v>
      </c>
      <c r="EI24" t="e">
        <f>AND(Plan!AR58,"AAAAAH/Hd4o=")</f>
        <v>#VALUE!</v>
      </c>
      <c r="EJ24" t="e">
        <f>AND(Plan!AS58,"AAAAAH/Hd4s=")</f>
        <v>#VALUE!</v>
      </c>
      <c r="EK24" t="e">
        <f>AND(Plan!AT58,"AAAAAH/Hd4w=")</f>
        <v>#VALUE!</v>
      </c>
      <c r="EL24" t="e">
        <f>AND(Plan!AU58,"AAAAAH/Hd40=")</f>
        <v>#VALUE!</v>
      </c>
      <c r="EM24" t="e">
        <f>AND(Plan!AV58,"AAAAAH/Hd44=")</f>
        <v>#VALUE!</v>
      </c>
      <c r="EN24" t="e">
        <f>AND(Plan!AW58,"AAAAAH/Hd48=")</f>
        <v>#VALUE!</v>
      </c>
      <c r="EO24" t="e">
        <f>AND(Plan!AX58,"AAAAAH/Hd5A=")</f>
        <v>#VALUE!</v>
      </c>
      <c r="EP24" t="e">
        <f>AND(Plan!AY58,"AAAAAH/Hd5E=")</f>
        <v>#VALUE!</v>
      </c>
      <c r="EQ24" t="e">
        <f>AND(Plan!AZ58,"AAAAAH/Hd5I=")</f>
        <v>#VALUE!</v>
      </c>
      <c r="ER24" t="e">
        <f>AND(Plan!BA58,"AAAAAH/Hd5M=")</f>
        <v>#VALUE!</v>
      </c>
      <c r="ES24" t="e">
        <f>AND(Plan!BB58,"AAAAAH/Hd5Q=")</f>
        <v>#VALUE!</v>
      </c>
      <c r="ET24" t="e">
        <f>AND(Plan!BC58,"AAAAAH/Hd5U=")</f>
        <v>#VALUE!</v>
      </c>
      <c r="EU24" t="e">
        <f>AND(Plan!BD58,"AAAAAH/Hd5Y=")</f>
        <v>#VALUE!</v>
      </c>
      <c r="EV24" t="e">
        <f>AND(Plan!BE58,"AAAAAH/Hd5c=")</f>
        <v>#VALUE!</v>
      </c>
      <c r="EW24" t="e">
        <f>AND(Plan!BF58,"AAAAAH/Hd5g=")</f>
        <v>#VALUE!</v>
      </c>
      <c r="EX24" t="e">
        <f>AND(Plan!BG58,"AAAAAH/Hd5k=")</f>
        <v>#VALUE!</v>
      </c>
      <c r="EY24" t="e">
        <f>AND(Plan!BH58,"AAAAAH/Hd5o=")</f>
        <v>#VALUE!</v>
      </c>
      <c r="EZ24" t="e">
        <f>AND(Plan!BI58,"AAAAAH/Hd5s=")</f>
        <v>#VALUE!</v>
      </c>
      <c r="FA24" t="e">
        <f>AND(Plan!BJ58,"AAAAAH/Hd5w=")</f>
        <v>#VALUE!</v>
      </c>
      <c r="FB24" t="e">
        <f>AND(Plan!BK58,"AAAAAH/Hd50=")</f>
        <v>#VALUE!</v>
      </c>
      <c r="FC24" t="e">
        <f>AND(Plan!BL58,"AAAAAH/Hd54=")</f>
        <v>#VALUE!</v>
      </c>
      <c r="FD24" t="e">
        <f>AND(Plan!BM58,"AAAAAH/Hd58=")</f>
        <v>#VALUE!</v>
      </c>
      <c r="FE24" t="e">
        <f>AND(Plan!BN58,"AAAAAH/Hd6A=")</f>
        <v>#VALUE!</v>
      </c>
      <c r="FF24" t="e">
        <f>AND(Plan!BO58,"AAAAAH/Hd6E=")</f>
        <v>#VALUE!</v>
      </c>
      <c r="FG24" t="e">
        <f>AND(Plan!BP58,"AAAAAH/Hd6I=")</f>
        <v>#VALUE!</v>
      </c>
      <c r="FH24" t="e">
        <f>AND(Plan!BQ58,"AAAAAH/Hd6M=")</f>
        <v>#VALUE!</v>
      </c>
      <c r="FI24" t="e">
        <f>AND(Plan!BR58,"AAAAAH/Hd6Q=")</f>
        <v>#VALUE!</v>
      </c>
      <c r="FJ24" t="e">
        <f>AND(Plan!BS58,"AAAAAH/Hd6U=")</f>
        <v>#VALUE!</v>
      </c>
      <c r="FK24" t="e">
        <f>AND(Plan!BT58,"AAAAAH/Hd6Y=")</f>
        <v>#VALUE!</v>
      </c>
      <c r="FL24" t="e">
        <f>AND(Plan!BU58,"AAAAAH/Hd6c=")</f>
        <v>#VALUE!</v>
      </c>
      <c r="FM24" t="e">
        <f>AND(Plan!BV58,"AAAAAH/Hd6g=")</f>
        <v>#VALUE!</v>
      </c>
      <c r="FN24" t="e">
        <f>AND(Plan!BW58,"AAAAAH/Hd6k=")</f>
        <v>#VALUE!</v>
      </c>
      <c r="FO24" t="e">
        <f>AND(Plan!BX58,"AAAAAH/Hd6o=")</f>
        <v>#VALUE!</v>
      </c>
      <c r="FP24" t="e">
        <f>AND(Plan!BY58,"AAAAAH/Hd6s=")</f>
        <v>#VALUE!</v>
      </c>
      <c r="FQ24" t="e">
        <f>AND(Plan!BZ58,"AAAAAH/Hd6w=")</f>
        <v>#VALUE!</v>
      </c>
      <c r="FR24" t="e">
        <f>AND(Plan!CA58,"AAAAAH/Hd60=")</f>
        <v>#VALUE!</v>
      </c>
      <c r="FS24" t="e">
        <f>AND(Plan!CB58,"AAAAAH/Hd64=")</f>
        <v>#VALUE!</v>
      </c>
      <c r="FT24" t="e">
        <f>AND(Plan!CC58,"AAAAAH/Hd68=")</f>
        <v>#VALUE!</v>
      </c>
      <c r="FU24" t="e">
        <f>AND(Plan!CD58,"AAAAAH/Hd7A=")</f>
        <v>#VALUE!</v>
      </c>
      <c r="FV24" t="e">
        <f>AND(Plan!CE58,"AAAAAH/Hd7E=")</f>
        <v>#VALUE!</v>
      </c>
      <c r="FW24" t="e">
        <f>AND(Plan!CF58,"AAAAAH/Hd7I=")</f>
        <v>#VALUE!</v>
      </c>
      <c r="FX24" t="e">
        <f>AND(Plan!CG58,"AAAAAH/Hd7M=")</f>
        <v>#VALUE!</v>
      </c>
      <c r="FY24" t="e">
        <f>AND(Plan!CH58,"AAAAAH/Hd7Q=")</f>
        <v>#VALUE!</v>
      </c>
      <c r="FZ24" t="e">
        <f>AND(Plan!CI58,"AAAAAH/Hd7U=")</f>
        <v>#VALUE!</v>
      </c>
      <c r="GA24" t="e">
        <f>AND(Plan!CJ58,"AAAAAH/Hd7Y=")</f>
        <v>#VALUE!</v>
      </c>
      <c r="GB24" t="e">
        <f>AND(Plan!CK58,"AAAAAH/Hd7c=")</f>
        <v>#VALUE!</v>
      </c>
      <c r="GC24" t="e">
        <f>AND(Plan!CL58,"AAAAAH/Hd7g=")</f>
        <v>#VALUE!</v>
      </c>
      <c r="GD24" t="e">
        <f>AND(Plan!CM58,"AAAAAH/Hd7k=")</f>
        <v>#VALUE!</v>
      </c>
      <c r="GE24" t="e">
        <f>AND(Plan!CN58,"AAAAAH/Hd7o=")</f>
        <v>#VALUE!</v>
      </c>
      <c r="GF24" t="e">
        <f>AND(Plan!CO58,"AAAAAH/Hd7s=")</f>
        <v>#VALUE!</v>
      </c>
      <c r="GG24" t="e">
        <f>AND(Plan!CP58,"AAAAAH/Hd7w=")</f>
        <v>#VALUE!</v>
      </c>
      <c r="GH24" t="e">
        <f>AND(Plan!CQ58,"AAAAAH/Hd70=")</f>
        <v>#VALUE!</v>
      </c>
      <c r="GI24" t="e">
        <f>AND(Plan!CR58,"AAAAAH/Hd74=")</f>
        <v>#VALUE!</v>
      </c>
      <c r="GJ24" t="e">
        <f>AND(Plan!CS58,"AAAAAH/Hd78=")</f>
        <v>#VALUE!</v>
      </c>
      <c r="GK24" t="e">
        <f>AND(Plan!CT58,"AAAAAH/Hd8A=")</f>
        <v>#VALUE!</v>
      </c>
      <c r="GL24" t="e">
        <f>AND(Plan!CU58,"AAAAAH/Hd8E=")</f>
        <v>#VALUE!</v>
      </c>
      <c r="GM24" t="e">
        <f>AND(Plan!CV58,"AAAAAH/Hd8I=")</f>
        <v>#VALUE!</v>
      </c>
      <c r="GN24" t="e">
        <f>AND(Plan!CW58,"AAAAAH/Hd8M=")</f>
        <v>#VALUE!</v>
      </c>
      <c r="GO24">
        <f>IF(Plan!59:59,"AAAAAH/Hd8Q=",0)</f>
        <v>0</v>
      </c>
      <c r="GP24" t="e">
        <f>AND(Plan!A59,"AAAAAH/Hd8U=")</f>
        <v>#VALUE!</v>
      </c>
      <c r="GQ24" t="e">
        <f>AND(Plan!B59,"AAAAAH/Hd8Y=")</f>
        <v>#VALUE!</v>
      </c>
      <c r="GR24" t="e">
        <f>AND(Plan!C62,"AAAAAH/Hd8c=")</f>
        <v>#VALUE!</v>
      </c>
      <c r="GS24" t="e">
        <f>AND(Plan!#REF!,"AAAAAH/Hd8g=")</f>
        <v>#REF!</v>
      </c>
      <c r="GT24" t="e">
        <f>AND(Plan!#REF!,"AAAAAH/Hd8k=")</f>
        <v>#REF!</v>
      </c>
      <c r="GU24" t="e">
        <f>AND(Plan!#REF!,"AAAAAH/Hd8o=")</f>
        <v>#REF!</v>
      </c>
      <c r="GV24" t="e">
        <f>AND(Plan!#REF!,"AAAAAH/Hd8s=")</f>
        <v>#REF!</v>
      </c>
      <c r="GW24" t="e">
        <f>AND(Plan!H59,"AAAAAH/Hd8w=")</f>
        <v>#VALUE!</v>
      </c>
      <c r="GX24" t="e">
        <f>AND(Plan!I59,"AAAAAH/Hd80=")</f>
        <v>#VALUE!</v>
      </c>
      <c r="GY24" t="e">
        <f>AND(Plan!J59,"AAAAAH/Hd84=")</f>
        <v>#VALUE!</v>
      </c>
      <c r="GZ24" t="e">
        <f>AND(Plan!K59,"AAAAAH/Hd88=")</f>
        <v>#VALUE!</v>
      </c>
      <c r="HA24" t="e">
        <f>AND(Plan!L59,"AAAAAH/Hd9A=")</f>
        <v>#VALUE!</v>
      </c>
      <c r="HB24" t="e">
        <f>AND(Plan!M59,"AAAAAH/Hd9E=")</f>
        <v>#VALUE!</v>
      </c>
      <c r="HC24" t="e">
        <f>AND(Plan!N59,"AAAAAH/Hd9I=")</f>
        <v>#VALUE!</v>
      </c>
      <c r="HD24" t="e">
        <f>AND(Plan!O59,"AAAAAH/Hd9M=")</f>
        <v>#VALUE!</v>
      </c>
      <c r="HE24" t="e">
        <f>AND(Plan!P59,"AAAAAH/Hd9Q=")</f>
        <v>#VALUE!</v>
      </c>
      <c r="HF24" t="e">
        <f>AND(Plan!Q59,"AAAAAH/Hd9U=")</f>
        <v>#VALUE!</v>
      </c>
      <c r="HG24" t="e">
        <f>AND(Plan!R59,"AAAAAH/Hd9Y=")</f>
        <v>#VALUE!</v>
      </c>
      <c r="HH24" t="e">
        <f>AND(Plan!S59,"AAAAAH/Hd9c=")</f>
        <v>#VALUE!</v>
      </c>
      <c r="HI24" t="e">
        <f>AND(Plan!T59,"AAAAAH/Hd9g=")</f>
        <v>#VALUE!</v>
      </c>
      <c r="HJ24" t="e">
        <f>AND(Plan!U59,"AAAAAH/Hd9k=")</f>
        <v>#VALUE!</v>
      </c>
      <c r="HK24" t="e">
        <f>AND(Plan!V59,"AAAAAH/Hd9o=")</f>
        <v>#VALUE!</v>
      </c>
      <c r="HL24" t="e">
        <f>AND(Plan!W59,"AAAAAH/Hd9s=")</f>
        <v>#VALUE!</v>
      </c>
      <c r="HM24" t="e">
        <f>AND(Plan!X59,"AAAAAH/Hd9w=")</f>
        <v>#VALUE!</v>
      </c>
      <c r="HN24" t="e">
        <f>AND(Plan!Y59,"AAAAAH/Hd90=")</f>
        <v>#VALUE!</v>
      </c>
      <c r="HO24" t="e">
        <f>AND(Plan!Z59,"AAAAAH/Hd94=")</f>
        <v>#VALUE!</v>
      </c>
      <c r="HP24" t="e">
        <f>AND(Plan!AA59,"AAAAAH/Hd98=")</f>
        <v>#VALUE!</v>
      </c>
      <c r="HQ24" t="e">
        <f>AND(Plan!AB59,"AAAAAH/Hd+A=")</f>
        <v>#VALUE!</v>
      </c>
      <c r="HR24" t="e">
        <f>AND(Plan!AC59,"AAAAAH/Hd+E=")</f>
        <v>#VALUE!</v>
      </c>
      <c r="HS24" t="e">
        <f>AND(Plan!AD59,"AAAAAH/Hd+I=")</f>
        <v>#VALUE!</v>
      </c>
      <c r="HT24" t="e">
        <f>AND(Plan!AE59,"AAAAAH/Hd+M=")</f>
        <v>#VALUE!</v>
      </c>
      <c r="HU24" t="e">
        <f>AND(Plan!AF59,"AAAAAH/Hd+Q=")</f>
        <v>#VALUE!</v>
      </c>
      <c r="HV24" t="e">
        <f>AND(Plan!AG59,"AAAAAH/Hd+U=")</f>
        <v>#VALUE!</v>
      </c>
      <c r="HW24" t="e">
        <f>AND(Plan!AH59,"AAAAAH/Hd+Y=")</f>
        <v>#VALUE!</v>
      </c>
      <c r="HX24" t="e">
        <f>AND(Plan!AI59,"AAAAAH/Hd+c=")</f>
        <v>#VALUE!</v>
      </c>
      <c r="HY24" t="e">
        <f>AND(Plan!AJ59,"AAAAAH/Hd+g=")</f>
        <v>#VALUE!</v>
      </c>
      <c r="HZ24" t="e">
        <f>AND(Plan!AK59,"AAAAAH/Hd+k=")</f>
        <v>#VALUE!</v>
      </c>
      <c r="IA24" t="e">
        <f>AND(Plan!AL59,"AAAAAH/Hd+o=")</f>
        <v>#VALUE!</v>
      </c>
      <c r="IB24" t="e">
        <f>AND(Plan!AM59,"AAAAAH/Hd+s=")</f>
        <v>#VALUE!</v>
      </c>
      <c r="IC24" t="e">
        <f>AND(Plan!AN59,"AAAAAH/Hd+w=")</f>
        <v>#VALUE!</v>
      </c>
      <c r="ID24" t="e">
        <f>AND(Plan!AO59,"AAAAAH/Hd+0=")</f>
        <v>#VALUE!</v>
      </c>
      <c r="IE24" t="e">
        <f>AND(Plan!AP59,"AAAAAH/Hd+4=")</f>
        <v>#VALUE!</v>
      </c>
      <c r="IF24" t="e">
        <f>AND(Plan!AQ59,"AAAAAH/Hd+8=")</f>
        <v>#VALUE!</v>
      </c>
      <c r="IG24" t="e">
        <f>AND(Plan!AR59,"AAAAAH/Hd/A=")</f>
        <v>#VALUE!</v>
      </c>
      <c r="IH24" t="e">
        <f>AND(Plan!AS59,"AAAAAH/Hd/E=")</f>
        <v>#VALUE!</v>
      </c>
      <c r="II24" t="e">
        <f>AND(Plan!AT59,"AAAAAH/Hd/I=")</f>
        <v>#VALUE!</v>
      </c>
      <c r="IJ24" t="e">
        <f>AND(Plan!AU59,"AAAAAH/Hd/M=")</f>
        <v>#VALUE!</v>
      </c>
      <c r="IK24" t="e">
        <f>AND(Plan!AV59,"AAAAAH/Hd/Q=")</f>
        <v>#VALUE!</v>
      </c>
      <c r="IL24" t="e">
        <f>AND(Plan!AW59,"AAAAAH/Hd/U=")</f>
        <v>#VALUE!</v>
      </c>
      <c r="IM24" t="e">
        <f>AND(Plan!AX59,"AAAAAH/Hd/Y=")</f>
        <v>#VALUE!</v>
      </c>
      <c r="IN24" t="e">
        <f>AND(Plan!AY59,"AAAAAH/Hd/c=")</f>
        <v>#VALUE!</v>
      </c>
      <c r="IO24" t="e">
        <f>AND(Plan!AZ59,"AAAAAH/Hd/g=")</f>
        <v>#VALUE!</v>
      </c>
      <c r="IP24" t="e">
        <f>AND(Plan!BA59,"AAAAAH/Hd/k=")</f>
        <v>#VALUE!</v>
      </c>
      <c r="IQ24" t="e">
        <f>AND(Plan!BB59,"AAAAAH/Hd/o=")</f>
        <v>#VALUE!</v>
      </c>
      <c r="IR24" t="e">
        <f>AND(Plan!BC59,"AAAAAH/Hd/s=")</f>
        <v>#VALUE!</v>
      </c>
      <c r="IS24" t="e">
        <f>AND(Plan!BD59,"AAAAAH/Hd/w=")</f>
        <v>#VALUE!</v>
      </c>
      <c r="IT24" t="e">
        <f>AND(Plan!BE59,"AAAAAH/Hd/0=")</f>
        <v>#VALUE!</v>
      </c>
      <c r="IU24" t="e">
        <f>AND(Plan!BF59,"AAAAAH/Hd/4=")</f>
        <v>#VALUE!</v>
      </c>
      <c r="IV24" t="e">
        <f>AND(Plan!BG59,"AAAAAH/Hd/8=")</f>
        <v>#VALUE!</v>
      </c>
    </row>
    <row r="25" spans="1:256">
      <c r="A25" t="e">
        <f>AND(Plan!BH59,"AAAAAD/+uwA=")</f>
        <v>#VALUE!</v>
      </c>
      <c r="B25" t="e">
        <f>AND(Plan!BI59,"AAAAAD/+uwE=")</f>
        <v>#VALUE!</v>
      </c>
      <c r="C25" t="e">
        <f>AND(Plan!BJ59,"AAAAAD/+uwI=")</f>
        <v>#VALUE!</v>
      </c>
      <c r="D25" t="e">
        <f>AND(Plan!BK59,"AAAAAD/+uwM=")</f>
        <v>#VALUE!</v>
      </c>
      <c r="E25" t="e">
        <f>AND(Plan!BL59,"AAAAAD/+uwQ=")</f>
        <v>#VALUE!</v>
      </c>
      <c r="F25" t="e">
        <f>AND(Plan!BM59,"AAAAAD/+uwU=")</f>
        <v>#VALUE!</v>
      </c>
      <c r="G25" t="e">
        <f>AND(Plan!BN59,"AAAAAD/+uwY=")</f>
        <v>#VALUE!</v>
      </c>
      <c r="H25" t="e">
        <f>AND(Plan!BO59,"AAAAAD/+uwc=")</f>
        <v>#VALUE!</v>
      </c>
      <c r="I25" t="e">
        <f>AND(Plan!BP59,"AAAAAD/+uwg=")</f>
        <v>#VALUE!</v>
      </c>
      <c r="J25" t="e">
        <f>AND(Plan!BQ59,"AAAAAD/+uwk=")</f>
        <v>#VALUE!</v>
      </c>
      <c r="K25" t="e">
        <f>AND(Plan!BR59,"AAAAAD/+uwo=")</f>
        <v>#VALUE!</v>
      </c>
      <c r="L25" t="e">
        <f>AND(Plan!BS59,"AAAAAD/+uws=")</f>
        <v>#VALUE!</v>
      </c>
      <c r="M25" t="e">
        <f>AND(Plan!BT59,"AAAAAD/+uww=")</f>
        <v>#VALUE!</v>
      </c>
      <c r="N25" t="e">
        <f>AND(Plan!BU59,"AAAAAD/+uw0=")</f>
        <v>#VALUE!</v>
      </c>
      <c r="O25" t="e">
        <f>AND(Plan!BV59,"AAAAAD/+uw4=")</f>
        <v>#VALUE!</v>
      </c>
      <c r="P25" t="e">
        <f>AND(Plan!BW59,"AAAAAD/+uw8=")</f>
        <v>#VALUE!</v>
      </c>
      <c r="Q25" t="e">
        <f>AND(Plan!BX59,"AAAAAD/+uxA=")</f>
        <v>#VALUE!</v>
      </c>
      <c r="R25" t="e">
        <f>AND(Plan!BY59,"AAAAAD/+uxE=")</f>
        <v>#VALUE!</v>
      </c>
      <c r="S25" t="e">
        <f>AND(Plan!BZ59,"AAAAAD/+uxI=")</f>
        <v>#VALUE!</v>
      </c>
      <c r="T25" t="e">
        <f>AND(Plan!CA59,"AAAAAD/+uxM=")</f>
        <v>#VALUE!</v>
      </c>
      <c r="U25" t="e">
        <f>AND(Plan!CB59,"AAAAAD/+uxQ=")</f>
        <v>#VALUE!</v>
      </c>
      <c r="V25" t="e">
        <f>AND(Plan!CC59,"AAAAAD/+uxU=")</f>
        <v>#VALUE!</v>
      </c>
      <c r="W25" t="e">
        <f>AND(Plan!CD59,"AAAAAD/+uxY=")</f>
        <v>#VALUE!</v>
      </c>
      <c r="X25" t="e">
        <f>AND(Plan!CE59,"AAAAAD/+uxc=")</f>
        <v>#VALUE!</v>
      </c>
      <c r="Y25" t="e">
        <f>AND(Plan!CF59,"AAAAAD/+uxg=")</f>
        <v>#VALUE!</v>
      </c>
      <c r="Z25" t="e">
        <f>AND(Plan!CG59,"AAAAAD/+uxk=")</f>
        <v>#VALUE!</v>
      </c>
      <c r="AA25" t="e">
        <f>AND(Plan!CH59,"AAAAAD/+uxo=")</f>
        <v>#VALUE!</v>
      </c>
      <c r="AB25" t="e">
        <f>AND(Plan!CI59,"AAAAAD/+uxs=")</f>
        <v>#VALUE!</v>
      </c>
      <c r="AC25" t="e">
        <f>AND(Plan!CJ59,"AAAAAD/+uxw=")</f>
        <v>#VALUE!</v>
      </c>
      <c r="AD25" t="e">
        <f>AND(Plan!CK59,"AAAAAD/+ux0=")</f>
        <v>#VALUE!</v>
      </c>
      <c r="AE25" t="e">
        <f>AND(Plan!CL59,"AAAAAD/+ux4=")</f>
        <v>#VALUE!</v>
      </c>
      <c r="AF25" t="e">
        <f>AND(Plan!CM59,"AAAAAD/+ux8=")</f>
        <v>#VALUE!</v>
      </c>
      <c r="AG25" t="e">
        <f>AND(Plan!CN59,"AAAAAD/+uyA=")</f>
        <v>#VALUE!</v>
      </c>
      <c r="AH25" t="e">
        <f>AND(Plan!CO59,"AAAAAD/+uyE=")</f>
        <v>#VALUE!</v>
      </c>
      <c r="AI25" t="e">
        <f>AND(Plan!CP59,"AAAAAD/+uyI=")</f>
        <v>#VALUE!</v>
      </c>
      <c r="AJ25" t="e">
        <f>AND(Plan!CQ59,"AAAAAD/+uyM=")</f>
        <v>#VALUE!</v>
      </c>
      <c r="AK25" t="e">
        <f>AND(Plan!CR59,"AAAAAD/+uyQ=")</f>
        <v>#VALUE!</v>
      </c>
      <c r="AL25" t="e">
        <f>AND(Plan!CS59,"AAAAAD/+uyU=")</f>
        <v>#VALUE!</v>
      </c>
      <c r="AM25" t="e">
        <f>AND(Plan!CT59,"AAAAAD/+uyY=")</f>
        <v>#VALUE!</v>
      </c>
      <c r="AN25" t="e">
        <f>AND(Plan!CU59,"AAAAAD/+uyc=")</f>
        <v>#VALUE!</v>
      </c>
      <c r="AO25" t="e">
        <f>AND(Plan!CV59,"AAAAAD/+uyg=")</f>
        <v>#VALUE!</v>
      </c>
      <c r="AP25" t="e">
        <f>AND(Plan!CW59,"AAAAAD/+uyk=")</f>
        <v>#VALUE!</v>
      </c>
      <c r="AQ25">
        <f>IF(Plan!60:60,"AAAAAD/+uyo=",0)</f>
        <v>0</v>
      </c>
      <c r="AR25" t="e">
        <f>AND(Plan!A60,"AAAAAD/+uys=")</f>
        <v>#VALUE!</v>
      </c>
      <c r="AS25" t="e">
        <f>AND(Plan!B60,"AAAAAD/+uyw=")</f>
        <v>#VALUE!</v>
      </c>
      <c r="AT25" t="e">
        <f>AND(Plan!C59,"AAAAAD/+uy0=")</f>
        <v>#VALUE!</v>
      </c>
      <c r="AU25" t="e">
        <f>AND(Plan!D59,"AAAAAD/+uy4=")</f>
        <v>#VALUE!</v>
      </c>
      <c r="AV25" t="e">
        <f>AND(Plan!E59,"AAAAAD/+uy8=")</f>
        <v>#VALUE!</v>
      </c>
      <c r="AW25" t="e">
        <f>AND(Plan!F59,"AAAAAD/+uzA=")</f>
        <v>#VALUE!</v>
      </c>
      <c r="AX25" t="e">
        <f>AND(Plan!G59,"AAAAAD/+uzE=")</f>
        <v>#VALUE!</v>
      </c>
      <c r="AY25" t="e">
        <f>AND(Plan!H60,"AAAAAD/+uzI=")</f>
        <v>#VALUE!</v>
      </c>
      <c r="AZ25" t="e">
        <f>AND(Plan!I60,"AAAAAD/+uzM=")</f>
        <v>#VALUE!</v>
      </c>
      <c r="BA25" t="e">
        <f>AND(Plan!J60,"AAAAAD/+uzQ=")</f>
        <v>#VALUE!</v>
      </c>
      <c r="BB25" t="e">
        <f>AND(Plan!K60,"AAAAAD/+uzU=")</f>
        <v>#VALUE!</v>
      </c>
      <c r="BC25" t="e">
        <f>AND(Plan!L60,"AAAAAD/+uzY=")</f>
        <v>#VALUE!</v>
      </c>
      <c r="BD25" t="e">
        <f>AND(Plan!M60,"AAAAAD/+uzc=")</f>
        <v>#VALUE!</v>
      </c>
      <c r="BE25" t="e">
        <f>AND(Plan!N60,"AAAAAD/+uzg=")</f>
        <v>#VALUE!</v>
      </c>
      <c r="BF25" t="e">
        <f>AND(Plan!O60,"AAAAAD/+uzk=")</f>
        <v>#VALUE!</v>
      </c>
      <c r="BG25" t="e">
        <f>AND(Plan!P60,"AAAAAD/+uzo=")</f>
        <v>#VALUE!</v>
      </c>
      <c r="BH25" t="e">
        <f>AND(Plan!Q60,"AAAAAD/+uzs=")</f>
        <v>#VALUE!</v>
      </c>
      <c r="BI25" t="e">
        <f>AND(Plan!R60,"AAAAAD/+uzw=")</f>
        <v>#VALUE!</v>
      </c>
      <c r="BJ25" t="e">
        <f>AND(Plan!S60,"AAAAAD/+uz0=")</f>
        <v>#VALUE!</v>
      </c>
      <c r="BK25" t="e">
        <f>AND(Plan!T60,"AAAAAD/+uz4=")</f>
        <v>#VALUE!</v>
      </c>
      <c r="BL25" t="e">
        <f>AND(Plan!U60,"AAAAAD/+uz8=")</f>
        <v>#VALUE!</v>
      </c>
      <c r="BM25" t="e">
        <f>AND(Plan!V60,"AAAAAD/+u0A=")</f>
        <v>#VALUE!</v>
      </c>
      <c r="BN25" t="e">
        <f>AND(Plan!W60,"AAAAAD/+u0E=")</f>
        <v>#VALUE!</v>
      </c>
      <c r="BO25" t="e">
        <f>AND(Plan!X60,"AAAAAD/+u0I=")</f>
        <v>#VALUE!</v>
      </c>
      <c r="BP25" t="e">
        <f>AND(Plan!Y60,"AAAAAD/+u0M=")</f>
        <v>#VALUE!</v>
      </c>
      <c r="BQ25" t="e">
        <f>AND(Plan!Z60,"AAAAAD/+u0Q=")</f>
        <v>#VALUE!</v>
      </c>
      <c r="BR25" t="e">
        <f>AND(Plan!AA60,"AAAAAD/+u0U=")</f>
        <v>#VALUE!</v>
      </c>
      <c r="BS25" t="e">
        <f>AND(Plan!AB60,"AAAAAD/+u0Y=")</f>
        <v>#VALUE!</v>
      </c>
      <c r="BT25" t="e">
        <f>AND(Plan!AC60,"AAAAAD/+u0c=")</f>
        <v>#VALUE!</v>
      </c>
      <c r="BU25" t="e">
        <f>AND(Plan!AD60,"AAAAAD/+u0g=")</f>
        <v>#VALUE!</v>
      </c>
      <c r="BV25" t="e">
        <f>AND(Plan!AE60,"AAAAAD/+u0k=")</f>
        <v>#VALUE!</v>
      </c>
      <c r="BW25" t="e">
        <f>AND(Plan!AF60,"AAAAAD/+u0o=")</f>
        <v>#VALUE!</v>
      </c>
      <c r="BX25" t="e">
        <f>AND(Plan!AG60,"AAAAAD/+u0s=")</f>
        <v>#VALUE!</v>
      </c>
      <c r="BY25" t="e">
        <f>AND(Plan!AH60,"AAAAAD/+u0w=")</f>
        <v>#VALUE!</v>
      </c>
      <c r="BZ25" t="e">
        <f>AND(Plan!AI60,"AAAAAD/+u00=")</f>
        <v>#VALUE!</v>
      </c>
      <c r="CA25" t="e">
        <f>AND(Plan!AJ60,"AAAAAD/+u04=")</f>
        <v>#VALUE!</v>
      </c>
      <c r="CB25" t="e">
        <f>AND(Plan!AK60,"AAAAAD/+u08=")</f>
        <v>#VALUE!</v>
      </c>
      <c r="CC25" t="e">
        <f>AND(Plan!AL60,"AAAAAD/+u1A=")</f>
        <v>#VALUE!</v>
      </c>
      <c r="CD25" t="e">
        <f>AND(Plan!AM60,"AAAAAD/+u1E=")</f>
        <v>#VALUE!</v>
      </c>
      <c r="CE25" t="e">
        <f>AND(Plan!AN60,"AAAAAD/+u1I=")</f>
        <v>#VALUE!</v>
      </c>
      <c r="CF25" t="e">
        <f>AND(Plan!AO60,"AAAAAD/+u1M=")</f>
        <v>#VALUE!</v>
      </c>
      <c r="CG25" t="e">
        <f>AND(Plan!AP60,"AAAAAD/+u1Q=")</f>
        <v>#VALUE!</v>
      </c>
      <c r="CH25" t="e">
        <f>AND(Plan!AQ60,"AAAAAD/+u1U=")</f>
        <v>#VALUE!</v>
      </c>
      <c r="CI25" t="e">
        <f>AND(Plan!AR60,"AAAAAD/+u1Y=")</f>
        <v>#VALUE!</v>
      </c>
      <c r="CJ25" t="e">
        <f>AND(Plan!AS60,"AAAAAD/+u1c=")</f>
        <v>#VALUE!</v>
      </c>
      <c r="CK25" t="e">
        <f>AND(Plan!AT60,"AAAAAD/+u1g=")</f>
        <v>#VALUE!</v>
      </c>
      <c r="CL25" t="e">
        <f>AND(Plan!AU60,"AAAAAD/+u1k=")</f>
        <v>#VALUE!</v>
      </c>
      <c r="CM25" t="e">
        <f>AND(Plan!AV60,"AAAAAD/+u1o=")</f>
        <v>#VALUE!</v>
      </c>
      <c r="CN25" t="e">
        <f>AND(Plan!AW60,"AAAAAD/+u1s=")</f>
        <v>#VALUE!</v>
      </c>
      <c r="CO25" t="e">
        <f>AND(Plan!AX60,"AAAAAD/+u1w=")</f>
        <v>#VALUE!</v>
      </c>
      <c r="CP25" t="e">
        <f>AND(Plan!AY60,"AAAAAD/+u10=")</f>
        <v>#VALUE!</v>
      </c>
      <c r="CQ25" t="e">
        <f>AND(Plan!AZ60,"AAAAAD/+u14=")</f>
        <v>#VALUE!</v>
      </c>
      <c r="CR25" t="e">
        <f>AND(Plan!BA60,"AAAAAD/+u18=")</f>
        <v>#VALUE!</v>
      </c>
      <c r="CS25" t="e">
        <f>AND(Plan!BB60,"AAAAAD/+u2A=")</f>
        <v>#VALUE!</v>
      </c>
      <c r="CT25" t="e">
        <f>AND(Plan!BC60,"AAAAAD/+u2E=")</f>
        <v>#VALUE!</v>
      </c>
      <c r="CU25" t="e">
        <f>AND(Plan!BD60,"AAAAAD/+u2I=")</f>
        <v>#VALUE!</v>
      </c>
      <c r="CV25" t="e">
        <f>AND(Plan!BE60,"AAAAAD/+u2M=")</f>
        <v>#VALUE!</v>
      </c>
      <c r="CW25" t="e">
        <f>AND(Plan!BF60,"AAAAAD/+u2Q=")</f>
        <v>#VALUE!</v>
      </c>
      <c r="CX25" t="e">
        <f>AND(Plan!BG60,"AAAAAD/+u2U=")</f>
        <v>#VALUE!</v>
      </c>
      <c r="CY25" t="e">
        <f>AND(Plan!BH60,"AAAAAD/+u2Y=")</f>
        <v>#VALUE!</v>
      </c>
      <c r="CZ25" t="e">
        <f>AND(Plan!BI60,"AAAAAD/+u2c=")</f>
        <v>#VALUE!</v>
      </c>
      <c r="DA25" t="e">
        <f>AND(Plan!BJ60,"AAAAAD/+u2g=")</f>
        <v>#VALUE!</v>
      </c>
      <c r="DB25" t="e">
        <f>AND(Plan!BK60,"AAAAAD/+u2k=")</f>
        <v>#VALUE!</v>
      </c>
      <c r="DC25" t="e">
        <f>AND(Plan!BL60,"AAAAAD/+u2o=")</f>
        <v>#VALUE!</v>
      </c>
      <c r="DD25" t="e">
        <f>AND(Plan!BM60,"AAAAAD/+u2s=")</f>
        <v>#VALUE!</v>
      </c>
      <c r="DE25" t="e">
        <f>AND(Plan!BN60,"AAAAAD/+u2w=")</f>
        <v>#VALUE!</v>
      </c>
      <c r="DF25" t="e">
        <f>AND(Plan!BO60,"AAAAAD/+u20=")</f>
        <v>#VALUE!</v>
      </c>
      <c r="DG25" t="e">
        <f>AND(Plan!BP60,"AAAAAD/+u24=")</f>
        <v>#VALUE!</v>
      </c>
      <c r="DH25" t="e">
        <f>AND(Plan!BQ60,"AAAAAD/+u28=")</f>
        <v>#VALUE!</v>
      </c>
      <c r="DI25" t="e">
        <f>AND(Plan!BR60,"AAAAAD/+u3A=")</f>
        <v>#VALUE!</v>
      </c>
      <c r="DJ25" t="e">
        <f>AND(Plan!BS60,"AAAAAD/+u3E=")</f>
        <v>#VALUE!</v>
      </c>
      <c r="DK25" t="e">
        <f>AND(Plan!BT60,"AAAAAD/+u3I=")</f>
        <v>#VALUE!</v>
      </c>
      <c r="DL25" t="e">
        <f>AND(Plan!BU60,"AAAAAD/+u3M=")</f>
        <v>#VALUE!</v>
      </c>
      <c r="DM25" t="e">
        <f>AND(Plan!BV60,"AAAAAD/+u3Q=")</f>
        <v>#VALUE!</v>
      </c>
      <c r="DN25" t="e">
        <f>AND(Plan!BW60,"AAAAAD/+u3U=")</f>
        <v>#VALUE!</v>
      </c>
      <c r="DO25" t="e">
        <f>AND(Plan!BX60,"AAAAAD/+u3Y=")</f>
        <v>#VALUE!</v>
      </c>
      <c r="DP25" t="e">
        <f>AND(Plan!BY60,"AAAAAD/+u3c=")</f>
        <v>#VALUE!</v>
      </c>
      <c r="DQ25" t="e">
        <f>AND(Plan!BZ60,"AAAAAD/+u3g=")</f>
        <v>#VALUE!</v>
      </c>
      <c r="DR25" t="e">
        <f>AND(Plan!CA60,"AAAAAD/+u3k=")</f>
        <v>#VALUE!</v>
      </c>
      <c r="DS25" t="e">
        <f>AND(Plan!CB60,"AAAAAD/+u3o=")</f>
        <v>#VALUE!</v>
      </c>
      <c r="DT25" t="e">
        <f>AND(Plan!CC60,"AAAAAD/+u3s=")</f>
        <v>#VALUE!</v>
      </c>
      <c r="DU25" t="e">
        <f>AND(Plan!CD60,"AAAAAD/+u3w=")</f>
        <v>#VALUE!</v>
      </c>
      <c r="DV25" t="e">
        <f>AND(Plan!CE60,"AAAAAD/+u30=")</f>
        <v>#VALUE!</v>
      </c>
      <c r="DW25" t="e">
        <f>AND(Plan!CF60,"AAAAAD/+u34=")</f>
        <v>#VALUE!</v>
      </c>
      <c r="DX25" t="e">
        <f>AND(Plan!CG60,"AAAAAD/+u38=")</f>
        <v>#VALUE!</v>
      </c>
      <c r="DY25" t="e">
        <f>AND(Plan!CH60,"AAAAAD/+u4A=")</f>
        <v>#VALUE!</v>
      </c>
      <c r="DZ25" t="e">
        <f>AND(Plan!CI60,"AAAAAD/+u4E=")</f>
        <v>#VALUE!</v>
      </c>
      <c r="EA25" t="e">
        <f>AND(Plan!CJ60,"AAAAAD/+u4I=")</f>
        <v>#VALUE!</v>
      </c>
      <c r="EB25" t="e">
        <f>AND(Plan!CK60,"AAAAAD/+u4M=")</f>
        <v>#VALUE!</v>
      </c>
      <c r="EC25" t="e">
        <f>AND(Plan!CL60,"AAAAAD/+u4Q=")</f>
        <v>#VALUE!</v>
      </c>
      <c r="ED25" t="e">
        <f>AND(Plan!CM60,"AAAAAD/+u4U=")</f>
        <v>#VALUE!</v>
      </c>
      <c r="EE25" t="e">
        <f>AND(Plan!CN60,"AAAAAD/+u4Y=")</f>
        <v>#VALUE!</v>
      </c>
      <c r="EF25" t="e">
        <f>AND(Plan!CO60,"AAAAAD/+u4c=")</f>
        <v>#VALUE!</v>
      </c>
      <c r="EG25" t="e">
        <f>AND(Plan!CP60,"AAAAAD/+u4g=")</f>
        <v>#VALUE!</v>
      </c>
      <c r="EH25" t="e">
        <f>AND(Plan!CQ60,"AAAAAD/+u4k=")</f>
        <v>#VALUE!</v>
      </c>
      <c r="EI25" t="e">
        <f>AND(Plan!CR60,"AAAAAD/+u4o=")</f>
        <v>#VALUE!</v>
      </c>
      <c r="EJ25" t="e">
        <f>AND(Plan!CS60,"AAAAAD/+u4s=")</f>
        <v>#VALUE!</v>
      </c>
      <c r="EK25" t="e">
        <f>AND(Plan!CT60,"AAAAAD/+u4w=")</f>
        <v>#VALUE!</v>
      </c>
      <c r="EL25" t="e">
        <f>AND(Plan!CU60,"AAAAAD/+u40=")</f>
        <v>#VALUE!</v>
      </c>
      <c r="EM25" t="e">
        <f>AND(Plan!CV60,"AAAAAD/+u44=")</f>
        <v>#VALUE!</v>
      </c>
      <c r="EN25" t="e">
        <f>AND(Plan!CW60,"AAAAAD/+u48=")</f>
        <v>#VALUE!</v>
      </c>
      <c r="EO25">
        <f>IF(Plan!61:61,"AAAAAD/+u5A=",0)</f>
        <v>0</v>
      </c>
      <c r="EP25" t="e">
        <f>AND(Plan!A61,"AAAAAD/+u5E=")</f>
        <v>#VALUE!</v>
      </c>
      <c r="EQ25" t="e">
        <f>AND(Plan!B61,"AAAAAD/+u5I=")</f>
        <v>#VALUE!</v>
      </c>
      <c r="ER25" t="e">
        <f>AND(Plan!C60,"AAAAAD/+u5M=")</f>
        <v>#VALUE!</v>
      </c>
      <c r="ES25" t="e">
        <f>AND(Plan!D60,"AAAAAD/+u5Q=")</f>
        <v>#VALUE!</v>
      </c>
      <c r="ET25" t="e">
        <f>AND(Plan!E60,"AAAAAD/+u5U=")</f>
        <v>#VALUE!</v>
      </c>
      <c r="EU25" t="e">
        <f>AND(Plan!F60,"AAAAAD/+u5Y=")</f>
        <v>#VALUE!</v>
      </c>
      <c r="EV25" t="e">
        <f>AND(Plan!G60,"AAAAAD/+u5c=")</f>
        <v>#VALUE!</v>
      </c>
      <c r="EW25" t="e">
        <f>AND(Plan!H61,"AAAAAD/+u5g=")</f>
        <v>#VALUE!</v>
      </c>
      <c r="EX25" t="e">
        <f>AND(Plan!I61,"AAAAAD/+u5k=")</f>
        <v>#VALUE!</v>
      </c>
      <c r="EY25" t="e">
        <f>AND(Plan!J61,"AAAAAD/+u5o=")</f>
        <v>#VALUE!</v>
      </c>
      <c r="EZ25" t="e">
        <f>AND(Plan!K61,"AAAAAD/+u5s=")</f>
        <v>#VALUE!</v>
      </c>
      <c r="FA25" t="e">
        <f>AND(Plan!L61,"AAAAAD/+u5w=")</f>
        <v>#VALUE!</v>
      </c>
      <c r="FB25" t="e">
        <f>AND(Plan!M61,"AAAAAD/+u50=")</f>
        <v>#VALUE!</v>
      </c>
      <c r="FC25" t="e">
        <f>AND(Plan!N61,"AAAAAD/+u54=")</f>
        <v>#VALUE!</v>
      </c>
      <c r="FD25" t="e">
        <f>AND(Plan!O61,"AAAAAD/+u58=")</f>
        <v>#VALUE!</v>
      </c>
      <c r="FE25" t="e">
        <f>AND(Plan!P61,"AAAAAD/+u6A=")</f>
        <v>#VALUE!</v>
      </c>
      <c r="FF25" t="e">
        <f>AND(Plan!Q61,"AAAAAD/+u6E=")</f>
        <v>#VALUE!</v>
      </c>
      <c r="FG25" t="e">
        <f>AND(Plan!R61,"AAAAAD/+u6I=")</f>
        <v>#VALUE!</v>
      </c>
      <c r="FH25" t="e">
        <f>AND(Plan!S61,"AAAAAD/+u6M=")</f>
        <v>#VALUE!</v>
      </c>
      <c r="FI25" t="e">
        <f>AND(Plan!T61,"AAAAAD/+u6Q=")</f>
        <v>#VALUE!</v>
      </c>
      <c r="FJ25" t="e">
        <f>AND(Plan!U61,"AAAAAD/+u6U=")</f>
        <v>#VALUE!</v>
      </c>
      <c r="FK25" t="e">
        <f>AND(Plan!V61,"AAAAAD/+u6Y=")</f>
        <v>#VALUE!</v>
      </c>
      <c r="FL25" t="e">
        <f>AND(Plan!W61,"AAAAAD/+u6c=")</f>
        <v>#VALUE!</v>
      </c>
      <c r="FM25" t="e">
        <f>AND(Plan!X61,"AAAAAD/+u6g=")</f>
        <v>#VALUE!</v>
      </c>
      <c r="FN25" t="e">
        <f>AND(Plan!Y61,"AAAAAD/+u6k=")</f>
        <v>#VALUE!</v>
      </c>
      <c r="FO25" t="e">
        <f>AND(Plan!Z61,"AAAAAD/+u6o=")</f>
        <v>#VALUE!</v>
      </c>
      <c r="FP25" t="e">
        <f>AND(Plan!AA61,"AAAAAD/+u6s=")</f>
        <v>#VALUE!</v>
      </c>
      <c r="FQ25" t="e">
        <f>AND(Plan!AB61,"AAAAAD/+u6w=")</f>
        <v>#VALUE!</v>
      </c>
      <c r="FR25" t="e">
        <f>AND(Plan!AC61,"AAAAAD/+u60=")</f>
        <v>#VALUE!</v>
      </c>
      <c r="FS25" t="e">
        <f>AND(Plan!AD61,"AAAAAD/+u64=")</f>
        <v>#VALUE!</v>
      </c>
      <c r="FT25" t="e">
        <f>AND(Plan!AE61,"AAAAAD/+u68=")</f>
        <v>#VALUE!</v>
      </c>
      <c r="FU25" t="e">
        <f>AND(Plan!AF61,"AAAAAD/+u7A=")</f>
        <v>#VALUE!</v>
      </c>
      <c r="FV25" t="e">
        <f>AND(Plan!AG61,"AAAAAD/+u7E=")</f>
        <v>#VALUE!</v>
      </c>
      <c r="FW25" t="e">
        <f>AND(Plan!AH61,"AAAAAD/+u7I=")</f>
        <v>#VALUE!</v>
      </c>
      <c r="FX25" t="e">
        <f>AND(Plan!AI61,"AAAAAD/+u7M=")</f>
        <v>#VALUE!</v>
      </c>
      <c r="FY25" t="e">
        <f>AND(Plan!AJ61,"AAAAAD/+u7Q=")</f>
        <v>#VALUE!</v>
      </c>
      <c r="FZ25" t="e">
        <f>AND(Plan!AK61,"AAAAAD/+u7U=")</f>
        <v>#VALUE!</v>
      </c>
      <c r="GA25" t="e">
        <f>AND(Plan!AL61,"AAAAAD/+u7Y=")</f>
        <v>#VALUE!</v>
      </c>
      <c r="GB25" t="e">
        <f>AND(Plan!AM61,"AAAAAD/+u7c=")</f>
        <v>#VALUE!</v>
      </c>
      <c r="GC25" t="e">
        <f>AND(Plan!AN61,"AAAAAD/+u7g=")</f>
        <v>#VALUE!</v>
      </c>
      <c r="GD25" t="e">
        <f>AND(Plan!AO61,"AAAAAD/+u7k=")</f>
        <v>#VALUE!</v>
      </c>
      <c r="GE25" t="e">
        <f>AND(Plan!AP61,"AAAAAD/+u7o=")</f>
        <v>#VALUE!</v>
      </c>
      <c r="GF25" t="e">
        <f>AND(Plan!AQ61,"AAAAAD/+u7s=")</f>
        <v>#VALUE!</v>
      </c>
      <c r="GG25" t="e">
        <f>AND(Plan!AR61,"AAAAAD/+u7w=")</f>
        <v>#VALUE!</v>
      </c>
      <c r="GH25" t="e">
        <f>AND(Plan!AS61,"AAAAAD/+u70=")</f>
        <v>#VALUE!</v>
      </c>
      <c r="GI25" t="e">
        <f>AND(Plan!AT61,"AAAAAD/+u74=")</f>
        <v>#VALUE!</v>
      </c>
      <c r="GJ25" t="e">
        <f>AND(Plan!AU61,"AAAAAD/+u78=")</f>
        <v>#VALUE!</v>
      </c>
      <c r="GK25" t="e">
        <f>AND(Plan!AV61,"AAAAAD/+u8A=")</f>
        <v>#VALUE!</v>
      </c>
      <c r="GL25" t="e">
        <f>AND(Plan!AW61,"AAAAAD/+u8E=")</f>
        <v>#VALUE!</v>
      </c>
      <c r="GM25" t="e">
        <f>AND(Plan!AX61,"AAAAAD/+u8I=")</f>
        <v>#VALUE!</v>
      </c>
      <c r="GN25" t="e">
        <f>AND(Plan!AY61,"AAAAAD/+u8M=")</f>
        <v>#VALUE!</v>
      </c>
      <c r="GO25" t="e">
        <f>AND(Plan!AZ61,"AAAAAD/+u8Q=")</f>
        <v>#VALUE!</v>
      </c>
      <c r="GP25" t="e">
        <f>AND(Plan!BA61,"AAAAAD/+u8U=")</f>
        <v>#VALUE!</v>
      </c>
      <c r="GQ25" t="e">
        <f>AND(Plan!BB61,"AAAAAD/+u8Y=")</f>
        <v>#VALUE!</v>
      </c>
      <c r="GR25" t="e">
        <f>AND(Plan!BC61,"AAAAAD/+u8c=")</f>
        <v>#VALUE!</v>
      </c>
      <c r="GS25" t="e">
        <f>AND(Plan!BD61,"AAAAAD/+u8g=")</f>
        <v>#VALUE!</v>
      </c>
      <c r="GT25" t="e">
        <f>AND(Plan!BE61,"AAAAAD/+u8k=")</f>
        <v>#VALUE!</v>
      </c>
      <c r="GU25" t="e">
        <f>AND(Plan!BF61,"AAAAAD/+u8o=")</f>
        <v>#VALUE!</v>
      </c>
      <c r="GV25" t="e">
        <f>AND(Plan!BG61,"AAAAAD/+u8s=")</f>
        <v>#VALUE!</v>
      </c>
      <c r="GW25" t="e">
        <f>AND(Plan!BH61,"AAAAAD/+u8w=")</f>
        <v>#VALUE!</v>
      </c>
      <c r="GX25" t="e">
        <f>AND(Plan!BI61,"AAAAAD/+u80=")</f>
        <v>#VALUE!</v>
      </c>
      <c r="GY25" t="e">
        <f>AND(Plan!BJ61,"AAAAAD/+u84=")</f>
        <v>#VALUE!</v>
      </c>
      <c r="GZ25" t="e">
        <f>AND(Plan!BK61,"AAAAAD/+u88=")</f>
        <v>#VALUE!</v>
      </c>
      <c r="HA25" t="e">
        <f>AND(Plan!BL61,"AAAAAD/+u9A=")</f>
        <v>#VALUE!</v>
      </c>
      <c r="HB25" t="e">
        <f>AND(Plan!BM61,"AAAAAD/+u9E=")</f>
        <v>#VALUE!</v>
      </c>
      <c r="HC25" t="e">
        <f>AND(Plan!BN61,"AAAAAD/+u9I=")</f>
        <v>#VALUE!</v>
      </c>
      <c r="HD25" t="e">
        <f>AND(Plan!BO61,"AAAAAD/+u9M=")</f>
        <v>#VALUE!</v>
      </c>
      <c r="HE25" t="e">
        <f>AND(Plan!BP61,"AAAAAD/+u9Q=")</f>
        <v>#VALUE!</v>
      </c>
      <c r="HF25" t="e">
        <f>AND(Plan!BQ61,"AAAAAD/+u9U=")</f>
        <v>#VALUE!</v>
      </c>
      <c r="HG25" t="e">
        <f>AND(Plan!BR61,"AAAAAD/+u9Y=")</f>
        <v>#VALUE!</v>
      </c>
      <c r="HH25" t="e">
        <f>AND(Plan!BS61,"AAAAAD/+u9c=")</f>
        <v>#VALUE!</v>
      </c>
      <c r="HI25" t="e">
        <f>AND(Plan!BT61,"AAAAAD/+u9g=")</f>
        <v>#VALUE!</v>
      </c>
      <c r="HJ25" t="e">
        <f>AND(Plan!BU61,"AAAAAD/+u9k=")</f>
        <v>#VALUE!</v>
      </c>
      <c r="HK25" t="e">
        <f>AND(Plan!BV61,"AAAAAD/+u9o=")</f>
        <v>#VALUE!</v>
      </c>
      <c r="HL25" t="e">
        <f>AND(Plan!BW61,"AAAAAD/+u9s=")</f>
        <v>#VALUE!</v>
      </c>
      <c r="HM25" t="e">
        <f>AND(Plan!BX61,"AAAAAD/+u9w=")</f>
        <v>#VALUE!</v>
      </c>
      <c r="HN25" t="e">
        <f>AND(Plan!BY61,"AAAAAD/+u90=")</f>
        <v>#VALUE!</v>
      </c>
      <c r="HO25" t="e">
        <f>AND(Plan!BZ61,"AAAAAD/+u94=")</f>
        <v>#VALUE!</v>
      </c>
      <c r="HP25" t="e">
        <f>AND(Plan!CA61,"AAAAAD/+u98=")</f>
        <v>#VALUE!</v>
      </c>
      <c r="HQ25" t="e">
        <f>AND(Plan!CB61,"AAAAAD/+u+A=")</f>
        <v>#VALUE!</v>
      </c>
      <c r="HR25" t="e">
        <f>AND(Plan!CC61,"AAAAAD/+u+E=")</f>
        <v>#VALUE!</v>
      </c>
      <c r="HS25" t="e">
        <f>AND(Plan!CD61,"AAAAAD/+u+I=")</f>
        <v>#VALUE!</v>
      </c>
      <c r="HT25" t="e">
        <f>AND(Plan!CE61,"AAAAAD/+u+M=")</f>
        <v>#VALUE!</v>
      </c>
      <c r="HU25" t="e">
        <f>AND(Plan!CF61,"AAAAAD/+u+Q=")</f>
        <v>#VALUE!</v>
      </c>
      <c r="HV25" t="e">
        <f>AND(Plan!CG61,"AAAAAD/+u+U=")</f>
        <v>#VALUE!</v>
      </c>
      <c r="HW25" t="e">
        <f>AND(Plan!CH61,"AAAAAD/+u+Y=")</f>
        <v>#VALUE!</v>
      </c>
      <c r="HX25" t="e">
        <f>AND(Plan!CI61,"AAAAAD/+u+c=")</f>
        <v>#VALUE!</v>
      </c>
      <c r="HY25" t="e">
        <f>AND(Plan!CJ61,"AAAAAD/+u+g=")</f>
        <v>#VALUE!</v>
      </c>
      <c r="HZ25" t="e">
        <f>AND(Plan!CK61,"AAAAAD/+u+k=")</f>
        <v>#VALUE!</v>
      </c>
      <c r="IA25" t="e">
        <f>AND(Plan!CL61,"AAAAAD/+u+o=")</f>
        <v>#VALUE!</v>
      </c>
      <c r="IB25" t="e">
        <f>AND(Plan!CM61,"AAAAAD/+u+s=")</f>
        <v>#VALUE!</v>
      </c>
      <c r="IC25" t="e">
        <f>AND(Plan!CN61,"AAAAAD/+u+w=")</f>
        <v>#VALUE!</v>
      </c>
      <c r="ID25" t="e">
        <f>AND(Plan!CO61,"AAAAAD/+u+0=")</f>
        <v>#VALUE!</v>
      </c>
      <c r="IE25" t="e">
        <f>AND(Plan!CP61,"AAAAAD/+u+4=")</f>
        <v>#VALUE!</v>
      </c>
      <c r="IF25" t="e">
        <f>AND(Plan!CQ61,"AAAAAD/+u+8=")</f>
        <v>#VALUE!</v>
      </c>
      <c r="IG25" t="e">
        <f>AND(Plan!CR61,"AAAAAD/+u/A=")</f>
        <v>#VALUE!</v>
      </c>
      <c r="IH25" t="e">
        <f>AND(Plan!CS61,"AAAAAD/+u/E=")</f>
        <v>#VALUE!</v>
      </c>
      <c r="II25" t="e">
        <f>AND(Plan!CT61,"AAAAAD/+u/I=")</f>
        <v>#VALUE!</v>
      </c>
      <c r="IJ25" t="e">
        <f>AND(Plan!CU61,"AAAAAD/+u/M=")</f>
        <v>#VALUE!</v>
      </c>
      <c r="IK25" t="e">
        <f>AND(Plan!CV61,"AAAAAD/+u/Q=")</f>
        <v>#VALUE!</v>
      </c>
      <c r="IL25" t="e">
        <f>AND(Plan!CW61,"AAAAAD/+u/U=")</f>
        <v>#VALUE!</v>
      </c>
      <c r="IM25">
        <f>IF(Plan!62:62,"AAAAAD/+u/Y=",0)</f>
        <v>0</v>
      </c>
      <c r="IN25" t="e">
        <f>AND(Plan!A62,"AAAAAD/+u/c=")</f>
        <v>#VALUE!</v>
      </c>
      <c r="IO25" t="e">
        <f>AND(Plan!B62,"AAAAAD/+u/g=")</f>
        <v>#VALUE!</v>
      </c>
      <c r="IP25" t="e">
        <f>AND(Plan!C58,"AAAAAD/+u/k=")</f>
        <v>#VALUE!</v>
      </c>
      <c r="IQ25" t="e">
        <f>AND(Plan!D58,"AAAAAD/+u/o=")</f>
        <v>#VALUE!</v>
      </c>
      <c r="IR25" t="e">
        <f>AND(Plan!E58,"AAAAAD/+u/s=")</f>
        <v>#VALUE!</v>
      </c>
      <c r="IS25" t="e">
        <f>AND(Plan!F58,"AAAAAD/+u/w=")</f>
        <v>#VALUE!</v>
      </c>
      <c r="IT25" t="e">
        <f>AND(Plan!G58,"AAAAAD/+u/0=")</f>
        <v>#VALUE!</v>
      </c>
      <c r="IU25" t="e">
        <f>AND(Plan!H62,"AAAAAD/+u/4=")</f>
        <v>#VALUE!</v>
      </c>
      <c r="IV25" t="e">
        <f>AND(Plan!I62,"AAAAAD/+u/8=")</f>
        <v>#VALUE!</v>
      </c>
    </row>
    <row r="26" spans="1:256">
      <c r="A26" t="e">
        <f>AND(Plan!J62,"AAAAAH6t9wA=")</f>
        <v>#VALUE!</v>
      </c>
      <c r="B26" t="e">
        <f>AND(Plan!K62,"AAAAAH6t9wE=")</f>
        <v>#VALUE!</v>
      </c>
      <c r="C26" t="e">
        <f>AND(Plan!L62,"AAAAAH6t9wI=")</f>
        <v>#VALUE!</v>
      </c>
      <c r="D26" t="e">
        <f>AND(Plan!M62,"AAAAAH6t9wM=")</f>
        <v>#VALUE!</v>
      </c>
      <c r="E26" t="e">
        <f>AND(Plan!N62,"AAAAAH6t9wQ=")</f>
        <v>#VALUE!</v>
      </c>
      <c r="F26" t="e">
        <f>AND(Plan!O62,"AAAAAH6t9wU=")</f>
        <v>#VALUE!</v>
      </c>
      <c r="G26" t="e">
        <f>AND(Plan!P62,"AAAAAH6t9wY=")</f>
        <v>#VALUE!</v>
      </c>
      <c r="H26" t="e">
        <f>AND(Plan!Q62,"AAAAAH6t9wc=")</f>
        <v>#VALUE!</v>
      </c>
      <c r="I26" t="e">
        <f>AND(Plan!R62,"AAAAAH6t9wg=")</f>
        <v>#VALUE!</v>
      </c>
      <c r="J26" t="e">
        <f>AND(Plan!S62,"AAAAAH6t9wk=")</f>
        <v>#VALUE!</v>
      </c>
      <c r="K26" t="e">
        <f>AND(Plan!T62,"AAAAAH6t9wo=")</f>
        <v>#VALUE!</v>
      </c>
      <c r="L26" t="e">
        <f>AND(Plan!U62,"AAAAAH6t9ws=")</f>
        <v>#VALUE!</v>
      </c>
      <c r="M26" t="e">
        <f>AND(Plan!V62,"AAAAAH6t9ww=")</f>
        <v>#VALUE!</v>
      </c>
      <c r="N26" t="e">
        <f>AND(Plan!W62,"AAAAAH6t9w0=")</f>
        <v>#VALUE!</v>
      </c>
      <c r="O26" t="e">
        <f>AND(Plan!X62,"AAAAAH6t9w4=")</f>
        <v>#VALUE!</v>
      </c>
      <c r="P26" t="e">
        <f>AND(Plan!Y62,"AAAAAH6t9w8=")</f>
        <v>#VALUE!</v>
      </c>
      <c r="Q26" t="e">
        <f>AND(Plan!Z62,"AAAAAH6t9xA=")</f>
        <v>#VALUE!</v>
      </c>
      <c r="R26" t="e">
        <f>AND(Plan!AA62,"AAAAAH6t9xE=")</f>
        <v>#VALUE!</v>
      </c>
      <c r="S26" t="e">
        <f>AND(Plan!AB62,"AAAAAH6t9xI=")</f>
        <v>#VALUE!</v>
      </c>
      <c r="T26" t="e">
        <f>AND(Plan!AC62,"AAAAAH6t9xM=")</f>
        <v>#VALUE!</v>
      </c>
      <c r="U26" t="e">
        <f>AND(Plan!AD62,"AAAAAH6t9xQ=")</f>
        <v>#VALUE!</v>
      </c>
      <c r="V26" t="e">
        <f>AND(Plan!AE62,"AAAAAH6t9xU=")</f>
        <v>#VALUE!</v>
      </c>
      <c r="W26" t="e">
        <f>AND(Plan!AF62,"AAAAAH6t9xY=")</f>
        <v>#VALUE!</v>
      </c>
      <c r="X26" t="e">
        <f>AND(Plan!AG62,"AAAAAH6t9xc=")</f>
        <v>#VALUE!</v>
      </c>
      <c r="Y26" t="e">
        <f>AND(Plan!AH62,"AAAAAH6t9xg=")</f>
        <v>#VALUE!</v>
      </c>
      <c r="Z26" t="e">
        <f>AND(Plan!AI62,"AAAAAH6t9xk=")</f>
        <v>#VALUE!</v>
      </c>
      <c r="AA26" t="e">
        <f>AND(Plan!AJ62,"AAAAAH6t9xo=")</f>
        <v>#VALUE!</v>
      </c>
      <c r="AB26" t="e">
        <f>AND(Plan!AK62,"AAAAAH6t9xs=")</f>
        <v>#VALUE!</v>
      </c>
      <c r="AC26" t="e">
        <f>AND(Plan!AL62,"AAAAAH6t9xw=")</f>
        <v>#VALUE!</v>
      </c>
      <c r="AD26" t="e">
        <f>AND(Plan!AM62,"AAAAAH6t9x0=")</f>
        <v>#VALUE!</v>
      </c>
      <c r="AE26" t="e">
        <f>AND(Plan!AN62,"AAAAAH6t9x4=")</f>
        <v>#VALUE!</v>
      </c>
      <c r="AF26" t="e">
        <f>AND(Plan!AO62,"AAAAAH6t9x8=")</f>
        <v>#VALUE!</v>
      </c>
      <c r="AG26" t="e">
        <f>AND(Plan!AP62,"AAAAAH6t9yA=")</f>
        <v>#VALUE!</v>
      </c>
      <c r="AH26" t="e">
        <f>AND(Plan!AQ62,"AAAAAH6t9yE=")</f>
        <v>#VALUE!</v>
      </c>
      <c r="AI26" t="e">
        <f>AND(Plan!AR62,"AAAAAH6t9yI=")</f>
        <v>#VALUE!</v>
      </c>
      <c r="AJ26" t="e">
        <f>AND(Plan!AS62,"AAAAAH6t9yM=")</f>
        <v>#VALUE!</v>
      </c>
      <c r="AK26" t="e">
        <f>AND(Plan!AT62,"AAAAAH6t9yQ=")</f>
        <v>#VALUE!</v>
      </c>
      <c r="AL26" t="e">
        <f>AND(Plan!AU62,"AAAAAH6t9yU=")</f>
        <v>#VALUE!</v>
      </c>
      <c r="AM26" t="e">
        <f>AND(Plan!AV62,"AAAAAH6t9yY=")</f>
        <v>#VALUE!</v>
      </c>
      <c r="AN26" t="e">
        <f>AND(Plan!AW62,"AAAAAH6t9yc=")</f>
        <v>#VALUE!</v>
      </c>
      <c r="AO26" t="e">
        <f>AND(Plan!AX62,"AAAAAH6t9yg=")</f>
        <v>#VALUE!</v>
      </c>
      <c r="AP26" t="e">
        <f>AND(Plan!AY62,"AAAAAH6t9yk=")</f>
        <v>#VALUE!</v>
      </c>
      <c r="AQ26" t="e">
        <f>AND(Plan!AZ62,"AAAAAH6t9yo=")</f>
        <v>#VALUE!</v>
      </c>
      <c r="AR26" t="e">
        <f>AND(Plan!BA62,"AAAAAH6t9ys=")</f>
        <v>#VALUE!</v>
      </c>
      <c r="AS26" t="e">
        <f>AND(Plan!BB62,"AAAAAH6t9yw=")</f>
        <v>#VALUE!</v>
      </c>
      <c r="AT26" t="e">
        <f>AND(Plan!BC62,"AAAAAH6t9y0=")</f>
        <v>#VALUE!</v>
      </c>
      <c r="AU26" t="e">
        <f>AND(Plan!BD62,"AAAAAH6t9y4=")</f>
        <v>#VALUE!</v>
      </c>
      <c r="AV26" t="e">
        <f>AND(Plan!BE62,"AAAAAH6t9y8=")</f>
        <v>#VALUE!</v>
      </c>
      <c r="AW26" t="e">
        <f>AND(Plan!BF62,"AAAAAH6t9zA=")</f>
        <v>#VALUE!</v>
      </c>
      <c r="AX26" t="e">
        <f>AND(Plan!BG62,"AAAAAH6t9zE=")</f>
        <v>#VALUE!</v>
      </c>
      <c r="AY26" t="e">
        <f>AND(Plan!BH62,"AAAAAH6t9zI=")</f>
        <v>#VALUE!</v>
      </c>
      <c r="AZ26" t="e">
        <f>AND(Plan!BI62,"AAAAAH6t9zM=")</f>
        <v>#VALUE!</v>
      </c>
      <c r="BA26" t="e">
        <f>AND(Plan!BJ62,"AAAAAH6t9zQ=")</f>
        <v>#VALUE!</v>
      </c>
      <c r="BB26" t="e">
        <f>AND(Plan!BK62,"AAAAAH6t9zU=")</f>
        <v>#VALUE!</v>
      </c>
      <c r="BC26" t="e">
        <f>AND(Plan!BL62,"AAAAAH6t9zY=")</f>
        <v>#VALUE!</v>
      </c>
      <c r="BD26" t="e">
        <f>AND(Plan!BM62,"AAAAAH6t9zc=")</f>
        <v>#VALUE!</v>
      </c>
      <c r="BE26" t="e">
        <f>AND(Plan!BN62,"AAAAAH6t9zg=")</f>
        <v>#VALUE!</v>
      </c>
      <c r="BF26" t="e">
        <f>AND(Plan!BO62,"AAAAAH6t9zk=")</f>
        <v>#VALUE!</v>
      </c>
      <c r="BG26" t="e">
        <f>AND(Plan!BP62,"AAAAAH6t9zo=")</f>
        <v>#VALUE!</v>
      </c>
      <c r="BH26" t="e">
        <f>AND(Plan!BQ62,"AAAAAH6t9zs=")</f>
        <v>#VALUE!</v>
      </c>
      <c r="BI26" t="e">
        <f>AND(Plan!BR62,"AAAAAH6t9zw=")</f>
        <v>#VALUE!</v>
      </c>
      <c r="BJ26" t="e">
        <f>AND(Plan!BS62,"AAAAAH6t9z0=")</f>
        <v>#VALUE!</v>
      </c>
      <c r="BK26" t="e">
        <f>AND(Plan!BT62,"AAAAAH6t9z4=")</f>
        <v>#VALUE!</v>
      </c>
      <c r="BL26" t="e">
        <f>AND(Plan!BU62,"AAAAAH6t9z8=")</f>
        <v>#VALUE!</v>
      </c>
      <c r="BM26" t="e">
        <f>AND(Plan!BV62,"AAAAAH6t90A=")</f>
        <v>#VALUE!</v>
      </c>
      <c r="BN26" t="e">
        <f>AND(Plan!BW62,"AAAAAH6t90E=")</f>
        <v>#VALUE!</v>
      </c>
      <c r="BO26" t="e">
        <f>AND(Plan!BX62,"AAAAAH6t90I=")</f>
        <v>#VALUE!</v>
      </c>
      <c r="BP26" t="e">
        <f>AND(Plan!BY62,"AAAAAH6t90M=")</f>
        <v>#VALUE!</v>
      </c>
      <c r="BQ26" t="e">
        <f>AND(Plan!BZ62,"AAAAAH6t90Q=")</f>
        <v>#VALUE!</v>
      </c>
      <c r="BR26" t="e">
        <f>AND(Plan!CA62,"AAAAAH6t90U=")</f>
        <v>#VALUE!</v>
      </c>
      <c r="BS26" t="e">
        <f>AND(Plan!CB62,"AAAAAH6t90Y=")</f>
        <v>#VALUE!</v>
      </c>
      <c r="BT26" t="e">
        <f>AND(Plan!CC62,"AAAAAH6t90c=")</f>
        <v>#VALUE!</v>
      </c>
      <c r="BU26" t="e">
        <f>AND(Plan!CD62,"AAAAAH6t90g=")</f>
        <v>#VALUE!</v>
      </c>
      <c r="BV26" t="e">
        <f>AND(Plan!CE62,"AAAAAH6t90k=")</f>
        <v>#VALUE!</v>
      </c>
      <c r="BW26" t="e">
        <f>AND(Plan!CF62,"AAAAAH6t90o=")</f>
        <v>#VALUE!</v>
      </c>
      <c r="BX26" t="e">
        <f>AND(Plan!CG62,"AAAAAH6t90s=")</f>
        <v>#VALUE!</v>
      </c>
      <c r="BY26" t="e">
        <f>AND(Plan!CH62,"AAAAAH6t90w=")</f>
        <v>#VALUE!</v>
      </c>
      <c r="BZ26" t="e">
        <f>AND(Plan!CI62,"AAAAAH6t900=")</f>
        <v>#VALUE!</v>
      </c>
      <c r="CA26" t="e">
        <f>AND(Plan!CJ62,"AAAAAH6t904=")</f>
        <v>#VALUE!</v>
      </c>
      <c r="CB26" t="e">
        <f>AND(Plan!CK62,"AAAAAH6t908=")</f>
        <v>#VALUE!</v>
      </c>
      <c r="CC26" t="e">
        <f>AND(Plan!CL62,"AAAAAH6t91A=")</f>
        <v>#VALUE!</v>
      </c>
      <c r="CD26" t="e">
        <f>AND(Plan!CM62,"AAAAAH6t91E=")</f>
        <v>#VALUE!</v>
      </c>
      <c r="CE26" t="e">
        <f>AND(Plan!CN62,"AAAAAH6t91I=")</f>
        <v>#VALUE!</v>
      </c>
      <c r="CF26" t="e">
        <f>AND(Plan!CO62,"AAAAAH6t91M=")</f>
        <v>#VALUE!</v>
      </c>
      <c r="CG26" t="e">
        <f>AND(Plan!CP62,"AAAAAH6t91Q=")</f>
        <v>#VALUE!</v>
      </c>
      <c r="CH26" t="e">
        <f>AND(Plan!CQ62,"AAAAAH6t91U=")</f>
        <v>#VALUE!</v>
      </c>
      <c r="CI26" t="e">
        <f>AND(Plan!CR62,"AAAAAH6t91Y=")</f>
        <v>#VALUE!</v>
      </c>
      <c r="CJ26" t="e">
        <f>AND(Plan!CS62,"AAAAAH6t91c=")</f>
        <v>#VALUE!</v>
      </c>
      <c r="CK26" t="e">
        <f>AND(Plan!CT62,"AAAAAH6t91g=")</f>
        <v>#VALUE!</v>
      </c>
      <c r="CL26" t="e">
        <f>AND(Plan!CU62,"AAAAAH6t91k=")</f>
        <v>#VALUE!</v>
      </c>
      <c r="CM26" t="e">
        <f>AND(Plan!CV62,"AAAAAH6t91o=")</f>
        <v>#VALUE!</v>
      </c>
      <c r="CN26" t="e">
        <f>AND(Plan!CW62,"AAAAAH6t91s=")</f>
        <v>#VALUE!</v>
      </c>
      <c r="CO26">
        <f>IF(Plan!63:63,"AAAAAH6t91w=",0)</f>
        <v>0</v>
      </c>
      <c r="CP26" t="e">
        <f>AND(Plan!A63,"AAAAAH6t910=")</f>
        <v>#VALUE!</v>
      </c>
      <c r="CQ26" t="e">
        <f>AND(Plan!B63,"AAAAAH6t914=")</f>
        <v>#VALUE!</v>
      </c>
      <c r="CR26" t="e">
        <f>AND(Plan!C57,"AAAAAH6t918=")</f>
        <v>#VALUE!</v>
      </c>
      <c r="CS26" t="e">
        <f>AND(Plan!D57,"AAAAAH6t92A=")</f>
        <v>#VALUE!</v>
      </c>
      <c r="CT26" t="e">
        <f>AND(Plan!E57,"AAAAAH6t92E=")</f>
        <v>#VALUE!</v>
      </c>
      <c r="CU26" t="e">
        <f>AND(Plan!F57,"AAAAAH6t92I=")</f>
        <v>#VALUE!</v>
      </c>
      <c r="CV26" t="e">
        <f>AND(Plan!G57,"AAAAAH6t92M=")</f>
        <v>#VALUE!</v>
      </c>
      <c r="CW26" t="e">
        <f>AND(Plan!H63,"AAAAAH6t92Q=")</f>
        <v>#VALUE!</v>
      </c>
      <c r="CX26" t="e">
        <f>AND(Plan!I63,"AAAAAH6t92U=")</f>
        <v>#VALUE!</v>
      </c>
      <c r="CY26" t="e">
        <f>AND(Plan!J63,"AAAAAH6t92Y=")</f>
        <v>#VALUE!</v>
      </c>
      <c r="CZ26" t="e">
        <f>AND(Plan!K63,"AAAAAH6t92c=")</f>
        <v>#VALUE!</v>
      </c>
      <c r="DA26" t="e">
        <f>AND(Plan!L63,"AAAAAH6t92g=")</f>
        <v>#VALUE!</v>
      </c>
      <c r="DB26" t="e">
        <f>AND(Plan!M63,"AAAAAH6t92k=")</f>
        <v>#VALUE!</v>
      </c>
      <c r="DC26" t="e">
        <f>AND(Plan!N63,"AAAAAH6t92o=")</f>
        <v>#VALUE!</v>
      </c>
      <c r="DD26" t="e">
        <f>AND(Plan!O63,"AAAAAH6t92s=")</f>
        <v>#VALUE!</v>
      </c>
      <c r="DE26" t="e">
        <f>AND(Plan!P63,"AAAAAH6t92w=")</f>
        <v>#VALUE!</v>
      </c>
      <c r="DF26" t="e">
        <f>AND(Plan!Q63,"AAAAAH6t920=")</f>
        <v>#VALUE!</v>
      </c>
      <c r="DG26" t="e">
        <f>AND(Plan!R63,"AAAAAH6t924=")</f>
        <v>#VALUE!</v>
      </c>
      <c r="DH26" t="e">
        <f>AND(Plan!S63,"AAAAAH6t928=")</f>
        <v>#VALUE!</v>
      </c>
      <c r="DI26" t="e">
        <f>AND(Plan!T63,"AAAAAH6t93A=")</f>
        <v>#VALUE!</v>
      </c>
      <c r="DJ26" t="e">
        <f>AND(Plan!U63,"AAAAAH6t93E=")</f>
        <v>#VALUE!</v>
      </c>
      <c r="DK26" t="e">
        <f>AND(Plan!V63,"AAAAAH6t93I=")</f>
        <v>#VALUE!</v>
      </c>
      <c r="DL26" t="e">
        <f>AND(Plan!W63,"AAAAAH6t93M=")</f>
        <v>#VALUE!</v>
      </c>
      <c r="DM26" t="e">
        <f>AND(Plan!X63,"AAAAAH6t93Q=")</f>
        <v>#VALUE!</v>
      </c>
      <c r="DN26" t="e">
        <f>AND(Plan!Y63,"AAAAAH6t93U=")</f>
        <v>#VALUE!</v>
      </c>
      <c r="DO26" t="e">
        <f>AND(Plan!Z63,"AAAAAH6t93Y=")</f>
        <v>#VALUE!</v>
      </c>
      <c r="DP26" t="e">
        <f>AND(Plan!AA63,"AAAAAH6t93c=")</f>
        <v>#VALUE!</v>
      </c>
      <c r="DQ26" t="e">
        <f>AND(Plan!AB63,"AAAAAH6t93g=")</f>
        <v>#VALUE!</v>
      </c>
      <c r="DR26" t="e">
        <f>AND(Plan!AC63,"AAAAAH6t93k=")</f>
        <v>#VALUE!</v>
      </c>
      <c r="DS26" t="e">
        <f>AND(Plan!AD63,"AAAAAH6t93o=")</f>
        <v>#VALUE!</v>
      </c>
      <c r="DT26" t="e">
        <f>AND(Plan!AE63,"AAAAAH6t93s=")</f>
        <v>#VALUE!</v>
      </c>
      <c r="DU26" t="e">
        <f>AND(Plan!AF63,"AAAAAH6t93w=")</f>
        <v>#VALUE!</v>
      </c>
      <c r="DV26" t="e">
        <f>AND(Plan!AG63,"AAAAAH6t930=")</f>
        <v>#VALUE!</v>
      </c>
      <c r="DW26" t="e">
        <f>AND(Plan!AH63,"AAAAAH6t934=")</f>
        <v>#VALUE!</v>
      </c>
      <c r="DX26" t="e">
        <f>AND(Plan!AI63,"AAAAAH6t938=")</f>
        <v>#VALUE!</v>
      </c>
      <c r="DY26" t="e">
        <f>AND(Plan!AJ63,"AAAAAH6t94A=")</f>
        <v>#VALUE!</v>
      </c>
      <c r="DZ26" t="e">
        <f>AND(Plan!AK63,"AAAAAH6t94E=")</f>
        <v>#VALUE!</v>
      </c>
      <c r="EA26" t="e">
        <f>AND(Plan!AL63,"AAAAAH6t94I=")</f>
        <v>#VALUE!</v>
      </c>
      <c r="EB26" t="e">
        <f>AND(Plan!AM63,"AAAAAH6t94M=")</f>
        <v>#VALUE!</v>
      </c>
      <c r="EC26" t="e">
        <f>AND(Plan!AN63,"AAAAAH6t94Q=")</f>
        <v>#VALUE!</v>
      </c>
      <c r="ED26" t="e">
        <f>AND(Plan!AO63,"AAAAAH6t94U=")</f>
        <v>#VALUE!</v>
      </c>
      <c r="EE26" t="e">
        <f>AND(Plan!AP63,"AAAAAH6t94Y=")</f>
        <v>#VALUE!</v>
      </c>
      <c r="EF26" t="e">
        <f>AND(Plan!AQ63,"AAAAAH6t94c=")</f>
        <v>#VALUE!</v>
      </c>
      <c r="EG26" t="e">
        <f>AND(Plan!AR63,"AAAAAH6t94g=")</f>
        <v>#VALUE!</v>
      </c>
      <c r="EH26" t="e">
        <f>AND(Plan!AS63,"AAAAAH6t94k=")</f>
        <v>#VALUE!</v>
      </c>
      <c r="EI26" t="e">
        <f>AND(Plan!AT63,"AAAAAH6t94o=")</f>
        <v>#VALUE!</v>
      </c>
      <c r="EJ26" t="e">
        <f>AND(Plan!AU63,"AAAAAH6t94s=")</f>
        <v>#VALUE!</v>
      </c>
      <c r="EK26" t="e">
        <f>AND(Plan!AV63,"AAAAAH6t94w=")</f>
        <v>#VALUE!</v>
      </c>
      <c r="EL26" t="e">
        <f>AND(Plan!AW63,"AAAAAH6t940=")</f>
        <v>#VALUE!</v>
      </c>
      <c r="EM26" t="e">
        <f>AND(Plan!AX63,"AAAAAH6t944=")</f>
        <v>#VALUE!</v>
      </c>
      <c r="EN26" t="e">
        <f>AND(Plan!AY63,"AAAAAH6t948=")</f>
        <v>#VALUE!</v>
      </c>
      <c r="EO26" t="e">
        <f>AND(Plan!AZ63,"AAAAAH6t95A=")</f>
        <v>#VALUE!</v>
      </c>
      <c r="EP26" t="e">
        <f>AND(Plan!BA63,"AAAAAH6t95E=")</f>
        <v>#VALUE!</v>
      </c>
      <c r="EQ26" t="e">
        <f>AND(Plan!BB63,"AAAAAH6t95I=")</f>
        <v>#VALUE!</v>
      </c>
      <c r="ER26" t="e">
        <f>AND(Plan!BC63,"AAAAAH6t95M=")</f>
        <v>#VALUE!</v>
      </c>
      <c r="ES26" t="e">
        <f>AND(Plan!BD63,"AAAAAH6t95Q=")</f>
        <v>#VALUE!</v>
      </c>
      <c r="ET26" t="e">
        <f>AND(Plan!BE63,"AAAAAH6t95U=")</f>
        <v>#VALUE!</v>
      </c>
      <c r="EU26" t="e">
        <f>AND(Plan!BF63,"AAAAAH6t95Y=")</f>
        <v>#VALUE!</v>
      </c>
      <c r="EV26" t="e">
        <f>AND(Plan!BG63,"AAAAAH6t95c=")</f>
        <v>#VALUE!</v>
      </c>
      <c r="EW26" t="e">
        <f>AND(Plan!BH63,"AAAAAH6t95g=")</f>
        <v>#VALUE!</v>
      </c>
      <c r="EX26" t="e">
        <f>AND(Plan!BI63,"AAAAAH6t95k=")</f>
        <v>#VALUE!</v>
      </c>
      <c r="EY26" t="e">
        <f>AND(Plan!BJ63,"AAAAAH6t95o=")</f>
        <v>#VALUE!</v>
      </c>
      <c r="EZ26" t="e">
        <f>AND(Plan!BK63,"AAAAAH6t95s=")</f>
        <v>#VALUE!</v>
      </c>
      <c r="FA26" t="e">
        <f>AND(Plan!BL63,"AAAAAH6t95w=")</f>
        <v>#VALUE!</v>
      </c>
      <c r="FB26" t="e">
        <f>AND(Plan!BM63,"AAAAAH6t950=")</f>
        <v>#VALUE!</v>
      </c>
      <c r="FC26" t="e">
        <f>AND(Plan!BN63,"AAAAAH6t954=")</f>
        <v>#VALUE!</v>
      </c>
      <c r="FD26" t="e">
        <f>AND(Plan!BO63,"AAAAAH6t958=")</f>
        <v>#VALUE!</v>
      </c>
      <c r="FE26" t="e">
        <f>AND(Plan!BP63,"AAAAAH6t96A=")</f>
        <v>#VALUE!</v>
      </c>
      <c r="FF26" t="e">
        <f>AND(Plan!BQ63,"AAAAAH6t96E=")</f>
        <v>#VALUE!</v>
      </c>
      <c r="FG26" t="e">
        <f>AND(Plan!BR63,"AAAAAH6t96I=")</f>
        <v>#VALUE!</v>
      </c>
      <c r="FH26" t="e">
        <f>AND(Plan!BS63,"AAAAAH6t96M=")</f>
        <v>#VALUE!</v>
      </c>
      <c r="FI26" t="e">
        <f>AND(Plan!BT63,"AAAAAH6t96Q=")</f>
        <v>#VALUE!</v>
      </c>
      <c r="FJ26" t="e">
        <f>AND(Plan!BU63,"AAAAAH6t96U=")</f>
        <v>#VALUE!</v>
      </c>
      <c r="FK26" t="e">
        <f>AND(Plan!BV63,"AAAAAH6t96Y=")</f>
        <v>#VALUE!</v>
      </c>
      <c r="FL26" t="e">
        <f>AND(Plan!BW63,"AAAAAH6t96c=")</f>
        <v>#VALUE!</v>
      </c>
      <c r="FM26" t="e">
        <f>AND(Plan!BX63,"AAAAAH6t96g=")</f>
        <v>#VALUE!</v>
      </c>
      <c r="FN26" t="e">
        <f>AND(Plan!BY63,"AAAAAH6t96k=")</f>
        <v>#VALUE!</v>
      </c>
      <c r="FO26" t="e">
        <f>AND(Plan!BZ63,"AAAAAH6t96o=")</f>
        <v>#VALUE!</v>
      </c>
      <c r="FP26" t="e">
        <f>AND(Plan!CA63,"AAAAAH6t96s=")</f>
        <v>#VALUE!</v>
      </c>
      <c r="FQ26" t="e">
        <f>AND(Plan!CB63,"AAAAAH6t96w=")</f>
        <v>#VALUE!</v>
      </c>
      <c r="FR26" t="e">
        <f>AND(Plan!CC63,"AAAAAH6t960=")</f>
        <v>#VALUE!</v>
      </c>
      <c r="FS26" t="e">
        <f>AND(Plan!CD63,"AAAAAH6t964=")</f>
        <v>#VALUE!</v>
      </c>
      <c r="FT26" t="e">
        <f>AND(Plan!CE63,"AAAAAH6t968=")</f>
        <v>#VALUE!</v>
      </c>
      <c r="FU26" t="e">
        <f>AND(Plan!CF63,"AAAAAH6t97A=")</f>
        <v>#VALUE!</v>
      </c>
      <c r="FV26" t="e">
        <f>AND(Plan!CG63,"AAAAAH6t97E=")</f>
        <v>#VALUE!</v>
      </c>
      <c r="FW26" t="e">
        <f>AND(Plan!CH63,"AAAAAH6t97I=")</f>
        <v>#VALUE!</v>
      </c>
      <c r="FX26" t="e">
        <f>AND(Plan!CI63,"AAAAAH6t97M=")</f>
        <v>#VALUE!</v>
      </c>
      <c r="FY26" t="e">
        <f>AND(Plan!CJ63,"AAAAAH6t97Q=")</f>
        <v>#VALUE!</v>
      </c>
      <c r="FZ26" t="e">
        <f>AND(Plan!CK63,"AAAAAH6t97U=")</f>
        <v>#VALUE!</v>
      </c>
      <c r="GA26" t="e">
        <f>AND(Plan!CL63,"AAAAAH6t97Y=")</f>
        <v>#VALUE!</v>
      </c>
      <c r="GB26" t="e">
        <f>AND(Plan!CM63,"AAAAAH6t97c=")</f>
        <v>#VALUE!</v>
      </c>
      <c r="GC26" t="e">
        <f>AND(Plan!CN63,"AAAAAH6t97g=")</f>
        <v>#VALUE!</v>
      </c>
      <c r="GD26" t="e">
        <f>AND(Plan!CO63,"AAAAAH6t97k=")</f>
        <v>#VALUE!</v>
      </c>
      <c r="GE26" t="e">
        <f>AND(Plan!CP63,"AAAAAH6t97o=")</f>
        <v>#VALUE!</v>
      </c>
      <c r="GF26" t="e">
        <f>AND(Plan!CQ63,"AAAAAH6t97s=")</f>
        <v>#VALUE!</v>
      </c>
      <c r="GG26" t="e">
        <f>AND(Plan!CR63,"AAAAAH6t97w=")</f>
        <v>#VALUE!</v>
      </c>
      <c r="GH26" t="e">
        <f>AND(Plan!CS63,"AAAAAH6t970=")</f>
        <v>#VALUE!</v>
      </c>
      <c r="GI26" t="e">
        <f>AND(Plan!CT63,"AAAAAH6t974=")</f>
        <v>#VALUE!</v>
      </c>
      <c r="GJ26" t="e">
        <f>AND(Plan!CU63,"AAAAAH6t978=")</f>
        <v>#VALUE!</v>
      </c>
      <c r="GK26" t="e">
        <f>AND(Plan!CV63,"AAAAAH6t98A=")</f>
        <v>#VALUE!</v>
      </c>
      <c r="GL26" t="e">
        <f>AND(Plan!CW63,"AAAAAH6t98E=")</f>
        <v>#VALUE!</v>
      </c>
      <c r="GM26">
        <f>IF(Plan!64:64,"AAAAAH6t98I=",0)</f>
        <v>0</v>
      </c>
      <c r="GN26" t="e">
        <f>AND(Plan!A64,"AAAAAH6t98M=")</f>
        <v>#VALUE!</v>
      </c>
      <c r="GO26" t="e">
        <f>AND(Plan!B64,"AAAAAH6t98Q=")</f>
        <v>#VALUE!</v>
      </c>
      <c r="GP26" t="e">
        <f>AND(Plan!C61,"AAAAAH6t98U=")</f>
        <v>#VALUE!</v>
      </c>
      <c r="GQ26" t="e">
        <f>AND(Plan!D61,"AAAAAH6t98Y=")</f>
        <v>#VALUE!</v>
      </c>
      <c r="GR26" t="e">
        <f>AND(Plan!E61,"AAAAAH6t98c=")</f>
        <v>#VALUE!</v>
      </c>
      <c r="GS26" t="e">
        <f>AND(Plan!F61,"AAAAAH6t98g=")</f>
        <v>#VALUE!</v>
      </c>
      <c r="GT26" t="e">
        <f>AND(Plan!G61,"AAAAAH6t98k=")</f>
        <v>#VALUE!</v>
      </c>
      <c r="GU26" t="e">
        <f>AND(Plan!H64,"AAAAAH6t98o=")</f>
        <v>#VALUE!</v>
      </c>
      <c r="GV26" t="e">
        <f>AND(Plan!I64,"AAAAAH6t98s=")</f>
        <v>#VALUE!</v>
      </c>
      <c r="GW26" t="e">
        <f>AND(Plan!J64,"AAAAAH6t98w=")</f>
        <v>#VALUE!</v>
      </c>
      <c r="GX26" t="e">
        <f>AND(Plan!K64,"AAAAAH6t980=")</f>
        <v>#VALUE!</v>
      </c>
      <c r="GY26" t="e">
        <f>AND(Plan!L64,"AAAAAH6t984=")</f>
        <v>#VALUE!</v>
      </c>
      <c r="GZ26" t="e">
        <f>AND(Plan!M64,"AAAAAH6t988=")</f>
        <v>#VALUE!</v>
      </c>
      <c r="HA26" t="e">
        <f>AND(Plan!N64,"AAAAAH6t99A=")</f>
        <v>#VALUE!</v>
      </c>
      <c r="HB26" t="e">
        <f>AND(Plan!O64,"AAAAAH6t99E=")</f>
        <v>#VALUE!</v>
      </c>
      <c r="HC26" t="e">
        <f>AND(Plan!P64,"AAAAAH6t99I=")</f>
        <v>#VALUE!</v>
      </c>
      <c r="HD26" t="e">
        <f>AND(Plan!Q64,"AAAAAH6t99M=")</f>
        <v>#VALUE!</v>
      </c>
      <c r="HE26" t="e">
        <f>AND(Plan!R64,"AAAAAH6t99Q=")</f>
        <v>#VALUE!</v>
      </c>
      <c r="HF26" t="e">
        <f>AND(Plan!S64,"AAAAAH6t99U=")</f>
        <v>#VALUE!</v>
      </c>
      <c r="HG26" t="e">
        <f>AND(Plan!T64,"AAAAAH6t99Y=")</f>
        <v>#VALUE!</v>
      </c>
      <c r="HH26" t="e">
        <f>AND(Plan!U64,"AAAAAH6t99c=")</f>
        <v>#VALUE!</v>
      </c>
      <c r="HI26" t="e">
        <f>AND(Plan!V64,"AAAAAH6t99g=")</f>
        <v>#VALUE!</v>
      </c>
      <c r="HJ26" t="e">
        <f>AND(Plan!W64,"AAAAAH6t99k=")</f>
        <v>#VALUE!</v>
      </c>
      <c r="HK26" t="e">
        <f>AND(Plan!X64,"AAAAAH6t99o=")</f>
        <v>#VALUE!</v>
      </c>
      <c r="HL26" t="e">
        <f>AND(Plan!Y64,"AAAAAH6t99s=")</f>
        <v>#VALUE!</v>
      </c>
      <c r="HM26" t="e">
        <f>AND(Plan!Z64,"AAAAAH6t99w=")</f>
        <v>#VALUE!</v>
      </c>
      <c r="HN26" t="e">
        <f>AND(Plan!AA64,"AAAAAH6t990=")</f>
        <v>#VALUE!</v>
      </c>
      <c r="HO26" t="e">
        <f>AND(Plan!AB64,"AAAAAH6t994=")</f>
        <v>#VALUE!</v>
      </c>
      <c r="HP26" t="e">
        <f>AND(Plan!AC64,"AAAAAH6t998=")</f>
        <v>#VALUE!</v>
      </c>
      <c r="HQ26" t="e">
        <f>AND(Plan!AD64,"AAAAAH6t9+A=")</f>
        <v>#VALUE!</v>
      </c>
      <c r="HR26" t="e">
        <f>AND(Plan!AE64,"AAAAAH6t9+E=")</f>
        <v>#VALUE!</v>
      </c>
      <c r="HS26" t="e">
        <f>AND(Plan!AF64,"AAAAAH6t9+I=")</f>
        <v>#VALUE!</v>
      </c>
      <c r="HT26" t="e">
        <f>AND(Plan!AG64,"AAAAAH6t9+M=")</f>
        <v>#VALUE!</v>
      </c>
      <c r="HU26" t="e">
        <f>AND(Plan!AH64,"AAAAAH6t9+Q=")</f>
        <v>#VALUE!</v>
      </c>
      <c r="HV26" t="e">
        <f>AND(Plan!AI64,"AAAAAH6t9+U=")</f>
        <v>#VALUE!</v>
      </c>
      <c r="HW26" t="e">
        <f>AND(Plan!AJ64,"AAAAAH6t9+Y=")</f>
        <v>#VALUE!</v>
      </c>
      <c r="HX26" t="e">
        <f>AND(Plan!AK64,"AAAAAH6t9+c=")</f>
        <v>#VALUE!</v>
      </c>
      <c r="HY26" t="e">
        <f>AND(Plan!AL64,"AAAAAH6t9+g=")</f>
        <v>#VALUE!</v>
      </c>
      <c r="HZ26" t="e">
        <f>AND(Plan!AM64,"AAAAAH6t9+k=")</f>
        <v>#VALUE!</v>
      </c>
      <c r="IA26" t="e">
        <f>AND(Plan!AN64,"AAAAAH6t9+o=")</f>
        <v>#VALUE!</v>
      </c>
      <c r="IB26" t="e">
        <f>AND(Plan!AO64,"AAAAAH6t9+s=")</f>
        <v>#VALUE!</v>
      </c>
      <c r="IC26" t="e">
        <f>AND(Plan!AP64,"AAAAAH6t9+w=")</f>
        <v>#VALUE!</v>
      </c>
      <c r="ID26" t="e">
        <f>AND(Plan!AQ64,"AAAAAH6t9+0=")</f>
        <v>#VALUE!</v>
      </c>
      <c r="IE26" t="e">
        <f>AND(Plan!AR64,"AAAAAH6t9+4=")</f>
        <v>#VALUE!</v>
      </c>
      <c r="IF26" t="e">
        <f>AND(Plan!AS64,"AAAAAH6t9+8=")</f>
        <v>#VALUE!</v>
      </c>
      <c r="IG26" t="e">
        <f>AND(Plan!AT64,"AAAAAH6t9/A=")</f>
        <v>#VALUE!</v>
      </c>
      <c r="IH26" t="e">
        <f>AND(Plan!AU64,"AAAAAH6t9/E=")</f>
        <v>#VALUE!</v>
      </c>
      <c r="II26" t="e">
        <f>AND(Plan!AV64,"AAAAAH6t9/I=")</f>
        <v>#VALUE!</v>
      </c>
      <c r="IJ26" t="e">
        <f>AND(Plan!AW64,"AAAAAH6t9/M=")</f>
        <v>#VALUE!</v>
      </c>
      <c r="IK26" t="e">
        <f>AND(Plan!AX64,"AAAAAH6t9/Q=")</f>
        <v>#VALUE!</v>
      </c>
      <c r="IL26" t="e">
        <f>AND(Plan!AY64,"AAAAAH6t9/U=")</f>
        <v>#VALUE!</v>
      </c>
      <c r="IM26" t="e">
        <f>AND(Plan!AZ64,"AAAAAH6t9/Y=")</f>
        <v>#VALUE!</v>
      </c>
      <c r="IN26" t="e">
        <f>AND(Plan!BA64,"AAAAAH6t9/c=")</f>
        <v>#VALUE!</v>
      </c>
      <c r="IO26" t="e">
        <f>AND(Plan!BB64,"AAAAAH6t9/g=")</f>
        <v>#VALUE!</v>
      </c>
      <c r="IP26" t="e">
        <f>AND(Plan!BC64,"AAAAAH6t9/k=")</f>
        <v>#VALUE!</v>
      </c>
      <c r="IQ26" t="e">
        <f>AND(Plan!BD64,"AAAAAH6t9/o=")</f>
        <v>#VALUE!</v>
      </c>
      <c r="IR26" t="e">
        <f>AND(Plan!BE64,"AAAAAH6t9/s=")</f>
        <v>#VALUE!</v>
      </c>
      <c r="IS26" t="e">
        <f>AND(Plan!BF64,"AAAAAH6t9/w=")</f>
        <v>#VALUE!</v>
      </c>
      <c r="IT26" t="e">
        <f>AND(Plan!BG64,"AAAAAH6t9/0=")</f>
        <v>#VALUE!</v>
      </c>
      <c r="IU26" t="e">
        <f>AND(Plan!BH64,"AAAAAH6t9/4=")</f>
        <v>#VALUE!</v>
      </c>
      <c r="IV26" t="e">
        <f>AND(Plan!BI64,"AAAAAH6t9/8=")</f>
        <v>#VALUE!</v>
      </c>
    </row>
    <row r="27" spans="1:256">
      <c r="A27" t="e">
        <f>AND(Plan!BJ64,"AAAAAD/96wA=")</f>
        <v>#VALUE!</v>
      </c>
      <c r="B27" t="e">
        <f>AND(Plan!BK64,"AAAAAD/96wE=")</f>
        <v>#VALUE!</v>
      </c>
      <c r="C27" t="e">
        <f>AND(Plan!BL64,"AAAAAD/96wI=")</f>
        <v>#VALUE!</v>
      </c>
      <c r="D27" t="e">
        <f>AND(Plan!BM64,"AAAAAD/96wM=")</f>
        <v>#VALUE!</v>
      </c>
      <c r="E27" t="e">
        <f>AND(Plan!BN64,"AAAAAD/96wQ=")</f>
        <v>#VALUE!</v>
      </c>
      <c r="F27" t="e">
        <f>AND(Plan!BO64,"AAAAAD/96wU=")</f>
        <v>#VALUE!</v>
      </c>
      <c r="G27" t="e">
        <f>AND(Plan!BP64,"AAAAAD/96wY=")</f>
        <v>#VALUE!</v>
      </c>
      <c r="H27" t="e">
        <f>AND(Plan!BQ64,"AAAAAD/96wc=")</f>
        <v>#VALUE!</v>
      </c>
      <c r="I27" t="e">
        <f>AND(Plan!BR64,"AAAAAD/96wg=")</f>
        <v>#VALUE!</v>
      </c>
      <c r="J27" t="e">
        <f>AND(Plan!BS64,"AAAAAD/96wk=")</f>
        <v>#VALUE!</v>
      </c>
      <c r="K27" t="e">
        <f>AND(Plan!BT64,"AAAAAD/96wo=")</f>
        <v>#VALUE!</v>
      </c>
      <c r="L27" t="e">
        <f>AND(Plan!BU64,"AAAAAD/96ws=")</f>
        <v>#VALUE!</v>
      </c>
      <c r="M27" t="e">
        <f>AND(Plan!BV64,"AAAAAD/96ww=")</f>
        <v>#VALUE!</v>
      </c>
      <c r="N27" t="e">
        <f>AND(Plan!BW64,"AAAAAD/96w0=")</f>
        <v>#VALUE!</v>
      </c>
      <c r="O27" t="e">
        <f>AND(Plan!BX64,"AAAAAD/96w4=")</f>
        <v>#VALUE!</v>
      </c>
      <c r="P27" t="e">
        <f>AND(Plan!BY64,"AAAAAD/96w8=")</f>
        <v>#VALUE!</v>
      </c>
      <c r="Q27" t="e">
        <f>AND(Plan!BZ64,"AAAAAD/96xA=")</f>
        <v>#VALUE!</v>
      </c>
      <c r="R27" t="e">
        <f>AND(Plan!CA64,"AAAAAD/96xE=")</f>
        <v>#VALUE!</v>
      </c>
      <c r="S27" t="e">
        <f>AND(Plan!CB64,"AAAAAD/96xI=")</f>
        <v>#VALUE!</v>
      </c>
      <c r="T27" t="e">
        <f>AND(Plan!CC64,"AAAAAD/96xM=")</f>
        <v>#VALUE!</v>
      </c>
      <c r="U27" t="e">
        <f>AND(Plan!CD64,"AAAAAD/96xQ=")</f>
        <v>#VALUE!</v>
      </c>
      <c r="V27" t="e">
        <f>AND(Plan!CE64,"AAAAAD/96xU=")</f>
        <v>#VALUE!</v>
      </c>
      <c r="W27" t="e">
        <f>AND(Plan!CF64,"AAAAAD/96xY=")</f>
        <v>#VALUE!</v>
      </c>
      <c r="X27" t="e">
        <f>AND(Plan!CG64,"AAAAAD/96xc=")</f>
        <v>#VALUE!</v>
      </c>
      <c r="Y27" t="e">
        <f>AND(Plan!CH64,"AAAAAD/96xg=")</f>
        <v>#VALUE!</v>
      </c>
      <c r="Z27" t="e">
        <f>AND(Plan!CI64,"AAAAAD/96xk=")</f>
        <v>#VALUE!</v>
      </c>
      <c r="AA27" t="e">
        <f>AND(Plan!CJ64,"AAAAAD/96xo=")</f>
        <v>#VALUE!</v>
      </c>
      <c r="AB27" t="e">
        <f>AND(Plan!CK64,"AAAAAD/96xs=")</f>
        <v>#VALUE!</v>
      </c>
      <c r="AC27" t="e">
        <f>AND(Plan!CL64,"AAAAAD/96xw=")</f>
        <v>#VALUE!</v>
      </c>
      <c r="AD27" t="e">
        <f>AND(Plan!CM64,"AAAAAD/96x0=")</f>
        <v>#VALUE!</v>
      </c>
      <c r="AE27" t="e">
        <f>AND(Plan!CN64,"AAAAAD/96x4=")</f>
        <v>#VALUE!</v>
      </c>
      <c r="AF27" t="e">
        <f>AND(Plan!CO64,"AAAAAD/96x8=")</f>
        <v>#VALUE!</v>
      </c>
      <c r="AG27" t="e">
        <f>AND(Plan!CP64,"AAAAAD/96yA=")</f>
        <v>#VALUE!</v>
      </c>
      <c r="AH27" t="e">
        <f>AND(Plan!CQ64,"AAAAAD/96yE=")</f>
        <v>#VALUE!</v>
      </c>
      <c r="AI27" t="e">
        <f>AND(Plan!CR64,"AAAAAD/96yI=")</f>
        <v>#VALUE!</v>
      </c>
      <c r="AJ27" t="e">
        <f>AND(Plan!CS64,"AAAAAD/96yM=")</f>
        <v>#VALUE!</v>
      </c>
      <c r="AK27" t="e">
        <f>AND(Plan!CT64,"AAAAAD/96yQ=")</f>
        <v>#VALUE!</v>
      </c>
      <c r="AL27" t="e">
        <f>AND(Plan!CU64,"AAAAAD/96yU=")</f>
        <v>#VALUE!</v>
      </c>
      <c r="AM27" t="e">
        <f>AND(Plan!CV64,"AAAAAD/96yY=")</f>
        <v>#VALUE!</v>
      </c>
      <c r="AN27" t="e">
        <f>AND(Plan!CW64,"AAAAAD/96yc=")</f>
        <v>#VALUE!</v>
      </c>
      <c r="AO27">
        <f>IF(Plan!65:65,"AAAAAD/96yg=",0)</f>
        <v>0</v>
      </c>
      <c r="AP27" t="e">
        <f>AND(Plan!A65,"AAAAAD/96yk=")</f>
        <v>#VALUE!</v>
      </c>
      <c r="AQ27" t="e">
        <f>AND(Plan!B65,"AAAAAD/96yo=")</f>
        <v>#VALUE!</v>
      </c>
      <c r="AR27" t="e">
        <f>AND(Plan!C63,"AAAAAD/96ys=")</f>
        <v>#VALUE!</v>
      </c>
      <c r="AS27" t="e">
        <f>AND(Plan!#REF!,"AAAAAD/96yw=")</f>
        <v>#REF!</v>
      </c>
      <c r="AT27" t="e">
        <f>AND(Plan!E65,"AAAAAD/96y0=")</f>
        <v>#VALUE!</v>
      </c>
      <c r="AU27" t="e">
        <f>AND(Plan!F65,"AAAAAD/96y4=")</f>
        <v>#VALUE!</v>
      </c>
      <c r="AV27" t="e">
        <f>AND(Plan!G65,"AAAAAD/96y8=")</f>
        <v>#VALUE!</v>
      </c>
      <c r="AW27" t="e">
        <f>AND(Plan!H65,"AAAAAD/96zA=")</f>
        <v>#VALUE!</v>
      </c>
      <c r="AX27" t="e">
        <f>AND(Plan!I65,"AAAAAD/96zE=")</f>
        <v>#VALUE!</v>
      </c>
      <c r="AY27" t="e">
        <f>AND(Plan!J65,"AAAAAD/96zI=")</f>
        <v>#VALUE!</v>
      </c>
      <c r="AZ27" t="e">
        <f>AND(Plan!K65,"AAAAAD/96zM=")</f>
        <v>#VALUE!</v>
      </c>
      <c r="BA27" t="e">
        <f>AND(Plan!L65,"AAAAAD/96zQ=")</f>
        <v>#VALUE!</v>
      </c>
      <c r="BB27" t="e">
        <f>AND(Plan!M65,"AAAAAD/96zU=")</f>
        <v>#VALUE!</v>
      </c>
      <c r="BC27" t="e">
        <f>AND(Plan!N65,"AAAAAD/96zY=")</f>
        <v>#VALUE!</v>
      </c>
      <c r="BD27" t="e">
        <f>AND(Plan!O65,"AAAAAD/96zc=")</f>
        <v>#VALUE!</v>
      </c>
      <c r="BE27" t="e">
        <f>AND(Plan!P65,"AAAAAD/96zg=")</f>
        <v>#VALUE!</v>
      </c>
      <c r="BF27" t="e">
        <f>AND(Plan!Q65,"AAAAAD/96zk=")</f>
        <v>#VALUE!</v>
      </c>
      <c r="BG27" t="e">
        <f>AND(Plan!R65,"AAAAAD/96zo=")</f>
        <v>#VALUE!</v>
      </c>
      <c r="BH27" t="e">
        <f>AND(Plan!S65,"AAAAAD/96zs=")</f>
        <v>#VALUE!</v>
      </c>
      <c r="BI27" t="e">
        <f>AND(Plan!T65,"AAAAAD/96zw=")</f>
        <v>#VALUE!</v>
      </c>
      <c r="BJ27" t="e">
        <f>AND(Plan!U65,"AAAAAD/96z0=")</f>
        <v>#VALUE!</v>
      </c>
      <c r="BK27" t="e">
        <f>AND(Plan!V65,"AAAAAD/96z4=")</f>
        <v>#VALUE!</v>
      </c>
      <c r="BL27" t="e">
        <f>AND(Plan!W65,"AAAAAD/96z8=")</f>
        <v>#VALUE!</v>
      </c>
      <c r="BM27" t="e">
        <f>AND(Plan!X65,"AAAAAD/960A=")</f>
        <v>#VALUE!</v>
      </c>
      <c r="BN27" t="e">
        <f>AND(Plan!Y65,"AAAAAD/960E=")</f>
        <v>#VALUE!</v>
      </c>
      <c r="BO27" t="e">
        <f>AND(Plan!Z65,"AAAAAD/960I=")</f>
        <v>#VALUE!</v>
      </c>
      <c r="BP27" t="e">
        <f>AND(Plan!AA65,"AAAAAD/960M=")</f>
        <v>#VALUE!</v>
      </c>
      <c r="BQ27" t="e">
        <f>AND(Plan!AB65,"AAAAAD/960Q=")</f>
        <v>#VALUE!</v>
      </c>
      <c r="BR27" t="e">
        <f>AND(Plan!AC65,"AAAAAD/960U=")</f>
        <v>#VALUE!</v>
      </c>
      <c r="BS27" t="e">
        <f>AND(Plan!AD65,"AAAAAD/960Y=")</f>
        <v>#VALUE!</v>
      </c>
      <c r="BT27" t="e">
        <f>AND(Plan!AE65,"AAAAAD/960c=")</f>
        <v>#VALUE!</v>
      </c>
      <c r="BU27" t="e">
        <f>AND(Plan!AF65,"AAAAAD/960g=")</f>
        <v>#VALUE!</v>
      </c>
      <c r="BV27" t="e">
        <f>AND(Plan!AG65,"AAAAAD/960k=")</f>
        <v>#VALUE!</v>
      </c>
      <c r="BW27" t="e">
        <f>AND(Plan!AH65,"AAAAAD/960o=")</f>
        <v>#VALUE!</v>
      </c>
      <c r="BX27" t="e">
        <f>AND(Plan!AI65,"AAAAAD/960s=")</f>
        <v>#VALUE!</v>
      </c>
      <c r="BY27" t="e">
        <f>AND(Plan!AJ65,"AAAAAD/960w=")</f>
        <v>#VALUE!</v>
      </c>
      <c r="BZ27" t="e">
        <f>AND(Plan!AK65,"AAAAAD/9600=")</f>
        <v>#VALUE!</v>
      </c>
      <c r="CA27" t="e">
        <f>AND(Plan!AL65,"AAAAAD/9604=")</f>
        <v>#VALUE!</v>
      </c>
      <c r="CB27" t="e">
        <f>AND(Plan!AM65,"AAAAAD/9608=")</f>
        <v>#VALUE!</v>
      </c>
      <c r="CC27" t="e">
        <f>AND(Plan!AN65,"AAAAAD/961A=")</f>
        <v>#VALUE!</v>
      </c>
      <c r="CD27" t="e">
        <f>AND(Plan!AO65,"AAAAAD/961E=")</f>
        <v>#VALUE!</v>
      </c>
      <c r="CE27" t="e">
        <f>AND(Plan!AP65,"AAAAAD/961I=")</f>
        <v>#VALUE!</v>
      </c>
      <c r="CF27" t="e">
        <f>AND(Plan!AQ65,"AAAAAD/961M=")</f>
        <v>#VALUE!</v>
      </c>
      <c r="CG27" t="e">
        <f>AND(Plan!AR65,"AAAAAD/961Q=")</f>
        <v>#VALUE!</v>
      </c>
      <c r="CH27" t="e">
        <f>AND(Plan!AS65,"AAAAAD/961U=")</f>
        <v>#VALUE!</v>
      </c>
      <c r="CI27" t="e">
        <f>AND(Plan!AT65,"AAAAAD/961Y=")</f>
        <v>#VALUE!</v>
      </c>
      <c r="CJ27" t="e">
        <f>AND(Plan!AU65,"AAAAAD/961c=")</f>
        <v>#VALUE!</v>
      </c>
      <c r="CK27" t="e">
        <f>AND(Plan!AV65,"AAAAAD/961g=")</f>
        <v>#VALUE!</v>
      </c>
      <c r="CL27" t="e">
        <f>AND(Plan!AW65,"AAAAAD/961k=")</f>
        <v>#VALUE!</v>
      </c>
      <c r="CM27" t="e">
        <f>AND(Plan!AX65,"AAAAAD/961o=")</f>
        <v>#VALUE!</v>
      </c>
      <c r="CN27" t="e">
        <f>AND(Plan!AY65,"AAAAAD/961s=")</f>
        <v>#VALUE!</v>
      </c>
      <c r="CO27" t="e">
        <f>AND(Plan!AZ65,"AAAAAD/961w=")</f>
        <v>#VALUE!</v>
      </c>
      <c r="CP27" t="e">
        <f>AND(Plan!BA65,"AAAAAD/9610=")</f>
        <v>#VALUE!</v>
      </c>
      <c r="CQ27" t="e">
        <f>AND(Plan!BB65,"AAAAAD/9614=")</f>
        <v>#VALUE!</v>
      </c>
      <c r="CR27" t="e">
        <f>AND(Plan!BC65,"AAAAAD/9618=")</f>
        <v>#VALUE!</v>
      </c>
      <c r="CS27" t="e">
        <f>AND(Plan!BD65,"AAAAAD/962A=")</f>
        <v>#VALUE!</v>
      </c>
      <c r="CT27" t="e">
        <f>AND(Plan!BE65,"AAAAAD/962E=")</f>
        <v>#VALUE!</v>
      </c>
      <c r="CU27" t="e">
        <f>AND(Plan!BF65,"AAAAAD/962I=")</f>
        <v>#VALUE!</v>
      </c>
      <c r="CV27" t="e">
        <f>AND(Plan!BG65,"AAAAAD/962M=")</f>
        <v>#VALUE!</v>
      </c>
      <c r="CW27" t="e">
        <f>AND(Plan!BH65,"AAAAAD/962Q=")</f>
        <v>#VALUE!</v>
      </c>
      <c r="CX27" t="e">
        <f>AND(Plan!BI65,"AAAAAD/962U=")</f>
        <v>#VALUE!</v>
      </c>
      <c r="CY27" t="e">
        <f>AND(Plan!BJ65,"AAAAAD/962Y=")</f>
        <v>#VALUE!</v>
      </c>
      <c r="CZ27" t="e">
        <f>AND(Plan!BK65,"AAAAAD/962c=")</f>
        <v>#VALUE!</v>
      </c>
      <c r="DA27" t="e">
        <f>AND(Plan!BL65,"AAAAAD/962g=")</f>
        <v>#VALUE!</v>
      </c>
      <c r="DB27" t="e">
        <f>AND(Plan!BM65,"AAAAAD/962k=")</f>
        <v>#VALUE!</v>
      </c>
      <c r="DC27" t="e">
        <f>AND(Plan!BN65,"AAAAAD/962o=")</f>
        <v>#VALUE!</v>
      </c>
      <c r="DD27" t="e">
        <f>AND(Plan!BO65,"AAAAAD/962s=")</f>
        <v>#VALUE!</v>
      </c>
      <c r="DE27" t="e">
        <f>AND(Plan!BP65,"AAAAAD/962w=")</f>
        <v>#VALUE!</v>
      </c>
      <c r="DF27" t="e">
        <f>AND(Plan!BQ65,"AAAAAD/9620=")</f>
        <v>#VALUE!</v>
      </c>
      <c r="DG27" t="e">
        <f>AND(Plan!BR65,"AAAAAD/9624=")</f>
        <v>#VALUE!</v>
      </c>
      <c r="DH27" t="e">
        <f>AND(Plan!BS65,"AAAAAD/9628=")</f>
        <v>#VALUE!</v>
      </c>
      <c r="DI27" t="e">
        <f>AND(Plan!BT65,"AAAAAD/963A=")</f>
        <v>#VALUE!</v>
      </c>
      <c r="DJ27" t="e">
        <f>AND(Plan!BU65,"AAAAAD/963E=")</f>
        <v>#VALUE!</v>
      </c>
      <c r="DK27" t="e">
        <f>AND(Plan!BV65,"AAAAAD/963I=")</f>
        <v>#VALUE!</v>
      </c>
      <c r="DL27" t="e">
        <f>AND(Plan!BW65,"AAAAAD/963M=")</f>
        <v>#VALUE!</v>
      </c>
      <c r="DM27" t="e">
        <f>AND(Plan!BX65,"AAAAAD/963Q=")</f>
        <v>#VALUE!</v>
      </c>
      <c r="DN27" t="e">
        <f>AND(Plan!BY65,"AAAAAD/963U=")</f>
        <v>#VALUE!</v>
      </c>
      <c r="DO27" t="e">
        <f>AND(Plan!BZ65,"AAAAAD/963Y=")</f>
        <v>#VALUE!</v>
      </c>
      <c r="DP27" t="e">
        <f>AND(Plan!CA65,"AAAAAD/963c=")</f>
        <v>#VALUE!</v>
      </c>
      <c r="DQ27" t="e">
        <f>AND(Plan!CB65,"AAAAAD/963g=")</f>
        <v>#VALUE!</v>
      </c>
      <c r="DR27" t="e">
        <f>AND(Plan!CC65,"AAAAAD/963k=")</f>
        <v>#VALUE!</v>
      </c>
      <c r="DS27" t="e">
        <f>AND(Plan!CD65,"AAAAAD/963o=")</f>
        <v>#VALUE!</v>
      </c>
      <c r="DT27" t="e">
        <f>AND(Plan!CE65,"AAAAAD/963s=")</f>
        <v>#VALUE!</v>
      </c>
      <c r="DU27" t="e">
        <f>AND(Plan!CF65,"AAAAAD/963w=")</f>
        <v>#VALUE!</v>
      </c>
      <c r="DV27" t="e">
        <f>AND(Plan!CG65,"AAAAAD/9630=")</f>
        <v>#VALUE!</v>
      </c>
      <c r="DW27" t="e">
        <f>AND(Plan!CH65,"AAAAAD/9634=")</f>
        <v>#VALUE!</v>
      </c>
      <c r="DX27" t="e">
        <f>AND(Plan!CI65,"AAAAAD/9638=")</f>
        <v>#VALUE!</v>
      </c>
      <c r="DY27" t="e">
        <f>AND(Plan!CJ65,"AAAAAD/964A=")</f>
        <v>#VALUE!</v>
      </c>
      <c r="DZ27" t="e">
        <f>AND(Plan!CK65,"AAAAAD/964E=")</f>
        <v>#VALUE!</v>
      </c>
      <c r="EA27" t="e">
        <f>AND(Plan!CL65,"AAAAAD/964I=")</f>
        <v>#VALUE!</v>
      </c>
      <c r="EB27" t="e">
        <f>AND(Plan!CM65,"AAAAAD/964M=")</f>
        <v>#VALUE!</v>
      </c>
      <c r="EC27" t="e">
        <f>AND(Plan!CN65,"AAAAAD/964Q=")</f>
        <v>#VALUE!</v>
      </c>
      <c r="ED27" t="e">
        <f>AND(Plan!CO65,"AAAAAD/964U=")</f>
        <v>#VALUE!</v>
      </c>
      <c r="EE27" t="e">
        <f>AND(Plan!CP65,"AAAAAD/964Y=")</f>
        <v>#VALUE!</v>
      </c>
      <c r="EF27" t="e">
        <f>AND(Plan!CQ65,"AAAAAD/964c=")</f>
        <v>#VALUE!</v>
      </c>
      <c r="EG27" t="e">
        <f>AND(Plan!CR65,"AAAAAD/964g=")</f>
        <v>#VALUE!</v>
      </c>
      <c r="EH27" t="e">
        <f>AND(Plan!CS65,"AAAAAD/964k=")</f>
        <v>#VALUE!</v>
      </c>
      <c r="EI27" t="e">
        <f>AND(Plan!CT65,"AAAAAD/964o=")</f>
        <v>#VALUE!</v>
      </c>
      <c r="EJ27" t="e">
        <f>AND(Plan!CU65,"AAAAAD/964s=")</f>
        <v>#VALUE!</v>
      </c>
      <c r="EK27" t="e">
        <f>AND(Plan!CV65,"AAAAAD/964w=")</f>
        <v>#VALUE!</v>
      </c>
      <c r="EL27" t="e">
        <f>AND(Plan!CW65,"AAAAAD/9640=")</f>
        <v>#VALUE!</v>
      </c>
      <c r="EM27" t="e">
        <f>IF(Plan!#REF!,"AAAAAD/9644=",0)</f>
        <v>#REF!</v>
      </c>
      <c r="EN27" t="e">
        <f>AND(Plan!#REF!,"AAAAAD/9648=")</f>
        <v>#REF!</v>
      </c>
      <c r="EO27" t="e">
        <f>AND(Plan!#REF!,"AAAAAD/965A=")</f>
        <v>#REF!</v>
      </c>
      <c r="EP27" t="e">
        <f>AND(Plan!C64,"AAAAAD/965E=")</f>
        <v>#VALUE!</v>
      </c>
      <c r="EQ27" t="e">
        <f>AND(Plan!#REF!,"AAAAAD/965I=")</f>
        <v>#REF!</v>
      </c>
      <c r="ER27" t="e">
        <f>AND(Plan!#REF!,"AAAAAD/965M=")</f>
        <v>#REF!</v>
      </c>
      <c r="ES27" t="e">
        <f>AND(Plan!#REF!,"AAAAAD/965Q=")</f>
        <v>#REF!</v>
      </c>
      <c r="ET27" t="e">
        <f>AND(Plan!#REF!,"AAAAAD/965U=")</f>
        <v>#REF!</v>
      </c>
      <c r="EU27" t="e">
        <f>AND(Plan!#REF!,"AAAAAD/965Y=")</f>
        <v>#REF!</v>
      </c>
      <c r="EV27" t="e">
        <f>AND(Plan!#REF!,"AAAAAD/965c=")</f>
        <v>#REF!</v>
      </c>
      <c r="EW27" t="e">
        <f>AND(Plan!#REF!,"AAAAAD/965g=")</f>
        <v>#REF!</v>
      </c>
      <c r="EX27" t="e">
        <f>AND(Plan!#REF!,"AAAAAD/965k=")</f>
        <v>#REF!</v>
      </c>
      <c r="EY27" t="e">
        <f>AND(Plan!#REF!,"AAAAAD/965o=")</f>
        <v>#REF!</v>
      </c>
      <c r="EZ27" t="e">
        <f>AND(Plan!#REF!,"AAAAAD/965s=")</f>
        <v>#REF!</v>
      </c>
      <c r="FA27" t="e">
        <f>AND(Plan!#REF!,"AAAAAD/965w=")</f>
        <v>#REF!</v>
      </c>
      <c r="FB27" t="e">
        <f>AND(Plan!#REF!,"AAAAAD/9650=")</f>
        <v>#REF!</v>
      </c>
      <c r="FC27" t="e">
        <f>AND(Plan!#REF!,"AAAAAD/9654=")</f>
        <v>#REF!</v>
      </c>
      <c r="FD27" t="e">
        <f>AND(Plan!#REF!,"AAAAAD/9658=")</f>
        <v>#REF!</v>
      </c>
      <c r="FE27" t="e">
        <f>AND(Plan!#REF!,"AAAAAD/966A=")</f>
        <v>#REF!</v>
      </c>
      <c r="FF27" t="e">
        <f>AND(Plan!#REF!,"AAAAAD/966E=")</f>
        <v>#REF!</v>
      </c>
      <c r="FG27" t="e">
        <f>AND(Plan!#REF!,"AAAAAD/966I=")</f>
        <v>#REF!</v>
      </c>
      <c r="FH27" t="e">
        <f>AND(Plan!#REF!,"AAAAAD/966M=")</f>
        <v>#REF!</v>
      </c>
      <c r="FI27" t="e">
        <f>AND(Plan!#REF!,"AAAAAD/966Q=")</f>
        <v>#REF!</v>
      </c>
      <c r="FJ27" t="e">
        <f>AND(Plan!#REF!,"AAAAAD/966U=")</f>
        <v>#REF!</v>
      </c>
      <c r="FK27" t="e">
        <f>AND(Plan!#REF!,"AAAAAD/966Y=")</f>
        <v>#REF!</v>
      </c>
      <c r="FL27" t="e">
        <f>AND(Plan!#REF!,"AAAAAD/966c=")</f>
        <v>#REF!</v>
      </c>
      <c r="FM27" t="e">
        <f>AND(Plan!#REF!,"AAAAAD/966g=")</f>
        <v>#REF!</v>
      </c>
      <c r="FN27" t="e">
        <f>AND(Plan!#REF!,"AAAAAD/966k=")</f>
        <v>#REF!</v>
      </c>
      <c r="FO27" t="e">
        <f>AND(Plan!#REF!,"AAAAAD/966o=")</f>
        <v>#REF!</v>
      </c>
      <c r="FP27" t="e">
        <f>AND(Plan!#REF!,"AAAAAD/966s=")</f>
        <v>#REF!</v>
      </c>
      <c r="FQ27" t="e">
        <f>AND(Plan!#REF!,"AAAAAD/966w=")</f>
        <v>#REF!</v>
      </c>
      <c r="FR27" t="e">
        <f>AND(Plan!#REF!,"AAAAAD/9660=")</f>
        <v>#REF!</v>
      </c>
      <c r="FS27" t="e">
        <f>AND(Plan!#REF!,"AAAAAD/9664=")</f>
        <v>#REF!</v>
      </c>
      <c r="FT27" t="e">
        <f>AND(Plan!#REF!,"AAAAAD/9668=")</f>
        <v>#REF!</v>
      </c>
      <c r="FU27" t="e">
        <f>AND(Plan!#REF!,"AAAAAD/967A=")</f>
        <v>#REF!</v>
      </c>
      <c r="FV27" t="e">
        <f>AND(Plan!#REF!,"AAAAAD/967E=")</f>
        <v>#REF!</v>
      </c>
      <c r="FW27" t="e">
        <f>AND(Plan!#REF!,"AAAAAD/967I=")</f>
        <v>#REF!</v>
      </c>
      <c r="FX27" t="e">
        <f>AND(Plan!#REF!,"AAAAAD/967M=")</f>
        <v>#REF!</v>
      </c>
      <c r="FY27" t="e">
        <f>AND(Plan!#REF!,"AAAAAD/967Q=")</f>
        <v>#REF!</v>
      </c>
      <c r="FZ27" t="e">
        <f>AND(Plan!#REF!,"AAAAAD/967U=")</f>
        <v>#REF!</v>
      </c>
      <c r="GA27" t="e">
        <f>AND(Plan!#REF!,"AAAAAD/967Y=")</f>
        <v>#REF!</v>
      </c>
      <c r="GB27" t="e">
        <f>AND(Plan!#REF!,"AAAAAD/967c=")</f>
        <v>#REF!</v>
      </c>
      <c r="GC27" t="e">
        <f>AND(Plan!#REF!,"AAAAAD/967g=")</f>
        <v>#REF!</v>
      </c>
      <c r="GD27" t="e">
        <f>AND(Plan!#REF!,"AAAAAD/967k=")</f>
        <v>#REF!</v>
      </c>
      <c r="GE27" t="e">
        <f>AND(Plan!#REF!,"AAAAAD/967o=")</f>
        <v>#REF!</v>
      </c>
      <c r="GF27" t="e">
        <f>AND(Plan!#REF!,"AAAAAD/967s=")</f>
        <v>#REF!</v>
      </c>
      <c r="GG27" t="e">
        <f>AND(Plan!#REF!,"AAAAAD/967w=")</f>
        <v>#REF!</v>
      </c>
      <c r="GH27" t="e">
        <f>AND(Plan!#REF!,"AAAAAD/9670=")</f>
        <v>#REF!</v>
      </c>
      <c r="GI27" t="e">
        <f>AND(Plan!#REF!,"AAAAAD/9674=")</f>
        <v>#REF!</v>
      </c>
      <c r="GJ27" t="e">
        <f>AND(Plan!#REF!,"AAAAAD/9678=")</f>
        <v>#REF!</v>
      </c>
      <c r="GK27" t="e">
        <f>AND(Plan!#REF!,"AAAAAD/968A=")</f>
        <v>#REF!</v>
      </c>
      <c r="GL27" t="e">
        <f>AND(Plan!#REF!,"AAAAAD/968E=")</f>
        <v>#REF!</v>
      </c>
      <c r="GM27" t="e">
        <f>AND(Plan!#REF!,"AAAAAD/968I=")</f>
        <v>#REF!</v>
      </c>
      <c r="GN27" t="e">
        <f>AND(Plan!#REF!,"AAAAAD/968M=")</f>
        <v>#REF!</v>
      </c>
      <c r="GO27" t="e">
        <f>AND(Plan!#REF!,"AAAAAD/968Q=")</f>
        <v>#REF!</v>
      </c>
      <c r="GP27" t="e">
        <f>AND(Plan!#REF!,"AAAAAD/968U=")</f>
        <v>#REF!</v>
      </c>
      <c r="GQ27" t="e">
        <f>AND(Plan!#REF!,"AAAAAD/968Y=")</f>
        <v>#REF!</v>
      </c>
      <c r="GR27" t="e">
        <f>AND(Plan!#REF!,"AAAAAD/968c=")</f>
        <v>#REF!</v>
      </c>
      <c r="GS27" t="e">
        <f>AND(Plan!#REF!,"AAAAAD/968g=")</f>
        <v>#REF!</v>
      </c>
      <c r="GT27" t="e">
        <f>AND(Plan!#REF!,"AAAAAD/968k=")</f>
        <v>#REF!</v>
      </c>
      <c r="GU27" t="e">
        <f>AND(Plan!#REF!,"AAAAAD/968o=")</f>
        <v>#REF!</v>
      </c>
      <c r="GV27" t="e">
        <f>AND(Plan!#REF!,"AAAAAD/968s=")</f>
        <v>#REF!</v>
      </c>
      <c r="GW27" t="e">
        <f>AND(Plan!#REF!,"AAAAAD/968w=")</f>
        <v>#REF!</v>
      </c>
      <c r="GX27" t="e">
        <f>AND(Plan!#REF!,"AAAAAD/9680=")</f>
        <v>#REF!</v>
      </c>
      <c r="GY27" t="e">
        <f>AND(Plan!#REF!,"AAAAAD/9684=")</f>
        <v>#REF!</v>
      </c>
      <c r="GZ27" t="e">
        <f>AND(Plan!#REF!,"AAAAAD/9688=")</f>
        <v>#REF!</v>
      </c>
      <c r="HA27" t="e">
        <f>AND(Plan!#REF!,"AAAAAD/969A=")</f>
        <v>#REF!</v>
      </c>
      <c r="HB27" t="e">
        <f>AND(Plan!#REF!,"AAAAAD/969E=")</f>
        <v>#REF!</v>
      </c>
      <c r="HC27" t="e">
        <f>AND(Plan!#REF!,"AAAAAD/969I=")</f>
        <v>#REF!</v>
      </c>
      <c r="HD27" t="e">
        <f>AND(Plan!#REF!,"AAAAAD/969M=")</f>
        <v>#REF!</v>
      </c>
      <c r="HE27" t="e">
        <f>AND(Plan!#REF!,"AAAAAD/969Q=")</f>
        <v>#REF!</v>
      </c>
      <c r="HF27" t="e">
        <f>AND(Plan!#REF!,"AAAAAD/969U=")</f>
        <v>#REF!</v>
      </c>
      <c r="HG27" t="e">
        <f>AND(Plan!#REF!,"AAAAAD/969Y=")</f>
        <v>#REF!</v>
      </c>
      <c r="HH27" t="e">
        <f>AND(Plan!#REF!,"AAAAAD/969c=")</f>
        <v>#REF!</v>
      </c>
      <c r="HI27" t="e">
        <f>AND(Plan!#REF!,"AAAAAD/969g=")</f>
        <v>#REF!</v>
      </c>
      <c r="HJ27" t="e">
        <f>AND(Plan!#REF!,"AAAAAD/969k=")</f>
        <v>#REF!</v>
      </c>
      <c r="HK27" t="e">
        <f>AND(Plan!#REF!,"AAAAAD/969o=")</f>
        <v>#REF!</v>
      </c>
      <c r="HL27" t="e">
        <f>AND(Plan!#REF!,"AAAAAD/969s=")</f>
        <v>#REF!</v>
      </c>
      <c r="HM27" t="e">
        <f>AND(Plan!#REF!,"AAAAAD/969w=")</f>
        <v>#REF!</v>
      </c>
      <c r="HN27" t="e">
        <f>AND(Plan!#REF!,"AAAAAD/9690=")</f>
        <v>#REF!</v>
      </c>
      <c r="HO27" t="e">
        <f>AND(Plan!#REF!,"AAAAAD/9694=")</f>
        <v>#REF!</v>
      </c>
      <c r="HP27" t="e">
        <f>AND(Plan!#REF!,"AAAAAD/9698=")</f>
        <v>#REF!</v>
      </c>
      <c r="HQ27" t="e">
        <f>AND(Plan!#REF!,"AAAAAD/96+A=")</f>
        <v>#REF!</v>
      </c>
      <c r="HR27" t="e">
        <f>AND(Plan!#REF!,"AAAAAD/96+E=")</f>
        <v>#REF!</v>
      </c>
      <c r="HS27" t="e">
        <f>AND(Plan!#REF!,"AAAAAD/96+I=")</f>
        <v>#REF!</v>
      </c>
      <c r="HT27" t="e">
        <f>AND(Plan!#REF!,"AAAAAD/96+M=")</f>
        <v>#REF!</v>
      </c>
      <c r="HU27" t="e">
        <f>AND(Plan!#REF!,"AAAAAD/96+Q=")</f>
        <v>#REF!</v>
      </c>
      <c r="HV27" t="e">
        <f>AND(Plan!#REF!,"AAAAAD/96+U=")</f>
        <v>#REF!</v>
      </c>
      <c r="HW27" t="e">
        <f>AND(Plan!#REF!,"AAAAAD/96+Y=")</f>
        <v>#REF!</v>
      </c>
      <c r="HX27" t="e">
        <f>AND(Plan!#REF!,"AAAAAD/96+c=")</f>
        <v>#REF!</v>
      </c>
      <c r="HY27" t="e">
        <f>AND(Plan!#REF!,"AAAAAD/96+g=")</f>
        <v>#REF!</v>
      </c>
      <c r="HZ27" t="e">
        <f>AND(Plan!#REF!,"AAAAAD/96+k=")</f>
        <v>#REF!</v>
      </c>
      <c r="IA27" t="e">
        <f>AND(Plan!#REF!,"AAAAAD/96+o=")</f>
        <v>#REF!</v>
      </c>
      <c r="IB27" t="e">
        <f>AND(Plan!#REF!,"AAAAAD/96+s=")</f>
        <v>#REF!</v>
      </c>
      <c r="IC27" t="e">
        <f>AND(Plan!#REF!,"AAAAAD/96+w=")</f>
        <v>#REF!</v>
      </c>
      <c r="ID27" t="e">
        <f>AND(Plan!#REF!,"AAAAAD/96+0=")</f>
        <v>#REF!</v>
      </c>
      <c r="IE27" t="e">
        <f>AND(Plan!#REF!,"AAAAAD/96+4=")</f>
        <v>#REF!</v>
      </c>
      <c r="IF27" t="e">
        <f>AND(Plan!#REF!,"AAAAAD/96+8=")</f>
        <v>#REF!</v>
      </c>
      <c r="IG27" t="e">
        <f>AND(Plan!#REF!,"AAAAAD/96/A=")</f>
        <v>#REF!</v>
      </c>
      <c r="IH27" t="e">
        <f>AND(Plan!#REF!,"AAAAAD/96/E=")</f>
        <v>#REF!</v>
      </c>
      <c r="II27" t="e">
        <f>AND(Plan!#REF!,"AAAAAD/96/I=")</f>
        <v>#REF!</v>
      </c>
      <c r="IJ27" t="e">
        <f>AND(Plan!#REF!,"AAAAAD/96/M=")</f>
        <v>#REF!</v>
      </c>
      <c r="IK27" t="e">
        <f>IF(Plan!#REF!,"AAAAAD/96/Q=",0)</f>
        <v>#REF!</v>
      </c>
      <c r="IL27" t="e">
        <f>AND(Plan!#REF!,"AAAAAD/96/U=")</f>
        <v>#REF!</v>
      </c>
      <c r="IM27" t="e">
        <f>AND(Plan!#REF!,"AAAAAD/96/Y=")</f>
        <v>#REF!</v>
      </c>
      <c r="IN27" t="e">
        <f>AND(Plan!C65,"AAAAAD/96/c=")</f>
        <v>#VALUE!</v>
      </c>
      <c r="IO27" t="e">
        <f>AND(Plan!D65,"AAAAAD/96/g=")</f>
        <v>#VALUE!</v>
      </c>
      <c r="IP27" t="e">
        <f>AND(Plan!#REF!,"AAAAAD/96/k=")</f>
        <v>#REF!</v>
      </c>
      <c r="IQ27" t="e">
        <f>AND(Plan!#REF!,"AAAAAD/96/o=")</f>
        <v>#REF!</v>
      </c>
      <c r="IR27" t="e">
        <f>AND(Plan!#REF!,"AAAAAD/96/s=")</f>
        <v>#REF!</v>
      </c>
      <c r="IS27" t="e">
        <f>AND(Plan!#REF!,"AAAAAD/96/w=")</f>
        <v>#REF!</v>
      </c>
      <c r="IT27" t="e">
        <f>AND(Plan!#REF!,"AAAAAD/96/0=")</f>
        <v>#REF!</v>
      </c>
      <c r="IU27" t="e">
        <f>AND(Plan!#REF!,"AAAAAD/96/4=")</f>
        <v>#REF!</v>
      </c>
      <c r="IV27" t="e">
        <f>AND(Plan!#REF!,"AAAAAD/96/8=")</f>
        <v>#REF!</v>
      </c>
    </row>
    <row r="28" spans="1:256">
      <c r="A28" t="e">
        <f>AND(Plan!#REF!,"AAAAAG3PzgA=")</f>
        <v>#REF!</v>
      </c>
      <c r="B28" t="e">
        <f>AND(Plan!#REF!,"AAAAAG3PzgE=")</f>
        <v>#REF!</v>
      </c>
      <c r="C28" t="e">
        <f>AND(Plan!#REF!,"AAAAAG3PzgI=")</f>
        <v>#REF!</v>
      </c>
      <c r="D28" t="e">
        <f>AND(Plan!#REF!,"AAAAAG3PzgM=")</f>
        <v>#REF!</v>
      </c>
      <c r="E28" t="e">
        <f>AND(Plan!#REF!,"AAAAAG3PzgQ=")</f>
        <v>#REF!</v>
      </c>
      <c r="F28" t="e">
        <f>AND(Plan!#REF!,"AAAAAG3PzgU=")</f>
        <v>#REF!</v>
      </c>
      <c r="G28" t="e">
        <f>AND(Plan!#REF!,"AAAAAG3PzgY=")</f>
        <v>#REF!</v>
      </c>
      <c r="H28" t="e">
        <f>AND(Plan!#REF!,"AAAAAG3Pzgc=")</f>
        <v>#REF!</v>
      </c>
      <c r="I28" t="e">
        <f>AND(Plan!#REF!,"AAAAAG3Pzgg=")</f>
        <v>#REF!</v>
      </c>
      <c r="J28" t="e">
        <f>AND(Plan!#REF!,"AAAAAG3Pzgk=")</f>
        <v>#REF!</v>
      </c>
      <c r="K28" t="e">
        <f>AND(Plan!#REF!,"AAAAAG3Pzgo=")</f>
        <v>#REF!</v>
      </c>
      <c r="L28" t="e">
        <f>AND(Plan!#REF!,"AAAAAG3Pzgs=")</f>
        <v>#REF!</v>
      </c>
      <c r="M28" t="e">
        <f>AND(Plan!#REF!,"AAAAAG3Pzgw=")</f>
        <v>#REF!</v>
      </c>
      <c r="N28" t="e">
        <f>AND(Plan!#REF!,"AAAAAG3Pzg0=")</f>
        <v>#REF!</v>
      </c>
      <c r="O28" t="e">
        <f>AND(Plan!#REF!,"AAAAAG3Pzg4=")</f>
        <v>#REF!</v>
      </c>
      <c r="P28" t="e">
        <f>AND(Plan!#REF!,"AAAAAG3Pzg8=")</f>
        <v>#REF!</v>
      </c>
      <c r="Q28" t="e">
        <f>AND(Plan!#REF!,"AAAAAG3PzhA=")</f>
        <v>#REF!</v>
      </c>
      <c r="R28" t="e">
        <f>AND(Plan!#REF!,"AAAAAG3PzhE=")</f>
        <v>#REF!</v>
      </c>
      <c r="S28" t="e">
        <f>AND(Plan!#REF!,"AAAAAG3PzhI=")</f>
        <v>#REF!</v>
      </c>
      <c r="T28" t="e">
        <f>AND(Plan!#REF!,"AAAAAG3PzhM=")</f>
        <v>#REF!</v>
      </c>
      <c r="U28" t="e">
        <f>AND(Plan!#REF!,"AAAAAG3PzhQ=")</f>
        <v>#REF!</v>
      </c>
      <c r="V28" t="e">
        <f>AND(Plan!#REF!,"AAAAAG3PzhU=")</f>
        <v>#REF!</v>
      </c>
      <c r="W28" t="e">
        <f>AND(Plan!#REF!,"AAAAAG3PzhY=")</f>
        <v>#REF!</v>
      </c>
      <c r="X28" t="e">
        <f>AND(Plan!#REF!,"AAAAAG3Pzhc=")</f>
        <v>#REF!</v>
      </c>
      <c r="Y28" t="e">
        <f>AND(Plan!#REF!,"AAAAAG3Pzhg=")</f>
        <v>#REF!</v>
      </c>
      <c r="Z28" t="e">
        <f>AND(Plan!#REF!,"AAAAAG3Pzhk=")</f>
        <v>#REF!</v>
      </c>
      <c r="AA28" t="e">
        <f>AND(Plan!#REF!,"AAAAAG3Pzho=")</f>
        <v>#REF!</v>
      </c>
      <c r="AB28" t="e">
        <f>AND(Plan!#REF!,"AAAAAG3Pzhs=")</f>
        <v>#REF!</v>
      </c>
      <c r="AC28" t="e">
        <f>AND(Plan!#REF!,"AAAAAG3Pzhw=")</f>
        <v>#REF!</v>
      </c>
      <c r="AD28" t="e">
        <f>AND(Plan!#REF!,"AAAAAG3Pzh0=")</f>
        <v>#REF!</v>
      </c>
      <c r="AE28" t="e">
        <f>AND(Plan!#REF!,"AAAAAG3Pzh4=")</f>
        <v>#REF!</v>
      </c>
      <c r="AF28" t="e">
        <f>AND(Plan!#REF!,"AAAAAG3Pzh8=")</f>
        <v>#REF!</v>
      </c>
      <c r="AG28" t="e">
        <f>AND(Plan!#REF!,"AAAAAG3PziA=")</f>
        <v>#REF!</v>
      </c>
      <c r="AH28" t="e">
        <f>AND(Plan!#REF!,"AAAAAG3PziE=")</f>
        <v>#REF!</v>
      </c>
      <c r="AI28" t="e">
        <f>AND(Plan!#REF!,"AAAAAG3PziI=")</f>
        <v>#REF!</v>
      </c>
      <c r="AJ28" t="e">
        <f>AND(Plan!#REF!,"AAAAAG3PziM=")</f>
        <v>#REF!</v>
      </c>
      <c r="AK28" t="e">
        <f>AND(Plan!#REF!,"AAAAAG3PziQ=")</f>
        <v>#REF!</v>
      </c>
      <c r="AL28" t="e">
        <f>AND(Plan!#REF!,"AAAAAG3PziU=")</f>
        <v>#REF!</v>
      </c>
      <c r="AM28" t="e">
        <f>AND(Plan!#REF!,"AAAAAG3PziY=")</f>
        <v>#REF!</v>
      </c>
      <c r="AN28" t="e">
        <f>AND(Plan!#REF!,"AAAAAG3Pzic=")</f>
        <v>#REF!</v>
      </c>
      <c r="AO28" t="e">
        <f>AND(Plan!#REF!,"AAAAAG3Pzig=")</f>
        <v>#REF!</v>
      </c>
      <c r="AP28" t="e">
        <f>AND(Plan!#REF!,"AAAAAG3Pzik=")</f>
        <v>#REF!</v>
      </c>
      <c r="AQ28" t="e">
        <f>AND(Plan!#REF!,"AAAAAG3Pzio=")</f>
        <v>#REF!</v>
      </c>
      <c r="AR28" t="e">
        <f>AND(Plan!#REF!,"AAAAAG3Pzis=")</f>
        <v>#REF!</v>
      </c>
      <c r="AS28" t="e">
        <f>AND(Plan!#REF!,"AAAAAG3Pziw=")</f>
        <v>#REF!</v>
      </c>
      <c r="AT28" t="e">
        <f>AND(Plan!#REF!,"AAAAAG3Pzi0=")</f>
        <v>#REF!</v>
      </c>
      <c r="AU28" t="e">
        <f>AND(Plan!#REF!,"AAAAAG3Pzi4=")</f>
        <v>#REF!</v>
      </c>
      <c r="AV28" t="e">
        <f>AND(Plan!#REF!,"AAAAAG3Pzi8=")</f>
        <v>#REF!</v>
      </c>
      <c r="AW28" t="e">
        <f>AND(Plan!#REF!,"AAAAAG3PzjA=")</f>
        <v>#REF!</v>
      </c>
      <c r="AX28" t="e">
        <f>AND(Plan!#REF!,"AAAAAG3PzjE=")</f>
        <v>#REF!</v>
      </c>
      <c r="AY28" t="e">
        <f>AND(Plan!#REF!,"AAAAAG3PzjI=")</f>
        <v>#REF!</v>
      </c>
      <c r="AZ28" t="e">
        <f>AND(Plan!#REF!,"AAAAAG3PzjM=")</f>
        <v>#REF!</v>
      </c>
      <c r="BA28" t="e">
        <f>AND(Plan!#REF!,"AAAAAG3PzjQ=")</f>
        <v>#REF!</v>
      </c>
      <c r="BB28" t="e">
        <f>AND(Plan!#REF!,"AAAAAG3PzjU=")</f>
        <v>#REF!</v>
      </c>
      <c r="BC28" t="e">
        <f>AND(Plan!#REF!,"AAAAAG3PzjY=")</f>
        <v>#REF!</v>
      </c>
      <c r="BD28" t="e">
        <f>AND(Plan!#REF!,"AAAAAG3Pzjc=")</f>
        <v>#REF!</v>
      </c>
      <c r="BE28" t="e">
        <f>AND(Plan!#REF!,"AAAAAG3Pzjg=")</f>
        <v>#REF!</v>
      </c>
      <c r="BF28" t="e">
        <f>AND(Plan!#REF!,"AAAAAG3Pzjk=")</f>
        <v>#REF!</v>
      </c>
      <c r="BG28" t="e">
        <f>AND(Plan!#REF!,"AAAAAG3Pzjo=")</f>
        <v>#REF!</v>
      </c>
      <c r="BH28" t="e">
        <f>AND(Plan!#REF!,"AAAAAG3Pzjs=")</f>
        <v>#REF!</v>
      </c>
      <c r="BI28" t="e">
        <f>AND(Plan!#REF!,"AAAAAG3Pzjw=")</f>
        <v>#REF!</v>
      </c>
      <c r="BJ28" t="e">
        <f>AND(Plan!#REF!,"AAAAAG3Pzj0=")</f>
        <v>#REF!</v>
      </c>
      <c r="BK28" t="e">
        <f>AND(Plan!#REF!,"AAAAAG3Pzj4=")</f>
        <v>#REF!</v>
      </c>
      <c r="BL28" t="e">
        <f>AND(Plan!#REF!,"AAAAAG3Pzj8=")</f>
        <v>#REF!</v>
      </c>
      <c r="BM28" t="e">
        <f>AND(Plan!#REF!,"AAAAAG3PzkA=")</f>
        <v>#REF!</v>
      </c>
      <c r="BN28" t="e">
        <f>AND(Plan!#REF!,"AAAAAG3PzkE=")</f>
        <v>#REF!</v>
      </c>
      <c r="BO28" t="e">
        <f>AND(Plan!#REF!,"AAAAAG3PzkI=")</f>
        <v>#REF!</v>
      </c>
      <c r="BP28" t="e">
        <f>AND(Plan!#REF!,"AAAAAG3PzkM=")</f>
        <v>#REF!</v>
      </c>
      <c r="BQ28" t="e">
        <f>AND(Plan!#REF!,"AAAAAG3PzkQ=")</f>
        <v>#REF!</v>
      </c>
      <c r="BR28" t="e">
        <f>AND(Plan!#REF!,"AAAAAG3PzkU=")</f>
        <v>#REF!</v>
      </c>
      <c r="BS28" t="e">
        <f>AND(Plan!#REF!,"AAAAAG3PzkY=")</f>
        <v>#REF!</v>
      </c>
      <c r="BT28" t="e">
        <f>AND(Plan!#REF!,"AAAAAG3Pzkc=")</f>
        <v>#REF!</v>
      </c>
      <c r="BU28" t="e">
        <f>AND(Plan!#REF!,"AAAAAG3Pzkg=")</f>
        <v>#REF!</v>
      </c>
      <c r="BV28" t="e">
        <f>AND(Plan!#REF!,"AAAAAG3Pzkk=")</f>
        <v>#REF!</v>
      </c>
      <c r="BW28" t="e">
        <f>AND(Plan!#REF!,"AAAAAG3Pzko=")</f>
        <v>#REF!</v>
      </c>
      <c r="BX28" t="e">
        <f>AND(Plan!#REF!,"AAAAAG3Pzks=")</f>
        <v>#REF!</v>
      </c>
      <c r="BY28" t="e">
        <f>AND(Plan!#REF!,"AAAAAG3Pzkw=")</f>
        <v>#REF!</v>
      </c>
      <c r="BZ28" t="e">
        <f>AND(Plan!#REF!,"AAAAAG3Pzk0=")</f>
        <v>#REF!</v>
      </c>
      <c r="CA28" t="e">
        <f>AND(Plan!#REF!,"AAAAAG3Pzk4=")</f>
        <v>#REF!</v>
      </c>
      <c r="CB28" t="e">
        <f>AND(Plan!#REF!,"AAAAAG3Pzk8=")</f>
        <v>#REF!</v>
      </c>
      <c r="CC28" t="e">
        <f>AND(Plan!#REF!,"AAAAAG3PzlA=")</f>
        <v>#REF!</v>
      </c>
      <c r="CD28" t="e">
        <f>AND(Plan!#REF!,"AAAAAG3PzlE=")</f>
        <v>#REF!</v>
      </c>
      <c r="CE28" t="e">
        <f>AND(Plan!#REF!,"AAAAAG3PzlI=")</f>
        <v>#REF!</v>
      </c>
      <c r="CF28" t="e">
        <f>AND(Plan!#REF!,"AAAAAG3PzlM=")</f>
        <v>#REF!</v>
      </c>
      <c r="CG28" t="e">
        <f>AND(Plan!#REF!,"AAAAAG3PzlQ=")</f>
        <v>#REF!</v>
      </c>
      <c r="CH28" t="e">
        <f>AND(Plan!#REF!,"AAAAAG3PzlU=")</f>
        <v>#REF!</v>
      </c>
      <c r="CI28" t="e">
        <f>AND(Plan!#REF!,"AAAAAG3PzlY=")</f>
        <v>#REF!</v>
      </c>
      <c r="CJ28" t="e">
        <f>AND(Plan!#REF!,"AAAAAG3Pzlc=")</f>
        <v>#REF!</v>
      </c>
      <c r="CK28" t="e">
        <f>AND(Plan!#REF!,"AAAAAG3Pzlg=")</f>
        <v>#REF!</v>
      </c>
      <c r="CL28" t="e">
        <f>AND(Plan!#REF!,"AAAAAG3Pzlk=")</f>
        <v>#REF!</v>
      </c>
      <c r="CM28" t="e">
        <f>IF(Plan!#REF!,"AAAAAG3Pzlo=",0)</f>
        <v>#REF!</v>
      </c>
      <c r="CN28" t="e">
        <f>AND(Plan!#REF!,"AAAAAG3Pzls=")</f>
        <v>#REF!</v>
      </c>
      <c r="CO28" t="e">
        <f>AND(Plan!#REF!,"AAAAAG3Pzlw=")</f>
        <v>#REF!</v>
      </c>
      <c r="CP28" t="e">
        <f>AND(Plan!#REF!,"AAAAAG3Pzl0=")</f>
        <v>#REF!</v>
      </c>
      <c r="CQ28" t="e">
        <f>AND(Plan!#REF!,"AAAAAG3Pzl4=")</f>
        <v>#REF!</v>
      </c>
      <c r="CR28" t="e">
        <f>AND(Plan!#REF!,"AAAAAG3Pzl8=")</f>
        <v>#REF!</v>
      </c>
      <c r="CS28" t="e">
        <f>AND(Plan!#REF!,"AAAAAG3PzmA=")</f>
        <v>#REF!</v>
      </c>
      <c r="CT28" t="e">
        <f>AND(Plan!#REF!,"AAAAAG3PzmE=")</f>
        <v>#REF!</v>
      </c>
      <c r="CU28" t="e">
        <f>AND(Plan!#REF!,"AAAAAG3PzmI=")</f>
        <v>#REF!</v>
      </c>
      <c r="CV28" t="e">
        <f>AND(Plan!#REF!,"AAAAAG3PzmM=")</f>
        <v>#REF!</v>
      </c>
      <c r="CW28" t="e">
        <f>AND(Plan!#REF!,"AAAAAG3PzmQ=")</f>
        <v>#REF!</v>
      </c>
      <c r="CX28" t="e">
        <f>AND(Plan!#REF!,"AAAAAG3PzmU=")</f>
        <v>#REF!</v>
      </c>
      <c r="CY28" t="e">
        <f>AND(Plan!#REF!,"AAAAAG3PzmY=")</f>
        <v>#REF!</v>
      </c>
      <c r="CZ28" t="e">
        <f>AND(Plan!#REF!,"AAAAAG3Pzmc=")</f>
        <v>#REF!</v>
      </c>
      <c r="DA28" t="e">
        <f>AND(Plan!#REF!,"AAAAAG3Pzmg=")</f>
        <v>#REF!</v>
      </c>
      <c r="DB28" t="e">
        <f>AND(Plan!#REF!,"AAAAAG3Pzmk=")</f>
        <v>#REF!</v>
      </c>
      <c r="DC28" t="e">
        <f>AND(Plan!#REF!,"AAAAAG3Pzmo=")</f>
        <v>#REF!</v>
      </c>
      <c r="DD28" t="e">
        <f>AND(Plan!#REF!,"AAAAAG3Pzms=")</f>
        <v>#REF!</v>
      </c>
      <c r="DE28" t="e">
        <f>AND(Plan!#REF!,"AAAAAG3Pzmw=")</f>
        <v>#REF!</v>
      </c>
      <c r="DF28" t="e">
        <f>AND(Plan!#REF!,"AAAAAG3Pzm0=")</f>
        <v>#REF!</v>
      </c>
      <c r="DG28" t="e">
        <f>AND(Plan!#REF!,"AAAAAG3Pzm4=")</f>
        <v>#REF!</v>
      </c>
      <c r="DH28" t="e">
        <f>AND(Plan!#REF!,"AAAAAG3Pzm8=")</f>
        <v>#REF!</v>
      </c>
      <c r="DI28" t="e">
        <f>AND(Plan!#REF!,"AAAAAG3PznA=")</f>
        <v>#REF!</v>
      </c>
      <c r="DJ28" t="e">
        <f>AND(Plan!#REF!,"AAAAAG3PznE=")</f>
        <v>#REF!</v>
      </c>
      <c r="DK28" t="e">
        <f>AND(Plan!#REF!,"AAAAAG3PznI=")</f>
        <v>#REF!</v>
      </c>
      <c r="DL28" t="e">
        <f>AND(Plan!#REF!,"AAAAAG3PznM=")</f>
        <v>#REF!</v>
      </c>
      <c r="DM28" t="e">
        <f>AND(Plan!#REF!,"AAAAAG3PznQ=")</f>
        <v>#REF!</v>
      </c>
      <c r="DN28" t="e">
        <f>AND(Plan!#REF!,"AAAAAG3PznU=")</f>
        <v>#REF!</v>
      </c>
      <c r="DO28" t="e">
        <f>AND(Plan!#REF!,"AAAAAG3PznY=")</f>
        <v>#REF!</v>
      </c>
      <c r="DP28" t="e">
        <f>AND(Plan!#REF!,"AAAAAG3Pznc=")</f>
        <v>#REF!</v>
      </c>
      <c r="DQ28" t="e">
        <f>AND(Plan!#REF!,"AAAAAG3Pzng=")</f>
        <v>#REF!</v>
      </c>
      <c r="DR28" t="e">
        <f>AND(Plan!#REF!,"AAAAAG3Pznk=")</f>
        <v>#REF!</v>
      </c>
      <c r="DS28" t="e">
        <f>AND(Plan!#REF!,"AAAAAG3Pzno=")</f>
        <v>#REF!</v>
      </c>
      <c r="DT28" t="e">
        <f>AND(Plan!#REF!,"AAAAAG3Pzns=")</f>
        <v>#REF!</v>
      </c>
      <c r="DU28" t="e">
        <f>AND(Plan!#REF!,"AAAAAG3Pznw=")</f>
        <v>#REF!</v>
      </c>
      <c r="DV28" t="e">
        <f>AND(Plan!#REF!,"AAAAAG3Pzn0=")</f>
        <v>#REF!</v>
      </c>
      <c r="DW28" t="e">
        <f>AND(Plan!#REF!,"AAAAAG3Pzn4=")</f>
        <v>#REF!</v>
      </c>
      <c r="DX28" t="e">
        <f>AND(Plan!#REF!,"AAAAAG3Pzn8=")</f>
        <v>#REF!</v>
      </c>
      <c r="DY28" t="e">
        <f>AND(Plan!#REF!,"AAAAAG3PzoA=")</f>
        <v>#REF!</v>
      </c>
      <c r="DZ28" t="e">
        <f>AND(Plan!#REF!,"AAAAAG3PzoE=")</f>
        <v>#REF!</v>
      </c>
      <c r="EA28" t="e">
        <f>AND(Plan!#REF!,"AAAAAG3PzoI=")</f>
        <v>#REF!</v>
      </c>
      <c r="EB28" t="e">
        <f>AND(Plan!#REF!,"AAAAAG3PzoM=")</f>
        <v>#REF!</v>
      </c>
      <c r="EC28" t="e">
        <f>AND(Plan!#REF!,"AAAAAG3PzoQ=")</f>
        <v>#REF!</v>
      </c>
      <c r="ED28" t="e">
        <f>AND(Plan!#REF!,"AAAAAG3PzoU=")</f>
        <v>#REF!</v>
      </c>
      <c r="EE28" t="e">
        <f>AND(Plan!#REF!,"AAAAAG3PzoY=")</f>
        <v>#REF!</v>
      </c>
      <c r="EF28" t="e">
        <f>AND(Plan!#REF!,"AAAAAG3Pzoc=")</f>
        <v>#REF!</v>
      </c>
      <c r="EG28" t="e">
        <f>AND(Plan!#REF!,"AAAAAG3Pzog=")</f>
        <v>#REF!</v>
      </c>
      <c r="EH28" t="e">
        <f>AND(Plan!#REF!,"AAAAAG3Pzok=")</f>
        <v>#REF!</v>
      </c>
      <c r="EI28" t="e">
        <f>AND(Plan!#REF!,"AAAAAG3Pzoo=")</f>
        <v>#REF!</v>
      </c>
      <c r="EJ28" t="e">
        <f>AND(Plan!#REF!,"AAAAAG3Pzos=")</f>
        <v>#REF!</v>
      </c>
      <c r="EK28" t="e">
        <f>AND(Plan!#REF!,"AAAAAG3Pzow=")</f>
        <v>#REF!</v>
      </c>
      <c r="EL28" t="e">
        <f>AND(Plan!#REF!,"AAAAAG3Pzo0=")</f>
        <v>#REF!</v>
      </c>
      <c r="EM28" t="e">
        <f>AND(Plan!#REF!,"AAAAAG3Pzo4=")</f>
        <v>#REF!</v>
      </c>
      <c r="EN28" t="e">
        <f>AND(Plan!#REF!,"AAAAAG3Pzo8=")</f>
        <v>#REF!</v>
      </c>
      <c r="EO28" t="e">
        <f>AND(Plan!#REF!,"AAAAAG3PzpA=")</f>
        <v>#REF!</v>
      </c>
      <c r="EP28" t="e">
        <f>AND(Plan!#REF!,"AAAAAG3PzpE=")</f>
        <v>#REF!</v>
      </c>
      <c r="EQ28" t="e">
        <f>AND(Plan!#REF!,"AAAAAG3PzpI=")</f>
        <v>#REF!</v>
      </c>
      <c r="ER28" t="e">
        <f>AND(Plan!#REF!,"AAAAAG3PzpM=")</f>
        <v>#REF!</v>
      </c>
      <c r="ES28" t="e">
        <f>AND(Plan!#REF!,"AAAAAG3PzpQ=")</f>
        <v>#REF!</v>
      </c>
      <c r="ET28" t="e">
        <f>AND(Plan!#REF!,"AAAAAG3PzpU=")</f>
        <v>#REF!</v>
      </c>
      <c r="EU28" t="e">
        <f>AND(Plan!#REF!,"AAAAAG3PzpY=")</f>
        <v>#REF!</v>
      </c>
      <c r="EV28" t="e">
        <f>AND(Plan!#REF!,"AAAAAG3Pzpc=")</f>
        <v>#REF!</v>
      </c>
      <c r="EW28" t="e">
        <f>AND(Plan!#REF!,"AAAAAG3Pzpg=")</f>
        <v>#REF!</v>
      </c>
      <c r="EX28" t="e">
        <f>AND(Plan!#REF!,"AAAAAG3Pzpk=")</f>
        <v>#REF!</v>
      </c>
      <c r="EY28" t="e">
        <f>AND(Plan!#REF!,"AAAAAG3Pzpo=")</f>
        <v>#REF!</v>
      </c>
      <c r="EZ28" t="e">
        <f>AND(Plan!#REF!,"AAAAAG3Pzps=")</f>
        <v>#REF!</v>
      </c>
      <c r="FA28" t="e">
        <f>AND(Plan!#REF!,"AAAAAG3Pzpw=")</f>
        <v>#REF!</v>
      </c>
      <c r="FB28" t="e">
        <f>AND(Plan!#REF!,"AAAAAG3Pzp0=")</f>
        <v>#REF!</v>
      </c>
      <c r="FC28" t="e">
        <f>AND(Plan!#REF!,"AAAAAG3Pzp4=")</f>
        <v>#REF!</v>
      </c>
      <c r="FD28" t="e">
        <f>AND(Plan!#REF!,"AAAAAG3Pzp8=")</f>
        <v>#REF!</v>
      </c>
      <c r="FE28" t="e">
        <f>AND(Plan!#REF!,"AAAAAG3PzqA=")</f>
        <v>#REF!</v>
      </c>
      <c r="FF28" t="e">
        <f>AND(Plan!#REF!,"AAAAAG3PzqE=")</f>
        <v>#REF!</v>
      </c>
      <c r="FG28" t="e">
        <f>AND(Plan!#REF!,"AAAAAG3PzqI=")</f>
        <v>#REF!</v>
      </c>
      <c r="FH28" t="e">
        <f>AND(Plan!#REF!,"AAAAAG3PzqM=")</f>
        <v>#REF!</v>
      </c>
      <c r="FI28" t="e">
        <f>AND(Plan!#REF!,"AAAAAG3PzqQ=")</f>
        <v>#REF!</v>
      </c>
      <c r="FJ28" t="e">
        <f>AND(Plan!#REF!,"AAAAAG3PzqU=")</f>
        <v>#REF!</v>
      </c>
      <c r="FK28" t="e">
        <f>AND(Plan!#REF!,"AAAAAG3PzqY=")</f>
        <v>#REF!</v>
      </c>
      <c r="FL28" t="e">
        <f>AND(Plan!#REF!,"AAAAAG3Pzqc=")</f>
        <v>#REF!</v>
      </c>
      <c r="FM28" t="e">
        <f>AND(Plan!#REF!,"AAAAAG3Pzqg=")</f>
        <v>#REF!</v>
      </c>
      <c r="FN28" t="e">
        <f>AND(Plan!#REF!,"AAAAAG3Pzqk=")</f>
        <v>#REF!</v>
      </c>
      <c r="FO28" t="e">
        <f>AND(Plan!#REF!,"AAAAAG3Pzqo=")</f>
        <v>#REF!</v>
      </c>
      <c r="FP28" t="e">
        <f>AND(Plan!#REF!,"AAAAAG3Pzqs=")</f>
        <v>#REF!</v>
      </c>
      <c r="FQ28" t="e">
        <f>AND(Plan!#REF!,"AAAAAG3Pzqw=")</f>
        <v>#REF!</v>
      </c>
      <c r="FR28" t="e">
        <f>AND(Plan!#REF!,"AAAAAG3Pzq0=")</f>
        <v>#REF!</v>
      </c>
      <c r="FS28" t="e">
        <f>AND(Plan!#REF!,"AAAAAG3Pzq4=")</f>
        <v>#REF!</v>
      </c>
      <c r="FT28" t="e">
        <f>AND(Plan!#REF!,"AAAAAG3Pzq8=")</f>
        <v>#REF!</v>
      </c>
      <c r="FU28" t="e">
        <f>AND(Plan!#REF!,"AAAAAG3PzrA=")</f>
        <v>#REF!</v>
      </c>
      <c r="FV28" t="e">
        <f>AND(Plan!#REF!,"AAAAAG3PzrE=")</f>
        <v>#REF!</v>
      </c>
      <c r="FW28" t="e">
        <f>AND(Plan!#REF!,"AAAAAG3PzrI=")</f>
        <v>#REF!</v>
      </c>
      <c r="FX28" t="e">
        <f>AND(Plan!#REF!,"AAAAAG3PzrM=")</f>
        <v>#REF!</v>
      </c>
      <c r="FY28" t="e">
        <f>AND(Plan!#REF!,"AAAAAG3PzrQ=")</f>
        <v>#REF!</v>
      </c>
      <c r="FZ28" t="e">
        <f>AND(Plan!#REF!,"AAAAAG3PzrU=")</f>
        <v>#REF!</v>
      </c>
      <c r="GA28" t="e">
        <f>AND(Plan!#REF!,"AAAAAG3PzrY=")</f>
        <v>#REF!</v>
      </c>
      <c r="GB28" t="e">
        <f>AND(Plan!#REF!,"AAAAAG3Pzrc=")</f>
        <v>#REF!</v>
      </c>
      <c r="GC28" t="e">
        <f>AND(Plan!#REF!,"AAAAAG3Pzrg=")</f>
        <v>#REF!</v>
      </c>
      <c r="GD28" t="e">
        <f>AND(Plan!#REF!,"AAAAAG3Pzrk=")</f>
        <v>#REF!</v>
      </c>
      <c r="GE28" t="e">
        <f>AND(Plan!#REF!,"AAAAAG3Pzro=")</f>
        <v>#REF!</v>
      </c>
      <c r="GF28" t="e">
        <f>AND(Plan!#REF!,"AAAAAG3Pzrs=")</f>
        <v>#REF!</v>
      </c>
      <c r="GG28" t="e">
        <f>AND(Plan!#REF!,"AAAAAG3Pzrw=")</f>
        <v>#REF!</v>
      </c>
      <c r="GH28" t="e">
        <f>AND(Plan!#REF!,"AAAAAG3Pzr0=")</f>
        <v>#REF!</v>
      </c>
      <c r="GI28" t="e">
        <f>AND(Plan!#REF!,"AAAAAG3Pzr4=")</f>
        <v>#REF!</v>
      </c>
      <c r="GJ28" t="e">
        <f>AND(Plan!#REF!,"AAAAAG3Pzr8=")</f>
        <v>#REF!</v>
      </c>
      <c r="GK28" t="e">
        <f>IF(Plan!#REF!,"AAAAAG3PzsA=",0)</f>
        <v>#REF!</v>
      </c>
      <c r="GL28" t="e">
        <f>AND(Plan!#REF!,"AAAAAG3PzsE=")</f>
        <v>#REF!</v>
      </c>
      <c r="GM28" t="e">
        <f>AND(Plan!#REF!,"AAAAAG3PzsI=")</f>
        <v>#REF!</v>
      </c>
      <c r="GN28" t="e">
        <f>AND(Plan!#REF!,"AAAAAG3PzsM=")</f>
        <v>#REF!</v>
      </c>
      <c r="GO28" t="e">
        <f>AND(Plan!#REF!,"AAAAAG3PzsQ=")</f>
        <v>#REF!</v>
      </c>
      <c r="GP28" t="e">
        <f>AND(Plan!#REF!,"AAAAAG3PzsU=")</f>
        <v>#REF!</v>
      </c>
      <c r="GQ28" t="e">
        <f>AND(Plan!#REF!,"AAAAAG3PzsY=")</f>
        <v>#REF!</v>
      </c>
      <c r="GR28" t="e">
        <f>AND(Plan!#REF!,"AAAAAG3Pzsc=")</f>
        <v>#REF!</v>
      </c>
      <c r="GS28" t="e">
        <f>AND(Plan!#REF!,"AAAAAG3Pzsg=")</f>
        <v>#REF!</v>
      </c>
      <c r="GT28" t="e">
        <f>AND(Plan!#REF!,"AAAAAG3Pzsk=")</f>
        <v>#REF!</v>
      </c>
      <c r="GU28" t="e">
        <f>AND(Plan!#REF!,"AAAAAG3Pzso=")</f>
        <v>#REF!</v>
      </c>
      <c r="GV28" t="e">
        <f>AND(Plan!#REF!,"AAAAAG3Pzss=")</f>
        <v>#REF!</v>
      </c>
      <c r="GW28" t="e">
        <f>AND(Plan!#REF!,"AAAAAG3Pzsw=")</f>
        <v>#REF!</v>
      </c>
      <c r="GX28" t="e">
        <f>AND(Plan!#REF!,"AAAAAG3Pzs0=")</f>
        <v>#REF!</v>
      </c>
      <c r="GY28" t="e">
        <f>AND(Plan!#REF!,"AAAAAG3Pzs4=")</f>
        <v>#REF!</v>
      </c>
      <c r="GZ28" t="e">
        <f>AND(Plan!#REF!,"AAAAAG3Pzs8=")</f>
        <v>#REF!</v>
      </c>
      <c r="HA28" t="e">
        <f>AND(Plan!#REF!,"AAAAAG3PztA=")</f>
        <v>#REF!</v>
      </c>
      <c r="HB28" t="e">
        <f>AND(Plan!#REF!,"AAAAAG3PztE=")</f>
        <v>#REF!</v>
      </c>
      <c r="HC28" t="e">
        <f>AND(Plan!#REF!,"AAAAAG3PztI=")</f>
        <v>#REF!</v>
      </c>
      <c r="HD28" t="e">
        <f>AND(Plan!#REF!,"AAAAAG3PztM=")</f>
        <v>#REF!</v>
      </c>
      <c r="HE28" t="e">
        <f>AND(Plan!#REF!,"AAAAAG3PztQ=")</f>
        <v>#REF!</v>
      </c>
      <c r="HF28" t="e">
        <f>AND(Plan!#REF!,"AAAAAG3PztU=")</f>
        <v>#REF!</v>
      </c>
      <c r="HG28" t="e">
        <f>AND(Plan!#REF!,"AAAAAG3PztY=")</f>
        <v>#REF!</v>
      </c>
      <c r="HH28" t="e">
        <f>AND(Plan!#REF!,"AAAAAG3Pztc=")</f>
        <v>#REF!</v>
      </c>
      <c r="HI28" t="e">
        <f>AND(Plan!#REF!,"AAAAAG3Pztg=")</f>
        <v>#REF!</v>
      </c>
      <c r="HJ28" t="e">
        <f>AND(Plan!#REF!,"AAAAAG3Pztk=")</f>
        <v>#REF!</v>
      </c>
      <c r="HK28" t="e">
        <f>AND(Plan!#REF!,"AAAAAG3Pzto=")</f>
        <v>#REF!</v>
      </c>
      <c r="HL28" t="e">
        <f>AND(Plan!#REF!,"AAAAAG3Pzts=")</f>
        <v>#REF!</v>
      </c>
      <c r="HM28" t="e">
        <f>AND(Plan!#REF!,"AAAAAG3Pztw=")</f>
        <v>#REF!</v>
      </c>
      <c r="HN28" t="e">
        <f>AND(Plan!#REF!,"AAAAAG3Pzt0=")</f>
        <v>#REF!</v>
      </c>
      <c r="HO28" t="e">
        <f>AND(Plan!#REF!,"AAAAAG3Pzt4=")</f>
        <v>#REF!</v>
      </c>
      <c r="HP28" t="e">
        <f>AND(Plan!#REF!,"AAAAAG3Pzt8=")</f>
        <v>#REF!</v>
      </c>
      <c r="HQ28" t="e">
        <f>AND(Plan!#REF!,"AAAAAG3PzuA=")</f>
        <v>#REF!</v>
      </c>
      <c r="HR28" t="e">
        <f>AND(Plan!#REF!,"AAAAAG3PzuE=")</f>
        <v>#REF!</v>
      </c>
      <c r="HS28" t="e">
        <f>AND(Plan!#REF!,"AAAAAG3PzuI=")</f>
        <v>#REF!</v>
      </c>
      <c r="HT28" t="e">
        <f>AND(Plan!#REF!,"AAAAAG3PzuM=")</f>
        <v>#REF!</v>
      </c>
      <c r="HU28" t="e">
        <f>AND(Plan!#REF!,"AAAAAG3PzuQ=")</f>
        <v>#REF!</v>
      </c>
      <c r="HV28" t="e">
        <f>AND(Plan!#REF!,"AAAAAG3PzuU=")</f>
        <v>#REF!</v>
      </c>
      <c r="HW28" t="e">
        <f>AND(Plan!#REF!,"AAAAAG3PzuY=")</f>
        <v>#REF!</v>
      </c>
      <c r="HX28" t="e">
        <f>AND(Plan!#REF!,"AAAAAG3Pzuc=")</f>
        <v>#REF!</v>
      </c>
      <c r="HY28" t="e">
        <f>AND(Plan!#REF!,"AAAAAG3Pzug=")</f>
        <v>#REF!</v>
      </c>
      <c r="HZ28" t="e">
        <f>AND(Plan!#REF!,"AAAAAG3Pzuk=")</f>
        <v>#REF!</v>
      </c>
      <c r="IA28" t="e">
        <f>AND(Plan!#REF!,"AAAAAG3Pzuo=")</f>
        <v>#REF!</v>
      </c>
      <c r="IB28" t="e">
        <f>AND(Plan!#REF!,"AAAAAG3Pzus=")</f>
        <v>#REF!</v>
      </c>
      <c r="IC28" t="e">
        <f>AND(Plan!#REF!,"AAAAAG3Pzuw=")</f>
        <v>#REF!</v>
      </c>
      <c r="ID28" t="e">
        <f>AND(Plan!#REF!,"AAAAAG3Pzu0=")</f>
        <v>#REF!</v>
      </c>
      <c r="IE28" t="e">
        <f>AND(Plan!#REF!,"AAAAAG3Pzu4=")</f>
        <v>#REF!</v>
      </c>
      <c r="IF28" t="e">
        <f>AND(Plan!#REF!,"AAAAAG3Pzu8=")</f>
        <v>#REF!</v>
      </c>
      <c r="IG28" t="e">
        <f>AND(Plan!#REF!,"AAAAAG3PzvA=")</f>
        <v>#REF!</v>
      </c>
      <c r="IH28" t="e">
        <f>AND(Plan!#REF!,"AAAAAG3PzvE=")</f>
        <v>#REF!</v>
      </c>
      <c r="II28" t="e">
        <f>AND(Plan!#REF!,"AAAAAG3PzvI=")</f>
        <v>#REF!</v>
      </c>
      <c r="IJ28" t="e">
        <f>AND(Plan!#REF!,"AAAAAG3PzvM=")</f>
        <v>#REF!</v>
      </c>
      <c r="IK28" t="e">
        <f>AND(Plan!#REF!,"AAAAAG3PzvQ=")</f>
        <v>#REF!</v>
      </c>
      <c r="IL28" t="e">
        <f>AND(Plan!#REF!,"AAAAAG3PzvU=")</f>
        <v>#REF!</v>
      </c>
      <c r="IM28" t="e">
        <f>AND(Plan!#REF!,"AAAAAG3PzvY=")</f>
        <v>#REF!</v>
      </c>
      <c r="IN28" t="e">
        <f>AND(Plan!#REF!,"AAAAAG3Pzvc=")</f>
        <v>#REF!</v>
      </c>
      <c r="IO28" t="e">
        <f>AND(Plan!#REF!,"AAAAAG3Pzvg=")</f>
        <v>#REF!</v>
      </c>
      <c r="IP28" t="e">
        <f>AND(Plan!#REF!,"AAAAAG3Pzvk=")</f>
        <v>#REF!</v>
      </c>
      <c r="IQ28" t="e">
        <f>AND(Plan!#REF!,"AAAAAG3Pzvo=")</f>
        <v>#REF!</v>
      </c>
      <c r="IR28" t="e">
        <f>AND(Plan!#REF!,"AAAAAG3Pzvs=")</f>
        <v>#REF!</v>
      </c>
      <c r="IS28" t="e">
        <f>AND(Plan!#REF!,"AAAAAG3Pzvw=")</f>
        <v>#REF!</v>
      </c>
      <c r="IT28" t="e">
        <f>AND(Plan!#REF!,"AAAAAG3Pzv0=")</f>
        <v>#REF!</v>
      </c>
      <c r="IU28" t="e">
        <f>AND(Plan!#REF!,"AAAAAG3Pzv4=")</f>
        <v>#REF!</v>
      </c>
      <c r="IV28" t="e">
        <f>AND(Plan!#REF!,"AAAAAG3Pzv8=")</f>
        <v>#REF!</v>
      </c>
    </row>
    <row r="29" spans="1:256">
      <c r="A29" t="e">
        <f>AND(Plan!#REF!,"AAAAAHX6zwA=")</f>
        <v>#REF!</v>
      </c>
      <c r="B29" t="e">
        <f>AND(Plan!#REF!,"AAAAAHX6zwE=")</f>
        <v>#REF!</v>
      </c>
      <c r="C29" t="e">
        <f>AND(Plan!#REF!,"AAAAAHX6zwI=")</f>
        <v>#REF!</v>
      </c>
      <c r="D29" t="e">
        <f>AND(Plan!#REF!,"AAAAAHX6zwM=")</f>
        <v>#REF!</v>
      </c>
      <c r="E29" t="e">
        <f>AND(Plan!#REF!,"AAAAAHX6zwQ=")</f>
        <v>#REF!</v>
      </c>
      <c r="F29" t="e">
        <f>AND(Plan!#REF!,"AAAAAHX6zwU=")</f>
        <v>#REF!</v>
      </c>
      <c r="G29" t="e">
        <f>AND(Plan!#REF!,"AAAAAHX6zwY=")</f>
        <v>#REF!</v>
      </c>
      <c r="H29" t="e">
        <f>AND(Plan!#REF!,"AAAAAHX6zwc=")</f>
        <v>#REF!</v>
      </c>
      <c r="I29" t="e">
        <f>AND(Plan!#REF!,"AAAAAHX6zwg=")</f>
        <v>#REF!</v>
      </c>
      <c r="J29" t="e">
        <f>AND(Plan!#REF!,"AAAAAHX6zwk=")</f>
        <v>#REF!</v>
      </c>
      <c r="K29" t="e">
        <f>AND(Plan!#REF!,"AAAAAHX6zwo=")</f>
        <v>#REF!</v>
      </c>
      <c r="L29" t="e">
        <f>AND(Plan!#REF!,"AAAAAHX6zws=")</f>
        <v>#REF!</v>
      </c>
      <c r="M29" t="e">
        <f>AND(Plan!#REF!,"AAAAAHX6zww=")</f>
        <v>#REF!</v>
      </c>
      <c r="N29" t="e">
        <f>AND(Plan!#REF!,"AAAAAHX6zw0=")</f>
        <v>#REF!</v>
      </c>
      <c r="O29" t="e">
        <f>AND(Plan!#REF!,"AAAAAHX6zw4=")</f>
        <v>#REF!</v>
      </c>
      <c r="P29" t="e">
        <f>AND(Plan!#REF!,"AAAAAHX6zw8=")</f>
        <v>#REF!</v>
      </c>
      <c r="Q29" t="e">
        <f>AND(Plan!#REF!,"AAAAAHX6zxA=")</f>
        <v>#REF!</v>
      </c>
      <c r="R29" t="e">
        <f>AND(Plan!#REF!,"AAAAAHX6zxE=")</f>
        <v>#REF!</v>
      </c>
      <c r="S29" t="e">
        <f>AND(Plan!#REF!,"AAAAAHX6zxI=")</f>
        <v>#REF!</v>
      </c>
      <c r="T29" t="e">
        <f>AND(Plan!#REF!,"AAAAAHX6zxM=")</f>
        <v>#REF!</v>
      </c>
      <c r="U29" t="e">
        <f>AND(Plan!#REF!,"AAAAAHX6zxQ=")</f>
        <v>#REF!</v>
      </c>
      <c r="V29" t="e">
        <f>AND(Plan!#REF!,"AAAAAHX6zxU=")</f>
        <v>#REF!</v>
      </c>
      <c r="W29" t="e">
        <f>AND(Plan!#REF!,"AAAAAHX6zxY=")</f>
        <v>#REF!</v>
      </c>
      <c r="X29" t="e">
        <f>AND(Plan!#REF!,"AAAAAHX6zxc=")</f>
        <v>#REF!</v>
      </c>
      <c r="Y29" t="e">
        <f>AND(Plan!#REF!,"AAAAAHX6zxg=")</f>
        <v>#REF!</v>
      </c>
      <c r="Z29" t="e">
        <f>AND(Plan!#REF!,"AAAAAHX6zxk=")</f>
        <v>#REF!</v>
      </c>
      <c r="AA29" t="e">
        <f>AND(Plan!#REF!,"AAAAAHX6zxo=")</f>
        <v>#REF!</v>
      </c>
      <c r="AB29" t="e">
        <f>AND(Plan!#REF!,"AAAAAHX6zxs=")</f>
        <v>#REF!</v>
      </c>
      <c r="AC29" t="e">
        <f>AND(Plan!#REF!,"AAAAAHX6zxw=")</f>
        <v>#REF!</v>
      </c>
      <c r="AD29" t="e">
        <f>AND(Plan!#REF!,"AAAAAHX6zx0=")</f>
        <v>#REF!</v>
      </c>
      <c r="AE29" t="e">
        <f>AND(Plan!#REF!,"AAAAAHX6zx4=")</f>
        <v>#REF!</v>
      </c>
      <c r="AF29" t="e">
        <f>AND(Plan!#REF!,"AAAAAHX6zx8=")</f>
        <v>#REF!</v>
      </c>
      <c r="AG29" t="e">
        <f>AND(Plan!#REF!,"AAAAAHX6zyA=")</f>
        <v>#REF!</v>
      </c>
      <c r="AH29" t="e">
        <f>AND(Plan!#REF!,"AAAAAHX6zyE=")</f>
        <v>#REF!</v>
      </c>
      <c r="AI29" t="e">
        <f>AND(Plan!#REF!,"AAAAAHX6zyI=")</f>
        <v>#REF!</v>
      </c>
      <c r="AJ29" t="e">
        <f>AND(Plan!#REF!,"AAAAAHX6zyM=")</f>
        <v>#REF!</v>
      </c>
      <c r="AK29" t="e">
        <f>AND(Plan!#REF!,"AAAAAHX6zyQ=")</f>
        <v>#REF!</v>
      </c>
      <c r="AL29" t="e">
        <f>AND(Plan!#REF!,"AAAAAHX6zyU=")</f>
        <v>#REF!</v>
      </c>
      <c r="AM29">
        <f>IF(Plan!66:66,"AAAAAHX6zyY=",0)</f>
        <v>0</v>
      </c>
      <c r="AN29" t="e">
        <f>AND(Plan!A66,"AAAAAHX6zyc=")</f>
        <v>#VALUE!</v>
      </c>
      <c r="AO29" t="e">
        <f>AND(Plan!B66,"AAAAAHX6zyg=")</f>
        <v>#VALUE!</v>
      </c>
      <c r="AP29" t="e">
        <f>AND(Plan!C66,"AAAAAHX6zyk=")</f>
        <v>#VALUE!</v>
      </c>
      <c r="AQ29" t="e">
        <f>AND(Plan!D66,"AAAAAHX6zyo=")</f>
        <v>#VALUE!</v>
      </c>
      <c r="AR29" t="e">
        <f>AND(Plan!E66,"AAAAAHX6zys=")</f>
        <v>#VALUE!</v>
      </c>
      <c r="AS29" t="e">
        <f>AND(Plan!F66,"AAAAAHX6zyw=")</f>
        <v>#VALUE!</v>
      </c>
      <c r="AT29" t="e">
        <f>AND(Plan!G66,"AAAAAHX6zy0=")</f>
        <v>#VALUE!</v>
      </c>
      <c r="AU29" t="e">
        <f>AND(Plan!H66,"AAAAAHX6zy4=")</f>
        <v>#VALUE!</v>
      </c>
      <c r="AV29" t="e">
        <f>AND(Plan!I66,"AAAAAHX6zy8=")</f>
        <v>#VALUE!</v>
      </c>
      <c r="AW29" t="e">
        <f>AND(Plan!J66,"AAAAAHX6zzA=")</f>
        <v>#VALUE!</v>
      </c>
      <c r="AX29" t="e">
        <f>AND(Plan!K66,"AAAAAHX6zzE=")</f>
        <v>#VALUE!</v>
      </c>
      <c r="AY29" t="e">
        <f>AND(Plan!L66,"AAAAAHX6zzI=")</f>
        <v>#VALUE!</v>
      </c>
      <c r="AZ29" t="e">
        <f>AND(Plan!M66,"AAAAAHX6zzM=")</f>
        <v>#VALUE!</v>
      </c>
      <c r="BA29" t="e">
        <f>AND(Plan!N66,"AAAAAHX6zzQ=")</f>
        <v>#VALUE!</v>
      </c>
      <c r="BB29" t="e">
        <f>AND(Plan!O66,"AAAAAHX6zzU=")</f>
        <v>#VALUE!</v>
      </c>
      <c r="BC29" t="e">
        <f>AND(Plan!P66,"AAAAAHX6zzY=")</f>
        <v>#VALUE!</v>
      </c>
      <c r="BD29" t="e">
        <f>AND(Plan!Q66,"AAAAAHX6zzc=")</f>
        <v>#VALUE!</v>
      </c>
      <c r="BE29" t="e">
        <f>AND(Plan!R66,"AAAAAHX6zzg=")</f>
        <v>#VALUE!</v>
      </c>
      <c r="BF29" t="e">
        <f>AND(Plan!S66,"AAAAAHX6zzk=")</f>
        <v>#VALUE!</v>
      </c>
      <c r="BG29" t="e">
        <f>AND(Plan!T66,"AAAAAHX6zzo=")</f>
        <v>#VALUE!</v>
      </c>
      <c r="BH29" t="e">
        <f>AND(Plan!U66,"AAAAAHX6zzs=")</f>
        <v>#VALUE!</v>
      </c>
      <c r="BI29" t="e">
        <f>AND(Plan!V66,"AAAAAHX6zzw=")</f>
        <v>#VALUE!</v>
      </c>
      <c r="BJ29" t="e">
        <f>AND(Plan!W66,"AAAAAHX6zz0=")</f>
        <v>#VALUE!</v>
      </c>
      <c r="BK29" t="e">
        <f>AND(Plan!X66,"AAAAAHX6zz4=")</f>
        <v>#VALUE!</v>
      </c>
      <c r="BL29" t="e">
        <f>AND(Plan!Y66,"AAAAAHX6zz8=")</f>
        <v>#VALUE!</v>
      </c>
      <c r="BM29" t="e">
        <f>AND(Plan!Z66,"AAAAAHX6z0A=")</f>
        <v>#VALUE!</v>
      </c>
      <c r="BN29" t="e">
        <f>AND(Plan!AA66,"AAAAAHX6z0E=")</f>
        <v>#VALUE!</v>
      </c>
      <c r="BO29" t="e">
        <f>AND(Plan!AB66,"AAAAAHX6z0I=")</f>
        <v>#VALUE!</v>
      </c>
      <c r="BP29" t="e">
        <f>AND(Plan!AC66,"AAAAAHX6z0M=")</f>
        <v>#VALUE!</v>
      </c>
      <c r="BQ29" t="e">
        <f>AND(Plan!AD66,"AAAAAHX6z0Q=")</f>
        <v>#VALUE!</v>
      </c>
      <c r="BR29" t="e">
        <f>AND(Plan!AE66,"AAAAAHX6z0U=")</f>
        <v>#VALUE!</v>
      </c>
      <c r="BS29" t="e">
        <f>AND(Plan!AF66,"AAAAAHX6z0Y=")</f>
        <v>#VALUE!</v>
      </c>
      <c r="BT29" t="e">
        <f>AND(Plan!AG66,"AAAAAHX6z0c=")</f>
        <v>#VALUE!</v>
      </c>
      <c r="BU29" t="e">
        <f>AND(Plan!AH66,"AAAAAHX6z0g=")</f>
        <v>#VALUE!</v>
      </c>
      <c r="BV29" t="e">
        <f>AND(Plan!AI66,"AAAAAHX6z0k=")</f>
        <v>#VALUE!</v>
      </c>
      <c r="BW29" t="e">
        <f>AND(Plan!AJ66,"AAAAAHX6z0o=")</f>
        <v>#VALUE!</v>
      </c>
      <c r="BX29" t="e">
        <f>AND(Plan!AK66,"AAAAAHX6z0s=")</f>
        <v>#VALUE!</v>
      </c>
      <c r="BY29" t="e">
        <f>AND(Plan!AL66,"AAAAAHX6z0w=")</f>
        <v>#VALUE!</v>
      </c>
      <c r="BZ29" t="e">
        <f>AND(Plan!AM66,"AAAAAHX6z00=")</f>
        <v>#VALUE!</v>
      </c>
      <c r="CA29" t="e">
        <f>AND(Plan!AN66,"AAAAAHX6z04=")</f>
        <v>#VALUE!</v>
      </c>
      <c r="CB29" t="e">
        <f>AND(Plan!AO66,"AAAAAHX6z08=")</f>
        <v>#VALUE!</v>
      </c>
      <c r="CC29" t="e">
        <f>AND(Plan!AP66,"AAAAAHX6z1A=")</f>
        <v>#VALUE!</v>
      </c>
      <c r="CD29" t="e">
        <f>AND(Plan!AQ66,"AAAAAHX6z1E=")</f>
        <v>#VALUE!</v>
      </c>
      <c r="CE29" t="e">
        <f>AND(Plan!AR66,"AAAAAHX6z1I=")</f>
        <v>#VALUE!</v>
      </c>
      <c r="CF29" t="e">
        <f>AND(Plan!AS66,"AAAAAHX6z1M=")</f>
        <v>#VALUE!</v>
      </c>
      <c r="CG29" t="e">
        <f>AND(Plan!AT66,"AAAAAHX6z1Q=")</f>
        <v>#VALUE!</v>
      </c>
      <c r="CH29" t="e">
        <f>AND(Plan!AU66,"AAAAAHX6z1U=")</f>
        <v>#VALUE!</v>
      </c>
      <c r="CI29" t="e">
        <f>AND(Plan!AV66,"AAAAAHX6z1Y=")</f>
        <v>#VALUE!</v>
      </c>
      <c r="CJ29" t="e">
        <f>AND(Plan!AW66,"AAAAAHX6z1c=")</f>
        <v>#VALUE!</v>
      </c>
      <c r="CK29" t="e">
        <f>AND(Plan!AX66,"AAAAAHX6z1g=")</f>
        <v>#VALUE!</v>
      </c>
      <c r="CL29" t="e">
        <f>AND(Plan!AY66,"AAAAAHX6z1k=")</f>
        <v>#VALUE!</v>
      </c>
      <c r="CM29" t="e">
        <f>AND(Plan!AZ66,"AAAAAHX6z1o=")</f>
        <v>#VALUE!</v>
      </c>
      <c r="CN29" t="e">
        <f>AND(Plan!BA66,"AAAAAHX6z1s=")</f>
        <v>#VALUE!</v>
      </c>
      <c r="CO29" t="e">
        <f>AND(Plan!BB66,"AAAAAHX6z1w=")</f>
        <v>#VALUE!</v>
      </c>
      <c r="CP29" t="e">
        <f>AND(Plan!BC66,"AAAAAHX6z10=")</f>
        <v>#VALUE!</v>
      </c>
      <c r="CQ29" t="e">
        <f>AND(Plan!BD66,"AAAAAHX6z14=")</f>
        <v>#VALUE!</v>
      </c>
      <c r="CR29" t="e">
        <f>AND(Plan!BE66,"AAAAAHX6z18=")</f>
        <v>#VALUE!</v>
      </c>
      <c r="CS29" t="e">
        <f>AND(Plan!BF66,"AAAAAHX6z2A=")</f>
        <v>#VALUE!</v>
      </c>
      <c r="CT29" t="e">
        <f>AND(Plan!BG66,"AAAAAHX6z2E=")</f>
        <v>#VALUE!</v>
      </c>
      <c r="CU29" t="e">
        <f>AND(Plan!BH66,"AAAAAHX6z2I=")</f>
        <v>#VALUE!</v>
      </c>
      <c r="CV29" t="e">
        <f>AND(Plan!BI66,"AAAAAHX6z2M=")</f>
        <v>#VALUE!</v>
      </c>
      <c r="CW29" t="e">
        <f>AND(Plan!BJ66,"AAAAAHX6z2Q=")</f>
        <v>#VALUE!</v>
      </c>
      <c r="CX29" t="e">
        <f>AND(Plan!BK66,"AAAAAHX6z2U=")</f>
        <v>#VALUE!</v>
      </c>
      <c r="CY29" t="e">
        <f>AND(Plan!BL66,"AAAAAHX6z2Y=")</f>
        <v>#VALUE!</v>
      </c>
      <c r="CZ29" t="e">
        <f>AND(Plan!BM66,"AAAAAHX6z2c=")</f>
        <v>#VALUE!</v>
      </c>
      <c r="DA29" t="e">
        <f>AND(Plan!BN66,"AAAAAHX6z2g=")</f>
        <v>#VALUE!</v>
      </c>
      <c r="DB29" t="e">
        <f>AND(Plan!BO66,"AAAAAHX6z2k=")</f>
        <v>#VALUE!</v>
      </c>
      <c r="DC29" t="e">
        <f>AND(Plan!BP66,"AAAAAHX6z2o=")</f>
        <v>#VALUE!</v>
      </c>
      <c r="DD29" t="e">
        <f>AND(Plan!BQ66,"AAAAAHX6z2s=")</f>
        <v>#VALUE!</v>
      </c>
      <c r="DE29" t="e">
        <f>AND(Plan!BR66,"AAAAAHX6z2w=")</f>
        <v>#VALUE!</v>
      </c>
      <c r="DF29" t="e">
        <f>AND(Plan!BS66,"AAAAAHX6z20=")</f>
        <v>#VALUE!</v>
      </c>
      <c r="DG29" t="e">
        <f>AND(Plan!BT66,"AAAAAHX6z24=")</f>
        <v>#VALUE!</v>
      </c>
      <c r="DH29" t="e">
        <f>AND(Plan!BU66,"AAAAAHX6z28=")</f>
        <v>#VALUE!</v>
      </c>
      <c r="DI29" t="e">
        <f>AND(Plan!BV66,"AAAAAHX6z3A=")</f>
        <v>#VALUE!</v>
      </c>
      <c r="DJ29" t="e">
        <f>AND(Plan!BW66,"AAAAAHX6z3E=")</f>
        <v>#VALUE!</v>
      </c>
      <c r="DK29" t="e">
        <f>AND(Plan!BX66,"AAAAAHX6z3I=")</f>
        <v>#VALUE!</v>
      </c>
      <c r="DL29" t="e">
        <f>AND(Plan!BY66,"AAAAAHX6z3M=")</f>
        <v>#VALUE!</v>
      </c>
      <c r="DM29" t="e">
        <f>AND(Plan!BZ66,"AAAAAHX6z3Q=")</f>
        <v>#VALUE!</v>
      </c>
      <c r="DN29" t="e">
        <f>AND(Plan!CA66,"AAAAAHX6z3U=")</f>
        <v>#VALUE!</v>
      </c>
      <c r="DO29" t="e">
        <f>AND(Plan!CB66,"AAAAAHX6z3Y=")</f>
        <v>#VALUE!</v>
      </c>
      <c r="DP29" t="e">
        <f>AND(Plan!CC66,"AAAAAHX6z3c=")</f>
        <v>#VALUE!</v>
      </c>
      <c r="DQ29" t="e">
        <f>AND(Plan!CD66,"AAAAAHX6z3g=")</f>
        <v>#VALUE!</v>
      </c>
      <c r="DR29" t="e">
        <f>AND(Plan!CE66,"AAAAAHX6z3k=")</f>
        <v>#VALUE!</v>
      </c>
      <c r="DS29" t="e">
        <f>AND(Plan!CF66,"AAAAAHX6z3o=")</f>
        <v>#VALUE!</v>
      </c>
      <c r="DT29" t="e">
        <f>AND(Plan!CG66,"AAAAAHX6z3s=")</f>
        <v>#VALUE!</v>
      </c>
      <c r="DU29" t="e">
        <f>AND(Plan!CH66,"AAAAAHX6z3w=")</f>
        <v>#VALUE!</v>
      </c>
      <c r="DV29" t="e">
        <f>AND(Plan!CI66,"AAAAAHX6z30=")</f>
        <v>#VALUE!</v>
      </c>
      <c r="DW29" t="e">
        <f>AND(Plan!CJ66,"AAAAAHX6z34=")</f>
        <v>#VALUE!</v>
      </c>
      <c r="DX29" t="e">
        <f>AND(Plan!CK66,"AAAAAHX6z38=")</f>
        <v>#VALUE!</v>
      </c>
      <c r="DY29" t="e">
        <f>AND(Plan!CL66,"AAAAAHX6z4A=")</f>
        <v>#VALUE!</v>
      </c>
      <c r="DZ29" t="e">
        <f>AND(Plan!CM66,"AAAAAHX6z4E=")</f>
        <v>#VALUE!</v>
      </c>
      <c r="EA29" t="e">
        <f>AND(Plan!CN66,"AAAAAHX6z4I=")</f>
        <v>#VALUE!</v>
      </c>
      <c r="EB29" t="e">
        <f>AND(Plan!CO66,"AAAAAHX6z4M=")</f>
        <v>#VALUE!</v>
      </c>
      <c r="EC29" t="e">
        <f>AND(Plan!CP66,"AAAAAHX6z4Q=")</f>
        <v>#VALUE!</v>
      </c>
      <c r="ED29" t="e">
        <f>AND(Plan!CQ66,"AAAAAHX6z4U=")</f>
        <v>#VALUE!</v>
      </c>
      <c r="EE29" t="e">
        <f>AND(Plan!CR66,"AAAAAHX6z4Y=")</f>
        <v>#VALUE!</v>
      </c>
      <c r="EF29" t="e">
        <f>AND(Plan!CS66,"AAAAAHX6z4c=")</f>
        <v>#VALUE!</v>
      </c>
      <c r="EG29" t="e">
        <f>AND(Plan!CT66,"AAAAAHX6z4g=")</f>
        <v>#VALUE!</v>
      </c>
      <c r="EH29" t="e">
        <f>AND(Plan!CU66,"AAAAAHX6z4k=")</f>
        <v>#VALUE!</v>
      </c>
      <c r="EI29" t="e">
        <f>AND(Plan!CV66,"AAAAAHX6z4o=")</f>
        <v>#VALUE!</v>
      </c>
      <c r="EJ29" t="e">
        <f>AND(Plan!CW66,"AAAAAHX6z4s=")</f>
        <v>#VALUE!</v>
      </c>
      <c r="EK29">
        <f>IF(Plan!67:67,"AAAAAHX6z4w=",0)</f>
        <v>0</v>
      </c>
      <c r="EL29" t="e">
        <f>AND(Plan!A67,"AAAAAHX6z40=")</f>
        <v>#VALUE!</v>
      </c>
      <c r="EM29" t="e">
        <f>AND(Plan!B67,"AAAAAHX6z44=")</f>
        <v>#VALUE!</v>
      </c>
      <c r="EN29" t="e">
        <f>AND(Plan!C67,"AAAAAHX6z48=")</f>
        <v>#VALUE!</v>
      </c>
      <c r="EO29" t="e">
        <f>AND(Plan!D67,"AAAAAHX6z5A=")</f>
        <v>#VALUE!</v>
      </c>
      <c r="EP29" t="e">
        <f>AND(Plan!E67,"AAAAAHX6z5E=")</f>
        <v>#VALUE!</v>
      </c>
      <c r="EQ29" t="e">
        <f>AND(Plan!F67,"AAAAAHX6z5I=")</f>
        <v>#VALUE!</v>
      </c>
      <c r="ER29" t="e">
        <f>AND(Plan!G67,"AAAAAHX6z5M=")</f>
        <v>#VALUE!</v>
      </c>
      <c r="ES29" t="e">
        <f>AND(Plan!H67,"AAAAAHX6z5Q=")</f>
        <v>#VALUE!</v>
      </c>
      <c r="ET29" t="e">
        <f>AND(Plan!I67,"AAAAAHX6z5U=")</f>
        <v>#VALUE!</v>
      </c>
      <c r="EU29" t="e">
        <f>AND(Plan!J67,"AAAAAHX6z5Y=")</f>
        <v>#VALUE!</v>
      </c>
      <c r="EV29" t="e">
        <f>AND(Plan!K67,"AAAAAHX6z5c=")</f>
        <v>#VALUE!</v>
      </c>
      <c r="EW29" t="e">
        <f>AND(Plan!L67,"AAAAAHX6z5g=")</f>
        <v>#VALUE!</v>
      </c>
      <c r="EX29" t="e">
        <f>AND(Plan!M67,"AAAAAHX6z5k=")</f>
        <v>#VALUE!</v>
      </c>
      <c r="EY29" t="e">
        <f>AND(Plan!N67,"AAAAAHX6z5o=")</f>
        <v>#VALUE!</v>
      </c>
      <c r="EZ29" t="e">
        <f>AND(Plan!O67,"AAAAAHX6z5s=")</f>
        <v>#VALUE!</v>
      </c>
      <c r="FA29" t="e">
        <f>AND(Plan!P67,"AAAAAHX6z5w=")</f>
        <v>#VALUE!</v>
      </c>
      <c r="FB29" t="e">
        <f>AND(Plan!Q67,"AAAAAHX6z50=")</f>
        <v>#VALUE!</v>
      </c>
      <c r="FC29" t="e">
        <f>AND(Plan!R67,"AAAAAHX6z54=")</f>
        <v>#VALUE!</v>
      </c>
      <c r="FD29" t="e">
        <f>AND(Plan!S67,"AAAAAHX6z58=")</f>
        <v>#VALUE!</v>
      </c>
      <c r="FE29" t="e">
        <f>AND(Plan!T67,"AAAAAHX6z6A=")</f>
        <v>#VALUE!</v>
      </c>
      <c r="FF29" t="e">
        <f>AND(Plan!U67,"AAAAAHX6z6E=")</f>
        <v>#VALUE!</v>
      </c>
      <c r="FG29" t="e">
        <f>AND(Plan!V67,"AAAAAHX6z6I=")</f>
        <v>#VALUE!</v>
      </c>
      <c r="FH29" t="e">
        <f>AND(Plan!W67,"AAAAAHX6z6M=")</f>
        <v>#VALUE!</v>
      </c>
      <c r="FI29" t="e">
        <f>AND(Plan!X67,"AAAAAHX6z6Q=")</f>
        <v>#VALUE!</v>
      </c>
      <c r="FJ29" t="e">
        <f>AND(Plan!Y67,"AAAAAHX6z6U=")</f>
        <v>#VALUE!</v>
      </c>
      <c r="FK29" t="e">
        <f>AND(Plan!Z67,"AAAAAHX6z6Y=")</f>
        <v>#VALUE!</v>
      </c>
      <c r="FL29" t="e">
        <f>AND(Plan!AA67,"AAAAAHX6z6c=")</f>
        <v>#VALUE!</v>
      </c>
      <c r="FM29" t="e">
        <f>AND(Plan!AB67,"AAAAAHX6z6g=")</f>
        <v>#VALUE!</v>
      </c>
      <c r="FN29" t="e">
        <f>AND(Plan!AC67,"AAAAAHX6z6k=")</f>
        <v>#VALUE!</v>
      </c>
      <c r="FO29" t="e">
        <f>AND(Plan!AD67,"AAAAAHX6z6o=")</f>
        <v>#VALUE!</v>
      </c>
      <c r="FP29" t="e">
        <f>AND(Plan!AE67,"AAAAAHX6z6s=")</f>
        <v>#VALUE!</v>
      </c>
      <c r="FQ29" t="e">
        <f>AND(Plan!AF67,"AAAAAHX6z6w=")</f>
        <v>#VALUE!</v>
      </c>
      <c r="FR29" t="e">
        <f>AND(Plan!AG67,"AAAAAHX6z60=")</f>
        <v>#VALUE!</v>
      </c>
      <c r="FS29" t="e">
        <f>AND(Plan!AH67,"AAAAAHX6z64=")</f>
        <v>#VALUE!</v>
      </c>
      <c r="FT29" t="e">
        <f>AND(Plan!AI67,"AAAAAHX6z68=")</f>
        <v>#VALUE!</v>
      </c>
      <c r="FU29" t="e">
        <f>AND(Plan!AJ67,"AAAAAHX6z7A=")</f>
        <v>#VALUE!</v>
      </c>
      <c r="FV29" t="e">
        <f>AND(Plan!AK67,"AAAAAHX6z7E=")</f>
        <v>#VALUE!</v>
      </c>
      <c r="FW29" t="e">
        <f>AND(Plan!AL67,"AAAAAHX6z7I=")</f>
        <v>#VALUE!</v>
      </c>
      <c r="FX29" t="e">
        <f>AND(Plan!AM67,"AAAAAHX6z7M=")</f>
        <v>#VALUE!</v>
      </c>
      <c r="FY29" t="e">
        <f>AND(Plan!AN67,"AAAAAHX6z7Q=")</f>
        <v>#VALUE!</v>
      </c>
      <c r="FZ29" t="e">
        <f>AND(Plan!AO67,"AAAAAHX6z7U=")</f>
        <v>#VALUE!</v>
      </c>
      <c r="GA29" t="e">
        <f>AND(Plan!AP67,"AAAAAHX6z7Y=")</f>
        <v>#VALUE!</v>
      </c>
      <c r="GB29" t="e">
        <f>AND(Plan!AQ67,"AAAAAHX6z7c=")</f>
        <v>#VALUE!</v>
      </c>
      <c r="GC29" t="e">
        <f>AND(Plan!AR67,"AAAAAHX6z7g=")</f>
        <v>#VALUE!</v>
      </c>
      <c r="GD29" t="e">
        <f>AND(Plan!AS67,"AAAAAHX6z7k=")</f>
        <v>#VALUE!</v>
      </c>
      <c r="GE29" t="e">
        <f>AND(Plan!AT67,"AAAAAHX6z7o=")</f>
        <v>#VALUE!</v>
      </c>
      <c r="GF29" t="e">
        <f>AND(Plan!AU67,"AAAAAHX6z7s=")</f>
        <v>#VALUE!</v>
      </c>
      <c r="GG29" t="e">
        <f>AND(Plan!AV67,"AAAAAHX6z7w=")</f>
        <v>#VALUE!</v>
      </c>
      <c r="GH29" t="e">
        <f>AND(Plan!AW67,"AAAAAHX6z70=")</f>
        <v>#VALUE!</v>
      </c>
      <c r="GI29" t="e">
        <f>AND(Plan!AX67,"AAAAAHX6z74=")</f>
        <v>#VALUE!</v>
      </c>
      <c r="GJ29" t="e">
        <f>AND(Plan!AY67,"AAAAAHX6z78=")</f>
        <v>#VALUE!</v>
      </c>
      <c r="GK29" t="e">
        <f>AND(Plan!AZ67,"AAAAAHX6z8A=")</f>
        <v>#VALUE!</v>
      </c>
      <c r="GL29" t="e">
        <f>AND(Plan!BA67,"AAAAAHX6z8E=")</f>
        <v>#VALUE!</v>
      </c>
      <c r="GM29" t="e">
        <f>AND(Plan!BB67,"AAAAAHX6z8I=")</f>
        <v>#VALUE!</v>
      </c>
      <c r="GN29" t="e">
        <f>AND(Plan!BC67,"AAAAAHX6z8M=")</f>
        <v>#VALUE!</v>
      </c>
      <c r="GO29" t="e">
        <f>AND(Plan!BD67,"AAAAAHX6z8Q=")</f>
        <v>#VALUE!</v>
      </c>
      <c r="GP29" t="e">
        <f>AND(Plan!BE67,"AAAAAHX6z8U=")</f>
        <v>#VALUE!</v>
      </c>
      <c r="GQ29" t="e">
        <f>AND(Plan!BF67,"AAAAAHX6z8Y=")</f>
        <v>#VALUE!</v>
      </c>
      <c r="GR29" t="e">
        <f>AND(Plan!BG67,"AAAAAHX6z8c=")</f>
        <v>#VALUE!</v>
      </c>
      <c r="GS29" t="e">
        <f>AND(Plan!BH67,"AAAAAHX6z8g=")</f>
        <v>#VALUE!</v>
      </c>
      <c r="GT29" t="e">
        <f>AND(Plan!BI67,"AAAAAHX6z8k=")</f>
        <v>#VALUE!</v>
      </c>
      <c r="GU29" t="e">
        <f>AND(Plan!BJ67,"AAAAAHX6z8o=")</f>
        <v>#VALUE!</v>
      </c>
      <c r="GV29" t="e">
        <f>AND(Plan!BK67,"AAAAAHX6z8s=")</f>
        <v>#VALUE!</v>
      </c>
      <c r="GW29" t="e">
        <f>AND(Plan!BL67,"AAAAAHX6z8w=")</f>
        <v>#VALUE!</v>
      </c>
      <c r="GX29" t="e">
        <f>AND(Plan!BM67,"AAAAAHX6z80=")</f>
        <v>#VALUE!</v>
      </c>
      <c r="GY29" t="e">
        <f>AND(Plan!BN67,"AAAAAHX6z84=")</f>
        <v>#VALUE!</v>
      </c>
      <c r="GZ29" t="e">
        <f>AND(Plan!BO67,"AAAAAHX6z88=")</f>
        <v>#VALUE!</v>
      </c>
      <c r="HA29" t="e">
        <f>AND(Plan!BP67,"AAAAAHX6z9A=")</f>
        <v>#VALUE!</v>
      </c>
      <c r="HB29" t="e">
        <f>AND(Plan!BQ67,"AAAAAHX6z9E=")</f>
        <v>#VALUE!</v>
      </c>
      <c r="HC29" t="e">
        <f>AND(Plan!BR67,"AAAAAHX6z9I=")</f>
        <v>#VALUE!</v>
      </c>
      <c r="HD29" t="e">
        <f>AND(Plan!BS67,"AAAAAHX6z9M=")</f>
        <v>#VALUE!</v>
      </c>
      <c r="HE29" t="e">
        <f>AND(Plan!BT67,"AAAAAHX6z9Q=")</f>
        <v>#VALUE!</v>
      </c>
      <c r="HF29" t="e">
        <f>AND(Plan!BU67,"AAAAAHX6z9U=")</f>
        <v>#VALUE!</v>
      </c>
      <c r="HG29" t="e">
        <f>AND(Plan!BV67,"AAAAAHX6z9Y=")</f>
        <v>#VALUE!</v>
      </c>
      <c r="HH29" t="e">
        <f>AND(Plan!BW67,"AAAAAHX6z9c=")</f>
        <v>#VALUE!</v>
      </c>
      <c r="HI29" t="e">
        <f>AND(Plan!BX67,"AAAAAHX6z9g=")</f>
        <v>#VALUE!</v>
      </c>
      <c r="HJ29" t="e">
        <f>AND(Plan!BY67,"AAAAAHX6z9k=")</f>
        <v>#VALUE!</v>
      </c>
      <c r="HK29" t="e">
        <f>AND(Plan!BZ67,"AAAAAHX6z9o=")</f>
        <v>#VALUE!</v>
      </c>
      <c r="HL29" t="e">
        <f>AND(Plan!CA67,"AAAAAHX6z9s=")</f>
        <v>#VALUE!</v>
      </c>
      <c r="HM29" t="e">
        <f>AND(Plan!CB67,"AAAAAHX6z9w=")</f>
        <v>#VALUE!</v>
      </c>
      <c r="HN29" t="e">
        <f>AND(Plan!CC67,"AAAAAHX6z90=")</f>
        <v>#VALUE!</v>
      </c>
      <c r="HO29" t="e">
        <f>AND(Plan!CD67,"AAAAAHX6z94=")</f>
        <v>#VALUE!</v>
      </c>
      <c r="HP29" t="e">
        <f>AND(Plan!CE67,"AAAAAHX6z98=")</f>
        <v>#VALUE!</v>
      </c>
      <c r="HQ29" t="e">
        <f>AND(Plan!CF67,"AAAAAHX6z+A=")</f>
        <v>#VALUE!</v>
      </c>
      <c r="HR29" t="e">
        <f>AND(Plan!CG67,"AAAAAHX6z+E=")</f>
        <v>#VALUE!</v>
      </c>
      <c r="HS29" t="e">
        <f>AND(Plan!CH67,"AAAAAHX6z+I=")</f>
        <v>#VALUE!</v>
      </c>
      <c r="HT29" t="e">
        <f>AND(Plan!CI67,"AAAAAHX6z+M=")</f>
        <v>#VALUE!</v>
      </c>
      <c r="HU29" t="e">
        <f>AND(Plan!CJ67,"AAAAAHX6z+Q=")</f>
        <v>#VALUE!</v>
      </c>
      <c r="HV29" t="e">
        <f>AND(Plan!CK67,"AAAAAHX6z+U=")</f>
        <v>#VALUE!</v>
      </c>
      <c r="HW29" t="e">
        <f>AND(Plan!CL67,"AAAAAHX6z+Y=")</f>
        <v>#VALUE!</v>
      </c>
      <c r="HX29" t="e">
        <f>AND(Plan!CM67,"AAAAAHX6z+c=")</f>
        <v>#VALUE!</v>
      </c>
      <c r="HY29" t="e">
        <f>AND(Plan!CN67,"AAAAAHX6z+g=")</f>
        <v>#VALUE!</v>
      </c>
      <c r="HZ29" t="e">
        <f>AND(Plan!CO67,"AAAAAHX6z+k=")</f>
        <v>#VALUE!</v>
      </c>
      <c r="IA29" t="e">
        <f>AND(Plan!CP67,"AAAAAHX6z+o=")</f>
        <v>#VALUE!</v>
      </c>
      <c r="IB29" t="e">
        <f>AND(Plan!CQ67,"AAAAAHX6z+s=")</f>
        <v>#VALUE!</v>
      </c>
      <c r="IC29" t="e">
        <f>AND(Plan!CR67,"AAAAAHX6z+w=")</f>
        <v>#VALUE!</v>
      </c>
      <c r="ID29" t="e">
        <f>AND(Plan!CS67,"AAAAAHX6z+0=")</f>
        <v>#VALUE!</v>
      </c>
      <c r="IE29" t="e">
        <f>AND(Plan!CT67,"AAAAAHX6z+4=")</f>
        <v>#VALUE!</v>
      </c>
      <c r="IF29" t="e">
        <f>AND(Plan!CU67,"AAAAAHX6z+8=")</f>
        <v>#VALUE!</v>
      </c>
      <c r="IG29" t="e">
        <f>AND(Plan!CV67,"AAAAAHX6z/A=")</f>
        <v>#VALUE!</v>
      </c>
      <c r="IH29" t="e">
        <f>AND(Plan!CW67,"AAAAAHX6z/E=")</f>
        <v>#VALUE!</v>
      </c>
      <c r="II29">
        <f>IF(Plan!68:68,"AAAAAHX6z/I=",0)</f>
        <v>0</v>
      </c>
      <c r="IJ29" t="e">
        <f>AND(Plan!A68,"AAAAAHX6z/M=")</f>
        <v>#VALUE!</v>
      </c>
      <c r="IK29" t="e">
        <f>AND(Plan!B68,"AAAAAHX6z/Q=")</f>
        <v>#VALUE!</v>
      </c>
      <c r="IL29" t="e">
        <f>AND(Plan!C68,"AAAAAHX6z/U=")</f>
        <v>#VALUE!</v>
      </c>
      <c r="IM29" t="e">
        <f>AND(Plan!D68,"AAAAAHX6z/Y=")</f>
        <v>#VALUE!</v>
      </c>
      <c r="IN29" t="e">
        <f>AND(Plan!E68,"AAAAAHX6z/c=")</f>
        <v>#VALUE!</v>
      </c>
      <c r="IO29" t="e">
        <f>AND(Plan!F68,"AAAAAHX6z/g=")</f>
        <v>#VALUE!</v>
      </c>
      <c r="IP29" t="e">
        <f>AND(Plan!G68,"AAAAAHX6z/k=")</f>
        <v>#VALUE!</v>
      </c>
      <c r="IQ29" t="e">
        <f>AND(Plan!H68,"AAAAAHX6z/o=")</f>
        <v>#VALUE!</v>
      </c>
      <c r="IR29" t="e">
        <f>AND(Plan!I68,"AAAAAHX6z/s=")</f>
        <v>#VALUE!</v>
      </c>
      <c r="IS29" t="e">
        <f>AND(Plan!J68,"AAAAAHX6z/w=")</f>
        <v>#VALUE!</v>
      </c>
      <c r="IT29" t="e">
        <f>AND(Plan!K68,"AAAAAHX6z/0=")</f>
        <v>#VALUE!</v>
      </c>
      <c r="IU29" t="e">
        <f>AND(Plan!L68,"AAAAAHX6z/4=")</f>
        <v>#VALUE!</v>
      </c>
      <c r="IV29" t="e">
        <f>AND(Plan!M68,"AAAAAHX6z/8=")</f>
        <v>#VALUE!</v>
      </c>
    </row>
    <row r="30" spans="1:256">
      <c r="A30" t="e">
        <f>AND(Plan!N68,"AAAAAH+//wA=")</f>
        <v>#VALUE!</v>
      </c>
      <c r="B30" t="e">
        <f>AND(Plan!O68,"AAAAAH+//wE=")</f>
        <v>#VALUE!</v>
      </c>
      <c r="C30" t="e">
        <f>AND(Plan!P68,"AAAAAH+//wI=")</f>
        <v>#VALUE!</v>
      </c>
      <c r="D30" t="e">
        <f>AND(Plan!Q68,"AAAAAH+//wM=")</f>
        <v>#VALUE!</v>
      </c>
      <c r="E30" t="e">
        <f>AND(Plan!R68,"AAAAAH+//wQ=")</f>
        <v>#VALUE!</v>
      </c>
      <c r="F30" t="e">
        <f>AND(Plan!S68,"AAAAAH+//wU=")</f>
        <v>#VALUE!</v>
      </c>
      <c r="G30" t="e">
        <f>AND(Plan!T68,"AAAAAH+//wY=")</f>
        <v>#VALUE!</v>
      </c>
      <c r="H30" t="e">
        <f>AND(Plan!U68,"AAAAAH+//wc=")</f>
        <v>#VALUE!</v>
      </c>
      <c r="I30" t="e">
        <f>AND(Plan!V68,"AAAAAH+//wg=")</f>
        <v>#VALUE!</v>
      </c>
      <c r="J30" t="e">
        <f>AND(Plan!W68,"AAAAAH+//wk=")</f>
        <v>#VALUE!</v>
      </c>
      <c r="K30" t="e">
        <f>AND(Plan!X68,"AAAAAH+//wo=")</f>
        <v>#VALUE!</v>
      </c>
      <c r="L30" t="e">
        <f>AND(Plan!Y68,"AAAAAH+//ws=")</f>
        <v>#VALUE!</v>
      </c>
      <c r="M30" t="e">
        <f>AND(Plan!Z68,"AAAAAH+//ww=")</f>
        <v>#VALUE!</v>
      </c>
      <c r="N30" t="e">
        <f>AND(Plan!AA68,"AAAAAH+//w0=")</f>
        <v>#VALUE!</v>
      </c>
      <c r="O30" t="e">
        <f>AND(Plan!AB68,"AAAAAH+//w4=")</f>
        <v>#VALUE!</v>
      </c>
      <c r="P30" t="e">
        <f>AND(Plan!AC68,"AAAAAH+//w8=")</f>
        <v>#VALUE!</v>
      </c>
      <c r="Q30" t="e">
        <f>AND(Plan!AD68,"AAAAAH+//xA=")</f>
        <v>#VALUE!</v>
      </c>
      <c r="R30" t="e">
        <f>AND(Plan!AE68,"AAAAAH+//xE=")</f>
        <v>#VALUE!</v>
      </c>
      <c r="S30" t="e">
        <f>AND(Plan!AF68,"AAAAAH+//xI=")</f>
        <v>#VALUE!</v>
      </c>
      <c r="T30" t="e">
        <f>AND(Plan!AG68,"AAAAAH+//xM=")</f>
        <v>#VALUE!</v>
      </c>
      <c r="U30" t="e">
        <f>AND(Plan!AH68,"AAAAAH+//xQ=")</f>
        <v>#VALUE!</v>
      </c>
      <c r="V30" t="e">
        <f>AND(Plan!AI68,"AAAAAH+//xU=")</f>
        <v>#VALUE!</v>
      </c>
      <c r="W30" t="e">
        <f>AND(Plan!AJ68,"AAAAAH+//xY=")</f>
        <v>#VALUE!</v>
      </c>
      <c r="X30" t="e">
        <f>AND(Plan!AK68,"AAAAAH+//xc=")</f>
        <v>#VALUE!</v>
      </c>
      <c r="Y30" t="e">
        <f>AND(Plan!AL68,"AAAAAH+//xg=")</f>
        <v>#VALUE!</v>
      </c>
      <c r="Z30" t="e">
        <f>AND(Plan!AM68,"AAAAAH+//xk=")</f>
        <v>#VALUE!</v>
      </c>
      <c r="AA30" t="e">
        <f>AND(Plan!AN68,"AAAAAH+//xo=")</f>
        <v>#VALUE!</v>
      </c>
      <c r="AB30" t="e">
        <f>AND(Plan!AO68,"AAAAAH+//xs=")</f>
        <v>#VALUE!</v>
      </c>
      <c r="AC30" t="e">
        <f>AND(Plan!AP68,"AAAAAH+//xw=")</f>
        <v>#VALUE!</v>
      </c>
      <c r="AD30" t="e">
        <f>AND(Plan!AQ68,"AAAAAH+//x0=")</f>
        <v>#VALUE!</v>
      </c>
      <c r="AE30" t="e">
        <f>AND(Plan!AR68,"AAAAAH+//x4=")</f>
        <v>#VALUE!</v>
      </c>
      <c r="AF30" t="e">
        <f>AND(Plan!AS68,"AAAAAH+//x8=")</f>
        <v>#VALUE!</v>
      </c>
      <c r="AG30" t="e">
        <f>AND(Plan!AT68,"AAAAAH+//yA=")</f>
        <v>#VALUE!</v>
      </c>
      <c r="AH30" t="e">
        <f>AND(Plan!AU68,"AAAAAH+//yE=")</f>
        <v>#VALUE!</v>
      </c>
      <c r="AI30" t="e">
        <f>AND(Plan!AV68,"AAAAAH+//yI=")</f>
        <v>#VALUE!</v>
      </c>
      <c r="AJ30" t="e">
        <f>AND(Plan!AW68,"AAAAAH+//yM=")</f>
        <v>#VALUE!</v>
      </c>
      <c r="AK30" t="e">
        <f>AND(Plan!AX68,"AAAAAH+//yQ=")</f>
        <v>#VALUE!</v>
      </c>
      <c r="AL30" t="e">
        <f>AND(Plan!AY68,"AAAAAH+//yU=")</f>
        <v>#VALUE!</v>
      </c>
      <c r="AM30" t="e">
        <f>AND(Plan!AZ68,"AAAAAH+//yY=")</f>
        <v>#VALUE!</v>
      </c>
      <c r="AN30" t="e">
        <f>AND(Plan!BA68,"AAAAAH+//yc=")</f>
        <v>#VALUE!</v>
      </c>
      <c r="AO30" t="e">
        <f>AND(Plan!BB68,"AAAAAH+//yg=")</f>
        <v>#VALUE!</v>
      </c>
      <c r="AP30" t="e">
        <f>AND(Plan!BC68,"AAAAAH+//yk=")</f>
        <v>#VALUE!</v>
      </c>
      <c r="AQ30" t="e">
        <f>AND(Plan!BD68,"AAAAAH+//yo=")</f>
        <v>#VALUE!</v>
      </c>
      <c r="AR30" t="e">
        <f>AND(Plan!BE68,"AAAAAH+//ys=")</f>
        <v>#VALUE!</v>
      </c>
      <c r="AS30" t="e">
        <f>AND(Plan!BF68,"AAAAAH+//yw=")</f>
        <v>#VALUE!</v>
      </c>
      <c r="AT30" t="e">
        <f>AND(Plan!BG68,"AAAAAH+//y0=")</f>
        <v>#VALUE!</v>
      </c>
      <c r="AU30" t="e">
        <f>AND(Plan!BH68,"AAAAAH+//y4=")</f>
        <v>#VALUE!</v>
      </c>
      <c r="AV30" t="e">
        <f>AND(Plan!BI68,"AAAAAH+//y8=")</f>
        <v>#VALUE!</v>
      </c>
      <c r="AW30" t="e">
        <f>AND(Plan!BJ68,"AAAAAH+//zA=")</f>
        <v>#VALUE!</v>
      </c>
      <c r="AX30" t="e">
        <f>AND(Plan!BK68,"AAAAAH+//zE=")</f>
        <v>#VALUE!</v>
      </c>
      <c r="AY30" t="e">
        <f>AND(Plan!BL68,"AAAAAH+//zI=")</f>
        <v>#VALUE!</v>
      </c>
      <c r="AZ30" t="e">
        <f>AND(Plan!BM68,"AAAAAH+//zM=")</f>
        <v>#VALUE!</v>
      </c>
      <c r="BA30" t="e">
        <f>AND(Plan!BN68,"AAAAAH+//zQ=")</f>
        <v>#VALUE!</v>
      </c>
      <c r="BB30" t="e">
        <f>AND(Plan!BO68,"AAAAAH+//zU=")</f>
        <v>#VALUE!</v>
      </c>
      <c r="BC30" t="e">
        <f>AND(Plan!BP68,"AAAAAH+//zY=")</f>
        <v>#VALUE!</v>
      </c>
      <c r="BD30" t="e">
        <f>AND(Plan!BQ68,"AAAAAH+//zc=")</f>
        <v>#VALUE!</v>
      </c>
      <c r="BE30" t="e">
        <f>AND(Plan!BR68,"AAAAAH+//zg=")</f>
        <v>#VALUE!</v>
      </c>
      <c r="BF30" t="e">
        <f>AND(Plan!BS68,"AAAAAH+//zk=")</f>
        <v>#VALUE!</v>
      </c>
      <c r="BG30" t="e">
        <f>AND(Plan!BT68,"AAAAAH+//zo=")</f>
        <v>#VALUE!</v>
      </c>
      <c r="BH30" t="e">
        <f>AND(Plan!BU68,"AAAAAH+//zs=")</f>
        <v>#VALUE!</v>
      </c>
      <c r="BI30" t="e">
        <f>AND(Plan!BV68,"AAAAAH+//zw=")</f>
        <v>#VALUE!</v>
      </c>
      <c r="BJ30" t="e">
        <f>AND(Plan!BW68,"AAAAAH+//z0=")</f>
        <v>#VALUE!</v>
      </c>
      <c r="BK30" t="e">
        <f>AND(Plan!BX68,"AAAAAH+//z4=")</f>
        <v>#VALUE!</v>
      </c>
      <c r="BL30" t="e">
        <f>AND(Plan!BY68,"AAAAAH+//z8=")</f>
        <v>#VALUE!</v>
      </c>
      <c r="BM30" t="e">
        <f>AND(Plan!BZ68,"AAAAAH+//0A=")</f>
        <v>#VALUE!</v>
      </c>
      <c r="BN30" t="e">
        <f>AND(Plan!CA68,"AAAAAH+//0E=")</f>
        <v>#VALUE!</v>
      </c>
      <c r="BO30" t="e">
        <f>AND(Plan!CB68,"AAAAAH+//0I=")</f>
        <v>#VALUE!</v>
      </c>
      <c r="BP30" t="e">
        <f>AND(Plan!CC68,"AAAAAH+//0M=")</f>
        <v>#VALUE!</v>
      </c>
      <c r="BQ30" t="e">
        <f>AND(Plan!CD68,"AAAAAH+//0Q=")</f>
        <v>#VALUE!</v>
      </c>
      <c r="BR30" t="e">
        <f>AND(Plan!CE68,"AAAAAH+//0U=")</f>
        <v>#VALUE!</v>
      </c>
      <c r="BS30" t="e">
        <f>AND(Plan!CF68,"AAAAAH+//0Y=")</f>
        <v>#VALUE!</v>
      </c>
      <c r="BT30" t="e">
        <f>AND(Plan!CG68,"AAAAAH+//0c=")</f>
        <v>#VALUE!</v>
      </c>
      <c r="BU30" t="e">
        <f>AND(Plan!CH68,"AAAAAH+//0g=")</f>
        <v>#VALUE!</v>
      </c>
      <c r="BV30" t="e">
        <f>AND(Plan!CI68,"AAAAAH+//0k=")</f>
        <v>#VALUE!</v>
      </c>
      <c r="BW30" t="e">
        <f>AND(Plan!CJ68,"AAAAAH+//0o=")</f>
        <v>#VALUE!</v>
      </c>
      <c r="BX30" t="e">
        <f>AND(Plan!CK68,"AAAAAH+//0s=")</f>
        <v>#VALUE!</v>
      </c>
      <c r="BY30" t="e">
        <f>AND(Plan!CL68,"AAAAAH+//0w=")</f>
        <v>#VALUE!</v>
      </c>
      <c r="BZ30" t="e">
        <f>AND(Plan!CM68,"AAAAAH+//00=")</f>
        <v>#VALUE!</v>
      </c>
      <c r="CA30" t="e">
        <f>AND(Plan!CN68,"AAAAAH+//04=")</f>
        <v>#VALUE!</v>
      </c>
      <c r="CB30" t="e">
        <f>AND(Plan!CO68,"AAAAAH+//08=")</f>
        <v>#VALUE!</v>
      </c>
      <c r="CC30" t="e">
        <f>AND(Plan!CP68,"AAAAAH+//1A=")</f>
        <v>#VALUE!</v>
      </c>
      <c r="CD30" t="e">
        <f>AND(Plan!CQ68,"AAAAAH+//1E=")</f>
        <v>#VALUE!</v>
      </c>
      <c r="CE30" t="e">
        <f>AND(Plan!CR68,"AAAAAH+//1I=")</f>
        <v>#VALUE!</v>
      </c>
      <c r="CF30" t="e">
        <f>AND(Plan!CS68,"AAAAAH+//1M=")</f>
        <v>#VALUE!</v>
      </c>
      <c r="CG30" t="e">
        <f>AND(Plan!CT68,"AAAAAH+//1Q=")</f>
        <v>#VALUE!</v>
      </c>
      <c r="CH30" t="e">
        <f>AND(Plan!CU68,"AAAAAH+//1U=")</f>
        <v>#VALUE!</v>
      </c>
      <c r="CI30" t="e">
        <f>AND(Plan!CV68,"AAAAAH+//1Y=")</f>
        <v>#VALUE!</v>
      </c>
      <c r="CJ30" t="e">
        <f>AND(Plan!CW68,"AAAAAH+//1c=")</f>
        <v>#VALUE!</v>
      </c>
      <c r="CK30">
        <f>IF(Plan!69:69,"AAAAAH+//1g=",0)</f>
        <v>0</v>
      </c>
      <c r="CL30" t="e">
        <f>AND(Plan!A69,"AAAAAH+//1k=")</f>
        <v>#VALUE!</v>
      </c>
      <c r="CM30" t="e">
        <f>AND(Plan!B69,"AAAAAH+//1o=")</f>
        <v>#VALUE!</v>
      </c>
      <c r="CN30" t="e">
        <f>AND(Plan!C69,"AAAAAH+//1s=")</f>
        <v>#VALUE!</v>
      </c>
      <c r="CO30" t="e">
        <f>AND(Plan!D69,"AAAAAH+//1w=")</f>
        <v>#VALUE!</v>
      </c>
      <c r="CP30" t="e">
        <f>AND(Plan!E69,"AAAAAH+//10=")</f>
        <v>#VALUE!</v>
      </c>
      <c r="CQ30" t="e">
        <f>AND(Plan!F69,"AAAAAH+//14=")</f>
        <v>#VALUE!</v>
      </c>
      <c r="CR30" t="e">
        <f>AND(Plan!G69,"AAAAAH+//18=")</f>
        <v>#VALUE!</v>
      </c>
      <c r="CS30" t="e">
        <f>AND(Plan!H69,"AAAAAH+//2A=")</f>
        <v>#VALUE!</v>
      </c>
      <c r="CT30" t="e">
        <f>AND(Plan!I69,"AAAAAH+//2E=")</f>
        <v>#VALUE!</v>
      </c>
      <c r="CU30" t="e">
        <f>AND(Plan!J69,"AAAAAH+//2I=")</f>
        <v>#VALUE!</v>
      </c>
      <c r="CV30" t="e">
        <f>AND(Plan!K69,"AAAAAH+//2M=")</f>
        <v>#VALUE!</v>
      </c>
      <c r="CW30" t="e">
        <f>AND(Plan!L69,"AAAAAH+//2Q=")</f>
        <v>#VALUE!</v>
      </c>
      <c r="CX30" t="e">
        <f>AND(Plan!M69,"AAAAAH+//2U=")</f>
        <v>#VALUE!</v>
      </c>
      <c r="CY30" t="e">
        <f>AND(Plan!N69,"AAAAAH+//2Y=")</f>
        <v>#VALUE!</v>
      </c>
      <c r="CZ30" t="e">
        <f>AND(Plan!O69,"AAAAAH+//2c=")</f>
        <v>#VALUE!</v>
      </c>
      <c r="DA30" t="e">
        <f>AND(Plan!P69,"AAAAAH+//2g=")</f>
        <v>#VALUE!</v>
      </c>
      <c r="DB30" t="e">
        <f>AND(Plan!Q69,"AAAAAH+//2k=")</f>
        <v>#VALUE!</v>
      </c>
      <c r="DC30" t="e">
        <f>AND(Plan!R69,"AAAAAH+//2o=")</f>
        <v>#VALUE!</v>
      </c>
      <c r="DD30" t="e">
        <f>AND(Plan!S69,"AAAAAH+//2s=")</f>
        <v>#VALUE!</v>
      </c>
      <c r="DE30" t="e">
        <f>AND(Plan!T69,"AAAAAH+//2w=")</f>
        <v>#VALUE!</v>
      </c>
      <c r="DF30" t="e">
        <f>AND(Plan!U69,"AAAAAH+//20=")</f>
        <v>#VALUE!</v>
      </c>
      <c r="DG30" t="e">
        <f>AND(Plan!V69,"AAAAAH+//24=")</f>
        <v>#VALUE!</v>
      </c>
      <c r="DH30" t="e">
        <f>AND(Plan!W69,"AAAAAH+//28=")</f>
        <v>#VALUE!</v>
      </c>
      <c r="DI30" t="e">
        <f>AND(Plan!X69,"AAAAAH+//3A=")</f>
        <v>#VALUE!</v>
      </c>
      <c r="DJ30" t="e">
        <f>AND(Plan!Y69,"AAAAAH+//3E=")</f>
        <v>#VALUE!</v>
      </c>
      <c r="DK30" t="e">
        <f>AND(Plan!Z69,"AAAAAH+//3I=")</f>
        <v>#VALUE!</v>
      </c>
      <c r="DL30" t="e">
        <f>AND(Plan!AA69,"AAAAAH+//3M=")</f>
        <v>#VALUE!</v>
      </c>
      <c r="DM30" t="e">
        <f>AND(Plan!AB69,"AAAAAH+//3Q=")</f>
        <v>#VALUE!</v>
      </c>
      <c r="DN30" t="e">
        <f>AND(Plan!AC69,"AAAAAH+//3U=")</f>
        <v>#VALUE!</v>
      </c>
      <c r="DO30" t="e">
        <f>AND(Plan!AD69,"AAAAAH+//3Y=")</f>
        <v>#VALUE!</v>
      </c>
      <c r="DP30" t="e">
        <f>AND(Plan!AE69,"AAAAAH+//3c=")</f>
        <v>#VALUE!</v>
      </c>
      <c r="DQ30" t="e">
        <f>AND(Plan!AF69,"AAAAAH+//3g=")</f>
        <v>#VALUE!</v>
      </c>
      <c r="DR30" t="e">
        <f>AND(Plan!AG69,"AAAAAH+//3k=")</f>
        <v>#VALUE!</v>
      </c>
      <c r="DS30" t="e">
        <f>AND(Plan!AH69,"AAAAAH+//3o=")</f>
        <v>#VALUE!</v>
      </c>
      <c r="DT30" t="e">
        <f>AND(Plan!AI69,"AAAAAH+//3s=")</f>
        <v>#VALUE!</v>
      </c>
      <c r="DU30" t="e">
        <f>AND(Plan!AJ69,"AAAAAH+//3w=")</f>
        <v>#VALUE!</v>
      </c>
      <c r="DV30" t="e">
        <f>AND(Plan!AK69,"AAAAAH+//30=")</f>
        <v>#VALUE!</v>
      </c>
      <c r="DW30" t="e">
        <f>AND(Plan!AL69,"AAAAAH+//34=")</f>
        <v>#VALUE!</v>
      </c>
      <c r="DX30" t="e">
        <f>AND(Plan!AM69,"AAAAAH+//38=")</f>
        <v>#VALUE!</v>
      </c>
      <c r="DY30" t="e">
        <f>AND(Plan!AN69,"AAAAAH+//4A=")</f>
        <v>#VALUE!</v>
      </c>
      <c r="DZ30" t="e">
        <f>AND(Plan!AO69,"AAAAAH+//4E=")</f>
        <v>#VALUE!</v>
      </c>
      <c r="EA30" t="e">
        <f>AND(Plan!AP69,"AAAAAH+//4I=")</f>
        <v>#VALUE!</v>
      </c>
      <c r="EB30" t="e">
        <f>AND(Plan!AQ69,"AAAAAH+//4M=")</f>
        <v>#VALUE!</v>
      </c>
      <c r="EC30" t="e">
        <f>AND(Plan!AR69,"AAAAAH+//4Q=")</f>
        <v>#VALUE!</v>
      </c>
      <c r="ED30" t="e">
        <f>AND(Plan!AS69,"AAAAAH+//4U=")</f>
        <v>#VALUE!</v>
      </c>
      <c r="EE30" t="e">
        <f>AND(Plan!AT69,"AAAAAH+//4Y=")</f>
        <v>#VALUE!</v>
      </c>
      <c r="EF30" t="e">
        <f>AND(Plan!AU69,"AAAAAH+//4c=")</f>
        <v>#VALUE!</v>
      </c>
      <c r="EG30" t="e">
        <f>AND(Plan!AV69,"AAAAAH+//4g=")</f>
        <v>#VALUE!</v>
      </c>
      <c r="EH30" t="e">
        <f>AND(Plan!AW69,"AAAAAH+//4k=")</f>
        <v>#VALUE!</v>
      </c>
      <c r="EI30" t="e">
        <f>AND(Plan!AX69,"AAAAAH+//4o=")</f>
        <v>#VALUE!</v>
      </c>
      <c r="EJ30" t="e">
        <f>AND(Plan!AY69,"AAAAAH+//4s=")</f>
        <v>#VALUE!</v>
      </c>
      <c r="EK30" t="e">
        <f>AND(Plan!AZ69,"AAAAAH+//4w=")</f>
        <v>#VALUE!</v>
      </c>
      <c r="EL30" t="e">
        <f>AND(Plan!BA69,"AAAAAH+//40=")</f>
        <v>#VALUE!</v>
      </c>
      <c r="EM30" t="e">
        <f>AND(Plan!BB69,"AAAAAH+//44=")</f>
        <v>#VALUE!</v>
      </c>
      <c r="EN30" t="e">
        <f>AND(Plan!BC69,"AAAAAH+//48=")</f>
        <v>#VALUE!</v>
      </c>
      <c r="EO30" t="e">
        <f>AND(Plan!BD69,"AAAAAH+//5A=")</f>
        <v>#VALUE!</v>
      </c>
      <c r="EP30" t="e">
        <f>AND(Plan!BE69,"AAAAAH+//5E=")</f>
        <v>#VALUE!</v>
      </c>
      <c r="EQ30" t="e">
        <f>AND(Plan!BF69,"AAAAAH+//5I=")</f>
        <v>#VALUE!</v>
      </c>
      <c r="ER30" t="e">
        <f>AND(Plan!BG69,"AAAAAH+//5M=")</f>
        <v>#VALUE!</v>
      </c>
      <c r="ES30" t="e">
        <f>AND(Plan!BH69,"AAAAAH+//5Q=")</f>
        <v>#VALUE!</v>
      </c>
      <c r="ET30" t="e">
        <f>AND(Plan!BI69,"AAAAAH+//5U=")</f>
        <v>#VALUE!</v>
      </c>
      <c r="EU30" t="e">
        <f>AND(Plan!BJ69,"AAAAAH+//5Y=")</f>
        <v>#VALUE!</v>
      </c>
      <c r="EV30" t="e">
        <f>AND(Plan!BK69,"AAAAAH+//5c=")</f>
        <v>#VALUE!</v>
      </c>
      <c r="EW30" t="e">
        <f>AND(Plan!BL69,"AAAAAH+//5g=")</f>
        <v>#VALUE!</v>
      </c>
      <c r="EX30" t="e">
        <f>AND(Plan!BM69,"AAAAAH+//5k=")</f>
        <v>#VALUE!</v>
      </c>
      <c r="EY30" t="e">
        <f>AND(Plan!BN69,"AAAAAH+//5o=")</f>
        <v>#VALUE!</v>
      </c>
      <c r="EZ30" t="e">
        <f>AND(Plan!BO69,"AAAAAH+//5s=")</f>
        <v>#VALUE!</v>
      </c>
      <c r="FA30" t="e">
        <f>AND(Plan!BP69,"AAAAAH+//5w=")</f>
        <v>#VALUE!</v>
      </c>
      <c r="FB30" t="e">
        <f>AND(Plan!BQ69,"AAAAAH+//50=")</f>
        <v>#VALUE!</v>
      </c>
      <c r="FC30" t="e">
        <f>AND(Plan!BR69,"AAAAAH+//54=")</f>
        <v>#VALUE!</v>
      </c>
      <c r="FD30" t="e">
        <f>AND(Plan!BS69,"AAAAAH+//58=")</f>
        <v>#VALUE!</v>
      </c>
      <c r="FE30" t="e">
        <f>AND(Plan!BT69,"AAAAAH+//6A=")</f>
        <v>#VALUE!</v>
      </c>
      <c r="FF30" t="e">
        <f>AND(Plan!BU69,"AAAAAH+//6E=")</f>
        <v>#VALUE!</v>
      </c>
      <c r="FG30" t="e">
        <f>AND(Plan!BV69,"AAAAAH+//6I=")</f>
        <v>#VALUE!</v>
      </c>
      <c r="FH30" t="e">
        <f>AND(Plan!BW69,"AAAAAH+//6M=")</f>
        <v>#VALUE!</v>
      </c>
      <c r="FI30" t="e">
        <f>AND(Plan!BX69,"AAAAAH+//6Q=")</f>
        <v>#VALUE!</v>
      </c>
      <c r="FJ30" t="e">
        <f>AND(Plan!BY69,"AAAAAH+//6U=")</f>
        <v>#VALUE!</v>
      </c>
      <c r="FK30" t="e">
        <f>AND(Plan!BZ69,"AAAAAH+//6Y=")</f>
        <v>#VALUE!</v>
      </c>
      <c r="FL30" t="e">
        <f>AND(Plan!CA69,"AAAAAH+//6c=")</f>
        <v>#VALUE!</v>
      </c>
      <c r="FM30" t="e">
        <f>AND(Plan!CB69,"AAAAAH+//6g=")</f>
        <v>#VALUE!</v>
      </c>
      <c r="FN30" t="e">
        <f>AND(Plan!CC69,"AAAAAH+//6k=")</f>
        <v>#VALUE!</v>
      </c>
      <c r="FO30" t="e">
        <f>AND(Plan!CD69,"AAAAAH+//6o=")</f>
        <v>#VALUE!</v>
      </c>
      <c r="FP30" t="e">
        <f>AND(Plan!CE69,"AAAAAH+//6s=")</f>
        <v>#VALUE!</v>
      </c>
      <c r="FQ30" t="e">
        <f>AND(Plan!CF69,"AAAAAH+//6w=")</f>
        <v>#VALUE!</v>
      </c>
      <c r="FR30" t="e">
        <f>AND(Plan!CG69,"AAAAAH+//60=")</f>
        <v>#VALUE!</v>
      </c>
      <c r="FS30" t="e">
        <f>AND(Plan!CH69,"AAAAAH+//64=")</f>
        <v>#VALUE!</v>
      </c>
      <c r="FT30" t="e">
        <f>AND(Plan!CI69,"AAAAAH+//68=")</f>
        <v>#VALUE!</v>
      </c>
      <c r="FU30" t="e">
        <f>AND(Plan!CJ69,"AAAAAH+//7A=")</f>
        <v>#VALUE!</v>
      </c>
      <c r="FV30" t="e">
        <f>AND(Plan!CK69,"AAAAAH+//7E=")</f>
        <v>#VALUE!</v>
      </c>
      <c r="FW30" t="e">
        <f>AND(Plan!CL69,"AAAAAH+//7I=")</f>
        <v>#VALUE!</v>
      </c>
      <c r="FX30" t="e">
        <f>AND(Plan!CM69,"AAAAAH+//7M=")</f>
        <v>#VALUE!</v>
      </c>
      <c r="FY30" t="e">
        <f>AND(Plan!CN69,"AAAAAH+//7Q=")</f>
        <v>#VALUE!</v>
      </c>
      <c r="FZ30" t="e">
        <f>AND(Plan!CO69,"AAAAAH+//7U=")</f>
        <v>#VALUE!</v>
      </c>
      <c r="GA30" t="e">
        <f>AND(Plan!CP69,"AAAAAH+//7Y=")</f>
        <v>#VALUE!</v>
      </c>
      <c r="GB30" t="e">
        <f>AND(Plan!CQ69,"AAAAAH+//7c=")</f>
        <v>#VALUE!</v>
      </c>
      <c r="GC30" t="e">
        <f>AND(Plan!CR69,"AAAAAH+//7g=")</f>
        <v>#VALUE!</v>
      </c>
      <c r="GD30" t="e">
        <f>AND(Plan!CS69,"AAAAAH+//7k=")</f>
        <v>#VALUE!</v>
      </c>
      <c r="GE30" t="e">
        <f>AND(Plan!CT69,"AAAAAH+//7o=")</f>
        <v>#VALUE!</v>
      </c>
      <c r="GF30" t="e">
        <f>AND(Plan!CU69,"AAAAAH+//7s=")</f>
        <v>#VALUE!</v>
      </c>
      <c r="GG30" t="e">
        <f>AND(Plan!CV69,"AAAAAH+//7w=")</f>
        <v>#VALUE!</v>
      </c>
      <c r="GH30" t="e">
        <f>AND(Plan!CW69,"AAAAAH+//70=")</f>
        <v>#VALUE!</v>
      </c>
      <c r="GI30">
        <f>IF(Plan!70:70,"AAAAAH+//74=",0)</f>
        <v>0</v>
      </c>
      <c r="GJ30" t="e">
        <f>AND(Plan!A70,"AAAAAH+//78=")</f>
        <v>#VALUE!</v>
      </c>
      <c r="GK30" t="e">
        <f>AND(Plan!B70,"AAAAAH+//8A=")</f>
        <v>#VALUE!</v>
      </c>
      <c r="GL30" t="e">
        <f>AND(Plan!C70,"AAAAAH+//8E=")</f>
        <v>#VALUE!</v>
      </c>
      <c r="GM30" t="e">
        <f>AND(Plan!D70,"AAAAAH+//8I=")</f>
        <v>#VALUE!</v>
      </c>
      <c r="GN30" t="e">
        <f>AND(Plan!E70,"AAAAAH+//8M=")</f>
        <v>#VALUE!</v>
      </c>
      <c r="GO30" t="e">
        <f>AND(Plan!F70,"AAAAAH+//8Q=")</f>
        <v>#VALUE!</v>
      </c>
      <c r="GP30" t="e">
        <f>AND(Plan!G70,"AAAAAH+//8U=")</f>
        <v>#VALUE!</v>
      </c>
      <c r="GQ30" t="e">
        <f>AND(Plan!H70,"AAAAAH+//8Y=")</f>
        <v>#VALUE!</v>
      </c>
      <c r="GR30" t="e">
        <f>AND(Plan!I70,"AAAAAH+//8c=")</f>
        <v>#VALUE!</v>
      </c>
      <c r="GS30" t="e">
        <f>AND(Plan!J70,"AAAAAH+//8g=")</f>
        <v>#VALUE!</v>
      </c>
      <c r="GT30" t="e">
        <f>AND(Plan!K70,"AAAAAH+//8k=")</f>
        <v>#VALUE!</v>
      </c>
      <c r="GU30" t="e">
        <f>AND(Plan!L70,"AAAAAH+//8o=")</f>
        <v>#VALUE!</v>
      </c>
      <c r="GV30" t="e">
        <f>AND(Plan!M70,"AAAAAH+//8s=")</f>
        <v>#VALUE!</v>
      </c>
      <c r="GW30" t="e">
        <f>AND(Plan!N70,"AAAAAH+//8w=")</f>
        <v>#VALUE!</v>
      </c>
      <c r="GX30" t="e">
        <f>AND(Plan!O70,"AAAAAH+//80=")</f>
        <v>#VALUE!</v>
      </c>
      <c r="GY30" t="e">
        <f>AND(Plan!P70,"AAAAAH+//84=")</f>
        <v>#VALUE!</v>
      </c>
      <c r="GZ30" t="e">
        <f>AND(Plan!Q70,"AAAAAH+//88=")</f>
        <v>#VALUE!</v>
      </c>
      <c r="HA30" t="e">
        <f>AND(Plan!R70,"AAAAAH+//9A=")</f>
        <v>#VALUE!</v>
      </c>
      <c r="HB30" t="e">
        <f>AND(Plan!S70,"AAAAAH+//9E=")</f>
        <v>#VALUE!</v>
      </c>
      <c r="HC30" t="e">
        <f>AND(Plan!T70,"AAAAAH+//9I=")</f>
        <v>#VALUE!</v>
      </c>
      <c r="HD30" t="e">
        <f>AND(Plan!U70,"AAAAAH+//9M=")</f>
        <v>#VALUE!</v>
      </c>
      <c r="HE30" t="e">
        <f>AND(Plan!V70,"AAAAAH+//9Q=")</f>
        <v>#VALUE!</v>
      </c>
      <c r="HF30" t="e">
        <f>AND(Plan!W70,"AAAAAH+//9U=")</f>
        <v>#VALUE!</v>
      </c>
      <c r="HG30" t="e">
        <f>AND(Plan!X70,"AAAAAH+//9Y=")</f>
        <v>#VALUE!</v>
      </c>
      <c r="HH30" t="e">
        <f>AND(Plan!Y70,"AAAAAH+//9c=")</f>
        <v>#VALUE!</v>
      </c>
      <c r="HI30" t="e">
        <f>AND(Plan!Z70,"AAAAAH+//9g=")</f>
        <v>#VALUE!</v>
      </c>
      <c r="HJ30" t="e">
        <f>AND(Plan!AA70,"AAAAAH+//9k=")</f>
        <v>#VALUE!</v>
      </c>
      <c r="HK30" t="e">
        <f>AND(Plan!AB70,"AAAAAH+//9o=")</f>
        <v>#VALUE!</v>
      </c>
      <c r="HL30" t="e">
        <f>AND(Plan!AC70,"AAAAAH+//9s=")</f>
        <v>#VALUE!</v>
      </c>
      <c r="HM30" t="e">
        <f>AND(Plan!AD70,"AAAAAH+//9w=")</f>
        <v>#VALUE!</v>
      </c>
      <c r="HN30" t="e">
        <f>AND(Plan!AE70,"AAAAAH+//90=")</f>
        <v>#VALUE!</v>
      </c>
      <c r="HO30" t="e">
        <f>AND(Plan!AF70,"AAAAAH+//94=")</f>
        <v>#VALUE!</v>
      </c>
      <c r="HP30" t="e">
        <f>AND(Plan!AG70,"AAAAAH+//98=")</f>
        <v>#VALUE!</v>
      </c>
      <c r="HQ30" t="e">
        <f>AND(Plan!AH70,"AAAAAH+//+A=")</f>
        <v>#VALUE!</v>
      </c>
      <c r="HR30" t="e">
        <f>AND(Plan!AI70,"AAAAAH+//+E=")</f>
        <v>#VALUE!</v>
      </c>
      <c r="HS30" t="e">
        <f>AND(Plan!AJ70,"AAAAAH+//+I=")</f>
        <v>#VALUE!</v>
      </c>
      <c r="HT30" t="e">
        <f>AND(Plan!AK70,"AAAAAH+//+M=")</f>
        <v>#VALUE!</v>
      </c>
      <c r="HU30" t="e">
        <f>AND(Plan!AL70,"AAAAAH+//+Q=")</f>
        <v>#VALUE!</v>
      </c>
      <c r="HV30" t="e">
        <f>AND(Plan!AM70,"AAAAAH+//+U=")</f>
        <v>#VALUE!</v>
      </c>
      <c r="HW30" t="e">
        <f>AND(Plan!AN70,"AAAAAH+//+Y=")</f>
        <v>#VALUE!</v>
      </c>
      <c r="HX30" t="e">
        <f>AND(Plan!AO70,"AAAAAH+//+c=")</f>
        <v>#VALUE!</v>
      </c>
      <c r="HY30" t="e">
        <f>AND(Plan!AP70,"AAAAAH+//+g=")</f>
        <v>#VALUE!</v>
      </c>
      <c r="HZ30" t="e">
        <f>AND(Plan!AQ70,"AAAAAH+//+k=")</f>
        <v>#VALUE!</v>
      </c>
      <c r="IA30" t="e">
        <f>AND(Plan!AR70,"AAAAAH+//+o=")</f>
        <v>#VALUE!</v>
      </c>
      <c r="IB30" t="e">
        <f>AND(Plan!AS70,"AAAAAH+//+s=")</f>
        <v>#VALUE!</v>
      </c>
      <c r="IC30" t="e">
        <f>AND(Plan!AT70,"AAAAAH+//+w=")</f>
        <v>#VALUE!</v>
      </c>
      <c r="ID30" t="e">
        <f>AND(Plan!AU70,"AAAAAH+//+0=")</f>
        <v>#VALUE!</v>
      </c>
      <c r="IE30" t="e">
        <f>AND(Plan!AV70,"AAAAAH+//+4=")</f>
        <v>#VALUE!</v>
      </c>
      <c r="IF30" t="e">
        <f>AND(Plan!AW70,"AAAAAH+//+8=")</f>
        <v>#VALUE!</v>
      </c>
      <c r="IG30" t="e">
        <f>AND(Plan!AX70,"AAAAAH+///A=")</f>
        <v>#VALUE!</v>
      </c>
      <c r="IH30" t="e">
        <f>AND(Plan!AY70,"AAAAAH+///E=")</f>
        <v>#VALUE!</v>
      </c>
      <c r="II30" t="e">
        <f>AND(Plan!AZ70,"AAAAAH+///I=")</f>
        <v>#VALUE!</v>
      </c>
      <c r="IJ30" t="e">
        <f>AND(Plan!BA70,"AAAAAH+///M=")</f>
        <v>#VALUE!</v>
      </c>
      <c r="IK30" t="e">
        <f>AND(Plan!BB70,"AAAAAH+///Q=")</f>
        <v>#VALUE!</v>
      </c>
      <c r="IL30" t="e">
        <f>AND(Plan!BC70,"AAAAAH+///U=")</f>
        <v>#VALUE!</v>
      </c>
      <c r="IM30" t="e">
        <f>AND(Plan!BD70,"AAAAAH+///Y=")</f>
        <v>#VALUE!</v>
      </c>
      <c r="IN30" t="e">
        <f>AND(Plan!BE70,"AAAAAH+///c=")</f>
        <v>#VALUE!</v>
      </c>
      <c r="IO30" t="e">
        <f>AND(Plan!BF70,"AAAAAH+///g=")</f>
        <v>#VALUE!</v>
      </c>
      <c r="IP30" t="e">
        <f>AND(Plan!BG70,"AAAAAH+///k=")</f>
        <v>#VALUE!</v>
      </c>
      <c r="IQ30" t="e">
        <f>AND(Plan!BH70,"AAAAAH+///o=")</f>
        <v>#VALUE!</v>
      </c>
      <c r="IR30" t="e">
        <f>AND(Plan!BI70,"AAAAAH+///s=")</f>
        <v>#VALUE!</v>
      </c>
      <c r="IS30" t="e">
        <f>AND(Plan!BJ70,"AAAAAH+///w=")</f>
        <v>#VALUE!</v>
      </c>
      <c r="IT30" t="e">
        <f>AND(Plan!BK70,"AAAAAH+///0=")</f>
        <v>#VALUE!</v>
      </c>
      <c r="IU30" t="e">
        <f>AND(Plan!BL70,"AAAAAH+///4=")</f>
        <v>#VALUE!</v>
      </c>
      <c r="IV30" t="e">
        <f>AND(Plan!BM70,"AAAAAH+///8=")</f>
        <v>#VALUE!</v>
      </c>
    </row>
    <row r="31" spans="1:256">
      <c r="A31" t="e">
        <f>AND(Plan!BN70,"AAAAAH/8fQA=")</f>
        <v>#VALUE!</v>
      </c>
      <c r="B31" t="e">
        <f>AND(Plan!BO70,"AAAAAH/8fQE=")</f>
        <v>#VALUE!</v>
      </c>
      <c r="C31" t="e">
        <f>AND(Plan!BP70,"AAAAAH/8fQI=")</f>
        <v>#VALUE!</v>
      </c>
      <c r="D31" t="e">
        <f>AND(Plan!BQ70,"AAAAAH/8fQM=")</f>
        <v>#VALUE!</v>
      </c>
      <c r="E31" t="e">
        <f>AND(Plan!BR70,"AAAAAH/8fQQ=")</f>
        <v>#VALUE!</v>
      </c>
      <c r="F31" t="e">
        <f>AND(Plan!BS70,"AAAAAH/8fQU=")</f>
        <v>#VALUE!</v>
      </c>
      <c r="G31" t="e">
        <f>AND(Plan!BT70,"AAAAAH/8fQY=")</f>
        <v>#VALUE!</v>
      </c>
      <c r="H31" t="e">
        <f>AND(Plan!BU70,"AAAAAH/8fQc=")</f>
        <v>#VALUE!</v>
      </c>
      <c r="I31" t="e">
        <f>AND(Plan!BV70,"AAAAAH/8fQg=")</f>
        <v>#VALUE!</v>
      </c>
      <c r="J31" t="e">
        <f>AND(Plan!BW70,"AAAAAH/8fQk=")</f>
        <v>#VALUE!</v>
      </c>
      <c r="K31" t="e">
        <f>AND(Plan!BX70,"AAAAAH/8fQo=")</f>
        <v>#VALUE!</v>
      </c>
      <c r="L31" t="e">
        <f>AND(Plan!BY70,"AAAAAH/8fQs=")</f>
        <v>#VALUE!</v>
      </c>
      <c r="M31" t="e">
        <f>AND(Plan!BZ70,"AAAAAH/8fQw=")</f>
        <v>#VALUE!</v>
      </c>
      <c r="N31" t="e">
        <f>AND(Plan!CA70,"AAAAAH/8fQ0=")</f>
        <v>#VALUE!</v>
      </c>
      <c r="O31" t="e">
        <f>AND(Plan!CB70,"AAAAAH/8fQ4=")</f>
        <v>#VALUE!</v>
      </c>
      <c r="P31" t="e">
        <f>AND(Plan!CC70,"AAAAAH/8fQ8=")</f>
        <v>#VALUE!</v>
      </c>
      <c r="Q31" t="e">
        <f>AND(Plan!CD70,"AAAAAH/8fRA=")</f>
        <v>#VALUE!</v>
      </c>
      <c r="R31" t="e">
        <f>AND(Plan!CE70,"AAAAAH/8fRE=")</f>
        <v>#VALUE!</v>
      </c>
      <c r="S31" t="e">
        <f>AND(Plan!CF70,"AAAAAH/8fRI=")</f>
        <v>#VALUE!</v>
      </c>
      <c r="T31" t="e">
        <f>AND(Plan!CG70,"AAAAAH/8fRM=")</f>
        <v>#VALUE!</v>
      </c>
      <c r="U31" t="e">
        <f>AND(Plan!CH70,"AAAAAH/8fRQ=")</f>
        <v>#VALUE!</v>
      </c>
      <c r="V31" t="e">
        <f>AND(Plan!CI70,"AAAAAH/8fRU=")</f>
        <v>#VALUE!</v>
      </c>
      <c r="W31" t="e">
        <f>AND(Plan!CJ70,"AAAAAH/8fRY=")</f>
        <v>#VALUE!</v>
      </c>
      <c r="X31" t="e">
        <f>AND(Plan!CK70,"AAAAAH/8fRc=")</f>
        <v>#VALUE!</v>
      </c>
      <c r="Y31" t="e">
        <f>AND(Plan!CL70,"AAAAAH/8fRg=")</f>
        <v>#VALUE!</v>
      </c>
      <c r="Z31" t="e">
        <f>AND(Plan!CM70,"AAAAAH/8fRk=")</f>
        <v>#VALUE!</v>
      </c>
      <c r="AA31" t="e">
        <f>AND(Plan!CN70,"AAAAAH/8fRo=")</f>
        <v>#VALUE!</v>
      </c>
      <c r="AB31" t="e">
        <f>AND(Plan!CO70,"AAAAAH/8fRs=")</f>
        <v>#VALUE!</v>
      </c>
      <c r="AC31" t="e">
        <f>AND(Plan!CP70,"AAAAAH/8fRw=")</f>
        <v>#VALUE!</v>
      </c>
      <c r="AD31" t="e">
        <f>AND(Plan!CQ70,"AAAAAH/8fR0=")</f>
        <v>#VALUE!</v>
      </c>
      <c r="AE31" t="e">
        <f>AND(Plan!CR70,"AAAAAH/8fR4=")</f>
        <v>#VALUE!</v>
      </c>
      <c r="AF31" t="e">
        <f>AND(Plan!CS70,"AAAAAH/8fR8=")</f>
        <v>#VALUE!</v>
      </c>
      <c r="AG31" t="e">
        <f>AND(Plan!CT70,"AAAAAH/8fSA=")</f>
        <v>#VALUE!</v>
      </c>
      <c r="AH31" t="e">
        <f>AND(Plan!CU70,"AAAAAH/8fSE=")</f>
        <v>#VALUE!</v>
      </c>
      <c r="AI31" t="e">
        <f>AND(Plan!CV70,"AAAAAH/8fSI=")</f>
        <v>#VALUE!</v>
      </c>
      <c r="AJ31" t="e">
        <f>AND(Plan!CW70,"AAAAAH/8fSM=")</f>
        <v>#VALUE!</v>
      </c>
      <c r="AK31">
        <f>IF(Plan!71:71,"AAAAAH/8fSQ=",0)</f>
        <v>0</v>
      </c>
      <c r="AL31" t="e">
        <f>AND(Plan!A71,"AAAAAH/8fSU=")</f>
        <v>#VALUE!</v>
      </c>
      <c r="AM31" t="e">
        <f>AND(Plan!B71,"AAAAAH/8fSY=")</f>
        <v>#VALUE!</v>
      </c>
      <c r="AN31" t="e">
        <f>AND(Plan!C71,"AAAAAH/8fSc=")</f>
        <v>#VALUE!</v>
      </c>
      <c r="AO31" t="e">
        <f>AND(Plan!D71,"AAAAAH/8fSg=")</f>
        <v>#VALUE!</v>
      </c>
      <c r="AP31" t="e">
        <f>AND(Plan!E71,"AAAAAH/8fSk=")</f>
        <v>#VALUE!</v>
      </c>
      <c r="AQ31" t="e">
        <f>AND(Plan!F71,"AAAAAH/8fSo=")</f>
        <v>#VALUE!</v>
      </c>
      <c r="AR31" t="e">
        <f>AND(Plan!G71,"AAAAAH/8fSs=")</f>
        <v>#VALUE!</v>
      </c>
      <c r="AS31" t="e">
        <f>AND(Plan!H71,"AAAAAH/8fSw=")</f>
        <v>#VALUE!</v>
      </c>
      <c r="AT31" t="e">
        <f>AND(Plan!I71,"AAAAAH/8fS0=")</f>
        <v>#VALUE!</v>
      </c>
      <c r="AU31" t="e">
        <f>AND(Plan!J71,"AAAAAH/8fS4=")</f>
        <v>#VALUE!</v>
      </c>
      <c r="AV31" t="e">
        <f>AND(Plan!K71,"AAAAAH/8fS8=")</f>
        <v>#VALUE!</v>
      </c>
      <c r="AW31" t="e">
        <f>AND(Plan!L71,"AAAAAH/8fTA=")</f>
        <v>#VALUE!</v>
      </c>
      <c r="AX31" t="e">
        <f>AND(Plan!M71,"AAAAAH/8fTE=")</f>
        <v>#VALUE!</v>
      </c>
      <c r="AY31" t="e">
        <f>AND(Plan!N71,"AAAAAH/8fTI=")</f>
        <v>#VALUE!</v>
      </c>
      <c r="AZ31" t="e">
        <f>AND(Plan!O71,"AAAAAH/8fTM=")</f>
        <v>#VALUE!</v>
      </c>
      <c r="BA31" t="e">
        <f>AND(Plan!P71,"AAAAAH/8fTQ=")</f>
        <v>#VALUE!</v>
      </c>
      <c r="BB31" t="e">
        <f>AND(Plan!Q71,"AAAAAH/8fTU=")</f>
        <v>#VALUE!</v>
      </c>
      <c r="BC31" t="e">
        <f>AND(Plan!R71,"AAAAAH/8fTY=")</f>
        <v>#VALUE!</v>
      </c>
      <c r="BD31" t="e">
        <f>AND(Plan!S71,"AAAAAH/8fTc=")</f>
        <v>#VALUE!</v>
      </c>
      <c r="BE31" t="e">
        <f>AND(Plan!T71,"AAAAAH/8fTg=")</f>
        <v>#VALUE!</v>
      </c>
      <c r="BF31" t="e">
        <f>AND(Plan!U71,"AAAAAH/8fTk=")</f>
        <v>#VALUE!</v>
      </c>
      <c r="BG31" t="e">
        <f>AND(Plan!V71,"AAAAAH/8fTo=")</f>
        <v>#VALUE!</v>
      </c>
      <c r="BH31" t="e">
        <f>AND(Plan!W71,"AAAAAH/8fTs=")</f>
        <v>#VALUE!</v>
      </c>
      <c r="BI31" t="e">
        <f>AND(Plan!X71,"AAAAAH/8fTw=")</f>
        <v>#VALUE!</v>
      </c>
      <c r="BJ31" t="e">
        <f>AND(Plan!Y71,"AAAAAH/8fT0=")</f>
        <v>#VALUE!</v>
      </c>
      <c r="BK31" t="e">
        <f>AND(Plan!Z71,"AAAAAH/8fT4=")</f>
        <v>#VALUE!</v>
      </c>
      <c r="BL31" t="e">
        <f>AND(Plan!AA71,"AAAAAH/8fT8=")</f>
        <v>#VALUE!</v>
      </c>
      <c r="BM31" t="e">
        <f>AND(Plan!AB71,"AAAAAH/8fUA=")</f>
        <v>#VALUE!</v>
      </c>
      <c r="BN31" t="e">
        <f>AND(Plan!AC71,"AAAAAH/8fUE=")</f>
        <v>#VALUE!</v>
      </c>
      <c r="BO31" t="e">
        <f>AND(Plan!AD71,"AAAAAH/8fUI=")</f>
        <v>#VALUE!</v>
      </c>
      <c r="BP31" t="e">
        <f>AND(Plan!AE71,"AAAAAH/8fUM=")</f>
        <v>#VALUE!</v>
      </c>
      <c r="BQ31" t="e">
        <f>AND(Plan!AF71,"AAAAAH/8fUQ=")</f>
        <v>#VALUE!</v>
      </c>
      <c r="BR31" t="e">
        <f>AND(Plan!AG71,"AAAAAH/8fUU=")</f>
        <v>#VALUE!</v>
      </c>
      <c r="BS31" t="e">
        <f>AND(Plan!AH71,"AAAAAH/8fUY=")</f>
        <v>#VALUE!</v>
      </c>
      <c r="BT31" t="e">
        <f>AND(Plan!AI71,"AAAAAH/8fUc=")</f>
        <v>#VALUE!</v>
      </c>
      <c r="BU31" t="e">
        <f>AND(Plan!AJ71,"AAAAAH/8fUg=")</f>
        <v>#VALUE!</v>
      </c>
      <c r="BV31" t="e">
        <f>AND(Plan!AK71,"AAAAAH/8fUk=")</f>
        <v>#VALUE!</v>
      </c>
      <c r="BW31" t="e">
        <f>AND(Plan!AL71,"AAAAAH/8fUo=")</f>
        <v>#VALUE!</v>
      </c>
      <c r="BX31" t="e">
        <f>AND(Plan!AM71,"AAAAAH/8fUs=")</f>
        <v>#VALUE!</v>
      </c>
      <c r="BY31" t="e">
        <f>AND(Plan!AN71,"AAAAAH/8fUw=")</f>
        <v>#VALUE!</v>
      </c>
      <c r="BZ31" t="e">
        <f>AND(Plan!AO71,"AAAAAH/8fU0=")</f>
        <v>#VALUE!</v>
      </c>
      <c r="CA31" t="e">
        <f>AND(Plan!AP71,"AAAAAH/8fU4=")</f>
        <v>#VALUE!</v>
      </c>
      <c r="CB31" t="e">
        <f>AND(Plan!AQ71,"AAAAAH/8fU8=")</f>
        <v>#VALUE!</v>
      </c>
      <c r="CC31" t="e">
        <f>AND(Plan!AR71,"AAAAAH/8fVA=")</f>
        <v>#VALUE!</v>
      </c>
      <c r="CD31" t="e">
        <f>AND(Plan!AS71,"AAAAAH/8fVE=")</f>
        <v>#VALUE!</v>
      </c>
      <c r="CE31" t="e">
        <f>AND(Plan!AT71,"AAAAAH/8fVI=")</f>
        <v>#VALUE!</v>
      </c>
      <c r="CF31" t="e">
        <f>AND(Plan!AU71,"AAAAAH/8fVM=")</f>
        <v>#VALUE!</v>
      </c>
      <c r="CG31" t="e">
        <f>AND(Plan!AV71,"AAAAAH/8fVQ=")</f>
        <v>#VALUE!</v>
      </c>
      <c r="CH31" t="e">
        <f>AND(Plan!AW71,"AAAAAH/8fVU=")</f>
        <v>#VALUE!</v>
      </c>
      <c r="CI31" t="e">
        <f>AND(Plan!AX71,"AAAAAH/8fVY=")</f>
        <v>#VALUE!</v>
      </c>
      <c r="CJ31" t="e">
        <f>AND(Plan!AY71,"AAAAAH/8fVc=")</f>
        <v>#VALUE!</v>
      </c>
      <c r="CK31" t="e">
        <f>AND(Plan!AZ71,"AAAAAH/8fVg=")</f>
        <v>#VALUE!</v>
      </c>
      <c r="CL31" t="e">
        <f>AND(Plan!BA71,"AAAAAH/8fVk=")</f>
        <v>#VALUE!</v>
      </c>
      <c r="CM31" t="e">
        <f>AND(Plan!BB71,"AAAAAH/8fVo=")</f>
        <v>#VALUE!</v>
      </c>
      <c r="CN31" t="e">
        <f>AND(Plan!BC71,"AAAAAH/8fVs=")</f>
        <v>#VALUE!</v>
      </c>
      <c r="CO31" t="e">
        <f>AND(Plan!BD71,"AAAAAH/8fVw=")</f>
        <v>#VALUE!</v>
      </c>
      <c r="CP31" t="e">
        <f>AND(Plan!BE71,"AAAAAH/8fV0=")</f>
        <v>#VALUE!</v>
      </c>
      <c r="CQ31" t="e">
        <f>AND(Plan!BF71,"AAAAAH/8fV4=")</f>
        <v>#VALUE!</v>
      </c>
      <c r="CR31" t="e">
        <f>AND(Plan!BG71,"AAAAAH/8fV8=")</f>
        <v>#VALUE!</v>
      </c>
      <c r="CS31" t="e">
        <f>AND(Plan!BH71,"AAAAAH/8fWA=")</f>
        <v>#VALUE!</v>
      </c>
      <c r="CT31" t="e">
        <f>AND(Plan!BI71,"AAAAAH/8fWE=")</f>
        <v>#VALUE!</v>
      </c>
      <c r="CU31" t="e">
        <f>AND(Plan!BJ71,"AAAAAH/8fWI=")</f>
        <v>#VALUE!</v>
      </c>
      <c r="CV31" t="e">
        <f>AND(Plan!BK71,"AAAAAH/8fWM=")</f>
        <v>#VALUE!</v>
      </c>
      <c r="CW31" t="e">
        <f>AND(Plan!BL71,"AAAAAH/8fWQ=")</f>
        <v>#VALUE!</v>
      </c>
      <c r="CX31" t="e">
        <f>AND(Plan!BM71,"AAAAAH/8fWU=")</f>
        <v>#VALUE!</v>
      </c>
      <c r="CY31" t="e">
        <f>AND(Plan!BN71,"AAAAAH/8fWY=")</f>
        <v>#VALUE!</v>
      </c>
      <c r="CZ31" t="e">
        <f>AND(Plan!BO71,"AAAAAH/8fWc=")</f>
        <v>#VALUE!</v>
      </c>
      <c r="DA31" t="e">
        <f>AND(Plan!BP71,"AAAAAH/8fWg=")</f>
        <v>#VALUE!</v>
      </c>
      <c r="DB31" t="e">
        <f>AND(Plan!BQ71,"AAAAAH/8fWk=")</f>
        <v>#VALUE!</v>
      </c>
      <c r="DC31" t="e">
        <f>AND(Plan!BR71,"AAAAAH/8fWo=")</f>
        <v>#VALUE!</v>
      </c>
      <c r="DD31" t="e">
        <f>AND(Plan!BS71,"AAAAAH/8fWs=")</f>
        <v>#VALUE!</v>
      </c>
      <c r="DE31" t="e">
        <f>AND(Plan!BT71,"AAAAAH/8fWw=")</f>
        <v>#VALUE!</v>
      </c>
      <c r="DF31" t="e">
        <f>AND(Plan!BU71,"AAAAAH/8fW0=")</f>
        <v>#VALUE!</v>
      </c>
      <c r="DG31" t="e">
        <f>AND(Plan!BV71,"AAAAAH/8fW4=")</f>
        <v>#VALUE!</v>
      </c>
      <c r="DH31" t="e">
        <f>AND(Plan!BW71,"AAAAAH/8fW8=")</f>
        <v>#VALUE!</v>
      </c>
      <c r="DI31" t="e">
        <f>AND(Plan!BX71,"AAAAAH/8fXA=")</f>
        <v>#VALUE!</v>
      </c>
      <c r="DJ31" t="e">
        <f>AND(Plan!BY71,"AAAAAH/8fXE=")</f>
        <v>#VALUE!</v>
      </c>
      <c r="DK31" t="e">
        <f>AND(Plan!BZ71,"AAAAAH/8fXI=")</f>
        <v>#VALUE!</v>
      </c>
      <c r="DL31" t="e">
        <f>AND(Plan!CA71,"AAAAAH/8fXM=")</f>
        <v>#VALUE!</v>
      </c>
      <c r="DM31" t="e">
        <f>AND(Plan!CB71,"AAAAAH/8fXQ=")</f>
        <v>#VALUE!</v>
      </c>
      <c r="DN31" t="e">
        <f>AND(Plan!CC71,"AAAAAH/8fXU=")</f>
        <v>#VALUE!</v>
      </c>
      <c r="DO31" t="e">
        <f>AND(Plan!CD71,"AAAAAH/8fXY=")</f>
        <v>#VALUE!</v>
      </c>
      <c r="DP31" t="e">
        <f>AND(Plan!CE71,"AAAAAH/8fXc=")</f>
        <v>#VALUE!</v>
      </c>
      <c r="DQ31" t="e">
        <f>AND(Plan!CF71,"AAAAAH/8fXg=")</f>
        <v>#VALUE!</v>
      </c>
      <c r="DR31" t="e">
        <f>AND(Plan!CG71,"AAAAAH/8fXk=")</f>
        <v>#VALUE!</v>
      </c>
      <c r="DS31" t="e">
        <f>AND(Plan!CH71,"AAAAAH/8fXo=")</f>
        <v>#VALUE!</v>
      </c>
      <c r="DT31" t="e">
        <f>AND(Plan!CI71,"AAAAAH/8fXs=")</f>
        <v>#VALUE!</v>
      </c>
      <c r="DU31" t="e">
        <f>AND(Plan!CJ71,"AAAAAH/8fXw=")</f>
        <v>#VALUE!</v>
      </c>
      <c r="DV31" t="e">
        <f>AND(Plan!CK71,"AAAAAH/8fX0=")</f>
        <v>#VALUE!</v>
      </c>
      <c r="DW31" t="e">
        <f>AND(Plan!CL71,"AAAAAH/8fX4=")</f>
        <v>#VALUE!</v>
      </c>
      <c r="DX31" t="e">
        <f>AND(Plan!CM71,"AAAAAH/8fX8=")</f>
        <v>#VALUE!</v>
      </c>
      <c r="DY31" t="e">
        <f>AND(Plan!CN71,"AAAAAH/8fYA=")</f>
        <v>#VALUE!</v>
      </c>
      <c r="DZ31" t="e">
        <f>AND(Plan!CO71,"AAAAAH/8fYE=")</f>
        <v>#VALUE!</v>
      </c>
      <c r="EA31" t="e">
        <f>AND(Plan!CP71,"AAAAAH/8fYI=")</f>
        <v>#VALUE!</v>
      </c>
      <c r="EB31" t="e">
        <f>AND(Plan!CQ71,"AAAAAH/8fYM=")</f>
        <v>#VALUE!</v>
      </c>
      <c r="EC31" t="e">
        <f>AND(Plan!CR71,"AAAAAH/8fYQ=")</f>
        <v>#VALUE!</v>
      </c>
      <c r="ED31" t="e">
        <f>AND(Plan!CS71,"AAAAAH/8fYU=")</f>
        <v>#VALUE!</v>
      </c>
      <c r="EE31" t="e">
        <f>AND(Plan!CT71,"AAAAAH/8fYY=")</f>
        <v>#VALUE!</v>
      </c>
      <c r="EF31" t="e">
        <f>AND(Plan!CU71,"AAAAAH/8fYc=")</f>
        <v>#VALUE!</v>
      </c>
      <c r="EG31" t="e">
        <f>AND(Plan!CV71,"AAAAAH/8fYg=")</f>
        <v>#VALUE!</v>
      </c>
      <c r="EH31" t="e">
        <f>AND(Plan!CW71,"AAAAAH/8fYk=")</f>
        <v>#VALUE!</v>
      </c>
      <c r="EI31">
        <f>IF(Plan!72:72,"AAAAAH/8fYo=",0)</f>
        <v>0</v>
      </c>
      <c r="EJ31" t="e">
        <f>AND(Plan!A72,"AAAAAH/8fYs=")</f>
        <v>#VALUE!</v>
      </c>
      <c r="EK31" t="e">
        <f>AND(Plan!B72,"AAAAAH/8fYw=")</f>
        <v>#VALUE!</v>
      </c>
      <c r="EL31" t="e">
        <f>AND(Plan!C72,"AAAAAH/8fY0=")</f>
        <v>#VALUE!</v>
      </c>
      <c r="EM31" t="e">
        <f>AND(Plan!D72,"AAAAAH/8fY4=")</f>
        <v>#VALUE!</v>
      </c>
      <c r="EN31" t="e">
        <f>AND(Plan!E72,"AAAAAH/8fY8=")</f>
        <v>#VALUE!</v>
      </c>
      <c r="EO31" t="e">
        <f>AND(Plan!F72,"AAAAAH/8fZA=")</f>
        <v>#VALUE!</v>
      </c>
      <c r="EP31" t="e">
        <f>AND(Plan!G72,"AAAAAH/8fZE=")</f>
        <v>#VALUE!</v>
      </c>
      <c r="EQ31" t="e">
        <f>AND(Plan!H72,"AAAAAH/8fZI=")</f>
        <v>#VALUE!</v>
      </c>
      <c r="ER31" t="e">
        <f>AND(Plan!I72,"AAAAAH/8fZM=")</f>
        <v>#VALUE!</v>
      </c>
      <c r="ES31" t="e">
        <f>AND(Plan!J72,"AAAAAH/8fZQ=")</f>
        <v>#VALUE!</v>
      </c>
      <c r="ET31" t="e">
        <f>AND(Plan!K72,"AAAAAH/8fZU=")</f>
        <v>#VALUE!</v>
      </c>
      <c r="EU31" t="e">
        <f>AND(Plan!L72,"AAAAAH/8fZY=")</f>
        <v>#VALUE!</v>
      </c>
      <c r="EV31" t="e">
        <f>AND(Plan!M72,"AAAAAH/8fZc=")</f>
        <v>#VALUE!</v>
      </c>
      <c r="EW31" t="e">
        <f>AND(Plan!N72,"AAAAAH/8fZg=")</f>
        <v>#VALUE!</v>
      </c>
      <c r="EX31" t="e">
        <f>AND(Plan!O72,"AAAAAH/8fZk=")</f>
        <v>#VALUE!</v>
      </c>
      <c r="EY31" t="e">
        <f>AND(Plan!P72,"AAAAAH/8fZo=")</f>
        <v>#VALUE!</v>
      </c>
      <c r="EZ31" t="e">
        <f>AND(Plan!Q72,"AAAAAH/8fZs=")</f>
        <v>#VALUE!</v>
      </c>
      <c r="FA31" t="e">
        <f>AND(Plan!R72,"AAAAAH/8fZw=")</f>
        <v>#VALUE!</v>
      </c>
      <c r="FB31" t="e">
        <f>AND(Plan!S72,"AAAAAH/8fZ0=")</f>
        <v>#VALUE!</v>
      </c>
      <c r="FC31" t="e">
        <f>AND(Plan!T72,"AAAAAH/8fZ4=")</f>
        <v>#VALUE!</v>
      </c>
      <c r="FD31" t="e">
        <f>AND(Plan!U72,"AAAAAH/8fZ8=")</f>
        <v>#VALUE!</v>
      </c>
      <c r="FE31" t="e">
        <f>AND(Plan!V72,"AAAAAH/8faA=")</f>
        <v>#VALUE!</v>
      </c>
      <c r="FF31" t="e">
        <f>AND(Plan!W72,"AAAAAH/8faE=")</f>
        <v>#VALUE!</v>
      </c>
      <c r="FG31" t="e">
        <f>AND(Plan!X72,"AAAAAH/8faI=")</f>
        <v>#VALUE!</v>
      </c>
      <c r="FH31" t="e">
        <f>AND(Plan!Y72,"AAAAAH/8faM=")</f>
        <v>#VALUE!</v>
      </c>
      <c r="FI31" t="e">
        <f>AND(Plan!Z72,"AAAAAH/8faQ=")</f>
        <v>#VALUE!</v>
      </c>
      <c r="FJ31" t="e">
        <f>AND(Plan!AA72,"AAAAAH/8faU=")</f>
        <v>#VALUE!</v>
      </c>
      <c r="FK31" t="e">
        <f>AND(Plan!AB72,"AAAAAH/8faY=")</f>
        <v>#VALUE!</v>
      </c>
      <c r="FL31" t="e">
        <f>AND(Plan!AC72,"AAAAAH/8fac=")</f>
        <v>#VALUE!</v>
      </c>
      <c r="FM31" t="e">
        <f>AND(Plan!AD72,"AAAAAH/8fag=")</f>
        <v>#VALUE!</v>
      </c>
      <c r="FN31" t="e">
        <f>AND(Plan!AE72,"AAAAAH/8fak=")</f>
        <v>#VALUE!</v>
      </c>
      <c r="FO31" t="e">
        <f>AND(Plan!AF72,"AAAAAH/8fao=")</f>
        <v>#VALUE!</v>
      </c>
      <c r="FP31" t="e">
        <f>AND(Plan!AG72,"AAAAAH/8fas=")</f>
        <v>#VALUE!</v>
      </c>
      <c r="FQ31" t="e">
        <f>AND(Plan!AH72,"AAAAAH/8faw=")</f>
        <v>#VALUE!</v>
      </c>
      <c r="FR31" t="e">
        <f>AND(Plan!AI72,"AAAAAH/8fa0=")</f>
        <v>#VALUE!</v>
      </c>
      <c r="FS31" t="e">
        <f>AND(Plan!AJ72,"AAAAAH/8fa4=")</f>
        <v>#VALUE!</v>
      </c>
      <c r="FT31" t="e">
        <f>AND(Plan!AK72,"AAAAAH/8fa8=")</f>
        <v>#VALUE!</v>
      </c>
      <c r="FU31" t="e">
        <f>AND(Plan!AL72,"AAAAAH/8fbA=")</f>
        <v>#VALUE!</v>
      </c>
      <c r="FV31" t="e">
        <f>AND(Plan!AM72,"AAAAAH/8fbE=")</f>
        <v>#VALUE!</v>
      </c>
      <c r="FW31" t="e">
        <f>AND(Plan!AN72,"AAAAAH/8fbI=")</f>
        <v>#VALUE!</v>
      </c>
      <c r="FX31" t="e">
        <f>AND(Plan!AO72,"AAAAAH/8fbM=")</f>
        <v>#VALUE!</v>
      </c>
      <c r="FY31" t="e">
        <f>AND(Plan!AP72,"AAAAAH/8fbQ=")</f>
        <v>#VALUE!</v>
      </c>
      <c r="FZ31" t="e">
        <f>AND(Plan!AQ72,"AAAAAH/8fbU=")</f>
        <v>#VALUE!</v>
      </c>
      <c r="GA31" t="e">
        <f>AND(Plan!AR72,"AAAAAH/8fbY=")</f>
        <v>#VALUE!</v>
      </c>
      <c r="GB31" t="e">
        <f>AND(Plan!AS72,"AAAAAH/8fbc=")</f>
        <v>#VALUE!</v>
      </c>
      <c r="GC31" t="e">
        <f>AND(Plan!AT72,"AAAAAH/8fbg=")</f>
        <v>#VALUE!</v>
      </c>
      <c r="GD31" t="e">
        <f>AND(Plan!AU72,"AAAAAH/8fbk=")</f>
        <v>#VALUE!</v>
      </c>
      <c r="GE31" t="e">
        <f>AND(Plan!AV72,"AAAAAH/8fbo=")</f>
        <v>#VALUE!</v>
      </c>
      <c r="GF31" t="e">
        <f>AND(Plan!AW72,"AAAAAH/8fbs=")</f>
        <v>#VALUE!</v>
      </c>
      <c r="GG31" t="e">
        <f>AND(Plan!AX72,"AAAAAH/8fbw=")</f>
        <v>#VALUE!</v>
      </c>
      <c r="GH31" t="e">
        <f>AND(Plan!AY72,"AAAAAH/8fb0=")</f>
        <v>#VALUE!</v>
      </c>
      <c r="GI31" t="e">
        <f>AND(Plan!AZ72,"AAAAAH/8fb4=")</f>
        <v>#VALUE!</v>
      </c>
      <c r="GJ31" t="e">
        <f>AND(Plan!BA72,"AAAAAH/8fb8=")</f>
        <v>#VALUE!</v>
      </c>
      <c r="GK31" t="e">
        <f>AND(Plan!BB72,"AAAAAH/8fcA=")</f>
        <v>#VALUE!</v>
      </c>
      <c r="GL31" t="e">
        <f>AND(Plan!BC72,"AAAAAH/8fcE=")</f>
        <v>#VALUE!</v>
      </c>
      <c r="GM31" t="e">
        <f>AND(Plan!BD72,"AAAAAH/8fcI=")</f>
        <v>#VALUE!</v>
      </c>
      <c r="GN31" t="e">
        <f>AND(Plan!BE72,"AAAAAH/8fcM=")</f>
        <v>#VALUE!</v>
      </c>
      <c r="GO31" t="e">
        <f>AND(Plan!BF72,"AAAAAH/8fcQ=")</f>
        <v>#VALUE!</v>
      </c>
      <c r="GP31" t="e">
        <f>AND(Plan!BG72,"AAAAAH/8fcU=")</f>
        <v>#VALUE!</v>
      </c>
      <c r="GQ31" t="e">
        <f>AND(Plan!BH72,"AAAAAH/8fcY=")</f>
        <v>#VALUE!</v>
      </c>
      <c r="GR31" t="e">
        <f>AND(Plan!BI72,"AAAAAH/8fcc=")</f>
        <v>#VALUE!</v>
      </c>
      <c r="GS31" t="e">
        <f>AND(Plan!BJ72,"AAAAAH/8fcg=")</f>
        <v>#VALUE!</v>
      </c>
      <c r="GT31" t="e">
        <f>AND(Plan!BK72,"AAAAAH/8fck=")</f>
        <v>#VALUE!</v>
      </c>
      <c r="GU31" t="e">
        <f>AND(Plan!BL72,"AAAAAH/8fco=")</f>
        <v>#VALUE!</v>
      </c>
      <c r="GV31" t="e">
        <f>AND(Plan!BM72,"AAAAAH/8fcs=")</f>
        <v>#VALUE!</v>
      </c>
      <c r="GW31" t="e">
        <f>AND(Plan!BN72,"AAAAAH/8fcw=")</f>
        <v>#VALUE!</v>
      </c>
      <c r="GX31" t="e">
        <f>AND(Plan!BO72,"AAAAAH/8fc0=")</f>
        <v>#VALUE!</v>
      </c>
      <c r="GY31" t="e">
        <f>AND(Plan!BP72,"AAAAAH/8fc4=")</f>
        <v>#VALUE!</v>
      </c>
      <c r="GZ31" t="e">
        <f>AND(Plan!BQ72,"AAAAAH/8fc8=")</f>
        <v>#VALUE!</v>
      </c>
      <c r="HA31" t="e">
        <f>AND(Plan!BR72,"AAAAAH/8fdA=")</f>
        <v>#VALUE!</v>
      </c>
      <c r="HB31" t="e">
        <f>AND(Plan!BS72,"AAAAAH/8fdE=")</f>
        <v>#VALUE!</v>
      </c>
      <c r="HC31" t="e">
        <f>AND(Plan!BT72,"AAAAAH/8fdI=")</f>
        <v>#VALUE!</v>
      </c>
      <c r="HD31" t="e">
        <f>AND(Plan!BU72,"AAAAAH/8fdM=")</f>
        <v>#VALUE!</v>
      </c>
      <c r="HE31" t="e">
        <f>AND(Plan!BV72,"AAAAAH/8fdQ=")</f>
        <v>#VALUE!</v>
      </c>
      <c r="HF31" t="e">
        <f>AND(Plan!BW72,"AAAAAH/8fdU=")</f>
        <v>#VALUE!</v>
      </c>
      <c r="HG31" t="e">
        <f>AND(Plan!BX72,"AAAAAH/8fdY=")</f>
        <v>#VALUE!</v>
      </c>
      <c r="HH31" t="e">
        <f>AND(Plan!BY72,"AAAAAH/8fdc=")</f>
        <v>#VALUE!</v>
      </c>
      <c r="HI31" t="e">
        <f>AND(Plan!BZ72,"AAAAAH/8fdg=")</f>
        <v>#VALUE!</v>
      </c>
      <c r="HJ31" t="e">
        <f>AND(Plan!CA72,"AAAAAH/8fdk=")</f>
        <v>#VALUE!</v>
      </c>
      <c r="HK31" t="e">
        <f>AND(Plan!CB72,"AAAAAH/8fdo=")</f>
        <v>#VALUE!</v>
      </c>
      <c r="HL31" t="e">
        <f>AND(Plan!CC72,"AAAAAH/8fds=")</f>
        <v>#VALUE!</v>
      </c>
      <c r="HM31" t="e">
        <f>AND(Plan!CD72,"AAAAAH/8fdw=")</f>
        <v>#VALUE!</v>
      </c>
      <c r="HN31" t="e">
        <f>AND(Plan!CE72,"AAAAAH/8fd0=")</f>
        <v>#VALUE!</v>
      </c>
      <c r="HO31" t="e">
        <f>AND(Plan!CF72,"AAAAAH/8fd4=")</f>
        <v>#VALUE!</v>
      </c>
      <c r="HP31" t="e">
        <f>AND(Plan!CG72,"AAAAAH/8fd8=")</f>
        <v>#VALUE!</v>
      </c>
      <c r="HQ31" t="e">
        <f>AND(Plan!CH72,"AAAAAH/8feA=")</f>
        <v>#VALUE!</v>
      </c>
      <c r="HR31" t="e">
        <f>AND(Plan!CI72,"AAAAAH/8feE=")</f>
        <v>#VALUE!</v>
      </c>
      <c r="HS31" t="e">
        <f>AND(Plan!CJ72,"AAAAAH/8feI=")</f>
        <v>#VALUE!</v>
      </c>
      <c r="HT31" t="e">
        <f>AND(Plan!CK72,"AAAAAH/8feM=")</f>
        <v>#VALUE!</v>
      </c>
      <c r="HU31" t="e">
        <f>AND(Plan!CL72,"AAAAAH/8feQ=")</f>
        <v>#VALUE!</v>
      </c>
      <c r="HV31" t="e">
        <f>AND(Plan!CM72,"AAAAAH/8feU=")</f>
        <v>#VALUE!</v>
      </c>
      <c r="HW31" t="e">
        <f>AND(Plan!CN72,"AAAAAH/8feY=")</f>
        <v>#VALUE!</v>
      </c>
      <c r="HX31" t="e">
        <f>AND(Plan!CO72,"AAAAAH/8fec=")</f>
        <v>#VALUE!</v>
      </c>
      <c r="HY31" t="e">
        <f>AND(Plan!CP72,"AAAAAH/8feg=")</f>
        <v>#VALUE!</v>
      </c>
      <c r="HZ31" t="e">
        <f>AND(Plan!CQ72,"AAAAAH/8fek=")</f>
        <v>#VALUE!</v>
      </c>
      <c r="IA31" t="e">
        <f>AND(Plan!CR72,"AAAAAH/8feo=")</f>
        <v>#VALUE!</v>
      </c>
      <c r="IB31" t="e">
        <f>AND(Plan!CS72,"AAAAAH/8fes=")</f>
        <v>#VALUE!</v>
      </c>
      <c r="IC31" t="e">
        <f>AND(Plan!CT72,"AAAAAH/8few=")</f>
        <v>#VALUE!</v>
      </c>
      <c r="ID31" t="e">
        <f>AND(Plan!CU72,"AAAAAH/8fe0=")</f>
        <v>#VALUE!</v>
      </c>
      <c r="IE31" t="e">
        <f>AND(Plan!CV72,"AAAAAH/8fe4=")</f>
        <v>#VALUE!</v>
      </c>
      <c r="IF31" t="e">
        <f>AND(Plan!CW72,"AAAAAH/8fe8=")</f>
        <v>#VALUE!</v>
      </c>
      <c r="IG31">
        <f>IF(Plan!73:73,"AAAAAH/8ffA=",0)</f>
        <v>0</v>
      </c>
      <c r="IH31" t="e">
        <f>AND(Plan!A73,"AAAAAH/8ffE=")</f>
        <v>#VALUE!</v>
      </c>
      <c r="II31" t="e">
        <f>AND(Plan!B73,"AAAAAH/8ffI=")</f>
        <v>#VALUE!</v>
      </c>
      <c r="IJ31" t="e">
        <f>AND(Plan!C73,"AAAAAH/8ffM=")</f>
        <v>#VALUE!</v>
      </c>
      <c r="IK31" t="e">
        <f>AND(Plan!D73,"AAAAAH/8ffQ=")</f>
        <v>#VALUE!</v>
      </c>
      <c r="IL31" t="e">
        <f>AND(Plan!E73,"AAAAAH/8ffU=")</f>
        <v>#VALUE!</v>
      </c>
      <c r="IM31" t="e">
        <f>AND(Plan!F73,"AAAAAH/8ffY=")</f>
        <v>#VALUE!</v>
      </c>
      <c r="IN31" t="e">
        <f>AND(Plan!G73,"AAAAAH/8ffc=")</f>
        <v>#VALUE!</v>
      </c>
      <c r="IO31" t="e">
        <f>AND(Plan!H73,"AAAAAH/8ffg=")</f>
        <v>#VALUE!</v>
      </c>
      <c r="IP31" t="e">
        <f>AND(Plan!I73,"AAAAAH/8ffk=")</f>
        <v>#VALUE!</v>
      </c>
      <c r="IQ31" t="e">
        <f>AND(Plan!J73,"AAAAAH/8ffo=")</f>
        <v>#VALUE!</v>
      </c>
      <c r="IR31" t="e">
        <f>AND(Plan!K73,"AAAAAH/8ffs=")</f>
        <v>#VALUE!</v>
      </c>
      <c r="IS31" t="e">
        <f>AND(Plan!L73,"AAAAAH/8ffw=")</f>
        <v>#VALUE!</v>
      </c>
      <c r="IT31" t="e">
        <f>AND(Plan!M73,"AAAAAH/8ff0=")</f>
        <v>#VALUE!</v>
      </c>
      <c r="IU31" t="e">
        <f>AND(Plan!N73,"AAAAAH/8ff4=")</f>
        <v>#VALUE!</v>
      </c>
      <c r="IV31" t="e">
        <f>AND(Plan!O73,"AAAAAH/8ff8=")</f>
        <v>#VALUE!</v>
      </c>
    </row>
    <row r="32" spans="1:256">
      <c r="A32" t="e">
        <f>AND(Plan!P73,"AAAAAE+utwA=")</f>
        <v>#VALUE!</v>
      </c>
      <c r="B32" t="e">
        <f>AND(Plan!Q73,"AAAAAE+utwE=")</f>
        <v>#VALUE!</v>
      </c>
      <c r="C32" t="e">
        <f>AND(Plan!R73,"AAAAAE+utwI=")</f>
        <v>#VALUE!</v>
      </c>
      <c r="D32" t="e">
        <f>AND(Plan!S73,"AAAAAE+utwM=")</f>
        <v>#VALUE!</v>
      </c>
      <c r="E32" t="e">
        <f>AND(Plan!T73,"AAAAAE+utwQ=")</f>
        <v>#VALUE!</v>
      </c>
      <c r="F32" t="e">
        <f>AND(Plan!U73,"AAAAAE+utwU=")</f>
        <v>#VALUE!</v>
      </c>
      <c r="G32" t="e">
        <f>AND(Plan!V73,"AAAAAE+utwY=")</f>
        <v>#VALUE!</v>
      </c>
      <c r="H32" t="e">
        <f>AND(Plan!W73,"AAAAAE+utwc=")</f>
        <v>#VALUE!</v>
      </c>
      <c r="I32" t="e">
        <f>AND(Plan!X73,"AAAAAE+utwg=")</f>
        <v>#VALUE!</v>
      </c>
      <c r="J32" t="e">
        <f>AND(Plan!Y73,"AAAAAE+utwk=")</f>
        <v>#VALUE!</v>
      </c>
      <c r="K32" t="e">
        <f>AND(Plan!Z73,"AAAAAE+utwo=")</f>
        <v>#VALUE!</v>
      </c>
      <c r="L32" t="e">
        <f>AND(Plan!AA73,"AAAAAE+utws=")</f>
        <v>#VALUE!</v>
      </c>
      <c r="M32" t="e">
        <f>AND(Plan!AB73,"AAAAAE+utww=")</f>
        <v>#VALUE!</v>
      </c>
      <c r="N32" t="e">
        <f>AND(Plan!AC73,"AAAAAE+utw0=")</f>
        <v>#VALUE!</v>
      </c>
      <c r="O32" t="e">
        <f>AND(Plan!AD73,"AAAAAE+utw4=")</f>
        <v>#VALUE!</v>
      </c>
      <c r="P32" t="e">
        <f>AND(Plan!AE73,"AAAAAE+utw8=")</f>
        <v>#VALUE!</v>
      </c>
      <c r="Q32" t="e">
        <f>AND(Plan!AF73,"AAAAAE+utxA=")</f>
        <v>#VALUE!</v>
      </c>
      <c r="R32" t="e">
        <f>AND(Plan!AG73,"AAAAAE+utxE=")</f>
        <v>#VALUE!</v>
      </c>
      <c r="S32" t="e">
        <f>AND(Plan!AH73,"AAAAAE+utxI=")</f>
        <v>#VALUE!</v>
      </c>
      <c r="T32" t="e">
        <f>AND(Plan!AI73,"AAAAAE+utxM=")</f>
        <v>#VALUE!</v>
      </c>
      <c r="U32" t="e">
        <f>AND(Plan!AJ73,"AAAAAE+utxQ=")</f>
        <v>#VALUE!</v>
      </c>
      <c r="V32" t="e">
        <f>AND(Plan!AK73,"AAAAAE+utxU=")</f>
        <v>#VALUE!</v>
      </c>
      <c r="W32" t="e">
        <f>AND(Plan!AL73,"AAAAAE+utxY=")</f>
        <v>#VALUE!</v>
      </c>
      <c r="X32" t="e">
        <f>AND(Plan!AM73,"AAAAAE+utxc=")</f>
        <v>#VALUE!</v>
      </c>
      <c r="Y32" t="e">
        <f>AND(Plan!AN73,"AAAAAE+utxg=")</f>
        <v>#VALUE!</v>
      </c>
      <c r="Z32" t="e">
        <f>AND(Plan!AO73,"AAAAAE+utxk=")</f>
        <v>#VALUE!</v>
      </c>
      <c r="AA32" t="e">
        <f>AND(Plan!AP73,"AAAAAE+utxo=")</f>
        <v>#VALUE!</v>
      </c>
      <c r="AB32" t="e">
        <f>AND(Plan!AQ73,"AAAAAE+utxs=")</f>
        <v>#VALUE!</v>
      </c>
      <c r="AC32" t="e">
        <f>AND(Plan!AR73,"AAAAAE+utxw=")</f>
        <v>#VALUE!</v>
      </c>
      <c r="AD32" t="e">
        <f>AND(Plan!AS73,"AAAAAE+utx0=")</f>
        <v>#VALUE!</v>
      </c>
      <c r="AE32" t="e">
        <f>AND(Plan!AT73,"AAAAAE+utx4=")</f>
        <v>#VALUE!</v>
      </c>
      <c r="AF32" t="e">
        <f>AND(Plan!AU73,"AAAAAE+utx8=")</f>
        <v>#VALUE!</v>
      </c>
      <c r="AG32" t="e">
        <f>AND(Plan!AV73,"AAAAAE+utyA=")</f>
        <v>#VALUE!</v>
      </c>
      <c r="AH32" t="e">
        <f>AND(Plan!AW73,"AAAAAE+utyE=")</f>
        <v>#VALUE!</v>
      </c>
      <c r="AI32" t="e">
        <f>AND(Plan!AX73,"AAAAAE+utyI=")</f>
        <v>#VALUE!</v>
      </c>
      <c r="AJ32" t="e">
        <f>AND(Plan!AY73,"AAAAAE+utyM=")</f>
        <v>#VALUE!</v>
      </c>
      <c r="AK32" t="e">
        <f>AND(Plan!AZ73,"AAAAAE+utyQ=")</f>
        <v>#VALUE!</v>
      </c>
      <c r="AL32" t="e">
        <f>AND(Plan!BA73,"AAAAAE+utyU=")</f>
        <v>#VALUE!</v>
      </c>
      <c r="AM32" t="e">
        <f>AND(Plan!BB73,"AAAAAE+utyY=")</f>
        <v>#VALUE!</v>
      </c>
      <c r="AN32" t="e">
        <f>AND(Plan!BC73,"AAAAAE+utyc=")</f>
        <v>#VALUE!</v>
      </c>
      <c r="AO32" t="e">
        <f>AND(Plan!BD73,"AAAAAE+utyg=")</f>
        <v>#VALUE!</v>
      </c>
      <c r="AP32" t="e">
        <f>AND(Plan!BE73,"AAAAAE+utyk=")</f>
        <v>#VALUE!</v>
      </c>
      <c r="AQ32" t="e">
        <f>AND(Plan!BF73,"AAAAAE+utyo=")</f>
        <v>#VALUE!</v>
      </c>
      <c r="AR32" t="e">
        <f>AND(Plan!BG73,"AAAAAE+utys=")</f>
        <v>#VALUE!</v>
      </c>
      <c r="AS32" t="e">
        <f>AND(Plan!BH73,"AAAAAE+utyw=")</f>
        <v>#VALUE!</v>
      </c>
      <c r="AT32" t="e">
        <f>AND(Plan!BI73,"AAAAAE+uty0=")</f>
        <v>#VALUE!</v>
      </c>
      <c r="AU32" t="e">
        <f>AND(Plan!BJ73,"AAAAAE+uty4=")</f>
        <v>#VALUE!</v>
      </c>
      <c r="AV32" t="e">
        <f>AND(Plan!BK73,"AAAAAE+uty8=")</f>
        <v>#VALUE!</v>
      </c>
      <c r="AW32" t="e">
        <f>AND(Plan!BL73,"AAAAAE+utzA=")</f>
        <v>#VALUE!</v>
      </c>
      <c r="AX32" t="e">
        <f>AND(Plan!BM73,"AAAAAE+utzE=")</f>
        <v>#VALUE!</v>
      </c>
      <c r="AY32" t="e">
        <f>AND(Plan!BN73,"AAAAAE+utzI=")</f>
        <v>#VALUE!</v>
      </c>
      <c r="AZ32" t="e">
        <f>AND(Plan!BO73,"AAAAAE+utzM=")</f>
        <v>#VALUE!</v>
      </c>
      <c r="BA32" t="e">
        <f>AND(Plan!BP73,"AAAAAE+utzQ=")</f>
        <v>#VALUE!</v>
      </c>
      <c r="BB32" t="e">
        <f>AND(Plan!BQ73,"AAAAAE+utzU=")</f>
        <v>#VALUE!</v>
      </c>
      <c r="BC32" t="e">
        <f>AND(Plan!BR73,"AAAAAE+utzY=")</f>
        <v>#VALUE!</v>
      </c>
      <c r="BD32" t="e">
        <f>AND(Plan!BS73,"AAAAAE+utzc=")</f>
        <v>#VALUE!</v>
      </c>
      <c r="BE32" t="e">
        <f>AND(Plan!BT73,"AAAAAE+utzg=")</f>
        <v>#VALUE!</v>
      </c>
      <c r="BF32" t="e">
        <f>AND(Plan!BU73,"AAAAAE+utzk=")</f>
        <v>#VALUE!</v>
      </c>
      <c r="BG32" t="e">
        <f>AND(Plan!BV73,"AAAAAE+utzo=")</f>
        <v>#VALUE!</v>
      </c>
      <c r="BH32" t="e">
        <f>AND(Plan!BW73,"AAAAAE+utzs=")</f>
        <v>#VALUE!</v>
      </c>
      <c r="BI32" t="e">
        <f>AND(Plan!BX73,"AAAAAE+utzw=")</f>
        <v>#VALUE!</v>
      </c>
      <c r="BJ32" t="e">
        <f>AND(Plan!BY73,"AAAAAE+utz0=")</f>
        <v>#VALUE!</v>
      </c>
      <c r="BK32" t="e">
        <f>AND(Plan!BZ73,"AAAAAE+utz4=")</f>
        <v>#VALUE!</v>
      </c>
      <c r="BL32" t="e">
        <f>AND(Plan!CA73,"AAAAAE+utz8=")</f>
        <v>#VALUE!</v>
      </c>
      <c r="BM32" t="e">
        <f>AND(Plan!CB73,"AAAAAE+ut0A=")</f>
        <v>#VALUE!</v>
      </c>
      <c r="BN32" t="e">
        <f>AND(Plan!CC73,"AAAAAE+ut0E=")</f>
        <v>#VALUE!</v>
      </c>
      <c r="BO32" t="e">
        <f>AND(Plan!CD73,"AAAAAE+ut0I=")</f>
        <v>#VALUE!</v>
      </c>
      <c r="BP32" t="e">
        <f>AND(Plan!CE73,"AAAAAE+ut0M=")</f>
        <v>#VALUE!</v>
      </c>
      <c r="BQ32" t="e">
        <f>AND(Plan!CF73,"AAAAAE+ut0Q=")</f>
        <v>#VALUE!</v>
      </c>
      <c r="BR32" t="e">
        <f>AND(Plan!CG73,"AAAAAE+ut0U=")</f>
        <v>#VALUE!</v>
      </c>
      <c r="BS32" t="e">
        <f>AND(Plan!CH73,"AAAAAE+ut0Y=")</f>
        <v>#VALUE!</v>
      </c>
      <c r="BT32" t="e">
        <f>AND(Plan!CI73,"AAAAAE+ut0c=")</f>
        <v>#VALUE!</v>
      </c>
      <c r="BU32" t="e">
        <f>AND(Plan!CJ73,"AAAAAE+ut0g=")</f>
        <v>#VALUE!</v>
      </c>
      <c r="BV32" t="e">
        <f>AND(Plan!CK73,"AAAAAE+ut0k=")</f>
        <v>#VALUE!</v>
      </c>
      <c r="BW32" t="e">
        <f>AND(Plan!CL73,"AAAAAE+ut0o=")</f>
        <v>#VALUE!</v>
      </c>
      <c r="BX32" t="e">
        <f>AND(Plan!CM73,"AAAAAE+ut0s=")</f>
        <v>#VALUE!</v>
      </c>
      <c r="BY32" t="e">
        <f>AND(Plan!CN73,"AAAAAE+ut0w=")</f>
        <v>#VALUE!</v>
      </c>
      <c r="BZ32" t="e">
        <f>AND(Plan!CO73,"AAAAAE+ut00=")</f>
        <v>#VALUE!</v>
      </c>
      <c r="CA32" t="e">
        <f>AND(Plan!CP73,"AAAAAE+ut04=")</f>
        <v>#VALUE!</v>
      </c>
      <c r="CB32" t="e">
        <f>AND(Plan!CQ73,"AAAAAE+ut08=")</f>
        <v>#VALUE!</v>
      </c>
      <c r="CC32" t="e">
        <f>AND(Plan!CR73,"AAAAAE+ut1A=")</f>
        <v>#VALUE!</v>
      </c>
      <c r="CD32" t="e">
        <f>AND(Plan!CS73,"AAAAAE+ut1E=")</f>
        <v>#VALUE!</v>
      </c>
      <c r="CE32" t="e">
        <f>AND(Plan!CT73,"AAAAAE+ut1I=")</f>
        <v>#VALUE!</v>
      </c>
      <c r="CF32" t="e">
        <f>AND(Plan!CU73,"AAAAAE+ut1M=")</f>
        <v>#VALUE!</v>
      </c>
      <c r="CG32" t="e">
        <f>AND(Plan!CV73,"AAAAAE+ut1Q=")</f>
        <v>#VALUE!</v>
      </c>
      <c r="CH32" t="e">
        <f>AND(Plan!CW73,"AAAAAE+ut1U=")</f>
        <v>#VALUE!</v>
      </c>
      <c r="CI32">
        <f>IF(Plan!74:74,"AAAAAE+ut1Y=",0)</f>
        <v>0</v>
      </c>
      <c r="CJ32" t="e">
        <f>AND(Plan!A74,"AAAAAE+ut1c=")</f>
        <v>#VALUE!</v>
      </c>
      <c r="CK32" t="e">
        <f>AND(Plan!B74,"AAAAAE+ut1g=")</f>
        <v>#VALUE!</v>
      </c>
      <c r="CL32" t="e">
        <f>AND(Plan!C74,"AAAAAE+ut1k=")</f>
        <v>#VALUE!</v>
      </c>
      <c r="CM32" t="e">
        <f>AND(Plan!D74,"AAAAAE+ut1o=")</f>
        <v>#VALUE!</v>
      </c>
      <c r="CN32" t="e">
        <f>AND(Plan!E74,"AAAAAE+ut1s=")</f>
        <v>#VALUE!</v>
      </c>
      <c r="CO32" t="e">
        <f>AND(Plan!F74,"AAAAAE+ut1w=")</f>
        <v>#VALUE!</v>
      </c>
      <c r="CP32" t="e">
        <f>AND(Plan!G74,"AAAAAE+ut10=")</f>
        <v>#VALUE!</v>
      </c>
      <c r="CQ32" t="e">
        <f>AND(Plan!H74,"AAAAAE+ut14=")</f>
        <v>#VALUE!</v>
      </c>
      <c r="CR32" t="e">
        <f>AND(Plan!I74,"AAAAAE+ut18=")</f>
        <v>#VALUE!</v>
      </c>
      <c r="CS32" t="e">
        <f>AND(Plan!J74,"AAAAAE+ut2A=")</f>
        <v>#VALUE!</v>
      </c>
      <c r="CT32" t="e">
        <f>AND(Plan!K74,"AAAAAE+ut2E=")</f>
        <v>#VALUE!</v>
      </c>
      <c r="CU32" t="e">
        <f>AND(Plan!L74,"AAAAAE+ut2I=")</f>
        <v>#VALUE!</v>
      </c>
      <c r="CV32" t="e">
        <f>AND(Plan!M74,"AAAAAE+ut2M=")</f>
        <v>#VALUE!</v>
      </c>
      <c r="CW32" t="e">
        <f>AND(Plan!N74,"AAAAAE+ut2Q=")</f>
        <v>#VALUE!</v>
      </c>
      <c r="CX32" t="e">
        <f>AND(Plan!O74,"AAAAAE+ut2U=")</f>
        <v>#VALUE!</v>
      </c>
      <c r="CY32" t="e">
        <f>AND(Plan!P74,"AAAAAE+ut2Y=")</f>
        <v>#VALUE!</v>
      </c>
      <c r="CZ32" t="e">
        <f>AND(Plan!Q74,"AAAAAE+ut2c=")</f>
        <v>#VALUE!</v>
      </c>
      <c r="DA32" t="e">
        <f>AND(Plan!R74,"AAAAAE+ut2g=")</f>
        <v>#VALUE!</v>
      </c>
      <c r="DB32" t="e">
        <f>AND(Plan!S74,"AAAAAE+ut2k=")</f>
        <v>#VALUE!</v>
      </c>
      <c r="DC32" t="e">
        <f>AND(Plan!T74,"AAAAAE+ut2o=")</f>
        <v>#VALUE!</v>
      </c>
      <c r="DD32" t="e">
        <f>AND(Plan!U74,"AAAAAE+ut2s=")</f>
        <v>#VALUE!</v>
      </c>
      <c r="DE32" t="e">
        <f>AND(Plan!V74,"AAAAAE+ut2w=")</f>
        <v>#VALUE!</v>
      </c>
      <c r="DF32" t="e">
        <f>AND(Plan!W74,"AAAAAE+ut20=")</f>
        <v>#VALUE!</v>
      </c>
      <c r="DG32" t="e">
        <f>AND(Plan!X74,"AAAAAE+ut24=")</f>
        <v>#VALUE!</v>
      </c>
      <c r="DH32" t="e">
        <f>AND(Plan!Y74,"AAAAAE+ut28=")</f>
        <v>#VALUE!</v>
      </c>
      <c r="DI32" t="e">
        <f>AND(Plan!Z74,"AAAAAE+ut3A=")</f>
        <v>#VALUE!</v>
      </c>
      <c r="DJ32" t="e">
        <f>AND(Plan!AA74,"AAAAAE+ut3E=")</f>
        <v>#VALUE!</v>
      </c>
      <c r="DK32" t="e">
        <f>AND(Plan!AB74,"AAAAAE+ut3I=")</f>
        <v>#VALUE!</v>
      </c>
      <c r="DL32" t="e">
        <f>AND(Plan!AC74,"AAAAAE+ut3M=")</f>
        <v>#VALUE!</v>
      </c>
      <c r="DM32" t="e">
        <f>AND(Plan!AD74,"AAAAAE+ut3Q=")</f>
        <v>#VALUE!</v>
      </c>
      <c r="DN32" t="e">
        <f>AND(Plan!AE74,"AAAAAE+ut3U=")</f>
        <v>#VALUE!</v>
      </c>
      <c r="DO32" t="e">
        <f>AND(Plan!AF74,"AAAAAE+ut3Y=")</f>
        <v>#VALUE!</v>
      </c>
      <c r="DP32" t="e">
        <f>AND(Plan!AG74,"AAAAAE+ut3c=")</f>
        <v>#VALUE!</v>
      </c>
      <c r="DQ32" t="e">
        <f>AND(Plan!AH74,"AAAAAE+ut3g=")</f>
        <v>#VALUE!</v>
      </c>
      <c r="DR32" t="e">
        <f>AND(Plan!AI74,"AAAAAE+ut3k=")</f>
        <v>#VALUE!</v>
      </c>
      <c r="DS32" t="e">
        <f>AND(Plan!AJ74,"AAAAAE+ut3o=")</f>
        <v>#VALUE!</v>
      </c>
      <c r="DT32" t="e">
        <f>AND(Plan!AK74,"AAAAAE+ut3s=")</f>
        <v>#VALUE!</v>
      </c>
      <c r="DU32" t="e">
        <f>AND(Plan!AL74,"AAAAAE+ut3w=")</f>
        <v>#VALUE!</v>
      </c>
      <c r="DV32" t="e">
        <f>AND(Plan!AM74,"AAAAAE+ut30=")</f>
        <v>#VALUE!</v>
      </c>
      <c r="DW32" t="e">
        <f>AND(Plan!AN74,"AAAAAE+ut34=")</f>
        <v>#VALUE!</v>
      </c>
      <c r="DX32" t="e">
        <f>AND(Plan!AO74,"AAAAAE+ut38=")</f>
        <v>#VALUE!</v>
      </c>
      <c r="DY32" t="e">
        <f>AND(Plan!AP74,"AAAAAE+ut4A=")</f>
        <v>#VALUE!</v>
      </c>
      <c r="DZ32" t="e">
        <f>AND(Plan!AQ74,"AAAAAE+ut4E=")</f>
        <v>#VALUE!</v>
      </c>
      <c r="EA32" t="e">
        <f>AND(Plan!AR74,"AAAAAE+ut4I=")</f>
        <v>#VALUE!</v>
      </c>
      <c r="EB32" t="e">
        <f>AND(Plan!AS74,"AAAAAE+ut4M=")</f>
        <v>#VALUE!</v>
      </c>
      <c r="EC32" t="e">
        <f>AND(Plan!AT74,"AAAAAE+ut4Q=")</f>
        <v>#VALUE!</v>
      </c>
      <c r="ED32" t="e">
        <f>AND(Plan!AU74,"AAAAAE+ut4U=")</f>
        <v>#VALUE!</v>
      </c>
      <c r="EE32" t="e">
        <f>AND(Plan!AV74,"AAAAAE+ut4Y=")</f>
        <v>#VALUE!</v>
      </c>
      <c r="EF32" t="e">
        <f>AND(Plan!AW74,"AAAAAE+ut4c=")</f>
        <v>#VALUE!</v>
      </c>
      <c r="EG32" t="e">
        <f>AND(Plan!AX74,"AAAAAE+ut4g=")</f>
        <v>#VALUE!</v>
      </c>
      <c r="EH32" t="e">
        <f>AND(Plan!AY74,"AAAAAE+ut4k=")</f>
        <v>#VALUE!</v>
      </c>
      <c r="EI32" t="e">
        <f>AND(Plan!AZ74,"AAAAAE+ut4o=")</f>
        <v>#VALUE!</v>
      </c>
      <c r="EJ32" t="e">
        <f>AND(Plan!BA74,"AAAAAE+ut4s=")</f>
        <v>#VALUE!</v>
      </c>
      <c r="EK32" t="e">
        <f>AND(Plan!BB74,"AAAAAE+ut4w=")</f>
        <v>#VALUE!</v>
      </c>
      <c r="EL32" t="e">
        <f>AND(Plan!BC74,"AAAAAE+ut40=")</f>
        <v>#VALUE!</v>
      </c>
      <c r="EM32" t="e">
        <f>AND(Plan!BD74,"AAAAAE+ut44=")</f>
        <v>#VALUE!</v>
      </c>
      <c r="EN32" t="e">
        <f>AND(Plan!BE74,"AAAAAE+ut48=")</f>
        <v>#VALUE!</v>
      </c>
      <c r="EO32" t="e">
        <f>AND(Plan!BF74,"AAAAAE+ut5A=")</f>
        <v>#VALUE!</v>
      </c>
      <c r="EP32" t="e">
        <f>AND(Plan!BG74,"AAAAAE+ut5E=")</f>
        <v>#VALUE!</v>
      </c>
      <c r="EQ32" t="e">
        <f>AND(Plan!BH74,"AAAAAE+ut5I=")</f>
        <v>#VALUE!</v>
      </c>
      <c r="ER32" t="e">
        <f>AND(Plan!BI74,"AAAAAE+ut5M=")</f>
        <v>#VALUE!</v>
      </c>
      <c r="ES32" t="e">
        <f>AND(Plan!BJ74,"AAAAAE+ut5Q=")</f>
        <v>#VALUE!</v>
      </c>
      <c r="ET32" t="e">
        <f>AND(Plan!BK74,"AAAAAE+ut5U=")</f>
        <v>#VALUE!</v>
      </c>
      <c r="EU32" t="e">
        <f>AND(Plan!BL74,"AAAAAE+ut5Y=")</f>
        <v>#VALUE!</v>
      </c>
      <c r="EV32" t="e">
        <f>AND(Plan!BM74,"AAAAAE+ut5c=")</f>
        <v>#VALUE!</v>
      </c>
      <c r="EW32" t="e">
        <f>AND(Plan!BN74,"AAAAAE+ut5g=")</f>
        <v>#VALUE!</v>
      </c>
      <c r="EX32" t="e">
        <f>AND(Plan!BO74,"AAAAAE+ut5k=")</f>
        <v>#VALUE!</v>
      </c>
      <c r="EY32" t="e">
        <f>AND(Plan!BP74,"AAAAAE+ut5o=")</f>
        <v>#VALUE!</v>
      </c>
      <c r="EZ32" t="e">
        <f>AND(Plan!BQ74,"AAAAAE+ut5s=")</f>
        <v>#VALUE!</v>
      </c>
      <c r="FA32" t="e">
        <f>AND(Plan!BR74,"AAAAAE+ut5w=")</f>
        <v>#VALUE!</v>
      </c>
      <c r="FB32" t="e">
        <f>AND(Plan!BS74,"AAAAAE+ut50=")</f>
        <v>#VALUE!</v>
      </c>
      <c r="FC32" t="e">
        <f>AND(Plan!BT74,"AAAAAE+ut54=")</f>
        <v>#VALUE!</v>
      </c>
      <c r="FD32" t="e">
        <f>AND(Plan!BU74,"AAAAAE+ut58=")</f>
        <v>#VALUE!</v>
      </c>
      <c r="FE32" t="e">
        <f>AND(Plan!BV74,"AAAAAE+ut6A=")</f>
        <v>#VALUE!</v>
      </c>
      <c r="FF32" t="e">
        <f>AND(Plan!BW74,"AAAAAE+ut6E=")</f>
        <v>#VALUE!</v>
      </c>
      <c r="FG32" t="e">
        <f>AND(Plan!BX74,"AAAAAE+ut6I=")</f>
        <v>#VALUE!</v>
      </c>
      <c r="FH32" t="e">
        <f>AND(Plan!BY74,"AAAAAE+ut6M=")</f>
        <v>#VALUE!</v>
      </c>
      <c r="FI32" t="e">
        <f>AND(Plan!BZ74,"AAAAAE+ut6Q=")</f>
        <v>#VALUE!</v>
      </c>
      <c r="FJ32" t="e">
        <f>AND(Plan!CA74,"AAAAAE+ut6U=")</f>
        <v>#VALUE!</v>
      </c>
      <c r="FK32" t="e">
        <f>AND(Plan!CB74,"AAAAAE+ut6Y=")</f>
        <v>#VALUE!</v>
      </c>
      <c r="FL32" t="e">
        <f>AND(Plan!CC74,"AAAAAE+ut6c=")</f>
        <v>#VALUE!</v>
      </c>
      <c r="FM32" t="e">
        <f>AND(Plan!CD74,"AAAAAE+ut6g=")</f>
        <v>#VALUE!</v>
      </c>
      <c r="FN32" t="e">
        <f>AND(Plan!CE74,"AAAAAE+ut6k=")</f>
        <v>#VALUE!</v>
      </c>
      <c r="FO32" t="e">
        <f>AND(Plan!CF74,"AAAAAE+ut6o=")</f>
        <v>#VALUE!</v>
      </c>
      <c r="FP32" t="e">
        <f>AND(Plan!CG74,"AAAAAE+ut6s=")</f>
        <v>#VALUE!</v>
      </c>
      <c r="FQ32" t="e">
        <f>AND(Plan!CH74,"AAAAAE+ut6w=")</f>
        <v>#VALUE!</v>
      </c>
      <c r="FR32" t="e">
        <f>AND(Plan!CI74,"AAAAAE+ut60=")</f>
        <v>#VALUE!</v>
      </c>
      <c r="FS32" t="e">
        <f>AND(Plan!CJ74,"AAAAAE+ut64=")</f>
        <v>#VALUE!</v>
      </c>
      <c r="FT32" t="e">
        <f>AND(Plan!CK74,"AAAAAE+ut68=")</f>
        <v>#VALUE!</v>
      </c>
      <c r="FU32" t="e">
        <f>AND(Plan!CL74,"AAAAAE+ut7A=")</f>
        <v>#VALUE!</v>
      </c>
      <c r="FV32" t="e">
        <f>AND(Plan!CM74,"AAAAAE+ut7E=")</f>
        <v>#VALUE!</v>
      </c>
      <c r="FW32" t="e">
        <f>AND(Plan!CN74,"AAAAAE+ut7I=")</f>
        <v>#VALUE!</v>
      </c>
      <c r="FX32" t="e">
        <f>AND(Plan!CO74,"AAAAAE+ut7M=")</f>
        <v>#VALUE!</v>
      </c>
      <c r="FY32" t="e">
        <f>AND(Plan!CP74,"AAAAAE+ut7Q=")</f>
        <v>#VALUE!</v>
      </c>
      <c r="FZ32" t="e">
        <f>AND(Plan!CQ74,"AAAAAE+ut7U=")</f>
        <v>#VALUE!</v>
      </c>
      <c r="GA32" t="e">
        <f>AND(Plan!CR74,"AAAAAE+ut7Y=")</f>
        <v>#VALUE!</v>
      </c>
      <c r="GB32" t="e">
        <f>AND(Plan!CS74,"AAAAAE+ut7c=")</f>
        <v>#VALUE!</v>
      </c>
      <c r="GC32" t="e">
        <f>AND(Plan!CT74,"AAAAAE+ut7g=")</f>
        <v>#VALUE!</v>
      </c>
      <c r="GD32" t="e">
        <f>AND(Plan!CU74,"AAAAAE+ut7k=")</f>
        <v>#VALUE!</v>
      </c>
      <c r="GE32" t="e">
        <f>AND(Plan!CV74,"AAAAAE+ut7o=")</f>
        <v>#VALUE!</v>
      </c>
      <c r="GF32" t="e">
        <f>AND(Plan!CW74,"AAAAAE+ut7s=")</f>
        <v>#VALUE!</v>
      </c>
      <c r="GG32">
        <f>IF(Plan!75:75,"AAAAAE+ut7w=",0)</f>
        <v>0</v>
      </c>
      <c r="GH32" t="e">
        <f>AND(Plan!A75,"AAAAAE+ut70=")</f>
        <v>#VALUE!</v>
      </c>
      <c r="GI32" t="e">
        <f>AND(Plan!B75,"AAAAAE+ut74=")</f>
        <v>#VALUE!</v>
      </c>
      <c r="GJ32" t="e">
        <f>AND(Plan!C75,"AAAAAE+ut78=")</f>
        <v>#VALUE!</v>
      </c>
      <c r="GK32" t="e">
        <f>AND(Plan!D75,"AAAAAE+ut8A=")</f>
        <v>#VALUE!</v>
      </c>
      <c r="GL32" t="e">
        <f>AND(Plan!E75,"AAAAAE+ut8E=")</f>
        <v>#VALUE!</v>
      </c>
      <c r="GM32" t="e">
        <f>AND(Plan!F75,"AAAAAE+ut8I=")</f>
        <v>#VALUE!</v>
      </c>
      <c r="GN32" t="e">
        <f>AND(Plan!G75,"AAAAAE+ut8M=")</f>
        <v>#VALUE!</v>
      </c>
      <c r="GO32" t="e">
        <f>AND(Plan!H75,"AAAAAE+ut8Q=")</f>
        <v>#VALUE!</v>
      </c>
      <c r="GP32" t="e">
        <f>AND(Plan!I75,"AAAAAE+ut8U=")</f>
        <v>#VALUE!</v>
      </c>
      <c r="GQ32" t="e">
        <f>AND(Plan!J75,"AAAAAE+ut8Y=")</f>
        <v>#VALUE!</v>
      </c>
      <c r="GR32" t="e">
        <f>AND(Plan!K75,"AAAAAE+ut8c=")</f>
        <v>#VALUE!</v>
      </c>
      <c r="GS32" t="e">
        <f>AND(Plan!L75,"AAAAAE+ut8g=")</f>
        <v>#VALUE!</v>
      </c>
      <c r="GT32" t="e">
        <f>AND(Plan!M75,"AAAAAE+ut8k=")</f>
        <v>#VALUE!</v>
      </c>
      <c r="GU32" t="e">
        <f>AND(Plan!N75,"AAAAAE+ut8o=")</f>
        <v>#VALUE!</v>
      </c>
      <c r="GV32" t="e">
        <f>AND(Plan!O75,"AAAAAE+ut8s=")</f>
        <v>#VALUE!</v>
      </c>
      <c r="GW32" t="e">
        <f>AND(Plan!P75,"AAAAAE+ut8w=")</f>
        <v>#VALUE!</v>
      </c>
      <c r="GX32" t="e">
        <f>AND(Plan!Q75,"AAAAAE+ut80=")</f>
        <v>#VALUE!</v>
      </c>
      <c r="GY32" t="e">
        <f>AND(Plan!R75,"AAAAAE+ut84=")</f>
        <v>#VALUE!</v>
      </c>
      <c r="GZ32" t="e">
        <f>AND(Plan!S75,"AAAAAE+ut88=")</f>
        <v>#VALUE!</v>
      </c>
      <c r="HA32" t="e">
        <f>AND(Plan!T75,"AAAAAE+ut9A=")</f>
        <v>#VALUE!</v>
      </c>
      <c r="HB32" t="e">
        <f>AND(Plan!U75,"AAAAAE+ut9E=")</f>
        <v>#VALUE!</v>
      </c>
      <c r="HC32" t="e">
        <f>AND(Plan!V75,"AAAAAE+ut9I=")</f>
        <v>#VALUE!</v>
      </c>
      <c r="HD32" t="e">
        <f>AND(Plan!W75,"AAAAAE+ut9M=")</f>
        <v>#VALUE!</v>
      </c>
      <c r="HE32" t="e">
        <f>AND(Plan!X75,"AAAAAE+ut9Q=")</f>
        <v>#VALUE!</v>
      </c>
      <c r="HF32" t="e">
        <f>AND(Plan!Y75,"AAAAAE+ut9U=")</f>
        <v>#VALUE!</v>
      </c>
      <c r="HG32" t="e">
        <f>AND(Plan!Z75,"AAAAAE+ut9Y=")</f>
        <v>#VALUE!</v>
      </c>
      <c r="HH32" t="e">
        <f>AND(Plan!AA75,"AAAAAE+ut9c=")</f>
        <v>#VALUE!</v>
      </c>
      <c r="HI32" t="e">
        <f>AND(Plan!AB75,"AAAAAE+ut9g=")</f>
        <v>#VALUE!</v>
      </c>
      <c r="HJ32" t="e">
        <f>AND(Plan!AC75,"AAAAAE+ut9k=")</f>
        <v>#VALUE!</v>
      </c>
      <c r="HK32" t="e">
        <f>AND(Plan!AD75,"AAAAAE+ut9o=")</f>
        <v>#VALUE!</v>
      </c>
      <c r="HL32" t="e">
        <f>AND(Plan!AE75,"AAAAAE+ut9s=")</f>
        <v>#VALUE!</v>
      </c>
      <c r="HM32" t="e">
        <f>AND(Plan!AF75,"AAAAAE+ut9w=")</f>
        <v>#VALUE!</v>
      </c>
      <c r="HN32" t="e">
        <f>AND(Plan!AG75,"AAAAAE+ut90=")</f>
        <v>#VALUE!</v>
      </c>
      <c r="HO32" t="e">
        <f>AND(Plan!AH75,"AAAAAE+ut94=")</f>
        <v>#VALUE!</v>
      </c>
      <c r="HP32" t="e">
        <f>AND(Plan!AI75,"AAAAAE+ut98=")</f>
        <v>#VALUE!</v>
      </c>
      <c r="HQ32" t="e">
        <f>AND(Plan!AJ75,"AAAAAE+ut+A=")</f>
        <v>#VALUE!</v>
      </c>
      <c r="HR32" t="e">
        <f>AND(Plan!AK75,"AAAAAE+ut+E=")</f>
        <v>#VALUE!</v>
      </c>
      <c r="HS32" t="e">
        <f>AND(Plan!AL75,"AAAAAE+ut+I=")</f>
        <v>#VALUE!</v>
      </c>
      <c r="HT32" t="e">
        <f>AND(Plan!AM75,"AAAAAE+ut+M=")</f>
        <v>#VALUE!</v>
      </c>
      <c r="HU32" t="e">
        <f>AND(Plan!AN75,"AAAAAE+ut+Q=")</f>
        <v>#VALUE!</v>
      </c>
      <c r="HV32" t="e">
        <f>AND(Plan!AO75,"AAAAAE+ut+U=")</f>
        <v>#VALUE!</v>
      </c>
      <c r="HW32" t="e">
        <f>AND(Plan!AP75,"AAAAAE+ut+Y=")</f>
        <v>#VALUE!</v>
      </c>
      <c r="HX32" t="e">
        <f>AND(Plan!AQ75,"AAAAAE+ut+c=")</f>
        <v>#VALUE!</v>
      </c>
      <c r="HY32" t="e">
        <f>AND(Plan!AR75,"AAAAAE+ut+g=")</f>
        <v>#VALUE!</v>
      </c>
      <c r="HZ32" t="e">
        <f>AND(Plan!AS75,"AAAAAE+ut+k=")</f>
        <v>#VALUE!</v>
      </c>
      <c r="IA32" t="e">
        <f>AND(Plan!AT75,"AAAAAE+ut+o=")</f>
        <v>#VALUE!</v>
      </c>
      <c r="IB32" t="e">
        <f>AND(Plan!AU75,"AAAAAE+ut+s=")</f>
        <v>#VALUE!</v>
      </c>
      <c r="IC32" t="e">
        <f>AND(Plan!AV75,"AAAAAE+ut+w=")</f>
        <v>#VALUE!</v>
      </c>
      <c r="ID32" t="e">
        <f>AND(Plan!AW75,"AAAAAE+ut+0=")</f>
        <v>#VALUE!</v>
      </c>
      <c r="IE32" t="e">
        <f>AND(Plan!AX75,"AAAAAE+ut+4=")</f>
        <v>#VALUE!</v>
      </c>
      <c r="IF32" t="e">
        <f>AND(Plan!AY75,"AAAAAE+ut+8=")</f>
        <v>#VALUE!</v>
      </c>
      <c r="IG32" t="e">
        <f>AND(Plan!AZ75,"AAAAAE+ut/A=")</f>
        <v>#VALUE!</v>
      </c>
      <c r="IH32" t="e">
        <f>AND(Plan!BA75,"AAAAAE+ut/E=")</f>
        <v>#VALUE!</v>
      </c>
      <c r="II32" t="e">
        <f>AND(Plan!BB75,"AAAAAE+ut/I=")</f>
        <v>#VALUE!</v>
      </c>
      <c r="IJ32" t="e">
        <f>AND(Plan!BC75,"AAAAAE+ut/M=")</f>
        <v>#VALUE!</v>
      </c>
      <c r="IK32" t="e">
        <f>AND(Plan!BD75,"AAAAAE+ut/Q=")</f>
        <v>#VALUE!</v>
      </c>
      <c r="IL32" t="e">
        <f>AND(Plan!BE75,"AAAAAE+ut/U=")</f>
        <v>#VALUE!</v>
      </c>
      <c r="IM32" t="e">
        <f>AND(Plan!BF75,"AAAAAE+ut/Y=")</f>
        <v>#VALUE!</v>
      </c>
      <c r="IN32" t="e">
        <f>AND(Plan!BG75,"AAAAAE+ut/c=")</f>
        <v>#VALUE!</v>
      </c>
      <c r="IO32" t="e">
        <f>AND(Plan!BH75,"AAAAAE+ut/g=")</f>
        <v>#VALUE!</v>
      </c>
      <c r="IP32" t="e">
        <f>AND(Plan!BI75,"AAAAAE+ut/k=")</f>
        <v>#VALUE!</v>
      </c>
      <c r="IQ32" t="e">
        <f>AND(Plan!BJ75,"AAAAAE+ut/o=")</f>
        <v>#VALUE!</v>
      </c>
      <c r="IR32" t="e">
        <f>AND(Plan!BK75,"AAAAAE+ut/s=")</f>
        <v>#VALUE!</v>
      </c>
      <c r="IS32" t="e">
        <f>AND(Plan!BL75,"AAAAAE+ut/w=")</f>
        <v>#VALUE!</v>
      </c>
      <c r="IT32" t="e">
        <f>AND(Plan!BM75,"AAAAAE+ut/0=")</f>
        <v>#VALUE!</v>
      </c>
      <c r="IU32" t="e">
        <f>AND(Plan!BN75,"AAAAAE+ut/4=")</f>
        <v>#VALUE!</v>
      </c>
      <c r="IV32" t="e">
        <f>AND(Plan!BO75,"AAAAAE+ut/8=")</f>
        <v>#VALUE!</v>
      </c>
    </row>
    <row r="33" spans="1:256">
      <c r="A33" t="e">
        <f>AND(Plan!BP75,"AAAAADeV7gA=")</f>
        <v>#VALUE!</v>
      </c>
      <c r="B33" t="e">
        <f>AND(Plan!BQ75,"AAAAADeV7gE=")</f>
        <v>#VALUE!</v>
      </c>
      <c r="C33" t="e">
        <f>AND(Plan!BR75,"AAAAADeV7gI=")</f>
        <v>#VALUE!</v>
      </c>
      <c r="D33" t="e">
        <f>AND(Plan!BS75,"AAAAADeV7gM=")</f>
        <v>#VALUE!</v>
      </c>
      <c r="E33" t="e">
        <f>AND(Plan!BT75,"AAAAADeV7gQ=")</f>
        <v>#VALUE!</v>
      </c>
      <c r="F33" t="e">
        <f>AND(Plan!BU75,"AAAAADeV7gU=")</f>
        <v>#VALUE!</v>
      </c>
      <c r="G33" t="e">
        <f>AND(Plan!BV75,"AAAAADeV7gY=")</f>
        <v>#VALUE!</v>
      </c>
      <c r="H33" t="e">
        <f>AND(Plan!BW75,"AAAAADeV7gc=")</f>
        <v>#VALUE!</v>
      </c>
      <c r="I33" t="e">
        <f>AND(Plan!BX75,"AAAAADeV7gg=")</f>
        <v>#VALUE!</v>
      </c>
      <c r="J33" t="e">
        <f>AND(Plan!BY75,"AAAAADeV7gk=")</f>
        <v>#VALUE!</v>
      </c>
      <c r="K33" t="e">
        <f>AND(Plan!BZ75,"AAAAADeV7go=")</f>
        <v>#VALUE!</v>
      </c>
      <c r="L33" t="e">
        <f>AND(Plan!CA75,"AAAAADeV7gs=")</f>
        <v>#VALUE!</v>
      </c>
      <c r="M33" t="e">
        <f>AND(Plan!CB75,"AAAAADeV7gw=")</f>
        <v>#VALUE!</v>
      </c>
      <c r="N33" t="e">
        <f>AND(Plan!CC75,"AAAAADeV7g0=")</f>
        <v>#VALUE!</v>
      </c>
      <c r="O33" t="e">
        <f>AND(Plan!CD75,"AAAAADeV7g4=")</f>
        <v>#VALUE!</v>
      </c>
      <c r="P33" t="e">
        <f>AND(Plan!CE75,"AAAAADeV7g8=")</f>
        <v>#VALUE!</v>
      </c>
      <c r="Q33" t="e">
        <f>AND(Plan!CF75,"AAAAADeV7hA=")</f>
        <v>#VALUE!</v>
      </c>
      <c r="R33" t="e">
        <f>AND(Plan!CG75,"AAAAADeV7hE=")</f>
        <v>#VALUE!</v>
      </c>
      <c r="S33" t="e">
        <f>AND(Plan!CH75,"AAAAADeV7hI=")</f>
        <v>#VALUE!</v>
      </c>
      <c r="T33" t="e">
        <f>AND(Plan!CI75,"AAAAADeV7hM=")</f>
        <v>#VALUE!</v>
      </c>
      <c r="U33" t="e">
        <f>AND(Plan!CJ75,"AAAAADeV7hQ=")</f>
        <v>#VALUE!</v>
      </c>
      <c r="V33" t="e">
        <f>AND(Plan!CK75,"AAAAADeV7hU=")</f>
        <v>#VALUE!</v>
      </c>
      <c r="W33" t="e">
        <f>AND(Plan!CL75,"AAAAADeV7hY=")</f>
        <v>#VALUE!</v>
      </c>
      <c r="X33" t="e">
        <f>AND(Plan!CM75,"AAAAADeV7hc=")</f>
        <v>#VALUE!</v>
      </c>
      <c r="Y33" t="e">
        <f>AND(Plan!CN75,"AAAAADeV7hg=")</f>
        <v>#VALUE!</v>
      </c>
      <c r="Z33" t="e">
        <f>AND(Plan!CO75,"AAAAADeV7hk=")</f>
        <v>#VALUE!</v>
      </c>
      <c r="AA33" t="e">
        <f>AND(Plan!CP75,"AAAAADeV7ho=")</f>
        <v>#VALUE!</v>
      </c>
      <c r="AB33" t="e">
        <f>AND(Plan!CQ75,"AAAAADeV7hs=")</f>
        <v>#VALUE!</v>
      </c>
      <c r="AC33" t="e">
        <f>AND(Plan!CR75,"AAAAADeV7hw=")</f>
        <v>#VALUE!</v>
      </c>
      <c r="AD33" t="e">
        <f>AND(Plan!CS75,"AAAAADeV7h0=")</f>
        <v>#VALUE!</v>
      </c>
      <c r="AE33" t="e">
        <f>AND(Plan!CT75,"AAAAADeV7h4=")</f>
        <v>#VALUE!</v>
      </c>
      <c r="AF33" t="e">
        <f>AND(Plan!CU75,"AAAAADeV7h8=")</f>
        <v>#VALUE!</v>
      </c>
      <c r="AG33" t="e">
        <f>AND(Plan!CV75,"AAAAADeV7iA=")</f>
        <v>#VALUE!</v>
      </c>
      <c r="AH33" t="e">
        <f>AND(Plan!CW75,"AAAAADeV7iE=")</f>
        <v>#VALUE!</v>
      </c>
      <c r="AI33">
        <f>IF(Plan!76:76,"AAAAADeV7iI=",0)</f>
        <v>0</v>
      </c>
      <c r="AJ33" t="e">
        <f>AND(Plan!A76,"AAAAADeV7iM=")</f>
        <v>#VALUE!</v>
      </c>
      <c r="AK33" t="e">
        <f>AND(Plan!B76,"AAAAADeV7iQ=")</f>
        <v>#VALUE!</v>
      </c>
      <c r="AL33" t="e">
        <f>AND(Plan!C76,"AAAAADeV7iU=")</f>
        <v>#VALUE!</v>
      </c>
      <c r="AM33" t="e">
        <f>AND(Plan!D76,"AAAAADeV7iY=")</f>
        <v>#VALUE!</v>
      </c>
      <c r="AN33" t="e">
        <f>AND(Plan!E76,"AAAAADeV7ic=")</f>
        <v>#VALUE!</v>
      </c>
      <c r="AO33" t="e">
        <f>AND(Plan!F76,"AAAAADeV7ig=")</f>
        <v>#VALUE!</v>
      </c>
      <c r="AP33" t="e">
        <f>AND(Plan!G76,"AAAAADeV7ik=")</f>
        <v>#VALUE!</v>
      </c>
      <c r="AQ33" t="e">
        <f>AND(Plan!H76,"AAAAADeV7io=")</f>
        <v>#VALUE!</v>
      </c>
      <c r="AR33" t="e">
        <f>AND(Plan!I76,"AAAAADeV7is=")</f>
        <v>#VALUE!</v>
      </c>
      <c r="AS33" t="e">
        <f>AND(Plan!J76,"AAAAADeV7iw=")</f>
        <v>#VALUE!</v>
      </c>
      <c r="AT33" t="e">
        <f>AND(Plan!K76,"AAAAADeV7i0=")</f>
        <v>#VALUE!</v>
      </c>
      <c r="AU33" t="e">
        <f>AND(Plan!L76,"AAAAADeV7i4=")</f>
        <v>#VALUE!</v>
      </c>
      <c r="AV33" t="e">
        <f>AND(Plan!M76,"AAAAADeV7i8=")</f>
        <v>#VALUE!</v>
      </c>
      <c r="AW33" t="e">
        <f>AND(Plan!N76,"AAAAADeV7jA=")</f>
        <v>#VALUE!</v>
      </c>
      <c r="AX33" t="e">
        <f>AND(Plan!O76,"AAAAADeV7jE=")</f>
        <v>#VALUE!</v>
      </c>
      <c r="AY33" t="e">
        <f>AND(Plan!P76,"AAAAADeV7jI=")</f>
        <v>#VALUE!</v>
      </c>
      <c r="AZ33" t="e">
        <f>AND(Plan!Q76,"AAAAADeV7jM=")</f>
        <v>#VALUE!</v>
      </c>
      <c r="BA33" t="e">
        <f>AND(Plan!R76,"AAAAADeV7jQ=")</f>
        <v>#VALUE!</v>
      </c>
      <c r="BB33" t="e">
        <f>AND(Plan!S76,"AAAAADeV7jU=")</f>
        <v>#VALUE!</v>
      </c>
      <c r="BC33" t="e">
        <f>AND(Plan!T76,"AAAAADeV7jY=")</f>
        <v>#VALUE!</v>
      </c>
      <c r="BD33" t="e">
        <f>AND(Plan!U76,"AAAAADeV7jc=")</f>
        <v>#VALUE!</v>
      </c>
      <c r="BE33" t="e">
        <f>AND(Plan!V76,"AAAAADeV7jg=")</f>
        <v>#VALUE!</v>
      </c>
      <c r="BF33" t="e">
        <f>AND(Plan!W76,"AAAAADeV7jk=")</f>
        <v>#VALUE!</v>
      </c>
      <c r="BG33" t="e">
        <f>AND(Plan!X76,"AAAAADeV7jo=")</f>
        <v>#VALUE!</v>
      </c>
      <c r="BH33" t="e">
        <f>AND(Plan!Y76,"AAAAADeV7js=")</f>
        <v>#VALUE!</v>
      </c>
      <c r="BI33" t="e">
        <f>AND(Plan!Z76,"AAAAADeV7jw=")</f>
        <v>#VALUE!</v>
      </c>
      <c r="BJ33" t="e">
        <f>AND(Plan!AA76,"AAAAADeV7j0=")</f>
        <v>#VALUE!</v>
      </c>
      <c r="BK33" t="e">
        <f>AND(Plan!AB76,"AAAAADeV7j4=")</f>
        <v>#VALUE!</v>
      </c>
      <c r="BL33" t="e">
        <f>AND(Plan!AC76,"AAAAADeV7j8=")</f>
        <v>#VALUE!</v>
      </c>
      <c r="BM33" t="e">
        <f>AND(Plan!AD76,"AAAAADeV7kA=")</f>
        <v>#VALUE!</v>
      </c>
      <c r="BN33" t="e">
        <f>AND(Plan!AE76,"AAAAADeV7kE=")</f>
        <v>#VALUE!</v>
      </c>
      <c r="BO33" t="e">
        <f>AND(Plan!AF76,"AAAAADeV7kI=")</f>
        <v>#VALUE!</v>
      </c>
      <c r="BP33" t="e">
        <f>AND(Plan!AG76,"AAAAADeV7kM=")</f>
        <v>#VALUE!</v>
      </c>
      <c r="BQ33" t="e">
        <f>AND(Plan!AH76,"AAAAADeV7kQ=")</f>
        <v>#VALUE!</v>
      </c>
      <c r="BR33" t="e">
        <f>AND(Plan!AI76,"AAAAADeV7kU=")</f>
        <v>#VALUE!</v>
      </c>
      <c r="BS33" t="e">
        <f>AND(Plan!AJ76,"AAAAADeV7kY=")</f>
        <v>#VALUE!</v>
      </c>
      <c r="BT33" t="e">
        <f>AND(Plan!AK76,"AAAAADeV7kc=")</f>
        <v>#VALUE!</v>
      </c>
      <c r="BU33" t="e">
        <f>AND(Plan!AL76,"AAAAADeV7kg=")</f>
        <v>#VALUE!</v>
      </c>
      <c r="BV33" t="e">
        <f>AND(Plan!AM76,"AAAAADeV7kk=")</f>
        <v>#VALUE!</v>
      </c>
      <c r="BW33" t="e">
        <f>AND(Plan!AN76,"AAAAADeV7ko=")</f>
        <v>#VALUE!</v>
      </c>
      <c r="BX33" t="e">
        <f>AND(Plan!AO76,"AAAAADeV7ks=")</f>
        <v>#VALUE!</v>
      </c>
      <c r="BY33" t="e">
        <f>AND(Plan!AP76,"AAAAADeV7kw=")</f>
        <v>#VALUE!</v>
      </c>
      <c r="BZ33" t="e">
        <f>AND(Plan!AQ76,"AAAAADeV7k0=")</f>
        <v>#VALUE!</v>
      </c>
      <c r="CA33" t="e">
        <f>AND(Plan!AR76,"AAAAADeV7k4=")</f>
        <v>#VALUE!</v>
      </c>
      <c r="CB33" t="e">
        <f>AND(Plan!AS76,"AAAAADeV7k8=")</f>
        <v>#VALUE!</v>
      </c>
      <c r="CC33" t="e">
        <f>AND(Plan!AT76,"AAAAADeV7lA=")</f>
        <v>#VALUE!</v>
      </c>
      <c r="CD33" t="e">
        <f>AND(Plan!AU76,"AAAAADeV7lE=")</f>
        <v>#VALUE!</v>
      </c>
      <c r="CE33" t="e">
        <f>AND(Plan!AV76,"AAAAADeV7lI=")</f>
        <v>#VALUE!</v>
      </c>
      <c r="CF33" t="e">
        <f>AND(Plan!AW76,"AAAAADeV7lM=")</f>
        <v>#VALUE!</v>
      </c>
      <c r="CG33" t="e">
        <f>AND(Plan!AX76,"AAAAADeV7lQ=")</f>
        <v>#VALUE!</v>
      </c>
      <c r="CH33" t="e">
        <f>AND(Plan!AY76,"AAAAADeV7lU=")</f>
        <v>#VALUE!</v>
      </c>
      <c r="CI33" t="e">
        <f>AND(Plan!AZ76,"AAAAADeV7lY=")</f>
        <v>#VALUE!</v>
      </c>
      <c r="CJ33" t="e">
        <f>AND(Plan!BA76,"AAAAADeV7lc=")</f>
        <v>#VALUE!</v>
      </c>
      <c r="CK33" t="e">
        <f>AND(Plan!BB76,"AAAAADeV7lg=")</f>
        <v>#VALUE!</v>
      </c>
      <c r="CL33" t="e">
        <f>AND(Plan!BC76,"AAAAADeV7lk=")</f>
        <v>#VALUE!</v>
      </c>
      <c r="CM33" t="e">
        <f>AND(Plan!BD76,"AAAAADeV7lo=")</f>
        <v>#VALUE!</v>
      </c>
      <c r="CN33" t="e">
        <f>AND(Plan!BE76,"AAAAADeV7ls=")</f>
        <v>#VALUE!</v>
      </c>
      <c r="CO33" t="e">
        <f>AND(Plan!BF76,"AAAAADeV7lw=")</f>
        <v>#VALUE!</v>
      </c>
      <c r="CP33" t="e">
        <f>AND(Plan!BG76,"AAAAADeV7l0=")</f>
        <v>#VALUE!</v>
      </c>
      <c r="CQ33" t="e">
        <f>AND(Plan!BH76,"AAAAADeV7l4=")</f>
        <v>#VALUE!</v>
      </c>
      <c r="CR33" t="e">
        <f>AND(Plan!BI76,"AAAAADeV7l8=")</f>
        <v>#VALUE!</v>
      </c>
      <c r="CS33" t="e">
        <f>AND(Plan!BJ76,"AAAAADeV7mA=")</f>
        <v>#VALUE!</v>
      </c>
      <c r="CT33" t="e">
        <f>AND(Plan!BK76,"AAAAADeV7mE=")</f>
        <v>#VALUE!</v>
      </c>
      <c r="CU33" t="e">
        <f>AND(Plan!BL76,"AAAAADeV7mI=")</f>
        <v>#VALUE!</v>
      </c>
      <c r="CV33" t="e">
        <f>AND(Plan!BM76,"AAAAADeV7mM=")</f>
        <v>#VALUE!</v>
      </c>
      <c r="CW33" t="e">
        <f>AND(Plan!BN76,"AAAAADeV7mQ=")</f>
        <v>#VALUE!</v>
      </c>
      <c r="CX33" t="e">
        <f>AND(Plan!BO76,"AAAAADeV7mU=")</f>
        <v>#VALUE!</v>
      </c>
      <c r="CY33" t="e">
        <f>AND(Plan!BP76,"AAAAADeV7mY=")</f>
        <v>#VALUE!</v>
      </c>
      <c r="CZ33" t="e">
        <f>AND(Plan!BQ76,"AAAAADeV7mc=")</f>
        <v>#VALUE!</v>
      </c>
      <c r="DA33" t="e">
        <f>AND(Plan!BR76,"AAAAADeV7mg=")</f>
        <v>#VALUE!</v>
      </c>
      <c r="DB33" t="e">
        <f>AND(Plan!BS76,"AAAAADeV7mk=")</f>
        <v>#VALUE!</v>
      </c>
      <c r="DC33" t="e">
        <f>AND(Plan!BT76,"AAAAADeV7mo=")</f>
        <v>#VALUE!</v>
      </c>
      <c r="DD33" t="e">
        <f>AND(Plan!BU76,"AAAAADeV7ms=")</f>
        <v>#VALUE!</v>
      </c>
      <c r="DE33" t="e">
        <f>AND(Plan!BV76,"AAAAADeV7mw=")</f>
        <v>#VALUE!</v>
      </c>
      <c r="DF33" t="e">
        <f>AND(Plan!BW76,"AAAAADeV7m0=")</f>
        <v>#VALUE!</v>
      </c>
      <c r="DG33" t="e">
        <f>AND(Plan!BX76,"AAAAADeV7m4=")</f>
        <v>#VALUE!</v>
      </c>
      <c r="DH33" t="e">
        <f>AND(Plan!BY76,"AAAAADeV7m8=")</f>
        <v>#VALUE!</v>
      </c>
      <c r="DI33" t="e">
        <f>AND(Plan!BZ76,"AAAAADeV7nA=")</f>
        <v>#VALUE!</v>
      </c>
      <c r="DJ33" t="e">
        <f>AND(Plan!CA76,"AAAAADeV7nE=")</f>
        <v>#VALUE!</v>
      </c>
      <c r="DK33" t="e">
        <f>AND(Plan!CB76,"AAAAADeV7nI=")</f>
        <v>#VALUE!</v>
      </c>
      <c r="DL33" t="e">
        <f>AND(Plan!CC76,"AAAAADeV7nM=")</f>
        <v>#VALUE!</v>
      </c>
      <c r="DM33" t="e">
        <f>AND(Plan!CD76,"AAAAADeV7nQ=")</f>
        <v>#VALUE!</v>
      </c>
      <c r="DN33" t="e">
        <f>AND(Plan!CE76,"AAAAADeV7nU=")</f>
        <v>#VALUE!</v>
      </c>
      <c r="DO33" t="e">
        <f>AND(Plan!CF76,"AAAAADeV7nY=")</f>
        <v>#VALUE!</v>
      </c>
      <c r="DP33" t="e">
        <f>AND(Plan!CG76,"AAAAADeV7nc=")</f>
        <v>#VALUE!</v>
      </c>
      <c r="DQ33" t="e">
        <f>AND(Plan!CH76,"AAAAADeV7ng=")</f>
        <v>#VALUE!</v>
      </c>
      <c r="DR33" t="e">
        <f>AND(Plan!CI76,"AAAAADeV7nk=")</f>
        <v>#VALUE!</v>
      </c>
      <c r="DS33" t="e">
        <f>AND(Plan!CJ76,"AAAAADeV7no=")</f>
        <v>#VALUE!</v>
      </c>
      <c r="DT33" t="e">
        <f>AND(Plan!CK76,"AAAAADeV7ns=")</f>
        <v>#VALUE!</v>
      </c>
      <c r="DU33" t="e">
        <f>AND(Plan!CL76,"AAAAADeV7nw=")</f>
        <v>#VALUE!</v>
      </c>
      <c r="DV33" t="e">
        <f>AND(Plan!CM76,"AAAAADeV7n0=")</f>
        <v>#VALUE!</v>
      </c>
      <c r="DW33" t="e">
        <f>AND(Plan!CN76,"AAAAADeV7n4=")</f>
        <v>#VALUE!</v>
      </c>
      <c r="DX33" t="e">
        <f>AND(Plan!CO76,"AAAAADeV7n8=")</f>
        <v>#VALUE!</v>
      </c>
      <c r="DY33" t="e">
        <f>AND(Plan!CP76,"AAAAADeV7oA=")</f>
        <v>#VALUE!</v>
      </c>
      <c r="DZ33" t="e">
        <f>AND(Plan!CQ76,"AAAAADeV7oE=")</f>
        <v>#VALUE!</v>
      </c>
      <c r="EA33" t="e">
        <f>AND(Plan!CR76,"AAAAADeV7oI=")</f>
        <v>#VALUE!</v>
      </c>
      <c r="EB33" t="e">
        <f>AND(Plan!CS76,"AAAAADeV7oM=")</f>
        <v>#VALUE!</v>
      </c>
      <c r="EC33" t="e">
        <f>AND(Plan!CT76,"AAAAADeV7oQ=")</f>
        <v>#VALUE!</v>
      </c>
      <c r="ED33" t="e">
        <f>AND(Plan!CU76,"AAAAADeV7oU=")</f>
        <v>#VALUE!</v>
      </c>
      <c r="EE33" t="e">
        <f>AND(Plan!CV76,"AAAAADeV7oY=")</f>
        <v>#VALUE!</v>
      </c>
      <c r="EF33" t="e">
        <f>AND(Plan!CW76,"AAAAADeV7oc=")</f>
        <v>#VALUE!</v>
      </c>
      <c r="EG33">
        <f>IF(Plan!77:77,"AAAAADeV7og=",0)</f>
        <v>0</v>
      </c>
      <c r="EH33" t="e">
        <f>AND(Plan!A77,"AAAAADeV7ok=")</f>
        <v>#VALUE!</v>
      </c>
      <c r="EI33" t="e">
        <f>AND(Plan!B77,"AAAAADeV7oo=")</f>
        <v>#VALUE!</v>
      </c>
      <c r="EJ33" t="e">
        <f>AND(Plan!C77,"AAAAADeV7os=")</f>
        <v>#VALUE!</v>
      </c>
      <c r="EK33" t="e">
        <f>AND(Plan!D77,"AAAAADeV7ow=")</f>
        <v>#VALUE!</v>
      </c>
      <c r="EL33" t="e">
        <f>AND(Plan!E77,"AAAAADeV7o0=")</f>
        <v>#VALUE!</v>
      </c>
      <c r="EM33" t="e">
        <f>AND(Plan!F77,"AAAAADeV7o4=")</f>
        <v>#VALUE!</v>
      </c>
      <c r="EN33" t="e">
        <f>AND(Plan!G77,"AAAAADeV7o8=")</f>
        <v>#VALUE!</v>
      </c>
      <c r="EO33" t="e">
        <f>AND(Plan!H77,"AAAAADeV7pA=")</f>
        <v>#VALUE!</v>
      </c>
      <c r="EP33" t="e">
        <f>AND(Plan!I77,"AAAAADeV7pE=")</f>
        <v>#VALUE!</v>
      </c>
      <c r="EQ33" t="e">
        <f>AND(Plan!J77,"AAAAADeV7pI=")</f>
        <v>#VALUE!</v>
      </c>
      <c r="ER33" t="e">
        <f>AND(Plan!K77,"AAAAADeV7pM=")</f>
        <v>#VALUE!</v>
      </c>
      <c r="ES33" t="e">
        <f>AND(Plan!L77,"AAAAADeV7pQ=")</f>
        <v>#VALUE!</v>
      </c>
      <c r="ET33" t="e">
        <f>AND(Plan!M77,"AAAAADeV7pU=")</f>
        <v>#VALUE!</v>
      </c>
      <c r="EU33" t="e">
        <f>AND(Plan!N77,"AAAAADeV7pY=")</f>
        <v>#VALUE!</v>
      </c>
      <c r="EV33" t="e">
        <f>AND(Plan!O77,"AAAAADeV7pc=")</f>
        <v>#VALUE!</v>
      </c>
      <c r="EW33" t="e">
        <f>AND(Plan!P77,"AAAAADeV7pg=")</f>
        <v>#VALUE!</v>
      </c>
      <c r="EX33" t="e">
        <f>AND(Plan!Q77,"AAAAADeV7pk=")</f>
        <v>#VALUE!</v>
      </c>
      <c r="EY33" t="e">
        <f>AND(Plan!R77,"AAAAADeV7po=")</f>
        <v>#VALUE!</v>
      </c>
      <c r="EZ33" t="e">
        <f>AND(Plan!S77,"AAAAADeV7ps=")</f>
        <v>#VALUE!</v>
      </c>
      <c r="FA33" t="e">
        <f>AND(Plan!T77,"AAAAADeV7pw=")</f>
        <v>#VALUE!</v>
      </c>
      <c r="FB33" t="e">
        <f>AND(Plan!U77,"AAAAADeV7p0=")</f>
        <v>#VALUE!</v>
      </c>
      <c r="FC33" t="e">
        <f>AND(Plan!V77,"AAAAADeV7p4=")</f>
        <v>#VALUE!</v>
      </c>
      <c r="FD33" t="e">
        <f>AND(Plan!W77,"AAAAADeV7p8=")</f>
        <v>#VALUE!</v>
      </c>
      <c r="FE33" t="e">
        <f>AND(Plan!X77,"AAAAADeV7qA=")</f>
        <v>#VALUE!</v>
      </c>
      <c r="FF33" t="e">
        <f>AND(Plan!Y77,"AAAAADeV7qE=")</f>
        <v>#VALUE!</v>
      </c>
      <c r="FG33" t="e">
        <f>AND(Plan!Z77,"AAAAADeV7qI=")</f>
        <v>#VALUE!</v>
      </c>
      <c r="FH33" t="e">
        <f>AND(Plan!AA77,"AAAAADeV7qM=")</f>
        <v>#VALUE!</v>
      </c>
      <c r="FI33" t="e">
        <f>AND(Plan!AB77,"AAAAADeV7qQ=")</f>
        <v>#VALUE!</v>
      </c>
      <c r="FJ33" t="e">
        <f>AND(Plan!AC77,"AAAAADeV7qU=")</f>
        <v>#VALUE!</v>
      </c>
      <c r="FK33" t="e">
        <f>AND(Plan!AD77,"AAAAADeV7qY=")</f>
        <v>#VALUE!</v>
      </c>
      <c r="FL33" t="e">
        <f>AND(Plan!AE77,"AAAAADeV7qc=")</f>
        <v>#VALUE!</v>
      </c>
      <c r="FM33" t="e">
        <f>AND(Plan!AF77,"AAAAADeV7qg=")</f>
        <v>#VALUE!</v>
      </c>
      <c r="FN33" t="e">
        <f>AND(Plan!AG77,"AAAAADeV7qk=")</f>
        <v>#VALUE!</v>
      </c>
      <c r="FO33" t="e">
        <f>AND(Plan!AH77,"AAAAADeV7qo=")</f>
        <v>#VALUE!</v>
      </c>
      <c r="FP33" t="e">
        <f>AND(Plan!AI77,"AAAAADeV7qs=")</f>
        <v>#VALUE!</v>
      </c>
      <c r="FQ33" t="e">
        <f>AND(Plan!AJ77,"AAAAADeV7qw=")</f>
        <v>#VALUE!</v>
      </c>
      <c r="FR33" t="e">
        <f>AND(Plan!AK77,"AAAAADeV7q0=")</f>
        <v>#VALUE!</v>
      </c>
      <c r="FS33" t="e">
        <f>AND(Plan!AL77,"AAAAADeV7q4=")</f>
        <v>#VALUE!</v>
      </c>
      <c r="FT33" t="e">
        <f>AND(Plan!AM77,"AAAAADeV7q8=")</f>
        <v>#VALUE!</v>
      </c>
      <c r="FU33" t="e">
        <f>AND(Plan!AN77,"AAAAADeV7rA=")</f>
        <v>#VALUE!</v>
      </c>
      <c r="FV33" t="e">
        <f>AND(Plan!AO77,"AAAAADeV7rE=")</f>
        <v>#VALUE!</v>
      </c>
      <c r="FW33" t="e">
        <f>AND(Plan!AP77,"AAAAADeV7rI=")</f>
        <v>#VALUE!</v>
      </c>
      <c r="FX33" t="e">
        <f>AND(Plan!AQ77,"AAAAADeV7rM=")</f>
        <v>#VALUE!</v>
      </c>
      <c r="FY33" t="e">
        <f>AND(Plan!AR77,"AAAAADeV7rQ=")</f>
        <v>#VALUE!</v>
      </c>
      <c r="FZ33" t="e">
        <f>AND(Plan!AS77,"AAAAADeV7rU=")</f>
        <v>#VALUE!</v>
      </c>
      <c r="GA33" t="e">
        <f>AND(Plan!AT77,"AAAAADeV7rY=")</f>
        <v>#VALUE!</v>
      </c>
      <c r="GB33" t="e">
        <f>AND(Plan!AU77,"AAAAADeV7rc=")</f>
        <v>#VALUE!</v>
      </c>
      <c r="GC33" t="e">
        <f>AND(Plan!AV77,"AAAAADeV7rg=")</f>
        <v>#VALUE!</v>
      </c>
      <c r="GD33" t="e">
        <f>AND(Plan!AW77,"AAAAADeV7rk=")</f>
        <v>#VALUE!</v>
      </c>
      <c r="GE33" t="e">
        <f>AND(Plan!AX77,"AAAAADeV7ro=")</f>
        <v>#VALUE!</v>
      </c>
      <c r="GF33" t="e">
        <f>AND(Plan!AY77,"AAAAADeV7rs=")</f>
        <v>#VALUE!</v>
      </c>
      <c r="GG33" t="e">
        <f>AND(Plan!AZ77,"AAAAADeV7rw=")</f>
        <v>#VALUE!</v>
      </c>
      <c r="GH33" t="e">
        <f>AND(Plan!BA77,"AAAAADeV7r0=")</f>
        <v>#VALUE!</v>
      </c>
      <c r="GI33" t="e">
        <f>AND(Plan!BB77,"AAAAADeV7r4=")</f>
        <v>#VALUE!</v>
      </c>
      <c r="GJ33" t="e">
        <f>AND(Plan!BC77,"AAAAADeV7r8=")</f>
        <v>#VALUE!</v>
      </c>
      <c r="GK33" t="e">
        <f>AND(Plan!BD77,"AAAAADeV7sA=")</f>
        <v>#VALUE!</v>
      </c>
      <c r="GL33" t="e">
        <f>AND(Plan!BE77,"AAAAADeV7sE=")</f>
        <v>#VALUE!</v>
      </c>
      <c r="GM33" t="e">
        <f>AND(Plan!BF77,"AAAAADeV7sI=")</f>
        <v>#VALUE!</v>
      </c>
      <c r="GN33" t="e">
        <f>AND(Plan!BG77,"AAAAADeV7sM=")</f>
        <v>#VALUE!</v>
      </c>
      <c r="GO33" t="e">
        <f>AND(Plan!BH77,"AAAAADeV7sQ=")</f>
        <v>#VALUE!</v>
      </c>
      <c r="GP33" t="e">
        <f>AND(Plan!BI77,"AAAAADeV7sU=")</f>
        <v>#VALUE!</v>
      </c>
      <c r="GQ33" t="e">
        <f>AND(Plan!BJ77,"AAAAADeV7sY=")</f>
        <v>#VALUE!</v>
      </c>
      <c r="GR33" t="e">
        <f>AND(Plan!BK77,"AAAAADeV7sc=")</f>
        <v>#VALUE!</v>
      </c>
      <c r="GS33" t="e">
        <f>AND(Plan!BL77,"AAAAADeV7sg=")</f>
        <v>#VALUE!</v>
      </c>
      <c r="GT33" t="e">
        <f>AND(Plan!BM77,"AAAAADeV7sk=")</f>
        <v>#VALUE!</v>
      </c>
      <c r="GU33" t="e">
        <f>AND(Plan!BN77,"AAAAADeV7so=")</f>
        <v>#VALUE!</v>
      </c>
      <c r="GV33" t="e">
        <f>AND(Plan!BO77,"AAAAADeV7ss=")</f>
        <v>#VALUE!</v>
      </c>
      <c r="GW33" t="e">
        <f>AND(Plan!BP77,"AAAAADeV7sw=")</f>
        <v>#VALUE!</v>
      </c>
      <c r="GX33" t="e">
        <f>AND(Plan!BQ77,"AAAAADeV7s0=")</f>
        <v>#VALUE!</v>
      </c>
      <c r="GY33" t="e">
        <f>AND(Plan!BR77,"AAAAADeV7s4=")</f>
        <v>#VALUE!</v>
      </c>
      <c r="GZ33" t="e">
        <f>AND(Plan!BS77,"AAAAADeV7s8=")</f>
        <v>#VALUE!</v>
      </c>
      <c r="HA33" t="e">
        <f>AND(Plan!BT77,"AAAAADeV7tA=")</f>
        <v>#VALUE!</v>
      </c>
      <c r="HB33" t="e">
        <f>AND(Plan!BU77,"AAAAADeV7tE=")</f>
        <v>#VALUE!</v>
      </c>
      <c r="HC33" t="e">
        <f>AND(Plan!BV77,"AAAAADeV7tI=")</f>
        <v>#VALUE!</v>
      </c>
      <c r="HD33" t="e">
        <f>AND(Plan!BW77,"AAAAADeV7tM=")</f>
        <v>#VALUE!</v>
      </c>
      <c r="HE33" t="e">
        <f>AND(Plan!BX77,"AAAAADeV7tQ=")</f>
        <v>#VALUE!</v>
      </c>
      <c r="HF33" t="e">
        <f>AND(Plan!BY77,"AAAAADeV7tU=")</f>
        <v>#VALUE!</v>
      </c>
      <c r="HG33" t="e">
        <f>AND(Plan!BZ77,"AAAAADeV7tY=")</f>
        <v>#VALUE!</v>
      </c>
      <c r="HH33" t="e">
        <f>AND(Plan!CA77,"AAAAADeV7tc=")</f>
        <v>#VALUE!</v>
      </c>
      <c r="HI33" t="e">
        <f>AND(Plan!CB77,"AAAAADeV7tg=")</f>
        <v>#VALUE!</v>
      </c>
      <c r="HJ33" t="e">
        <f>AND(Plan!CC77,"AAAAADeV7tk=")</f>
        <v>#VALUE!</v>
      </c>
      <c r="HK33" t="e">
        <f>AND(Plan!CD77,"AAAAADeV7to=")</f>
        <v>#VALUE!</v>
      </c>
      <c r="HL33" t="e">
        <f>AND(Plan!CE77,"AAAAADeV7ts=")</f>
        <v>#VALUE!</v>
      </c>
      <c r="HM33" t="e">
        <f>AND(Plan!CF77,"AAAAADeV7tw=")</f>
        <v>#VALUE!</v>
      </c>
      <c r="HN33" t="e">
        <f>AND(Plan!CG77,"AAAAADeV7t0=")</f>
        <v>#VALUE!</v>
      </c>
      <c r="HO33" t="e">
        <f>AND(Plan!CH77,"AAAAADeV7t4=")</f>
        <v>#VALUE!</v>
      </c>
      <c r="HP33" t="e">
        <f>AND(Plan!CI77,"AAAAADeV7t8=")</f>
        <v>#VALUE!</v>
      </c>
      <c r="HQ33" t="e">
        <f>AND(Plan!CJ77,"AAAAADeV7uA=")</f>
        <v>#VALUE!</v>
      </c>
      <c r="HR33" t="e">
        <f>AND(Plan!CK77,"AAAAADeV7uE=")</f>
        <v>#VALUE!</v>
      </c>
      <c r="HS33" t="e">
        <f>AND(Plan!CL77,"AAAAADeV7uI=")</f>
        <v>#VALUE!</v>
      </c>
      <c r="HT33" t="e">
        <f>AND(Plan!CM77,"AAAAADeV7uM=")</f>
        <v>#VALUE!</v>
      </c>
      <c r="HU33" t="e">
        <f>AND(Plan!CN77,"AAAAADeV7uQ=")</f>
        <v>#VALUE!</v>
      </c>
      <c r="HV33" t="e">
        <f>AND(Plan!CO77,"AAAAADeV7uU=")</f>
        <v>#VALUE!</v>
      </c>
      <c r="HW33" t="e">
        <f>AND(Plan!CP77,"AAAAADeV7uY=")</f>
        <v>#VALUE!</v>
      </c>
      <c r="HX33" t="e">
        <f>AND(Plan!CQ77,"AAAAADeV7uc=")</f>
        <v>#VALUE!</v>
      </c>
      <c r="HY33" t="e">
        <f>AND(Plan!CR77,"AAAAADeV7ug=")</f>
        <v>#VALUE!</v>
      </c>
      <c r="HZ33" t="e">
        <f>AND(Plan!CS77,"AAAAADeV7uk=")</f>
        <v>#VALUE!</v>
      </c>
      <c r="IA33" t="e">
        <f>AND(Plan!CT77,"AAAAADeV7uo=")</f>
        <v>#VALUE!</v>
      </c>
      <c r="IB33" t="e">
        <f>AND(Plan!CU77,"AAAAADeV7us=")</f>
        <v>#VALUE!</v>
      </c>
      <c r="IC33" t="e">
        <f>AND(Plan!CV77,"AAAAADeV7uw=")</f>
        <v>#VALUE!</v>
      </c>
      <c r="ID33" t="e">
        <f>AND(Plan!CW77,"AAAAADeV7u0=")</f>
        <v>#VALUE!</v>
      </c>
      <c r="IE33">
        <f>IF(Plan!78:78,"AAAAADeV7u4=",0)</f>
        <v>0</v>
      </c>
      <c r="IF33" t="e">
        <f>AND(Plan!A78,"AAAAADeV7u8=")</f>
        <v>#VALUE!</v>
      </c>
      <c r="IG33" t="e">
        <f>AND(Plan!B78,"AAAAADeV7vA=")</f>
        <v>#VALUE!</v>
      </c>
      <c r="IH33" t="e">
        <f>AND(Plan!#REF!,"AAAAADeV7vE=")</f>
        <v>#REF!</v>
      </c>
      <c r="II33" t="e">
        <f>AND(Plan!#REF!,"AAAAADeV7vI=")</f>
        <v>#REF!</v>
      </c>
      <c r="IJ33" t="e">
        <f>AND(Plan!#REF!,"AAAAADeV7vM=")</f>
        <v>#REF!</v>
      </c>
      <c r="IK33" t="e">
        <f>AND(Plan!#REF!,"AAAAADeV7vQ=")</f>
        <v>#REF!</v>
      </c>
      <c r="IL33" t="e">
        <f>AND(Plan!#REF!,"AAAAADeV7vU=")</f>
        <v>#REF!</v>
      </c>
      <c r="IM33" t="e">
        <f>AND(Plan!H78,"AAAAADeV7vY=")</f>
        <v>#VALUE!</v>
      </c>
      <c r="IN33" t="e">
        <f>AND(Plan!I78,"AAAAADeV7vc=")</f>
        <v>#VALUE!</v>
      </c>
      <c r="IO33" t="e">
        <f>AND(Plan!J78,"AAAAADeV7vg=")</f>
        <v>#VALUE!</v>
      </c>
      <c r="IP33" t="e">
        <f>AND(Plan!K78,"AAAAADeV7vk=")</f>
        <v>#VALUE!</v>
      </c>
      <c r="IQ33" t="e">
        <f>AND(Plan!L78,"AAAAADeV7vo=")</f>
        <v>#VALUE!</v>
      </c>
      <c r="IR33" t="e">
        <f>AND(Plan!M78,"AAAAADeV7vs=")</f>
        <v>#VALUE!</v>
      </c>
      <c r="IS33" t="e">
        <f>AND(Plan!N78,"AAAAADeV7vw=")</f>
        <v>#VALUE!</v>
      </c>
      <c r="IT33" t="e">
        <f>AND(Plan!O78,"AAAAADeV7v0=")</f>
        <v>#VALUE!</v>
      </c>
      <c r="IU33" t="e">
        <f>AND(Plan!P78,"AAAAADeV7v4=")</f>
        <v>#VALUE!</v>
      </c>
      <c r="IV33" t="e">
        <f>AND(Plan!Q78,"AAAAADeV7v8=")</f>
        <v>#VALUE!</v>
      </c>
    </row>
    <row r="34" spans="1:256">
      <c r="A34" t="e">
        <f>AND(Plan!R78,"AAAAAG8/3wA=")</f>
        <v>#VALUE!</v>
      </c>
      <c r="B34" t="e">
        <f>AND(Plan!S78,"AAAAAG8/3wE=")</f>
        <v>#VALUE!</v>
      </c>
      <c r="C34" t="e">
        <f>AND(Plan!T78,"AAAAAG8/3wI=")</f>
        <v>#VALUE!</v>
      </c>
      <c r="D34" t="e">
        <f>AND(Plan!U78,"AAAAAG8/3wM=")</f>
        <v>#VALUE!</v>
      </c>
      <c r="E34" t="e">
        <f>AND(Plan!V78,"AAAAAG8/3wQ=")</f>
        <v>#VALUE!</v>
      </c>
      <c r="F34" t="e">
        <f>AND(Plan!W78,"AAAAAG8/3wU=")</f>
        <v>#VALUE!</v>
      </c>
      <c r="G34" t="e">
        <f>AND(Plan!X78,"AAAAAG8/3wY=")</f>
        <v>#VALUE!</v>
      </c>
      <c r="H34" t="e">
        <f>AND(Plan!Y78,"AAAAAG8/3wc=")</f>
        <v>#VALUE!</v>
      </c>
      <c r="I34" t="e">
        <f>AND(Plan!Z78,"AAAAAG8/3wg=")</f>
        <v>#VALUE!</v>
      </c>
      <c r="J34" t="e">
        <f>AND(Plan!AA78,"AAAAAG8/3wk=")</f>
        <v>#VALUE!</v>
      </c>
      <c r="K34" t="e">
        <f>AND(Plan!AB78,"AAAAAG8/3wo=")</f>
        <v>#VALUE!</v>
      </c>
      <c r="L34" t="e">
        <f>AND(Plan!AC78,"AAAAAG8/3ws=")</f>
        <v>#VALUE!</v>
      </c>
      <c r="M34" t="e">
        <f>AND(Plan!AD78,"AAAAAG8/3ww=")</f>
        <v>#VALUE!</v>
      </c>
      <c r="N34" t="e">
        <f>AND(Plan!AE78,"AAAAAG8/3w0=")</f>
        <v>#VALUE!</v>
      </c>
      <c r="O34" t="e">
        <f>AND(Plan!AF78,"AAAAAG8/3w4=")</f>
        <v>#VALUE!</v>
      </c>
      <c r="P34" t="e">
        <f>AND(Plan!AG78,"AAAAAG8/3w8=")</f>
        <v>#VALUE!</v>
      </c>
      <c r="Q34" t="e">
        <f>AND(Plan!AH78,"AAAAAG8/3xA=")</f>
        <v>#VALUE!</v>
      </c>
      <c r="R34" t="e">
        <f>AND(Plan!AI78,"AAAAAG8/3xE=")</f>
        <v>#VALUE!</v>
      </c>
      <c r="S34" t="e">
        <f>AND(Plan!AJ78,"AAAAAG8/3xI=")</f>
        <v>#VALUE!</v>
      </c>
      <c r="T34" t="e">
        <f>AND(Plan!AK78,"AAAAAG8/3xM=")</f>
        <v>#VALUE!</v>
      </c>
      <c r="U34" t="e">
        <f>AND(Plan!AL78,"AAAAAG8/3xQ=")</f>
        <v>#VALUE!</v>
      </c>
      <c r="V34" t="e">
        <f>AND(Plan!AM78,"AAAAAG8/3xU=")</f>
        <v>#VALUE!</v>
      </c>
      <c r="W34" t="e">
        <f>AND(Plan!AN78,"AAAAAG8/3xY=")</f>
        <v>#VALUE!</v>
      </c>
      <c r="X34" t="e">
        <f>AND(Plan!AO78,"AAAAAG8/3xc=")</f>
        <v>#VALUE!</v>
      </c>
      <c r="Y34" t="e">
        <f>AND(Plan!AP78,"AAAAAG8/3xg=")</f>
        <v>#VALUE!</v>
      </c>
      <c r="Z34" t="e">
        <f>AND(Plan!AQ78,"AAAAAG8/3xk=")</f>
        <v>#VALUE!</v>
      </c>
      <c r="AA34" t="e">
        <f>AND(Plan!AR78,"AAAAAG8/3xo=")</f>
        <v>#VALUE!</v>
      </c>
      <c r="AB34" t="e">
        <f>AND(Plan!AS78,"AAAAAG8/3xs=")</f>
        <v>#VALUE!</v>
      </c>
      <c r="AC34" t="e">
        <f>AND(Plan!AT78,"AAAAAG8/3xw=")</f>
        <v>#VALUE!</v>
      </c>
      <c r="AD34" t="e">
        <f>AND(Plan!AU78,"AAAAAG8/3x0=")</f>
        <v>#VALUE!</v>
      </c>
      <c r="AE34" t="e">
        <f>AND(Plan!AV78,"AAAAAG8/3x4=")</f>
        <v>#VALUE!</v>
      </c>
      <c r="AF34" t="e">
        <f>AND(Plan!AW78,"AAAAAG8/3x8=")</f>
        <v>#VALUE!</v>
      </c>
      <c r="AG34" t="e">
        <f>AND(Plan!AX78,"AAAAAG8/3yA=")</f>
        <v>#VALUE!</v>
      </c>
      <c r="AH34" t="e">
        <f>AND(Plan!AY78,"AAAAAG8/3yE=")</f>
        <v>#VALUE!</v>
      </c>
      <c r="AI34" t="e">
        <f>AND(Plan!AZ78,"AAAAAG8/3yI=")</f>
        <v>#VALUE!</v>
      </c>
      <c r="AJ34" t="e">
        <f>AND(Plan!BA78,"AAAAAG8/3yM=")</f>
        <v>#VALUE!</v>
      </c>
      <c r="AK34" t="e">
        <f>AND(Plan!BB78,"AAAAAG8/3yQ=")</f>
        <v>#VALUE!</v>
      </c>
      <c r="AL34" t="e">
        <f>AND(Plan!BC78,"AAAAAG8/3yU=")</f>
        <v>#VALUE!</v>
      </c>
      <c r="AM34" t="e">
        <f>AND(Plan!BD78,"AAAAAG8/3yY=")</f>
        <v>#VALUE!</v>
      </c>
      <c r="AN34" t="e">
        <f>AND(Plan!BE78,"AAAAAG8/3yc=")</f>
        <v>#VALUE!</v>
      </c>
      <c r="AO34" t="e">
        <f>AND(Plan!BF78,"AAAAAG8/3yg=")</f>
        <v>#VALUE!</v>
      </c>
      <c r="AP34" t="e">
        <f>AND(Plan!BG78,"AAAAAG8/3yk=")</f>
        <v>#VALUE!</v>
      </c>
      <c r="AQ34" t="e">
        <f>AND(Plan!BH78,"AAAAAG8/3yo=")</f>
        <v>#VALUE!</v>
      </c>
      <c r="AR34" t="e">
        <f>AND(Plan!BI78,"AAAAAG8/3ys=")</f>
        <v>#VALUE!</v>
      </c>
      <c r="AS34" t="e">
        <f>AND(Plan!BJ78,"AAAAAG8/3yw=")</f>
        <v>#VALUE!</v>
      </c>
      <c r="AT34" t="e">
        <f>AND(Plan!BK78,"AAAAAG8/3y0=")</f>
        <v>#VALUE!</v>
      </c>
      <c r="AU34" t="e">
        <f>AND(Plan!BL78,"AAAAAG8/3y4=")</f>
        <v>#VALUE!</v>
      </c>
      <c r="AV34" t="e">
        <f>AND(Plan!BM78,"AAAAAG8/3y8=")</f>
        <v>#VALUE!</v>
      </c>
      <c r="AW34" t="e">
        <f>AND(Plan!BN78,"AAAAAG8/3zA=")</f>
        <v>#VALUE!</v>
      </c>
      <c r="AX34" t="e">
        <f>AND(Plan!BO78,"AAAAAG8/3zE=")</f>
        <v>#VALUE!</v>
      </c>
      <c r="AY34" t="e">
        <f>AND(Plan!BP78,"AAAAAG8/3zI=")</f>
        <v>#VALUE!</v>
      </c>
      <c r="AZ34" t="e">
        <f>AND(Plan!BQ78,"AAAAAG8/3zM=")</f>
        <v>#VALUE!</v>
      </c>
      <c r="BA34" t="e">
        <f>AND(Plan!BR78,"AAAAAG8/3zQ=")</f>
        <v>#VALUE!</v>
      </c>
      <c r="BB34" t="e">
        <f>AND(Plan!BS78,"AAAAAG8/3zU=")</f>
        <v>#VALUE!</v>
      </c>
      <c r="BC34" t="e">
        <f>AND(Plan!BT78,"AAAAAG8/3zY=")</f>
        <v>#VALUE!</v>
      </c>
      <c r="BD34" t="e">
        <f>AND(Plan!BU78,"AAAAAG8/3zc=")</f>
        <v>#VALUE!</v>
      </c>
      <c r="BE34" t="e">
        <f>AND(Plan!BV78,"AAAAAG8/3zg=")</f>
        <v>#VALUE!</v>
      </c>
      <c r="BF34" t="e">
        <f>AND(Plan!BW78,"AAAAAG8/3zk=")</f>
        <v>#VALUE!</v>
      </c>
      <c r="BG34" t="e">
        <f>AND(Plan!BX78,"AAAAAG8/3zo=")</f>
        <v>#VALUE!</v>
      </c>
      <c r="BH34" t="e">
        <f>AND(Plan!BY78,"AAAAAG8/3zs=")</f>
        <v>#VALUE!</v>
      </c>
      <c r="BI34" t="e">
        <f>AND(Plan!BZ78,"AAAAAG8/3zw=")</f>
        <v>#VALUE!</v>
      </c>
      <c r="BJ34" t="e">
        <f>AND(Plan!CA78,"AAAAAG8/3z0=")</f>
        <v>#VALUE!</v>
      </c>
      <c r="BK34" t="e">
        <f>AND(Plan!CB78,"AAAAAG8/3z4=")</f>
        <v>#VALUE!</v>
      </c>
      <c r="BL34" t="e">
        <f>AND(Plan!CC78,"AAAAAG8/3z8=")</f>
        <v>#VALUE!</v>
      </c>
      <c r="BM34" t="e">
        <f>AND(Plan!CD78,"AAAAAG8/30A=")</f>
        <v>#VALUE!</v>
      </c>
      <c r="BN34" t="e">
        <f>AND(Plan!CE78,"AAAAAG8/30E=")</f>
        <v>#VALUE!</v>
      </c>
      <c r="BO34" t="e">
        <f>AND(Plan!CF78,"AAAAAG8/30I=")</f>
        <v>#VALUE!</v>
      </c>
      <c r="BP34" t="e">
        <f>AND(Plan!CG78,"AAAAAG8/30M=")</f>
        <v>#VALUE!</v>
      </c>
      <c r="BQ34" t="e">
        <f>AND(Plan!CH78,"AAAAAG8/30Q=")</f>
        <v>#VALUE!</v>
      </c>
      <c r="BR34" t="e">
        <f>AND(Plan!CI78,"AAAAAG8/30U=")</f>
        <v>#VALUE!</v>
      </c>
      <c r="BS34" t="e">
        <f>AND(Plan!CJ78,"AAAAAG8/30Y=")</f>
        <v>#VALUE!</v>
      </c>
      <c r="BT34" t="e">
        <f>AND(Plan!CK78,"AAAAAG8/30c=")</f>
        <v>#VALUE!</v>
      </c>
      <c r="BU34" t="e">
        <f>AND(Plan!CL78,"AAAAAG8/30g=")</f>
        <v>#VALUE!</v>
      </c>
      <c r="BV34" t="e">
        <f>AND(Plan!CM78,"AAAAAG8/30k=")</f>
        <v>#VALUE!</v>
      </c>
      <c r="BW34" t="e">
        <f>AND(Plan!CN78,"AAAAAG8/30o=")</f>
        <v>#VALUE!</v>
      </c>
      <c r="BX34" t="e">
        <f>AND(Plan!CO78,"AAAAAG8/30s=")</f>
        <v>#VALUE!</v>
      </c>
      <c r="BY34" t="e">
        <f>AND(Plan!CP78,"AAAAAG8/30w=")</f>
        <v>#VALUE!</v>
      </c>
      <c r="BZ34" t="e">
        <f>AND(Plan!CQ78,"AAAAAG8/300=")</f>
        <v>#VALUE!</v>
      </c>
      <c r="CA34" t="e">
        <f>AND(Plan!CR78,"AAAAAG8/304=")</f>
        <v>#VALUE!</v>
      </c>
      <c r="CB34" t="e">
        <f>AND(Plan!CS78,"AAAAAG8/308=")</f>
        <v>#VALUE!</v>
      </c>
      <c r="CC34" t="e">
        <f>AND(Plan!CT78,"AAAAAG8/31A=")</f>
        <v>#VALUE!</v>
      </c>
      <c r="CD34" t="e">
        <f>AND(Plan!CU78,"AAAAAG8/31E=")</f>
        <v>#VALUE!</v>
      </c>
      <c r="CE34" t="e">
        <f>AND(Plan!CV78,"AAAAAG8/31I=")</f>
        <v>#VALUE!</v>
      </c>
      <c r="CF34" t="e">
        <f>AND(Plan!CW78,"AAAAAG8/31M=")</f>
        <v>#VALUE!</v>
      </c>
      <c r="CG34">
        <f>IF(Plan!79:79,"AAAAAG8/31Q=",0)</f>
        <v>0</v>
      </c>
      <c r="CH34" t="e">
        <f>AND(Plan!A79,"AAAAAG8/31U=")</f>
        <v>#VALUE!</v>
      </c>
      <c r="CI34" t="e">
        <f>AND(Plan!B79,"AAAAAG8/31Y=")</f>
        <v>#VALUE!</v>
      </c>
      <c r="CJ34" t="e">
        <f>AND(Plan!C78,"AAAAAG8/31c=")</f>
        <v>#VALUE!</v>
      </c>
      <c r="CK34" t="e">
        <f>AND(Plan!D78,"AAAAAG8/31g=")</f>
        <v>#VALUE!</v>
      </c>
      <c r="CL34" t="e">
        <f>AND(Plan!E78,"AAAAAG8/31k=")</f>
        <v>#VALUE!</v>
      </c>
      <c r="CM34" t="e">
        <f>AND(Plan!F78,"AAAAAG8/31o=")</f>
        <v>#VALUE!</v>
      </c>
      <c r="CN34" t="e">
        <f>AND(Plan!G78,"AAAAAG8/31s=")</f>
        <v>#VALUE!</v>
      </c>
      <c r="CO34" t="e">
        <f>AND(Plan!H79,"AAAAAG8/31w=")</f>
        <v>#VALUE!</v>
      </c>
      <c r="CP34" t="e">
        <f>AND(Plan!I79,"AAAAAG8/310=")</f>
        <v>#VALUE!</v>
      </c>
      <c r="CQ34" t="e">
        <f>AND(Plan!J79,"AAAAAG8/314=")</f>
        <v>#VALUE!</v>
      </c>
      <c r="CR34" t="e">
        <f>AND(Plan!K79,"AAAAAG8/318=")</f>
        <v>#VALUE!</v>
      </c>
      <c r="CS34" t="e">
        <f>AND(Plan!L79,"AAAAAG8/32A=")</f>
        <v>#VALUE!</v>
      </c>
      <c r="CT34" t="e">
        <f>AND(Plan!M79,"AAAAAG8/32E=")</f>
        <v>#VALUE!</v>
      </c>
      <c r="CU34" t="e">
        <f>AND(Plan!N79,"AAAAAG8/32I=")</f>
        <v>#VALUE!</v>
      </c>
      <c r="CV34" t="e">
        <f>AND(Plan!O79,"AAAAAG8/32M=")</f>
        <v>#VALUE!</v>
      </c>
      <c r="CW34" t="e">
        <f>AND(Plan!P79,"AAAAAG8/32Q=")</f>
        <v>#VALUE!</v>
      </c>
      <c r="CX34" t="e">
        <f>AND(Plan!Q79,"AAAAAG8/32U=")</f>
        <v>#VALUE!</v>
      </c>
      <c r="CY34" t="e">
        <f>AND(Plan!R79,"AAAAAG8/32Y=")</f>
        <v>#VALUE!</v>
      </c>
      <c r="CZ34" t="e">
        <f>AND(Plan!S79,"AAAAAG8/32c=")</f>
        <v>#VALUE!</v>
      </c>
      <c r="DA34" t="e">
        <f>AND(Plan!T79,"AAAAAG8/32g=")</f>
        <v>#VALUE!</v>
      </c>
      <c r="DB34" t="e">
        <f>AND(Plan!U79,"AAAAAG8/32k=")</f>
        <v>#VALUE!</v>
      </c>
      <c r="DC34" t="e">
        <f>AND(Plan!V79,"AAAAAG8/32o=")</f>
        <v>#VALUE!</v>
      </c>
      <c r="DD34" t="e">
        <f>AND(Plan!W79,"AAAAAG8/32s=")</f>
        <v>#VALUE!</v>
      </c>
      <c r="DE34" t="e">
        <f>AND(Plan!X79,"AAAAAG8/32w=")</f>
        <v>#VALUE!</v>
      </c>
      <c r="DF34" t="e">
        <f>AND(Plan!Y79,"AAAAAG8/320=")</f>
        <v>#VALUE!</v>
      </c>
      <c r="DG34" t="e">
        <f>AND(Plan!Z79,"AAAAAG8/324=")</f>
        <v>#VALUE!</v>
      </c>
      <c r="DH34" t="e">
        <f>AND(Plan!AA79,"AAAAAG8/328=")</f>
        <v>#VALUE!</v>
      </c>
      <c r="DI34" t="e">
        <f>AND(Plan!AB79,"AAAAAG8/33A=")</f>
        <v>#VALUE!</v>
      </c>
      <c r="DJ34" t="e">
        <f>AND(Plan!AC79,"AAAAAG8/33E=")</f>
        <v>#VALUE!</v>
      </c>
      <c r="DK34" t="e">
        <f>AND(Plan!AD79,"AAAAAG8/33I=")</f>
        <v>#VALUE!</v>
      </c>
      <c r="DL34" t="e">
        <f>AND(Plan!AE79,"AAAAAG8/33M=")</f>
        <v>#VALUE!</v>
      </c>
      <c r="DM34" t="e">
        <f>AND(Plan!AF79,"AAAAAG8/33Q=")</f>
        <v>#VALUE!</v>
      </c>
      <c r="DN34" t="e">
        <f>AND(Plan!AG79,"AAAAAG8/33U=")</f>
        <v>#VALUE!</v>
      </c>
      <c r="DO34" t="e">
        <f>AND(Plan!AH79,"AAAAAG8/33Y=")</f>
        <v>#VALUE!</v>
      </c>
      <c r="DP34" t="e">
        <f>AND(Plan!AI79,"AAAAAG8/33c=")</f>
        <v>#VALUE!</v>
      </c>
      <c r="DQ34" t="e">
        <f>AND(Plan!AJ79,"AAAAAG8/33g=")</f>
        <v>#VALUE!</v>
      </c>
      <c r="DR34" t="e">
        <f>AND(Plan!AK79,"AAAAAG8/33k=")</f>
        <v>#VALUE!</v>
      </c>
      <c r="DS34" t="e">
        <f>AND(Plan!AL79,"AAAAAG8/33o=")</f>
        <v>#VALUE!</v>
      </c>
      <c r="DT34" t="e">
        <f>AND(Plan!AM79,"AAAAAG8/33s=")</f>
        <v>#VALUE!</v>
      </c>
      <c r="DU34" t="e">
        <f>AND(Plan!AN79,"AAAAAG8/33w=")</f>
        <v>#VALUE!</v>
      </c>
      <c r="DV34" t="e">
        <f>AND(Plan!AO79,"AAAAAG8/330=")</f>
        <v>#VALUE!</v>
      </c>
      <c r="DW34" t="e">
        <f>AND(Plan!AP79,"AAAAAG8/334=")</f>
        <v>#VALUE!</v>
      </c>
      <c r="DX34" t="e">
        <f>AND(Plan!AQ79,"AAAAAG8/338=")</f>
        <v>#VALUE!</v>
      </c>
      <c r="DY34" t="e">
        <f>AND(Plan!AR79,"AAAAAG8/34A=")</f>
        <v>#VALUE!</v>
      </c>
      <c r="DZ34" t="e">
        <f>AND(Plan!AS79,"AAAAAG8/34E=")</f>
        <v>#VALUE!</v>
      </c>
      <c r="EA34" t="e">
        <f>AND(Plan!AT79,"AAAAAG8/34I=")</f>
        <v>#VALUE!</v>
      </c>
      <c r="EB34" t="e">
        <f>AND(Plan!AU79,"AAAAAG8/34M=")</f>
        <v>#VALUE!</v>
      </c>
      <c r="EC34" t="e">
        <f>AND(Plan!AV79,"AAAAAG8/34Q=")</f>
        <v>#VALUE!</v>
      </c>
      <c r="ED34" t="e">
        <f>AND(Plan!AW79,"AAAAAG8/34U=")</f>
        <v>#VALUE!</v>
      </c>
      <c r="EE34" t="e">
        <f>AND(Plan!AX79,"AAAAAG8/34Y=")</f>
        <v>#VALUE!</v>
      </c>
      <c r="EF34" t="e">
        <f>AND(Plan!AY79,"AAAAAG8/34c=")</f>
        <v>#VALUE!</v>
      </c>
      <c r="EG34" t="e">
        <f>AND(Plan!AZ79,"AAAAAG8/34g=")</f>
        <v>#VALUE!</v>
      </c>
      <c r="EH34" t="e">
        <f>AND(Plan!BA79,"AAAAAG8/34k=")</f>
        <v>#VALUE!</v>
      </c>
      <c r="EI34" t="e">
        <f>AND(Plan!BB79,"AAAAAG8/34o=")</f>
        <v>#VALUE!</v>
      </c>
      <c r="EJ34" t="e">
        <f>AND(Plan!BC79,"AAAAAG8/34s=")</f>
        <v>#VALUE!</v>
      </c>
      <c r="EK34" t="e">
        <f>AND(Plan!BD79,"AAAAAG8/34w=")</f>
        <v>#VALUE!</v>
      </c>
      <c r="EL34" t="e">
        <f>AND(Plan!BE79,"AAAAAG8/340=")</f>
        <v>#VALUE!</v>
      </c>
      <c r="EM34" t="e">
        <f>AND(Plan!BF79,"AAAAAG8/344=")</f>
        <v>#VALUE!</v>
      </c>
      <c r="EN34" t="e">
        <f>AND(Plan!BG79,"AAAAAG8/348=")</f>
        <v>#VALUE!</v>
      </c>
      <c r="EO34" t="e">
        <f>AND(Plan!BH79,"AAAAAG8/35A=")</f>
        <v>#VALUE!</v>
      </c>
      <c r="EP34" t="e">
        <f>AND(Plan!BI79,"AAAAAG8/35E=")</f>
        <v>#VALUE!</v>
      </c>
      <c r="EQ34" t="e">
        <f>AND(Plan!BJ79,"AAAAAG8/35I=")</f>
        <v>#VALUE!</v>
      </c>
      <c r="ER34" t="e">
        <f>AND(Plan!BK79,"AAAAAG8/35M=")</f>
        <v>#VALUE!</v>
      </c>
      <c r="ES34" t="e">
        <f>AND(Plan!BL79,"AAAAAG8/35Q=")</f>
        <v>#VALUE!</v>
      </c>
      <c r="ET34" t="e">
        <f>AND(Plan!BM79,"AAAAAG8/35U=")</f>
        <v>#VALUE!</v>
      </c>
      <c r="EU34" t="e">
        <f>AND(Plan!BN79,"AAAAAG8/35Y=")</f>
        <v>#VALUE!</v>
      </c>
      <c r="EV34" t="e">
        <f>AND(Plan!BO79,"AAAAAG8/35c=")</f>
        <v>#VALUE!</v>
      </c>
      <c r="EW34" t="e">
        <f>AND(Plan!BP79,"AAAAAG8/35g=")</f>
        <v>#VALUE!</v>
      </c>
      <c r="EX34" t="e">
        <f>AND(Plan!BQ79,"AAAAAG8/35k=")</f>
        <v>#VALUE!</v>
      </c>
      <c r="EY34" t="e">
        <f>AND(Plan!BR79,"AAAAAG8/35o=")</f>
        <v>#VALUE!</v>
      </c>
      <c r="EZ34" t="e">
        <f>AND(Plan!BS79,"AAAAAG8/35s=")</f>
        <v>#VALUE!</v>
      </c>
      <c r="FA34" t="e">
        <f>AND(Plan!BT79,"AAAAAG8/35w=")</f>
        <v>#VALUE!</v>
      </c>
      <c r="FB34" t="e">
        <f>AND(Plan!BU79,"AAAAAG8/350=")</f>
        <v>#VALUE!</v>
      </c>
      <c r="FC34" t="e">
        <f>AND(Plan!BV79,"AAAAAG8/354=")</f>
        <v>#VALUE!</v>
      </c>
      <c r="FD34" t="e">
        <f>AND(Plan!BW79,"AAAAAG8/358=")</f>
        <v>#VALUE!</v>
      </c>
      <c r="FE34" t="e">
        <f>AND(Plan!BX79,"AAAAAG8/36A=")</f>
        <v>#VALUE!</v>
      </c>
      <c r="FF34" t="e">
        <f>AND(Plan!BY79,"AAAAAG8/36E=")</f>
        <v>#VALUE!</v>
      </c>
      <c r="FG34" t="e">
        <f>AND(Plan!BZ79,"AAAAAG8/36I=")</f>
        <v>#VALUE!</v>
      </c>
      <c r="FH34" t="e">
        <f>AND(Plan!CA79,"AAAAAG8/36M=")</f>
        <v>#VALUE!</v>
      </c>
      <c r="FI34" t="e">
        <f>AND(Plan!CB79,"AAAAAG8/36Q=")</f>
        <v>#VALUE!</v>
      </c>
      <c r="FJ34" t="e">
        <f>AND(Plan!CC79,"AAAAAG8/36U=")</f>
        <v>#VALUE!</v>
      </c>
      <c r="FK34" t="e">
        <f>AND(Plan!CD79,"AAAAAG8/36Y=")</f>
        <v>#VALUE!</v>
      </c>
      <c r="FL34" t="e">
        <f>AND(Plan!CE79,"AAAAAG8/36c=")</f>
        <v>#VALUE!</v>
      </c>
      <c r="FM34" t="e">
        <f>AND(Plan!CF79,"AAAAAG8/36g=")</f>
        <v>#VALUE!</v>
      </c>
      <c r="FN34" t="e">
        <f>AND(Plan!CG79,"AAAAAG8/36k=")</f>
        <v>#VALUE!</v>
      </c>
      <c r="FO34" t="e">
        <f>AND(Plan!CH79,"AAAAAG8/36o=")</f>
        <v>#VALUE!</v>
      </c>
      <c r="FP34" t="e">
        <f>AND(Plan!CI79,"AAAAAG8/36s=")</f>
        <v>#VALUE!</v>
      </c>
      <c r="FQ34" t="e">
        <f>AND(Plan!CJ79,"AAAAAG8/36w=")</f>
        <v>#VALUE!</v>
      </c>
      <c r="FR34" t="e">
        <f>AND(Plan!CK79,"AAAAAG8/360=")</f>
        <v>#VALUE!</v>
      </c>
      <c r="FS34" t="e">
        <f>AND(Plan!CL79,"AAAAAG8/364=")</f>
        <v>#VALUE!</v>
      </c>
      <c r="FT34" t="e">
        <f>AND(Plan!CM79,"AAAAAG8/368=")</f>
        <v>#VALUE!</v>
      </c>
      <c r="FU34" t="e">
        <f>AND(Plan!CN79,"AAAAAG8/37A=")</f>
        <v>#VALUE!</v>
      </c>
      <c r="FV34" t="e">
        <f>AND(Plan!CO79,"AAAAAG8/37E=")</f>
        <v>#VALUE!</v>
      </c>
      <c r="FW34" t="e">
        <f>AND(Plan!CP79,"AAAAAG8/37I=")</f>
        <v>#VALUE!</v>
      </c>
      <c r="FX34" t="e">
        <f>AND(Plan!CQ79,"AAAAAG8/37M=")</f>
        <v>#VALUE!</v>
      </c>
      <c r="FY34" t="e">
        <f>AND(Plan!CR79,"AAAAAG8/37Q=")</f>
        <v>#VALUE!</v>
      </c>
      <c r="FZ34" t="e">
        <f>AND(Plan!CS79,"AAAAAG8/37U=")</f>
        <v>#VALUE!</v>
      </c>
      <c r="GA34" t="e">
        <f>AND(Plan!CT79,"AAAAAG8/37Y=")</f>
        <v>#VALUE!</v>
      </c>
      <c r="GB34" t="e">
        <f>AND(Plan!CU79,"AAAAAG8/37c=")</f>
        <v>#VALUE!</v>
      </c>
      <c r="GC34" t="e">
        <f>AND(Plan!CV79,"AAAAAG8/37g=")</f>
        <v>#VALUE!</v>
      </c>
      <c r="GD34" t="e">
        <f>AND(Plan!CW79,"AAAAAG8/37k=")</f>
        <v>#VALUE!</v>
      </c>
      <c r="GE34">
        <f>IF(Plan!80:80,"AAAAAG8/37o=",0)</f>
        <v>0</v>
      </c>
      <c r="GF34" t="e">
        <f>AND(Plan!A80,"AAAAAG8/37s=")</f>
        <v>#VALUE!</v>
      </c>
      <c r="GG34" t="e">
        <f>AND(Plan!B80,"AAAAAG8/37w=")</f>
        <v>#VALUE!</v>
      </c>
      <c r="GH34" t="e">
        <f>AND(Plan!C80,"AAAAAG8/370=")</f>
        <v>#VALUE!</v>
      </c>
      <c r="GI34" t="e">
        <f>AND(Plan!D80,"AAAAAG8/374=")</f>
        <v>#VALUE!</v>
      </c>
      <c r="GJ34" t="e">
        <f>AND(Plan!E80,"AAAAAG8/378=")</f>
        <v>#VALUE!</v>
      </c>
      <c r="GK34" t="e">
        <f>AND(Plan!F80,"AAAAAG8/38A=")</f>
        <v>#VALUE!</v>
      </c>
      <c r="GL34" t="e">
        <f>AND(Plan!G80,"AAAAAG8/38E=")</f>
        <v>#VALUE!</v>
      </c>
      <c r="GM34" t="e">
        <f>AND(Plan!H80,"AAAAAG8/38I=")</f>
        <v>#VALUE!</v>
      </c>
      <c r="GN34" t="e">
        <f>AND(Plan!I80,"AAAAAG8/38M=")</f>
        <v>#VALUE!</v>
      </c>
      <c r="GO34" t="e">
        <f>AND(Plan!J80,"AAAAAG8/38Q=")</f>
        <v>#VALUE!</v>
      </c>
      <c r="GP34" t="e">
        <f>AND(Plan!K80,"AAAAAG8/38U=")</f>
        <v>#VALUE!</v>
      </c>
      <c r="GQ34" t="e">
        <f>AND(Plan!L80,"AAAAAG8/38Y=")</f>
        <v>#VALUE!</v>
      </c>
      <c r="GR34" t="e">
        <f>AND(Plan!M80,"AAAAAG8/38c=")</f>
        <v>#VALUE!</v>
      </c>
      <c r="GS34" t="e">
        <f>AND(Plan!N80,"AAAAAG8/38g=")</f>
        <v>#VALUE!</v>
      </c>
      <c r="GT34" t="e">
        <f>AND(Plan!O80,"AAAAAG8/38k=")</f>
        <v>#VALUE!</v>
      </c>
      <c r="GU34" t="e">
        <f>AND(Plan!P80,"AAAAAG8/38o=")</f>
        <v>#VALUE!</v>
      </c>
      <c r="GV34" t="e">
        <f>AND(Plan!Q80,"AAAAAG8/38s=")</f>
        <v>#VALUE!</v>
      </c>
      <c r="GW34" t="e">
        <f>AND(Plan!R80,"AAAAAG8/38w=")</f>
        <v>#VALUE!</v>
      </c>
      <c r="GX34" t="e">
        <f>AND(Plan!S80,"AAAAAG8/380=")</f>
        <v>#VALUE!</v>
      </c>
      <c r="GY34" t="e">
        <f>AND(Plan!T80,"AAAAAG8/384=")</f>
        <v>#VALUE!</v>
      </c>
      <c r="GZ34" t="e">
        <f>AND(Plan!U80,"AAAAAG8/388=")</f>
        <v>#VALUE!</v>
      </c>
      <c r="HA34" t="e">
        <f>AND(Plan!V80,"AAAAAG8/39A=")</f>
        <v>#VALUE!</v>
      </c>
      <c r="HB34" t="e">
        <f>AND(Plan!W80,"AAAAAG8/39E=")</f>
        <v>#VALUE!</v>
      </c>
      <c r="HC34" t="e">
        <f>AND(Plan!X80,"AAAAAG8/39I=")</f>
        <v>#VALUE!</v>
      </c>
      <c r="HD34" t="e">
        <f>AND(Plan!Y80,"AAAAAG8/39M=")</f>
        <v>#VALUE!</v>
      </c>
      <c r="HE34" t="e">
        <f>AND(Plan!Z80,"AAAAAG8/39Q=")</f>
        <v>#VALUE!</v>
      </c>
      <c r="HF34" t="e">
        <f>AND(Plan!AA80,"AAAAAG8/39U=")</f>
        <v>#VALUE!</v>
      </c>
      <c r="HG34" t="e">
        <f>AND(Plan!AB80,"AAAAAG8/39Y=")</f>
        <v>#VALUE!</v>
      </c>
      <c r="HH34" t="e">
        <f>AND(Plan!AC80,"AAAAAG8/39c=")</f>
        <v>#VALUE!</v>
      </c>
      <c r="HI34" t="e">
        <f>AND(Plan!AD80,"AAAAAG8/39g=")</f>
        <v>#VALUE!</v>
      </c>
      <c r="HJ34" t="e">
        <f>AND(Plan!AE80,"AAAAAG8/39k=")</f>
        <v>#VALUE!</v>
      </c>
      <c r="HK34" t="e">
        <f>AND(Plan!AF80,"AAAAAG8/39o=")</f>
        <v>#VALUE!</v>
      </c>
      <c r="HL34" t="e">
        <f>AND(Plan!AG80,"AAAAAG8/39s=")</f>
        <v>#VALUE!</v>
      </c>
      <c r="HM34" t="e">
        <f>AND(Plan!AH80,"AAAAAG8/39w=")</f>
        <v>#VALUE!</v>
      </c>
      <c r="HN34" t="e">
        <f>AND(Plan!AI80,"AAAAAG8/390=")</f>
        <v>#VALUE!</v>
      </c>
      <c r="HO34" t="e">
        <f>AND(Plan!AJ80,"AAAAAG8/394=")</f>
        <v>#VALUE!</v>
      </c>
      <c r="HP34" t="e">
        <f>AND(Plan!AK80,"AAAAAG8/398=")</f>
        <v>#VALUE!</v>
      </c>
      <c r="HQ34" t="e">
        <f>AND(Plan!AL80,"AAAAAG8/3+A=")</f>
        <v>#VALUE!</v>
      </c>
      <c r="HR34" t="e">
        <f>AND(Plan!AM80,"AAAAAG8/3+E=")</f>
        <v>#VALUE!</v>
      </c>
      <c r="HS34" t="e">
        <f>AND(Plan!AN80,"AAAAAG8/3+I=")</f>
        <v>#VALUE!</v>
      </c>
      <c r="HT34" t="e">
        <f>AND(Plan!AO80,"AAAAAG8/3+M=")</f>
        <v>#VALUE!</v>
      </c>
      <c r="HU34" t="e">
        <f>AND(Plan!AP80,"AAAAAG8/3+Q=")</f>
        <v>#VALUE!</v>
      </c>
      <c r="HV34" t="e">
        <f>AND(Plan!AQ80,"AAAAAG8/3+U=")</f>
        <v>#VALUE!</v>
      </c>
      <c r="HW34" t="e">
        <f>AND(Plan!AR80,"AAAAAG8/3+Y=")</f>
        <v>#VALUE!</v>
      </c>
      <c r="HX34" t="e">
        <f>AND(Plan!AS80,"AAAAAG8/3+c=")</f>
        <v>#VALUE!</v>
      </c>
      <c r="HY34" t="e">
        <f>AND(Plan!AT80,"AAAAAG8/3+g=")</f>
        <v>#VALUE!</v>
      </c>
      <c r="HZ34" t="e">
        <f>AND(Plan!AU80,"AAAAAG8/3+k=")</f>
        <v>#VALUE!</v>
      </c>
      <c r="IA34" t="e">
        <f>AND(Plan!AV80,"AAAAAG8/3+o=")</f>
        <v>#VALUE!</v>
      </c>
      <c r="IB34" t="e">
        <f>AND(Plan!AW80,"AAAAAG8/3+s=")</f>
        <v>#VALUE!</v>
      </c>
      <c r="IC34" t="e">
        <f>AND(Plan!AX80,"AAAAAG8/3+w=")</f>
        <v>#VALUE!</v>
      </c>
      <c r="ID34" t="e">
        <f>AND(Plan!AY80,"AAAAAG8/3+0=")</f>
        <v>#VALUE!</v>
      </c>
      <c r="IE34" t="e">
        <f>AND(Plan!AZ80,"AAAAAG8/3+4=")</f>
        <v>#VALUE!</v>
      </c>
      <c r="IF34" t="e">
        <f>AND(Plan!BA80,"AAAAAG8/3+8=")</f>
        <v>#VALUE!</v>
      </c>
      <c r="IG34" t="e">
        <f>AND(Plan!BB80,"AAAAAG8/3/A=")</f>
        <v>#VALUE!</v>
      </c>
      <c r="IH34" t="e">
        <f>AND(Plan!BC80,"AAAAAG8/3/E=")</f>
        <v>#VALUE!</v>
      </c>
      <c r="II34" t="e">
        <f>AND(Plan!BD80,"AAAAAG8/3/I=")</f>
        <v>#VALUE!</v>
      </c>
      <c r="IJ34" t="e">
        <f>AND(Plan!BE80,"AAAAAG8/3/M=")</f>
        <v>#VALUE!</v>
      </c>
      <c r="IK34" t="e">
        <f>AND(Plan!BF80,"AAAAAG8/3/Q=")</f>
        <v>#VALUE!</v>
      </c>
      <c r="IL34" t="e">
        <f>AND(Plan!BG80,"AAAAAG8/3/U=")</f>
        <v>#VALUE!</v>
      </c>
      <c r="IM34" t="e">
        <f>AND(Plan!BH80,"AAAAAG8/3/Y=")</f>
        <v>#VALUE!</v>
      </c>
      <c r="IN34" t="e">
        <f>AND(Plan!BI80,"AAAAAG8/3/c=")</f>
        <v>#VALUE!</v>
      </c>
      <c r="IO34" t="e">
        <f>AND(Plan!BJ80,"AAAAAG8/3/g=")</f>
        <v>#VALUE!</v>
      </c>
      <c r="IP34" t="e">
        <f>AND(Plan!BK80,"AAAAAG8/3/k=")</f>
        <v>#VALUE!</v>
      </c>
      <c r="IQ34" t="e">
        <f>AND(Plan!BL80,"AAAAAG8/3/o=")</f>
        <v>#VALUE!</v>
      </c>
      <c r="IR34" t="e">
        <f>AND(Plan!BM80,"AAAAAG8/3/s=")</f>
        <v>#VALUE!</v>
      </c>
      <c r="IS34" t="e">
        <f>AND(Plan!BN80,"AAAAAG8/3/w=")</f>
        <v>#VALUE!</v>
      </c>
      <c r="IT34" t="e">
        <f>AND(Plan!BO80,"AAAAAG8/3/0=")</f>
        <v>#VALUE!</v>
      </c>
      <c r="IU34" t="e">
        <f>AND(Plan!BP80,"AAAAAG8/3/4=")</f>
        <v>#VALUE!</v>
      </c>
      <c r="IV34" t="e">
        <f>AND(Plan!BQ80,"AAAAAG8/3/8=")</f>
        <v>#VALUE!</v>
      </c>
    </row>
    <row r="35" spans="1:256">
      <c r="A35" t="e">
        <f>AND(Plan!BR80,"AAAAABm/zwA=")</f>
        <v>#VALUE!</v>
      </c>
      <c r="B35" t="e">
        <f>AND(Plan!BS80,"AAAAABm/zwE=")</f>
        <v>#VALUE!</v>
      </c>
      <c r="C35" t="e">
        <f>AND(Plan!BT80,"AAAAABm/zwI=")</f>
        <v>#VALUE!</v>
      </c>
      <c r="D35" t="e">
        <f>AND(Plan!BU80,"AAAAABm/zwM=")</f>
        <v>#VALUE!</v>
      </c>
      <c r="E35" t="e">
        <f>AND(Plan!BV80,"AAAAABm/zwQ=")</f>
        <v>#VALUE!</v>
      </c>
      <c r="F35" t="e">
        <f>AND(Plan!BW80,"AAAAABm/zwU=")</f>
        <v>#VALUE!</v>
      </c>
      <c r="G35" t="e">
        <f>AND(Plan!BX80,"AAAAABm/zwY=")</f>
        <v>#VALUE!</v>
      </c>
      <c r="H35" t="e">
        <f>AND(Plan!BY80,"AAAAABm/zwc=")</f>
        <v>#VALUE!</v>
      </c>
      <c r="I35" t="e">
        <f>AND(Plan!BZ80,"AAAAABm/zwg=")</f>
        <v>#VALUE!</v>
      </c>
      <c r="J35" t="e">
        <f>AND(Plan!CA80,"AAAAABm/zwk=")</f>
        <v>#VALUE!</v>
      </c>
      <c r="K35" t="e">
        <f>AND(Plan!CB80,"AAAAABm/zwo=")</f>
        <v>#VALUE!</v>
      </c>
      <c r="L35" t="e">
        <f>AND(Plan!CC80,"AAAAABm/zws=")</f>
        <v>#VALUE!</v>
      </c>
      <c r="M35" t="e">
        <f>AND(Plan!CD80,"AAAAABm/zww=")</f>
        <v>#VALUE!</v>
      </c>
      <c r="N35" t="e">
        <f>AND(Plan!CE80,"AAAAABm/zw0=")</f>
        <v>#VALUE!</v>
      </c>
      <c r="O35" t="e">
        <f>AND(Plan!CF80,"AAAAABm/zw4=")</f>
        <v>#VALUE!</v>
      </c>
      <c r="P35" t="e">
        <f>AND(Plan!CG80,"AAAAABm/zw8=")</f>
        <v>#VALUE!</v>
      </c>
      <c r="Q35" t="e">
        <f>AND(Plan!CH80,"AAAAABm/zxA=")</f>
        <v>#VALUE!</v>
      </c>
      <c r="R35" t="e">
        <f>AND(Plan!CI80,"AAAAABm/zxE=")</f>
        <v>#VALUE!</v>
      </c>
      <c r="S35" t="e">
        <f>AND(Plan!CJ80,"AAAAABm/zxI=")</f>
        <v>#VALUE!</v>
      </c>
      <c r="T35" t="e">
        <f>AND(Plan!CK80,"AAAAABm/zxM=")</f>
        <v>#VALUE!</v>
      </c>
      <c r="U35" t="e">
        <f>AND(Plan!CL80,"AAAAABm/zxQ=")</f>
        <v>#VALUE!</v>
      </c>
      <c r="V35" t="e">
        <f>AND(Plan!CM80,"AAAAABm/zxU=")</f>
        <v>#VALUE!</v>
      </c>
      <c r="W35" t="e">
        <f>AND(Plan!CN80,"AAAAABm/zxY=")</f>
        <v>#VALUE!</v>
      </c>
      <c r="X35" t="e">
        <f>AND(Plan!CO80,"AAAAABm/zxc=")</f>
        <v>#VALUE!</v>
      </c>
      <c r="Y35" t="e">
        <f>AND(Plan!CP80,"AAAAABm/zxg=")</f>
        <v>#VALUE!</v>
      </c>
      <c r="Z35" t="e">
        <f>AND(Plan!CQ80,"AAAAABm/zxk=")</f>
        <v>#VALUE!</v>
      </c>
      <c r="AA35" t="e">
        <f>AND(Plan!CR80,"AAAAABm/zxo=")</f>
        <v>#VALUE!</v>
      </c>
      <c r="AB35" t="e">
        <f>AND(Plan!CS80,"AAAAABm/zxs=")</f>
        <v>#VALUE!</v>
      </c>
      <c r="AC35" t="e">
        <f>AND(Plan!CT80,"AAAAABm/zxw=")</f>
        <v>#VALUE!</v>
      </c>
      <c r="AD35" t="e">
        <f>AND(Plan!CU80,"AAAAABm/zx0=")</f>
        <v>#VALUE!</v>
      </c>
      <c r="AE35" t="e">
        <f>AND(Plan!CV80,"AAAAABm/zx4=")</f>
        <v>#VALUE!</v>
      </c>
      <c r="AF35" t="e">
        <f>AND(Plan!CW80,"AAAAABm/zx8=")</f>
        <v>#VALUE!</v>
      </c>
      <c r="AG35">
        <f>IF(Plan!81:81,"AAAAABm/zyA=",0)</f>
        <v>0</v>
      </c>
      <c r="AH35" t="e">
        <f>AND(Plan!A81,"AAAAABm/zyE=")</f>
        <v>#VALUE!</v>
      </c>
      <c r="AI35" t="e">
        <f>AND(Plan!B81,"AAAAABm/zyI=")</f>
        <v>#VALUE!</v>
      </c>
      <c r="AJ35" t="e">
        <f>AND(Plan!C81,"AAAAABm/zyM=")</f>
        <v>#VALUE!</v>
      </c>
      <c r="AK35" t="e">
        <f>AND(Plan!D81,"AAAAABm/zyQ=")</f>
        <v>#VALUE!</v>
      </c>
      <c r="AL35" t="e">
        <f>AND(Plan!E81,"AAAAABm/zyU=")</f>
        <v>#VALUE!</v>
      </c>
      <c r="AM35" t="e">
        <f>AND(Plan!F81,"AAAAABm/zyY=")</f>
        <v>#VALUE!</v>
      </c>
      <c r="AN35" t="e">
        <f>AND(Plan!G81,"AAAAABm/zyc=")</f>
        <v>#VALUE!</v>
      </c>
      <c r="AO35" t="e">
        <f>AND(Plan!H81,"AAAAABm/zyg=")</f>
        <v>#VALUE!</v>
      </c>
      <c r="AP35" t="e">
        <f>AND(Plan!I81,"AAAAABm/zyk=")</f>
        <v>#VALUE!</v>
      </c>
      <c r="AQ35" t="e">
        <f>AND(Plan!J81,"AAAAABm/zyo=")</f>
        <v>#VALUE!</v>
      </c>
      <c r="AR35" t="e">
        <f>AND(Plan!K81,"AAAAABm/zys=")</f>
        <v>#VALUE!</v>
      </c>
      <c r="AS35" t="e">
        <f>AND(Plan!L81,"AAAAABm/zyw=")</f>
        <v>#VALUE!</v>
      </c>
      <c r="AT35" t="e">
        <f>AND(Plan!M81,"AAAAABm/zy0=")</f>
        <v>#VALUE!</v>
      </c>
      <c r="AU35" t="e">
        <f>AND(Plan!N81,"AAAAABm/zy4=")</f>
        <v>#VALUE!</v>
      </c>
      <c r="AV35" t="e">
        <f>AND(Plan!O81,"AAAAABm/zy8=")</f>
        <v>#VALUE!</v>
      </c>
      <c r="AW35" t="e">
        <f>AND(Plan!P81,"AAAAABm/zzA=")</f>
        <v>#VALUE!</v>
      </c>
      <c r="AX35" t="e">
        <f>AND(Plan!Q81,"AAAAABm/zzE=")</f>
        <v>#VALUE!</v>
      </c>
      <c r="AY35" t="e">
        <f>AND(Plan!R81,"AAAAABm/zzI=")</f>
        <v>#VALUE!</v>
      </c>
      <c r="AZ35" t="e">
        <f>AND(Plan!S81,"AAAAABm/zzM=")</f>
        <v>#VALUE!</v>
      </c>
      <c r="BA35" t="e">
        <f>AND(Plan!T81,"AAAAABm/zzQ=")</f>
        <v>#VALUE!</v>
      </c>
      <c r="BB35" t="e">
        <f>AND(Plan!U81,"AAAAABm/zzU=")</f>
        <v>#VALUE!</v>
      </c>
      <c r="BC35" t="e">
        <f>AND(Plan!V81,"AAAAABm/zzY=")</f>
        <v>#VALUE!</v>
      </c>
      <c r="BD35" t="e">
        <f>AND(Plan!W81,"AAAAABm/zzc=")</f>
        <v>#VALUE!</v>
      </c>
      <c r="BE35" t="e">
        <f>AND(Plan!X81,"AAAAABm/zzg=")</f>
        <v>#VALUE!</v>
      </c>
      <c r="BF35" t="e">
        <f>AND(Plan!Y81,"AAAAABm/zzk=")</f>
        <v>#VALUE!</v>
      </c>
      <c r="BG35" t="e">
        <f>AND(Plan!Z81,"AAAAABm/zzo=")</f>
        <v>#VALUE!</v>
      </c>
      <c r="BH35" t="e">
        <f>AND(Plan!AA81,"AAAAABm/zzs=")</f>
        <v>#VALUE!</v>
      </c>
      <c r="BI35" t="e">
        <f>AND(Plan!AB81,"AAAAABm/zzw=")</f>
        <v>#VALUE!</v>
      </c>
      <c r="BJ35" t="e">
        <f>AND(Plan!AC81,"AAAAABm/zz0=")</f>
        <v>#VALUE!</v>
      </c>
      <c r="BK35" t="e">
        <f>AND(Plan!AD81,"AAAAABm/zz4=")</f>
        <v>#VALUE!</v>
      </c>
      <c r="BL35" t="e">
        <f>AND(Plan!AE81,"AAAAABm/zz8=")</f>
        <v>#VALUE!</v>
      </c>
      <c r="BM35" t="e">
        <f>AND(Plan!AF81,"AAAAABm/z0A=")</f>
        <v>#VALUE!</v>
      </c>
      <c r="BN35" t="e">
        <f>AND(Plan!AG81,"AAAAABm/z0E=")</f>
        <v>#VALUE!</v>
      </c>
      <c r="BO35" t="e">
        <f>AND(Plan!AH81,"AAAAABm/z0I=")</f>
        <v>#VALUE!</v>
      </c>
      <c r="BP35" t="e">
        <f>AND(Plan!AI81,"AAAAABm/z0M=")</f>
        <v>#VALUE!</v>
      </c>
      <c r="BQ35" t="e">
        <f>AND(Plan!AJ81,"AAAAABm/z0Q=")</f>
        <v>#VALUE!</v>
      </c>
      <c r="BR35" t="e">
        <f>AND(Plan!AK81,"AAAAABm/z0U=")</f>
        <v>#VALUE!</v>
      </c>
      <c r="BS35" t="e">
        <f>AND(Plan!AL81,"AAAAABm/z0Y=")</f>
        <v>#VALUE!</v>
      </c>
      <c r="BT35" t="e">
        <f>AND(Plan!AM81,"AAAAABm/z0c=")</f>
        <v>#VALUE!</v>
      </c>
      <c r="BU35" t="e">
        <f>AND(Plan!AN81,"AAAAABm/z0g=")</f>
        <v>#VALUE!</v>
      </c>
      <c r="BV35" t="e">
        <f>AND(Plan!AO81,"AAAAABm/z0k=")</f>
        <v>#VALUE!</v>
      </c>
      <c r="BW35" t="e">
        <f>AND(Plan!AP81,"AAAAABm/z0o=")</f>
        <v>#VALUE!</v>
      </c>
      <c r="BX35" t="e">
        <f>AND(Plan!AQ81,"AAAAABm/z0s=")</f>
        <v>#VALUE!</v>
      </c>
      <c r="BY35" t="e">
        <f>AND(Plan!AR81,"AAAAABm/z0w=")</f>
        <v>#VALUE!</v>
      </c>
      <c r="BZ35" t="e">
        <f>AND(Plan!AS81,"AAAAABm/z00=")</f>
        <v>#VALUE!</v>
      </c>
      <c r="CA35" t="e">
        <f>AND(Plan!AT81,"AAAAABm/z04=")</f>
        <v>#VALUE!</v>
      </c>
      <c r="CB35" t="e">
        <f>AND(Plan!AU81,"AAAAABm/z08=")</f>
        <v>#VALUE!</v>
      </c>
      <c r="CC35" t="e">
        <f>AND(Plan!AV81,"AAAAABm/z1A=")</f>
        <v>#VALUE!</v>
      </c>
      <c r="CD35" t="e">
        <f>AND(Plan!AW81,"AAAAABm/z1E=")</f>
        <v>#VALUE!</v>
      </c>
      <c r="CE35" t="e">
        <f>AND(Plan!AX81,"AAAAABm/z1I=")</f>
        <v>#VALUE!</v>
      </c>
      <c r="CF35" t="e">
        <f>AND(Plan!AY81,"AAAAABm/z1M=")</f>
        <v>#VALUE!</v>
      </c>
      <c r="CG35" t="e">
        <f>AND(Plan!AZ81,"AAAAABm/z1Q=")</f>
        <v>#VALUE!</v>
      </c>
      <c r="CH35" t="e">
        <f>AND(Plan!BA81,"AAAAABm/z1U=")</f>
        <v>#VALUE!</v>
      </c>
      <c r="CI35" t="e">
        <f>AND(Plan!BB81,"AAAAABm/z1Y=")</f>
        <v>#VALUE!</v>
      </c>
      <c r="CJ35" t="e">
        <f>AND(Plan!BC81,"AAAAABm/z1c=")</f>
        <v>#VALUE!</v>
      </c>
      <c r="CK35" t="e">
        <f>AND(Plan!BD81,"AAAAABm/z1g=")</f>
        <v>#VALUE!</v>
      </c>
      <c r="CL35" t="e">
        <f>AND(Plan!BE81,"AAAAABm/z1k=")</f>
        <v>#VALUE!</v>
      </c>
      <c r="CM35" t="e">
        <f>AND(Plan!BF81,"AAAAABm/z1o=")</f>
        <v>#VALUE!</v>
      </c>
      <c r="CN35" t="e">
        <f>AND(Plan!BG81,"AAAAABm/z1s=")</f>
        <v>#VALUE!</v>
      </c>
      <c r="CO35" t="e">
        <f>AND(Plan!BH81,"AAAAABm/z1w=")</f>
        <v>#VALUE!</v>
      </c>
      <c r="CP35" t="e">
        <f>AND(Plan!BI81,"AAAAABm/z10=")</f>
        <v>#VALUE!</v>
      </c>
      <c r="CQ35" t="e">
        <f>AND(Plan!BJ81,"AAAAABm/z14=")</f>
        <v>#VALUE!</v>
      </c>
      <c r="CR35" t="e">
        <f>AND(Plan!BK81,"AAAAABm/z18=")</f>
        <v>#VALUE!</v>
      </c>
      <c r="CS35" t="e">
        <f>AND(Plan!BL81,"AAAAABm/z2A=")</f>
        <v>#VALUE!</v>
      </c>
      <c r="CT35" t="e">
        <f>AND(Plan!BM81,"AAAAABm/z2E=")</f>
        <v>#VALUE!</v>
      </c>
      <c r="CU35" t="e">
        <f>AND(Plan!BN81,"AAAAABm/z2I=")</f>
        <v>#VALUE!</v>
      </c>
      <c r="CV35" t="e">
        <f>AND(Plan!BO81,"AAAAABm/z2M=")</f>
        <v>#VALUE!</v>
      </c>
      <c r="CW35" t="e">
        <f>AND(Plan!BP81,"AAAAABm/z2Q=")</f>
        <v>#VALUE!</v>
      </c>
      <c r="CX35" t="e">
        <f>AND(Plan!BQ81,"AAAAABm/z2U=")</f>
        <v>#VALUE!</v>
      </c>
      <c r="CY35" t="e">
        <f>AND(Plan!BR81,"AAAAABm/z2Y=")</f>
        <v>#VALUE!</v>
      </c>
      <c r="CZ35" t="e">
        <f>AND(Plan!BS81,"AAAAABm/z2c=")</f>
        <v>#VALUE!</v>
      </c>
      <c r="DA35" t="e">
        <f>AND(Plan!BT81,"AAAAABm/z2g=")</f>
        <v>#VALUE!</v>
      </c>
      <c r="DB35" t="e">
        <f>AND(Plan!BU81,"AAAAABm/z2k=")</f>
        <v>#VALUE!</v>
      </c>
      <c r="DC35" t="e">
        <f>AND(Plan!BV81,"AAAAABm/z2o=")</f>
        <v>#VALUE!</v>
      </c>
      <c r="DD35" t="e">
        <f>AND(Plan!BW81,"AAAAABm/z2s=")</f>
        <v>#VALUE!</v>
      </c>
      <c r="DE35" t="e">
        <f>AND(Plan!BX81,"AAAAABm/z2w=")</f>
        <v>#VALUE!</v>
      </c>
      <c r="DF35" t="e">
        <f>AND(Plan!BY81,"AAAAABm/z20=")</f>
        <v>#VALUE!</v>
      </c>
      <c r="DG35" t="e">
        <f>AND(Plan!BZ81,"AAAAABm/z24=")</f>
        <v>#VALUE!</v>
      </c>
      <c r="DH35" t="e">
        <f>AND(Plan!CA81,"AAAAABm/z28=")</f>
        <v>#VALUE!</v>
      </c>
      <c r="DI35" t="e">
        <f>AND(Plan!CB81,"AAAAABm/z3A=")</f>
        <v>#VALUE!</v>
      </c>
      <c r="DJ35" t="e">
        <f>AND(Plan!CC81,"AAAAABm/z3E=")</f>
        <v>#VALUE!</v>
      </c>
      <c r="DK35" t="e">
        <f>AND(Plan!CD81,"AAAAABm/z3I=")</f>
        <v>#VALUE!</v>
      </c>
      <c r="DL35" t="e">
        <f>AND(Plan!CE81,"AAAAABm/z3M=")</f>
        <v>#VALUE!</v>
      </c>
      <c r="DM35" t="e">
        <f>AND(Plan!CF81,"AAAAABm/z3Q=")</f>
        <v>#VALUE!</v>
      </c>
      <c r="DN35" t="e">
        <f>AND(Plan!CG81,"AAAAABm/z3U=")</f>
        <v>#VALUE!</v>
      </c>
      <c r="DO35" t="e">
        <f>AND(Plan!CH81,"AAAAABm/z3Y=")</f>
        <v>#VALUE!</v>
      </c>
      <c r="DP35" t="e">
        <f>AND(Plan!CI81,"AAAAABm/z3c=")</f>
        <v>#VALUE!</v>
      </c>
      <c r="DQ35" t="e">
        <f>AND(Plan!CJ81,"AAAAABm/z3g=")</f>
        <v>#VALUE!</v>
      </c>
      <c r="DR35" t="e">
        <f>AND(Plan!CK81,"AAAAABm/z3k=")</f>
        <v>#VALUE!</v>
      </c>
      <c r="DS35" t="e">
        <f>AND(Plan!CL81,"AAAAABm/z3o=")</f>
        <v>#VALUE!</v>
      </c>
      <c r="DT35" t="e">
        <f>AND(Plan!CM81,"AAAAABm/z3s=")</f>
        <v>#VALUE!</v>
      </c>
      <c r="DU35" t="e">
        <f>AND(Plan!CN81,"AAAAABm/z3w=")</f>
        <v>#VALUE!</v>
      </c>
      <c r="DV35" t="e">
        <f>AND(Plan!CO81,"AAAAABm/z30=")</f>
        <v>#VALUE!</v>
      </c>
      <c r="DW35" t="e">
        <f>AND(Plan!CP81,"AAAAABm/z34=")</f>
        <v>#VALUE!</v>
      </c>
      <c r="DX35" t="e">
        <f>AND(Plan!CQ81,"AAAAABm/z38=")</f>
        <v>#VALUE!</v>
      </c>
      <c r="DY35" t="e">
        <f>AND(Plan!CR81,"AAAAABm/z4A=")</f>
        <v>#VALUE!</v>
      </c>
      <c r="DZ35" t="e">
        <f>AND(Plan!CS81,"AAAAABm/z4E=")</f>
        <v>#VALUE!</v>
      </c>
      <c r="EA35" t="e">
        <f>AND(Plan!CT81,"AAAAABm/z4I=")</f>
        <v>#VALUE!</v>
      </c>
      <c r="EB35" t="e">
        <f>AND(Plan!CU81,"AAAAABm/z4M=")</f>
        <v>#VALUE!</v>
      </c>
      <c r="EC35" t="e">
        <f>AND(Plan!CV81,"AAAAABm/z4Q=")</f>
        <v>#VALUE!</v>
      </c>
      <c r="ED35" t="e">
        <f>AND(Plan!CW81,"AAAAABm/z4U=")</f>
        <v>#VALUE!</v>
      </c>
      <c r="EE35">
        <f>IF(Plan!82:82,"AAAAABm/z4Y=",0)</f>
        <v>0</v>
      </c>
      <c r="EF35" t="e">
        <f>AND(Plan!A82,"AAAAABm/z4c=")</f>
        <v>#VALUE!</v>
      </c>
      <c r="EG35" t="e">
        <f>AND(Plan!B82,"AAAAABm/z4g=")</f>
        <v>#VALUE!</v>
      </c>
      <c r="EH35" t="e">
        <f>AND(Plan!C82,"AAAAABm/z4k=")</f>
        <v>#VALUE!</v>
      </c>
      <c r="EI35" t="e">
        <f>AND(Plan!D82,"AAAAABm/z4o=")</f>
        <v>#VALUE!</v>
      </c>
      <c r="EJ35" t="e">
        <f>AND(Plan!E82,"AAAAABm/z4s=")</f>
        <v>#VALUE!</v>
      </c>
      <c r="EK35" t="e">
        <f>AND(Plan!F82,"AAAAABm/z4w=")</f>
        <v>#VALUE!</v>
      </c>
      <c r="EL35" t="e">
        <f>AND(Plan!G82,"AAAAABm/z40=")</f>
        <v>#VALUE!</v>
      </c>
      <c r="EM35" t="e">
        <f>AND(Plan!H82,"AAAAABm/z44=")</f>
        <v>#VALUE!</v>
      </c>
      <c r="EN35" t="e">
        <f>AND(Plan!I82,"AAAAABm/z48=")</f>
        <v>#VALUE!</v>
      </c>
      <c r="EO35" t="e">
        <f>AND(Plan!J82,"AAAAABm/z5A=")</f>
        <v>#VALUE!</v>
      </c>
      <c r="EP35" t="e">
        <f>AND(Plan!K82,"AAAAABm/z5E=")</f>
        <v>#VALUE!</v>
      </c>
      <c r="EQ35" t="e">
        <f>AND(Plan!L82,"AAAAABm/z5I=")</f>
        <v>#VALUE!</v>
      </c>
      <c r="ER35" t="e">
        <f>AND(Plan!M82,"AAAAABm/z5M=")</f>
        <v>#VALUE!</v>
      </c>
      <c r="ES35" t="e">
        <f>AND(Plan!N82,"AAAAABm/z5Q=")</f>
        <v>#VALUE!</v>
      </c>
      <c r="ET35" t="e">
        <f>AND(Plan!O82,"AAAAABm/z5U=")</f>
        <v>#VALUE!</v>
      </c>
      <c r="EU35" t="e">
        <f>AND(Plan!P82,"AAAAABm/z5Y=")</f>
        <v>#VALUE!</v>
      </c>
      <c r="EV35" t="e">
        <f>AND(Plan!Q82,"AAAAABm/z5c=")</f>
        <v>#VALUE!</v>
      </c>
      <c r="EW35" t="e">
        <f>AND(Plan!R82,"AAAAABm/z5g=")</f>
        <v>#VALUE!</v>
      </c>
      <c r="EX35" t="e">
        <f>AND(Plan!S82,"AAAAABm/z5k=")</f>
        <v>#VALUE!</v>
      </c>
      <c r="EY35" t="e">
        <f>AND(Plan!T82,"AAAAABm/z5o=")</f>
        <v>#VALUE!</v>
      </c>
      <c r="EZ35" t="e">
        <f>AND(Plan!U82,"AAAAABm/z5s=")</f>
        <v>#VALUE!</v>
      </c>
      <c r="FA35" t="e">
        <f>AND(Plan!V82,"AAAAABm/z5w=")</f>
        <v>#VALUE!</v>
      </c>
      <c r="FB35" t="e">
        <f>AND(Plan!W82,"AAAAABm/z50=")</f>
        <v>#VALUE!</v>
      </c>
      <c r="FC35" t="e">
        <f>AND(Plan!X82,"AAAAABm/z54=")</f>
        <v>#VALUE!</v>
      </c>
      <c r="FD35" t="e">
        <f>AND(Plan!Y82,"AAAAABm/z58=")</f>
        <v>#VALUE!</v>
      </c>
      <c r="FE35" t="e">
        <f>AND(Plan!Z82,"AAAAABm/z6A=")</f>
        <v>#VALUE!</v>
      </c>
      <c r="FF35" t="e">
        <f>AND(Plan!AA82,"AAAAABm/z6E=")</f>
        <v>#VALUE!</v>
      </c>
      <c r="FG35" t="e">
        <f>AND(Plan!AB82,"AAAAABm/z6I=")</f>
        <v>#VALUE!</v>
      </c>
      <c r="FH35" t="e">
        <f>AND(Plan!AC82,"AAAAABm/z6M=")</f>
        <v>#VALUE!</v>
      </c>
      <c r="FI35" t="e">
        <f>AND(Plan!AD82,"AAAAABm/z6Q=")</f>
        <v>#VALUE!</v>
      </c>
      <c r="FJ35" t="e">
        <f>AND(Plan!AE82,"AAAAABm/z6U=")</f>
        <v>#VALUE!</v>
      </c>
      <c r="FK35" t="e">
        <f>AND(Plan!AF82,"AAAAABm/z6Y=")</f>
        <v>#VALUE!</v>
      </c>
      <c r="FL35" t="e">
        <f>AND(Plan!AG82,"AAAAABm/z6c=")</f>
        <v>#VALUE!</v>
      </c>
      <c r="FM35" t="e">
        <f>AND(Plan!AH82,"AAAAABm/z6g=")</f>
        <v>#VALUE!</v>
      </c>
      <c r="FN35" t="e">
        <f>AND(Plan!AI82,"AAAAABm/z6k=")</f>
        <v>#VALUE!</v>
      </c>
      <c r="FO35" t="e">
        <f>AND(Plan!AJ82,"AAAAABm/z6o=")</f>
        <v>#VALUE!</v>
      </c>
      <c r="FP35" t="e">
        <f>AND(Plan!AK82,"AAAAABm/z6s=")</f>
        <v>#VALUE!</v>
      </c>
      <c r="FQ35" t="e">
        <f>AND(Plan!AL82,"AAAAABm/z6w=")</f>
        <v>#VALUE!</v>
      </c>
      <c r="FR35" t="e">
        <f>AND(Plan!AM82,"AAAAABm/z60=")</f>
        <v>#VALUE!</v>
      </c>
      <c r="FS35" t="e">
        <f>AND(Plan!AN82,"AAAAABm/z64=")</f>
        <v>#VALUE!</v>
      </c>
      <c r="FT35" t="e">
        <f>AND(Plan!AO82,"AAAAABm/z68=")</f>
        <v>#VALUE!</v>
      </c>
      <c r="FU35" t="e">
        <f>AND(Plan!AP82,"AAAAABm/z7A=")</f>
        <v>#VALUE!</v>
      </c>
      <c r="FV35" t="e">
        <f>AND(Plan!AQ82,"AAAAABm/z7E=")</f>
        <v>#VALUE!</v>
      </c>
      <c r="FW35" t="e">
        <f>AND(Plan!AR82,"AAAAABm/z7I=")</f>
        <v>#VALUE!</v>
      </c>
      <c r="FX35" t="e">
        <f>AND(Plan!AS82,"AAAAABm/z7M=")</f>
        <v>#VALUE!</v>
      </c>
      <c r="FY35" t="e">
        <f>AND(Plan!AT82,"AAAAABm/z7Q=")</f>
        <v>#VALUE!</v>
      </c>
      <c r="FZ35" t="e">
        <f>AND(Plan!AU82,"AAAAABm/z7U=")</f>
        <v>#VALUE!</v>
      </c>
      <c r="GA35" t="e">
        <f>AND(Plan!AV82,"AAAAABm/z7Y=")</f>
        <v>#VALUE!</v>
      </c>
      <c r="GB35" t="e">
        <f>AND(Plan!AW82,"AAAAABm/z7c=")</f>
        <v>#VALUE!</v>
      </c>
      <c r="GC35" t="e">
        <f>AND(Plan!AX82,"AAAAABm/z7g=")</f>
        <v>#VALUE!</v>
      </c>
      <c r="GD35" t="e">
        <f>AND(Plan!AY82,"AAAAABm/z7k=")</f>
        <v>#VALUE!</v>
      </c>
      <c r="GE35" t="e">
        <f>AND(Plan!AZ82,"AAAAABm/z7o=")</f>
        <v>#VALUE!</v>
      </c>
      <c r="GF35" t="e">
        <f>AND(Plan!BA82,"AAAAABm/z7s=")</f>
        <v>#VALUE!</v>
      </c>
      <c r="GG35" t="e">
        <f>AND(Plan!BB82,"AAAAABm/z7w=")</f>
        <v>#VALUE!</v>
      </c>
      <c r="GH35" t="e">
        <f>AND(Plan!BC82,"AAAAABm/z70=")</f>
        <v>#VALUE!</v>
      </c>
      <c r="GI35" t="e">
        <f>AND(Plan!BD82,"AAAAABm/z74=")</f>
        <v>#VALUE!</v>
      </c>
      <c r="GJ35" t="e">
        <f>AND(Plan!BE82,"AAAAABm/z78=")</f>
        <v>#VALUE!</v>
      </c>
      <c r="GK35" t="e">
        <f>AND(Plan!BF82,"AAAAABm/z8A=")</f>
        <v>#VALUE!</v>
      </c>
      <c r="GL35" t="e">
        <f>AND(Plan!BG82,"AAAAABm/z8E=")</f>
        <v>#VALUE!</v>
      </c>
      <c r="GM35" t="e">
        <f>AND(Plan!BH82,"AAAAABm/z8I=")</f>
        <v>#VALUE!</v>
      </c>
      <c r="GN35" t="e">
        <f>AND(Plan!BI82,"AAAAABm/z8M=")</f>
        <v>#VALUE!</v>
      </c>
      <c r="GO35" t="e">
        <f>AND(Plan!BJ82,"AAAAABm/z8Q=")</f>
        <v>#VALUE!</v>
      </c>
      <c r="GP35" t="e">
        <f>AND(Plan!BK82,"AAAAABm/z8U=")</f>
        <v>#VALUE!</v>
      </c>
      <c r="GQ35" t="e">
        <f>AND(Plan!BL82,"AAAAABm/z8Y=")</f>
        <v>#VALUE!</v>
      </c>
      <c r="GR35" t="e">
        <f>AND(Plan!BM82,"AAAAABm/z8c=")</f>
        <v>#VALUE!</v>
      </c>
      <c r="GS35" t="e">
        <f>AND(Plan!BN82,"AAAAABm/z8g=")</f>
        <v>#VALUE!</v>
      </c>
      <c r="GT35" t="e">
        <f>AND(Plan!BO82,"AAAAABm/z8k=")</f>
        <v>#VALUE!</v>
      </c>
      <c r="GU35" t="e">
        <f>AND(Plan!BP82,"AAAAABm/z8o=")</f>
        <v>#VALUE!</v>
      </c>
      <c r="GV35" t="e">
        <f>AND(Plan!BQ82,"AAAAABm/z8s=")</f>
        <v>#VALUE!</v>
      </c>
      <c r="GW35" t="e">
        <f>AND(Plan!BR82,"AAAAABm/z8w=")</f>
        <v>#VALUE!</v>
      </c>
      <c r="GX35" t="e">
        <f>AND(Plan!BS82,"AAAAABm/z80=")</f>
        <v>#VALUE!</v>
      </c>
      <c r="GY35" t="e">
        <f>AND(Plan!BT82,"AAAAABm/z84=")</f>
        <v>#VALUE!</v>
      </c>
      <c r="GZ35" t="e">
        <f>AND(Plan!BU82,"AAAAABm/z88=")</f>
        <v>#VALUE!</v>
      </c>
      <c r="HA35" t="e">
        <f>AND(Plan!BV82,"AAAAABm/z9A=")</f>
        <v>#VALUE!</v>
      </c>
      <c r="HB35" t="e">
        <f>AND(Plan!BW82,"AAAAABm/z9E=")</f>
        <v>#VALUE!</v>
      </c>
      <c r="HC35" t="e">
        <f>AND(Plan!BX82,"AAAAABm/z9I=")</f>
        <v>#VALUE!</v>
      </c>
      <c r="HD35" t="e">
        <f>AND(Plan!BY82,"AAAAABm/z9M=")</f>
        <v>#VALUE!</v>
      </c>
      <c r="HE35" t="e">
        <f>AND(Plan!BZ82,"AAAAABm/z9Q=")</f>
        <v>#VALUE!</v>
      </c>
      <c r="HF35" t="e">
        <f>AND(Plan!CA82,"AAAAABm/z9U=")</f>
        <v>#VALUE!</v>
      </c>
      <c r="HG35" t="e">
        <f>AND(Plan!CB82,"AAAAABm/z9Y=")</f>
        <v>#VALUE!</v>
      </c>
      <c r="HH35" t="e">
        <f>AND(Plan!CC82,"AAAAABm/z9c=")</f>
        <v>#VALUE!</v>
      </c>
      <c r="HI35" t="e">
        <f>AND(Plan!CD82,"AAAAABm/z9g=")</f>
        <v>#VALUE!</v>
      </c>
      <c r="HJ35" t="e">
        <f>AND(Plan!CE82,"AAAAABm/z9k=")</f>
        <v>#VALUE!</v>
      </c>
      <c r="HK35" t="e">
        <f>AND(Plan!CF82,"AAAAABm/z9o=")</f>
        <v>#VALUE!</v>
      </c>
      <c r="HL35" t="e">
        <f>AND(Plan!CG82,"AAAAABm/z9s=")</f>
        <v>#VALUE!</v>
      </c>
      <c r="HM35" t="e">
        <f>AND(Plan!CH82,"AAAAABm/z9w=")</f>
        <v>#VALUE!</v>
      </c>
      <c r="HN35" t="e">
        <f>AND(Plan!CI82,"AAAAABm/z90=")</f>
        <v>#VALUE!</v>
      </c>
      <c r="HO35" t="e">
        <f>AND(Plan!CJ82,"AAAAABm/z94=")</f>
        <v>#VALUE!</v>
      </c>
      <c r="HP35" t="e">
        <f>AND(Plan!CK82,"AAAAABm/z98=")</f>
        <v>#VALUE!</v>
      </c>
      <c r="HQ35" t="e">
        <f>AND(Plan!CL82,"AAAAABm/z+A=")</f>
        <v>#VALUE!</v>
      </c>
      <c r="HR35" t="e">
        <f>AND(Plan!CM82,"AAAAABm/z+E=")</f>
        <v>#VALUE!</v>
      </c>
      <c r="HS35" t="e">
        <f>AND(Plan!CN82,"AAAAABm/z+I=")</f>
        <v>#VALUE!</v>
      </c>
      <c r="HT35" t="e">
        <f>AND(Plan!CO82,"AAAAABm/z+M=")</f>
        <v>#VALUE!</v>
      </c>
      <c r="HU35" t="e">
        <f>AND(Plan!CP82,"AAAAABm/z+Q=")</f>
        <v>#VALUE!</v>
      </c>
      <c r="HV35" t="e">
        <f>AND(Plan!CQ82,"AAAAABm/z+U=")</f>
        <v>#VALUE!</v>
      </c>
      <c r="HW35" t="e">
        <f>AND(Plan!CR82,"AAAAABm/z+Y=")</f>
        <v>#VALUE!</v>
      </c>
      <c r="HX35" t="e">
        <f>AND(Plan!CS82,"AAAAABm/z+c=")</f>
        <v>#VALUE!</v>
      </c>
      <c r="HY35" t="e">
        <f>AND(Plan!CT82,"AAAAABm/z+g=")</f>
        <v>#VALUE!</v>
      </c>
      <c r="HZ35" t="e">
        <f>AND(Plan!CU82,"AAAAABm/z+k=")</f>
        <v>#VALUE!</v>
      </c>
      <c r="IA35" t="e">
        <f>AND(Plan!CV82,"AAAAABm/z+o=")</f>
        <v>#VALUE!</v>
      </c>
      <c r="IB35" t="e">
        <f>AND(Plan!CW82,"AAAAABm/z+s=")</f>
        <v>#VALUE!</v>
      </c>
      <c r="IC35">
        <f>IF(Plan!83:83,"AAAAABm/z+w=",0)</f>
        <v>0</v>
      </c>
      <c r="ID35" t="e">
        <f>AND(Plan!A83,"AAAAABm/z+0=")</f>
        <v>#VALUE!</v>
      </c>
      <c r="IE35" t="e">
        <f>AND(Plan!B83,"AAAAABm/z+4=")</f>
        <v>#VALUE!</v>
      </c>
      <c r="IF35" t="e">
        <f>AND(Plan!C83,"AAAAABm/z+8=")</f>
        <v>#VALUE!</v>
      </c>
      <c r="IG35" t="e">
        <f>AND(Plan!D83,"AAAAABm/z/A=")</f>
        <v>#VALUE!</v>
      </c>
      <c r="IH35" t="e">
        <f>AND(Plan!E83,"AAAAABm/z/E=")</f>
        <v>#VALUE!</v>
      </c>
      <c r="II35" t="e">
        <f>AND(Plan!F83,"AAAAABm/z/I=")</f>
        <v>#VALUE!</v>
      </c>
      <c r="IJ35" t="e">
        <f>AND(Plan!G83,"AAAAABm/z/M=")</f>
        <v>#VALUE!</v>
      </c>
      <c r="IK35" t="e">
        <f>AND(Plan!H83,"AAAAABm/z/Q=")</f>
        <v>#VALUE!</v>
      </c>
      <c r="IL35" t="e">
        <f>AND(Plan!I83,"AAAAABm/z/U=")</f>
        <v>#VALUE!</v>
      </c>
      <c r="IM35" t="e">
        <f>AND(Plan!J83,"AAAAABm/z/Y=")</f>
        <v>#VALUE!</v>
      </c>
      <c r="IN35" t="e">
        <f>AND(Plan!K83,"AAAAABm/z/c=")</f>
        <v>#VALUE!</v>
      </c>
      <c r="IO35" t="e">
        <f>AND(Plan!L83,"AAAAABm/z/g=")</f>
        <v>#VALUE!</v>
      </c>
      <c r="IP35" t="e">
        <f>AND(Plan!M83,"AAAAABm/z/k=")</f>
        <v>#VALUE!</v>
      </c>
      <c r="IQ35" t="e">
        <f>AND(Plan!N83,"AAAAABm/z/o=")</f>
        <v>#VALUE!</v>
      </c>
      <c r="IR35" t="e">
        <f>AND(Plan!O83,"AAAAABm/z/s=")</f>
        <v>#VALUE!</v>
      </c>
      <c r="IS35" t="e">
        <f>AND(Plan!P83,"AAAAABm/z/w=")</f>
        <v>#VALUE!</v>
      </c>
      <c r="IT35" t="e">
        <f>AND(Plan!Q83,"AAAAABm/z/0=")</f>
        <v>#VALUE!</v>
      </c>
      <c r="IU35" t="e">
        <f>AND(Plan!R83,"AAAAABm/z/4=")</f>
        <v>#VALUE!</v>
      </c>
      <c r="IV35" t="e">
        <f>AND(Plan!S83,"AAAAABm/z/8=")</f>
        <v>#VALUE!</v>
      </c>
    </row>
    <row r="36" spans="1:256">
      <c r="A36" t="e">
        <f>AND(Plan!T83,"AAAAAF//rwA=")</f>
        <v>#VALUE!</v>
      </c>
      <c r="B36" t="e">
        <f>AND(Plan!U83,"AAAAAF//rwE=")</f>
        <v>#VALUE!</v>
      </c>
      <c r="C36" t="e">
        <f>AND(Plan!V83,"AAAAAF//rwI=")</f>
        <v>#VALUE!</v>
      </c>
      <c r="D36" t="e">
        <f>AND(Plan!W83,"AAAAAF//rwM=")</f>
        <v>#VALUE!</v>
      </c>
      <c r="E36" t="e">
        <f>AND(Plan!X83,"AAAAAF//rwQ=")</f>
        <v>#VALUE!</v>
      </c>
      <c r="F36" t="e">
        <f>AND(Plan!Y83,"AAAAAF//rwU=")</f>
        <v>#VALUE!</v>
      </c>
      <c r="G36" t="e">
        <f>AND(Plan!Z83,"AAAAAF//rwY=")</f>
        <v>#VALUE!</v>
      </c>
      <c r="H36" t="e">
        <f>AND(Plan!AA83,"AAAAAF//rwc=")</f>
        <v>#VALUE!</v>
      </c>
      <c r="I36" t="e">
        <f>AND(Plan!AB83,"AAAAAF//rwg=")</f>
        <v>#VALUE!</v>
      </c>
      <c r="J36" t="e">
        <f>AND(Plan!AC83,"AAAAAF//rwk=")</f>
        <v>#VALUE!</v>
      </c>
      <c r="K36" t="e">
        <f>AND(Plan!AD83,"AAAAAF//rwo=")</f>
        <v>#VALUE!</v>
      </c>
      <c r="L36" t="e">
        <f>AND(Plan!AE83,"AAAAAF//rws=")</f>
        <v>#VALUE!</v>
      </c>
      <c r="M36" t="e">
        <f>AND(Plan!AF83,"AAAAAF//rww=")</f>
        <v>#VALUE!</v>
      </c>
      <c r="N36" t="e">
        <f>AND(Plan!AG83,"AAAAAF//rw0=")</f>
        <v>#VALUE!</v>
      </c>
      <c r="O36" t="e">
        <f>AND(Plan!AH83,"AAAAAF//rw4=")</f>
        <v>#VALUE!</v>
      </c>
      <c r="P36" t="e">
        <f>AND(Plan!AI83,"AAAAAF//rw8=")</f>
        <v>#VALUE!</v>
      </c>
      <c r="Q36" t="e">
        <f>AND(Plan!AJ83,"AAAAAF//rxA=")</f>
        <v>#VALUE!</v>
      </c>
      <c r="R36" t="e">
        <f>AND(Plan!AK83,"AAAAAF//rxE=")</f>
        <v>#VALUE!</v>
      </c>
      <c r="S36" t="e">
        <f>AND(Plan!AL83,"AAAAAF//rxI=")</f>
        <v>#VALUE!</v>
      </c>
      <c r="T36" t="e">
        <f>AND(Plan!AM83,"AAAAAF//rxM=")</f>
        <v>#VALUE!</v>
      </c>
      <c r="U36" t="e">
        <f>AND(Plan!AN83,"AAAAAF//rxQ=")</f>
        <v>#VALUE!</v>
      </c>
      <c r="V36" t="e">
        <f>AND(Plan!AO83,"AAAAAF//rxU=")</f>
        <v>#VALUE!</v>
      </c>
      <c r="W36" t="e">
        <f>AND(Plan!AP83,"AAAAAF//rxY=")</f>
        <v>#VALUE!</v>
      </c>
      <c r="X36" t="e">
        <f>AND(Plan!AQ83,"AAAAAF//rxc=")</f>
        <v>#VALUE!</v>
      </c>
      <c r="Y36" t="e">
        <f>AND(Plan!AR83,"AAAAAF//rxg=")</f>
        <v>#VALUE!</v>
      </c>
      <c r="Z36" t="e">
        <f>AND(Plan!AS83,"AAAAAF//rxk=")</f>
        <v>#VALUE!</v>
      </c>
      <c r="AA36" t="e">
        <f>AND(Plan!AT83,"AAAAAF//rxo=")</f>
        <v>#VALUE!</v>
      </c>
      <c r="AB36" t="e">
        <f>AND(Plan!AU83,"AAAAAF//rxs=")</f>
        <v>#VALUE!</v>
      </c>
      <c r="AC36" t="e">
        <f>AND(Plan!AV83,"AAAAAF//rxw=")</f>
        <v>#VALUE!</v>
      </c>
      <c r="AD36" t="e">
        <f>AND(Plan!AW83,"AAAAAF//rx0=")</f>
        <v>#VALUE!</v>
      </c>
      <c r="AE36" t="e">
        <f>AND(Plan!AX83,"AAAAAF//rx4=")</f>
        <v>#VALUE!</v>
      </c>
      <c r="AF36" t="e">
        <f>AND(Plan!AY83,"AAAAAF//rx8=")</f>
        <v>#VALUE!</v>
      </c>
      <c r="AG36" t="e">
        <f>AND(Plan!AZ83,"AAAAAF//ryA=")</f>
        <v>#VALUE!</v>
      </c>
      <c r="AH36" t="e">
        <f>AND(Plan!BA83,"AAAAAF//ryE=")</f>
        <v>#VALUE!</v>
      </c>
      <c r="AI36" t="e">
        <f>AND(Plan!BB83,"AAAAAF//ryI=")</f>
        <v>#VALUE!</v>
      </c>
      <c r="AJ36" t="e">
        <f>AND(Plan!BC83,"AAAAAF//ryM=")</f>
        <v>#VALUE!</v>
      </c>
      <c r="AK36" t="e">
        <f>AND(Plan!BD83,"AAAAAF//ryQ=")</f>
        <v>#VALUE!</v>
      </c>
      <c r="AL36" t="e">
        <f>AND(Plan!BE83,"AAAAAF//ryU=")</f>
        <v>#VALUE!</v>
      </c>
      <c r="AM36" t="e">
        <f>AND(Plan!BF83,"AAAAAF//ryY=")</f>
        <v>#VALUE!</v>
      </c>
      <c r="AN36" t="e">
        <f>AND(Plan!BG83,"AAAAAF//ryc=")</f>
        <v>#VALUE!</v>
      </c>
      <c r="AO36" t="e">
        <f>AND(Plan!BH83,"AAAAAF//ryg=")</f>
        <v>#VALUE!</v>
      </c>
      <c r="AP36" t="e">
        <f>AND(Plan!BI83,"AAAAAF//ryk=")</f>
        <v>#VALUE!</v>
      </c>
      <c r="AQ36" t="e">
        <f>AND(Plan!BJ83,"AAAAAF//ryo=")</f>
        <v>#VALUE!</v>
      </c>
      <c r="AR36" t="e">
        <f>AND(Plan!BK83,"AAAAAF//rys=")</f>
        <v>#VALUE!</v>
      </c>
      <c r="AS36" t="e">
        <f>AND(Plan!BL83,"AAAAAF//ryw=")</f>
        <v>#VALUE!</v>
      </c>
      <c r="AT36" t="e">
        <f>AND(Plan!BM83,"AAAAAF//ry0=")</f>
        <v>#VALUE!</v>
      </c>
      <c r="AU36" t="e">
        <f>AND(Plan!BN83,"AAAAAF//ry4=")</f>
        <v>#VALUE!</v>
      </c>
      <c r="AV36" t="e">
        <f>AND(Plan!BO83,"AAAAAF//ry8=")</f>
        <v>#VALUE!</v>
      </c>
      <c r="AW36" t="e">
        <f>AND(Plan!BP83,"AAAAAF//rzA=")</f>
        <v>#VALUE!</v>
      </c>
      <c r="AX36" t="e">
        <f>AND(Plan!BQ83,"AAAAAF//rzE=")</f>
        <v>#VALUE!</v>
      </c>
      <c r="AY36" t="e">
        <f>AND(Plan!BR83,"AAAAAF//rzI=")</f>
        <v>#VALUE!</v>
      </c>
      <c r="AZ36" t="e">
        <f>AND(Plan!BS83,"AAAAAF//rzM=")</f>
        <v>#VALUE!</v>
      </c>
      <c r="BA36" t="e">
        <f>AND(Plan!BT83,"AAAAAF//rzQ=")</f>
        <v>#VALUE!</v>
      </c>
      <c r="BB36" t="e">
        <f>AND(Plan!BU83,"AAAAAF//rzU=")</f>
        <v>#VALUE!</v>
      </c>
      <c r="BC36" t="e">
        <f>AND(Plan!BV83,"AAAAAF//rzY=")</f>
        <v>#VALUE!</v>
      </c>
      <c r="BD36" t="e">
        <f>AND(Plan!BW83,"AAAAAF//rzc=")</f>
        <v>#VALUE!</v>
      </c>
      <c r="BE36" t="e">
        <f>AND(Plan!BX83,"AAAAAF//rzg=")</f>
        <v>#VALUE!</v>
      </c>
      <c r="BF36" t="e">
        <f>AND(Plan!BY83,"AAAAAF//rzk=")</f>
        <v>#VALUE!</v>
      </c>
      <c r="BG36" t="e">
        <f>AND(Plan!BZ83,"AAAAAF//rzo=")</f>
        <v>#VALUE!</v>
      </c>
      <c r="BH36" t="e">
        <f>AND(Plan!CA83,"AAAAAF//rzs=")</f>
        <v>#VALUE!</v>
      </c>
      <c r="BI36" t="e">
        <f>AND(Plan!CB83,"AAAAAF//rzw=")</f>
        <v>#VALUE!</v>
      </c>
      <c r="BJ36" t="e">
        <f>AND(Plan!CC83,"AAAAAF//rz0=")</f>
        <v>#VALUE!</v>
      </c>
      <c r="BK36" t="e">
        <f>AND(Plan!CD83,"AAAAAF//rz4=")</f>
        <v>#VALUE!</v>
      </c>
      <c r="BL36" t="e">
        <f>AND(Plan!CE83,"AAAAAF//rz8=")</f>
        <v>#VALUE!</v>
      </c>
      <c r="BM36" t="e">
        <f>AND(Plan!CF83,"AAAAAF//r0A=")</f>
        <v>#VALUE!</v>
      </c>
      <c r="BN36" t="e">
        <f>AND(Plan!CG83,"AAAAAF//r0E=")</f>
        <v>#VALUE!</v>
      </c>
      <c r="BO36" t="e">
        <f>AND(Plan!CH83,"AAAAAF//r0I=")</f>
        <v>#VALUE!</v>
      </c>
      <c r="BP36" t="e">
        <f>AND(Plan!CI83,"AAAAAF//r0M=")</f>
        <v>#VALUE!</v>
      </c>
      <c r="BQ36" t="e">
        <f>AND(Plan!CJ83,"AAAAAF//r0Q=")</f>
        <v>#VALUE!</v>
      </c>
      <c r="BR36" t="e">
        <f>AND(Plan!CK83,"AAAAAF//r0U=")</f>
        <v>#VALUE!</v>
      </c>
      <c r="BS36" t="e">
        <f>AND(Plan!CL83,"AAAAAF//r0Y=")</f>
        <v>#VALUE!</v>
      </c>
      <c r="BT36" t="e">
        <f>AND(Plan!CM83,"AAAAAF//r0c=")</f>
        <v>#VALUE!</v>
      </c>
      <c r="BU36" t="e">
        <f>AND(Plan!CN83,"AAAAAF//r0g=")</f>
        <v>#VALUE!</v>
      </c>
      <c r="BV36" t="e">
        <f>AND(Plan!CO83,"AAAAAF//r0k=")</f>
        <v>#VALUE!</v>
      </c>
      <c r="BW36" t="e">
        <f>AND(Plan!CP83,"AAAAAF//r0o=")</f>
        <v>#VALUE!</v>
      </c>
      <c r="BX36" t="e">
        <f>AND(Plan!CQ83,"AAAAAF//r0s=")</f>
        <v>#VALUE!</v>
      </c>
      <c r="BY36" t="e">
        <f>AND(Plan!CR83,"AAAAAF//r0w=")</f>
        <v>#VALUE!</v>
      </c>
      <c r="BZ36" t="e">
        <f>AND(Plan!CS83,"AAAAAF//r00=")</f>
        <v>#VALUE!</v>
      </c>
      <c r="CA36" t="e">
        <f>AND(Plan!CT83,"AAAAAF//r04=")</f>
        <v>#VALUE!</v>
      </c>
      <c r="CB36" t="e">
        <f>AND(Plan!CU83,"AAAAAF//r08=")</f>
        <v>#VALUE!</v>
      </c>
      <c r="CC36" t="e">
        <f>AND(Plan!CV83,"AAAAAF//r1A=")</f>
        <v>#VALUE!</v>
      </c>
      <c r="CD36" t="e">
        <f>AND(Plan!CW83,"AAAAAF//r1E=")</f>
        <v>#VALUE!</v>
      </c>
      <c r="CE36">
        <f>IF(Plan!84:84,"AAAAAF//r1I=",0)</f>
        <v>0</v>
      </c>
      <c r="CF36" t="e">
        <f>AND(Plan!A84,"AAAAAF//r1M=")</f>
        <v>#VALUE!</v>
      </c>
      <c r="CG36" t="e">
        <f>AND(Plan!B84,"AAAAAF//r1Q=")</f>
        <v>#VALUE!</v>
      </c>
      <c r="CH36" t="e">
        <f>AND(Plan!C84,"AAAAAF//r1U=")</f>
        <v>#VALUE!</v>
      </c>
      <c r="CI36" t="e">
        <f>AND(Plan!D84,"AAAAAF//r1Y=")</f>
        <v>#VALUE!</v>
      </c>
      <c r="CJ36" t="e">
        <f>AND(Plan!E84,"AAAAAF//r1c=")</f>
        <v>#VALUE!</v>
      </c>
      <c r="CK36" t="e">
        <f>AND(Plan!F84,"AAAAAF//r1g=")</f>
        <v>#VALUE!</v>
      </c>
      <c r="CL36" t="e">
        <f>AND(Plan!G84,"AAAAAF//r1k=")</f>
        <v>#VALUE!</v>
      </c>
      <c r="CM36" t="e">
        <f>AND(Plan!H84,"AAAAAF//r1o=")</f>
        <v>#VALUE!</v>
      </c>
      <c r="CN36" t="e">
        <f>AND(Plan!I84,"AAAAAF//r1s=")</f>
        <v>#VALUE!</v>
      </c>
      <c r="CO36" t="e">
        <f>AND(Plan!J84,"AAAAAF//r1w=")</f>
        <v>#VALUE!</v>
      </c>
      <c r="CP36" t="e">
        <f>AND(Plan!K84,"AAAAAF//r10=")</f>
        <v>#VALUE!</v>
      </c>
      <c r="CQ36" t="e">
        <f>AND(Plan!L84,"AAAAAF//r14=")</f>
        <v>#VALUE!</v>
      </c>
      <c r="CR36" t="e">
        <f>AND(Plan!M84,"AAAAAF//r18=")</f>
        <v>#VALUE!</v>
      </c>
      <c r="CS36" t="e">
        <f>AND(Plan!N84,"AAAAAF//r2A=")</f>
        <v>#VALUE!</v>
      </c>
      <c r="CT36" t="e">
        <f>AND(Plan!O84,"AAAAAF//r2E=")</f>
        <v>#VALUE!</v>
      </c>
      <c r="CU36" t="e">
        <f>AND(Plan!P84,"AAAAAF//r2I=")</f>
        <v>#VALUE!</v>
      </c>
      <c r="CV36" t="e">
        <f>AND(Plan!Q84,"AAAAAF//r2M=")</f>
        <v>#VALUE!</v>
      </c>
      <c r="CW36" t="e">
        <f>AND(Plan!R84,"AAAAAF//r2Q=")</f>
        <v>#VALUE!</v>
      </c>
      <c r="CX36" t="e">
        <f>AND(Plan!S84,"AAAAAF//r2U=")</f>
        <v>#VALUE!</v>
      </c>
      <c r="CY36" t="e">
        <f>AND(Plan!T84,"AAAAAF//r2Y=")</f>
        <v>#VALUE!</v>
      </c>
      <c r="CZ36" t="e">
        <f>AND(Plan!U84,"AAAAAF//r2c=")</f>
        <v>#VALUE!</v>
      </c>
      <c r="DA36" t="e">
        <f>AND(Plan!V84,"AAAAAF//r2g=")</f>
        <v>#VALUE!</v>
      </c>
      <c r="DB36" t="e">
        <f>AND(Plan!W84,"AAAAAF//r2k=")</f>
        <v>#VALUE!</v>
      </c>
      <c r="DC36" t="e">
        <f>AND(Plan!X84,"AAAAAF//r2o=")</f>
        <v>#VALUE!</v>
      </c>
      <c r="DD36" t="e">
        <f>AND(Plan!Y84,"AAAAAF//r2s=")</f>
        <v>#VALUE!</v>
      </c>
      <c r="DE36" t="e">
        <f>AND(Plan!Z84,"AAAAAF//r2w=")</f>
        <v>#VALUE!</v>
      </c>
      <c r="DF36" t="e">
        <f>AND(Plan!AA84,"AAAAAF//r20=")</f>
        <v>#VALUE!</v>
      </c>
      <c r="DG36" t="e">
        <f>AND(Plan!AB84,"AAAAAF//r24=")</f>
        <v>#VALUE!</v>
      </c>
      <c r="DH36" t="e">
        <f>AND(Plan!AC84,"AAAAAF//r28=")</f>
        <v>#VALUE!</v>
      </c>
      <c r="DI36" t="e">
        <f>AND(Plan!AD84,"AAAAAF//r3A=")</f>
        <v>#VALUE!</v>
      </c>
      <c r="DJ36" t="e">
        <f>AND(Plan!AE84,"AAAAAF//r3E=")</f>
        <v>#VALUE!</v>
      </c>
      <c r="DK36" t="e">
        <f>AND(Plan!AF84,"AAAAAF//r3I=")</f>
        <v>#VALUE!</v>
      </c>
      <c r="DL36" t="e">
        <f>AND(Plan!AG84,"AAAAAF//r3M=")</f>
        <v>#VALUE!</v>
      </c>
      <c r="DM36" t="e">
        <f>AND(Plan!AH84,"AAAAAF//r3Q=")</f>
        <v>#VALUE!</v>
      </c>
      <c r="DN36" t="e">
        <f>AND(Plan!AI84,"AAAAAF//r3U=")</f>
        <v>#VALUE!</v>
      </c>
      <c r="DO36" t="e">
        <f>AND(Plan!AJ84,"AAAAAF//r3Y=")</f>
        <v>#VALUE!</v>
      </c>
      <c r="DP36" t="e">
        <f>AND(Plan!AK84,"AAAAAF//r3c=")</f>
        <v>#VALUE!</v>
      </c>
      <c r="DQ36" t="e">
        <f>AND(Plan!AL84,"AAAAAF//r3g=")</f>
        <v>#VALUE!</v>
      </c>
      <c r="DR36" t="e">
        <f>AND(Plan!AM84,"AAAAAF//r3k=")</f>
        <v>#VALUE!</v>
      </c>
      <c r="DS36" t="e">
        <f>AND(Plan!AN84,"AAAAAF//r3o=")</f>
        <v>#VALUE!</v>
      </c>
      <c r="DT36" t="e">
        <f>AND(Plan!AO84,"AAAAAF//r3s=")</f>
        <v>#VALUE!</v>
      </c>
      <c r="DU36" t="e">
        <f>AND(Plan!AP84,"AAAAAF//r3w=")</f>
        <v>#VALUE!</v>
      </c>
      <c r="DV36" t="e">
        <f>AND(Plan!AQ84,"AAAAAF//r30=")</f>
        <v>#VALUE!</v>
      </c>
      <c r="DW36" t="e">
        <f>AND(Plan!AR84,"AAAAAF//r34=")</f>
        <v>#VALUE!</v>
      </c>
      <c r="DX36" t="e">
        <f>AND(Plan!AS84,"AAAAAF//r38=")</f>
        <v>#VALUE!</v>
      </c>
      <c r="DY36" t="e">
        <f>AND(Plan!AT84,"AAAAAF//r4A=")</f>
        <v>#VALUE!</v>
      </c>
      <c r="DZ36" t="e">
        <f>AND(Plan!AU84,"AAAAAF//r4E=")</f>
        <v>#VALUE!</v>
      </c>
      <c r="EA36" t="e">
        <f>AND(Plan!AV84,"AAAAAF//r4I=")</f>
        <v>#VALUE!</v>
      </c>
      <c r="EB36" t="e">
        <f>AND(Plan!AW84,"AAAAAF//r4M=")</f>
        <v>#VALUE!</v>
      </c>
      <c r="EC36" t="e">
        <f>AND(Plan!AX84,"AAAAAF//r4Q=")</f>
        <v>#VALUE!</v>
      </c>
      <c r="ED36" t="e">
        <f>AND(Plan!AY84,"AAAAAF//r4U=")</f>
        <v>#VALUE!</v>
      </c>
      <c r="EE36" t="e">
        <f>AND(Plan!AZ84,"AAAAAF//r4Y=")</f>
        <v>#VALUE!</v>
      </c>
      <c r="EF36" t="e">
        <f>AND(Plan!BA84,"AAAAAF//r4c=")</f>
        <v>#VALUE!</v>
      </c>
      <c r="EG36" t="e">
        <f>AND(Plan!BB84,"AAAAAF//r4g=")</f>
        <v>#VALUE!</v>
      </c>
      <c r="EH36" t="e">
        <f>AND(Plan!BC84,"AAAAAF//r4k=")</f>
        <v>#VALUE!</v>
      </c>
      <c r="EI36" t="e">
        <f>AND(Plan!BD84,"AAAAAF//r4o=")</f>
        <v>#VALUE!</v>
      </c>
      <c r="EJ36" t="e">
        <f>AND(Plan!BE84,"AAAAAF//r4s=")</f>
        <v>#VALUE!</v>
      </c>
      <c r="EK36" t="e">
        <f>AND(Plan!BF84,"AAAAAF//r4w=")</f>
        <v>#VALUE!</v>
      </c>
      <c r="EL36" t="e">
        <f>AND(Plan!BG84,"AAAAAF//r40=")</f>
        <v>#VALUE!</v>
      </c>
      <c r="EM36" t="e">
        <f>AND(Plan!BH84,"AAAAAF//r44=")</f>
        <v>#VALUE!</v>
      </c>
      <c r="EN36" t="e">
        <f>AND(Plan!BI84,"AAAAAF//r48=")</f>
        <v>#VALUE!</v>
      </c>
      <c r="EO36" t="e">
        <f>AND(Plan!BJ84,"AAAAAF//r5A=")</f>
        <v>#VALUE!</v>
      </c>
      <c r="EP36" t="e">
        <f>AND(Plan!BK84,"AAAAAF//r5E=")</f>
        <v>#VALUE!</v>
      </c>
      <c r="EQ36" t="e">
        <f>AND(Plan!BL84,"AAAAAF//r5I=")</f>
        <v>#VALUE!</v>
      </c>
      <c r="ER36" t="e">
        <f>AND(Plan!BM84,"AAAAAF//r5M=")</f>
        <v>#VALUE!</v>
      </c>
      <c r="ES36" t="e">
        <f>AND(Plan!BN84,"AAAAAF//r5Q=")</f>
        <v>#VALUE!</v>
      </c>
      <c r="ET36" t="e">
        <f>AND(Plan!BO84,"AAAAAF//r5U=")</f>
        <v>#VALUE!</v>
      </c>
      <c r="EU36" t="e">
        <f>AND(Plan!BP84,"AAAAAF//r5Y=")</f>
        <v>#VALUE!</v>
      </c>
      <c r="EV36" t="e">
        <f>AND(Plan!BQ84,"AAAAAF//r5c=")</f>
        <v>#VALUE!</v>
      </c>
      <c r="EW36" t="e">
        <f>AND(Plan!BR84,"AAAAAF//r5g=")</f>
        <v>#VALUE!</v>
      </c>
      <c r="EX36" t="e">
        <f>AND(Plan!BS84,"AAAAAF//r5k=")</f>
        <v>#VALUE!</v>
      </c>
      <c r="EY36" t="e">
        <f>AND(Plan!BT84,"AAAAAF//r5o=")</f>
        <v>#VALUE!</v>
      </c>
      <c r="EZ36" t="e">
        <f>AND(Plan!BU84,"AAAAAF//r5s=")</f>
        <v>#VALUE!</v>
      </c>
      <c r="FA36" t="e">
        <f>AND(Plan!BV84,"AAAAAF//r5w=")</f>
        <v>#VALUE!</v>
      </c>
      <c r="FB36" t="e">
        <f>AND(Plan!BW84,"AAAAAF//r50=")</f>
        <v>#VALUE!</v>
      </c>
      <c r="FC36" t="e">
        <f>AND(Plan!BX84,"AAAAAF//r54=")</f>
        <v>#VALUE!</v>
      </c>
      <c r="FD36" t="e">
        <f>AND(Plan!BY84,"AAAAAF//r58=")</f>
        <v>#VALUE!</v>
      </c>
      <c r="FE36" t="e">
        <f>AND(Plan!BZ84,"AAAAAF//r6A=")</f>
        <v>#VALUE!</v>
      </c>
      <c r="FF36" t="e">
        <f>AND(Plan!CA84,"AAAAAF//r6E=")</f>
        <v>#VALUE!</v>
      </c>
      <c r="FG36" t="e">
        <f>AND(Plan!CB84,"AAAAAF//r6I=")</f>
        <v>#VALUE!</v>
      </c>
      <c r="FH36" t="e">
        <f>AND(Plan!CC84,"AAAAAF//r6M=")</f>
        <v>#VALUE!</v>
      </c>
      <c r="FI36" t="e">
        <f>AND(Plan!CD84,"AAAAAF//r6Q=")</f>
        <v>#VALUE!</v>
      </c>
      <c r="FJ36" t="e">
        <f>AND(Plan!CE84,"AAAAAF//r6U=")</f>
        <v>#VALUE!</v>
      </c>
      <c r="FK36" t="e">
        <f>AND(Plan!CF84,"AAAAAF//r6Y=")</f>
        <v>#VALUE!</v>
      </c>
      <c r="FL36" t="e">
        <f>AND(Plan!CG84,"AAAAAF//r6c=")</f>
        <v>#VALUE!</v>
      </c>
      <c r="FM36" t="e">
        <f>AND(Plan!CH84,"AAAAAF//r6g=")</f>
        <v>#VALUE!</v>
      </c>
      <c r="FN36" t="e">
        <f>AND(Plan!CI84,"AAAAAF//r6k=")</f>
        <v>#VALUE!</v>
      </c>
      <c r="FO36" t="e">
        <f>AND(Plan!CJ84,"AAAAAF//r6o=")</f>
        <v>#VALUE!</v>
      </c>
      <c r="FP36" t="e">
        <f>AND(Plan!CK84,"AAAAAF//r6s=")</f>
        <v>#VALUE!</v>
      </c>
      <c r="FQ36" t="e">
        <f>AND(Plan!CL84,"AAAAAF//r6w=")</f>
        <v>#VALUE!</v>
      </c>
      <c r="FR36" t="e">
        <f>AND(Plan!CM84,"AAAAAF//r60=")</f>
        <v>#VALUE!</v>
      </c>
      <c r="FS36" t="e">
        <f>AND(Plan!CN84,"AAAAAF//r64=")</f>
        <v>#VALUE!</v>
      </c>
      <c r="FT36" t="e">
        <f>AND(Plan!CO84,"AAAAAF//r68=")</f>
        <v>#VALUE!</v>
      </c>
      <c r="FU36" t="e">
        <f>AND(Plan!CP84,"AAAAAF//r7A=")</f>
        <v>#VALUE!</v>
      </c>
      <c r="FV36" t="e">
        <f>AND(Plan!CQ84,"AAAAAF//r7E=")</f>
        <v>#VALUE!</v>
      </c>
      <c r="FW36" t="e">
        <f>AND(Plan!CR84,"AAAAAF//r7I=")</f>
        <v>#VALUE!</v>
      </c>
      <c r="FX36" t="e">
        <f>AND(Plan!CS84,"AAAAAF//r7M=")</f>
        <v>#VALUE!</v>
      </c>
      <c r="FY36" t="e">
        <f>AND(Plan!CT84,"AAAAAF//r7Q=")</f>
        <v>#VALUE!</v>
      </c>
      <c r="FZ36" t="e">
        <f>AND(Plan!CU84,"AAAAAF//r7U=")</f>
        <v>#VALUE!</v>
      </c>
      <c r="GA36" t="e">
        <f>AND(Plan!CV84,"AAAAAF//r7Y=")</f>
        <v>#VALUE!</v>
      </c>
      <c r="GB36" t="e">
        <f>AND(Plan!CW84,"AAAAAF//r7c=")</f>
        <v>#VALUE!</v>
      </c>
      <c r="GC36">
        <f>IF(Plan!85:85,"AAAAAF//r7g=",0)</f>
        <v>0</v>
      </c>
      <c r="GD36" t="e">
        <f>AND(Plan!A85,"AAAAAF//r7k=")</f>
        <v>#VALUE!</v>
      </c>
      <c r="GE36" t="e">
        <f>AND(Plan!B85,"AAAAAF//r7o=")</f>
        <v>#VALUE!</v>
      </c>
      <c r="GF36" t="e">
        <f>AND(Plan!C85,"AAAAAF//r7s=")</f>
        <v>#VALUE!</v>
      </c>
      <c r="GG36" t="e">
        <f>AND(Plan!D85,"AAAAAF//r7w=")</f>
        <v>#VALUE!</v>
      </c>
      <c r="GH36" t="e">
        <f>AND(Plan!E85,"AAAAAF//r70=")</f>
        <v>#VALUE!</v>
      </c>
      <c r="GI36" t="e">
        <f>AND(Plan!F85,"AAAAAF//r74=")</f>
        <v>#VALUE!</v>
      </c>
      <c r="GJ36" t="e">
        <f>AND(Plan!G85,"AAAAAF//r78=")</f>
        <v>#VALUE!</v>
      </c>
      <c r="GK36" t="e">
        <f>AND(Plan!H85,"AAAAAF//r8A=")</f>
        <v>#VALUE!</v>
      </c>
      <c r="GL36" t="e">
        <f>AND(Plan!I85,"AAAAAF//r8E=")</f>
        <v>#VALUE!</v>
      </c>
      <c r="GM36" t="e">
        <f>AND(Plan!J85,"AAAAAF//r8I=")</f>
        <v>#VALUE!</v>
      </c>
      <c r="GN36" t="e">
        <f>AND(Plan!K85,"AAAAAF//r8M=")</f>
        <v>#VALUE!</v>
      </c>
      <c r="GO36" t="e">
        <f>AND(Plan!L85,"AAAAAF//r8Q=")</f>
        <v>#VALUE!</v>
      </c>
      <c r="GP36" t="e">
        <f>AND(Plan!M85,"AAAAAF//r8U=")</f>
        <v>#VALUE!</v>
      </c>
      <c r="GQ36" t="e">
        <f>AND(Plan!N85,"AAAAAF//r8Y=")</f>
        <v>#VALUE!</v>
      </c>
      <c r="GR36" t="e">
        <f>AND(Plan!O85,"AAAAAF//r8c=")</f>
        <v>#VALUE!</v>
      </c>
      <c r="GS36" t="e">
        <f>AND(Plan!P85,"AAAAAF//r8g=")</f>
        <v>#VALUE!</v>
      </c>
      <c r="GT36" t="e">
        <f>AND(Plan!Q85,"AAAAAF//r8k=")</f>
        <v>#VALUE!</v>
      </c>
      <c r="GU36" t="e">
        <f>AND(Plan!R85,"AAAAAF//r8o=")</f>
        <v>#VALUE!</v>
      </c>
      <c r="GV36" t="e">
        <f>AND(Plan!S85,"AAAAAF//r8s=")</f>
        <v>#VALUE!</v>
      </c>
      <c r="GW36" t="e">
        <f>AND(Plan!T85,"AAAAAF//r8w=")</f>
        <v>#VALUE!</v>
      </c>
      <c r="GX36" t="e">
        <f>AND(Plan!U85,"AAAAAF//r80=")</f>
        <v>#VALUE!</v>
      </c>
      <c r="GY36" t="e">
        <f>AND(Plan!V85,"AAAAAF//r84=")</f>
        <v>#VALUE!</v>
      </c>
      <c r="GZ36" t="e">
        <f>AND(Plan!W85,"AAAAAF//r88=")</f>
        <v>#VALUE!</v>
      </c>
      <c r="HA36" t="e">
        <f>AND(Plan!X85,"AAAAAF//r9A=")</f>
        <v>#VALUE!</v>
      </c>
      <c r="HB36" t="e">
        <f>AND(Plan!Y85,"AAAAAF//r9E=")</f>
        <v>#VALUE!</v>
      </c>
      <c r="HC36" t="e">
        <f>AND(Plan!Z85,"AAAAAF//r9I=")</f>
        <v>#VALUE!</v>
      </c>
      <c r="HD36" t="e">
        <f>AND(Plan!AA85,"AAAAAF//r9M=")</f>
        <v>#VALUE!</v>
      </c>
      <c r="HE36" t="e">
        <f>AND(Plan!AB85,"AAAAAF//r9Q=")</f>
        <v>#VALUE!</v>
      </c>
      <c r="HF36" t="e">
        <f>AND(Plan!AC85,"AAAAAF//r9U=")</f>
        <v>#VALUE!</v>
      </c>
      <c r="HG36" t="e">
        <f>AND(Plan!AD85,"AAAAAF//r9Y=")</f>
        <v>#VALUE!</v>
      </c>
      <c r="HH36" t="e">
        <f>AND(Plan!AE85,"AAAAAF//r9c=")</f>
        <v>#VALUE!</v>
      </c>
      <c r="HI36" t="e">
        <f>AND(Plan!AF85,"AAAAAF//r9g=")</f>
        <v>#VALUE!</v>
      </c>
      <c r="HJ36" t="e">
        <f>AND(Plan!AG85,"AAAAAF//r9k=")</f>
        <v>#VALUE!</v>
      </c>
      <c r="HK36" t="e">
        <f>AND(Plan!AH85,"AAAAAF//r9o=")</f>
        <v>#VALUE!</v>
      </c>
      <c r="HL36" t="e">
        <f>AND(Plan!AI85,"AAAAAF//r9s=")</f>
        <v>#VALUE!</v>
      </c>
      <c r="HM36" t="e">
        <f>AND(Plan!AJ85,"AAAAAF//r9w=")</f>
        <v>#VALUE!</v>
      </c>
      <c r="HN36" t="e">
        <f>AND(Plan!AK85,"AAAAAF//r90=")</f>
        <v>#VALUE!</v>
      </c>
      <c r="HO36" t="e">
        <f>AND(Plan!AL85,"AAAAAF//r94=")</f>
        <v>#VALUE!</v>
      </c>
      <c r="HP36" t="e">
        <f>AND(Plan!AM85,"AAAAAF//r98=")</f>
        <v>#VALUE!</v>
      </c>
      <c r="HQ36" t="e">
        <f>AND(Plan!AN85,"AAAAAF//r+A=")</f>
        <v>#VALUE!</v>
      </c>
      <c r="HR36" t="e">
        <f>AND(Plan!AO85,"AAAAAF//r+E=")</f>
        <v>#VALUE!</v>
      </c>
      <c r="HS36" t="e">
        <f>AND(Plan!AP85,"AAAAAF//r+I=")</f>
        <v>#VALUE!</v>
      </c>
      <c r="HT36" t="e">
        <f>AND(Plan!AQ85,"AAAAAF//r+M=")</f>
        <v>#VALUE!</v>
      </c>
      <c r="HU36" t="e">
        <f>AND(Plan!AR85,"AAAAAF//r+Q=")</f>
        <v>#VALUE!</v>
      </c>
      <c r="HV36" t="e">
        <f>AND(Plan!AS85,"AAAAAF//r+U=")</f>
        <v>#VALUE!</v>
      </c>
      <c r="HW36" t="e">
        <f>AND(Plan!AT85,"AAAAAF//r+Y=")</f>
        <v>#VALUE!</v>
      </c>
      <c r="HX36" t="e">
        <f>AND(Plan!AU85,"AAAAAF//r+c=")</f>
        <v>#VALUE!</v>
      </c>
      <c r="HY36" t="e">
        <f>AND(Plan!AV85,"AAAAAF//r+g=")</f>
        <v>#VALUE!</v>
      </c>
      <c r="HZ36" t="e">
        <f>AND(Plan!AW85,"AAAAAF//r+k=")</f>
        <v>#VALUE!</v>
      </c>
      <c r="IA36" t="e">
        <f>AND(Plan!AX85,"AAAAAF//r+o=")</f>
        <v>#VALUE!</v>
      </c>
      <c r="IB36" t="e">
        <f>AND(Plan!AY85,"AAAAAF//r+s=")</f>
        <v>#VALUE!</v>
      </c>
      <c r="IC36" t="e">
        <f>AND(Plan!AZ85,"AAAAAF//r+w=")</f>
        <v>#VALUE!</v>
      </c>
      <c r="ID36" t="e">
        <f>AND(Plan!BA85,"AAAAAF//r+0=")</f>
        <v>#VALUE!</v>
      </c>
      <c r="IE36" t="e">
        <f>AND(Plan!BB85,"AAAAAF//r+4=")</f>
        <v>#VALUE!</v>
      </c>
      <c r="IF36" t="e">
        <f>AND(Plan!BC85,"AAAAAF//r+8=")</f>
        <v>#VALUE!</v>
      </c>
      <c r="IG36" t="e">
        <f>AND(Plan!BD85,"AAAAAF//r/A=")</f>
        <v>#VALUE!</v>
      </c>
      <c r="IH36" t="e">
        <f>AND(Plan!BE85,"AAAAAF//r/E=")</f>
        <v>#VALUE!</v>
      </c>
      <c r="II36" t="e">
        <f>AND(Plan!BF85,"AAAAAF//r/I=")</f>
        <v>#VALUE!</v>
      </c>
      <c r="IJ36" t="e">
        <f>AND(Plan!BG85,"AAAAAF//r/M=")</f>
        <v>#VALUE!</v>
      </c>
      <c r="IK36" t="e">
        <f>AND(Plan!BH85,"AAAAAF//r/Q=")</f>
        <v>#VALUE!</v>
      </c>
      <c r="IL36" t="e">
        <f>AND(Plan!BI85,"AAAAAF//r/U=")</f>
        <v>#VALUE!</v>
      </c>
      <c r="IM36" t="e">
        <f>AND(Plan!BJ85,"AAAAAF//r/Y=")</f>
        <v>#VALUE!</v>
      </c>
      <c r="IN36" t="e">
        <f>AND(Plan!BK85,"AAAAAF//r/c=")</f>
        <v>#VALUE!</v>
      </c>
      <c r="IO36" t="e">
        <f>AND(Plan!BL85,"AAAAAF//r/g=")</f>
        <v>#VALUE!</v>
      </c>
      <c r="IP36" t="e">
        <f>AND(Plan!BM85,"AAAAAF//r/k=")</f>
        <v>#VALUE!</v>
      </c>
      <c r="IQ36" t="e">
        <f>AND(Plan!BN85,"AAAAAF//r/o=")</f>
        <v>#VALUE!</v>
      </c>
      <c r="IR36" t="e">
        <f>AND(Plan!BO85,"AAAAAF//r/s=")</f>
        <v>#VALUE!</v>
      </c>
      <c r="IS36" t="e">
        <f>AND(Plan!BP85,"AAAAAF//r/w=")</f>
        <v>#VALUE!</v>
      </c>
      <c r="IT36" t="e">
        <f>AND(Plan!BQ85,"AAAAAF//r/0=")</f>
        <v>#VALUE!</v>
      </c>
      <c r="IU36" t="e">
        <f>AND(Plan!BR85,"AAAAAF//r/4=")</f>
        <v>#VALUE!</v>
      </c>
      <c r="IV36" t="e">
        <f>AND(Plan!BS85,"AAAAAF//r/8=")</f>
        <v>#VALUE!</v>
      </c>
    </row>
    <row r="37" spans="1:256">
      <c r="A37" t="e">
        <f>AND(Plan!BT85,"AAAAADa//wA=")</f>
        <v>#VALUE!</v>
      </c>
      <c r="B37" t="e">
        <f>AND(Plan!BU85,"AAAAADa//wE=")</f>
        <v>#VALUE!</v>
      </c>
      <c r="C37" t="e">
        <f>AND(Plan!BV85,"AAAAADa//wI=")</f>
        <v>#VALUE!</v>
      </c>
      <c r="D37" t="e">
        <f>AND(Plan!BW85,"AAAAADa//wM=")</f>
        <v>#VALUE!</v>
      </c>
      <c r="E37" t="e">
        <f>AND(Plan!BX85,"AAAAADa//wQ=")</f>
        <v>#VALUE!</v>
      </c>
      <c r="F37" t="e">
        <f>AND(Plan!BY85,"AAAAADa//wU=")</f>
        <v>#VALUE!</v>
      </c>
      <c r="G37" t="e">
        <f>AND(Plan!BZ85,"AAAAADa//wY=")</f>
        <v>#VALUE!</v>
      </c>
      <c r="H37" t="e">
        <f>AND(Plan!CA85,"AAAAADa//wc=")</f>
        <v>#VALUE!</v>
      </c>
      <c r="I37" t="e">
        <f>AND(Plan!CB85,"AAAAADa//wg=")</f>
        <v>#VALUE!</v>
      </c>
      <c r="J37" t="e">
        <f>AND(Plan!CC85,"AAAAADa//wk=")</f>
        <v>#VALUE!</v>
      </c>
      <c r="K37" t="e">
        <f>AND(Plan!CD85,"AAAAADa//wo=")</f>
        <v>#VALUE!</v>
      </c>
      <c r="L37" t="e">
        <f>AND(Plan!CE85,"AAAAADa//ws=")</f>
        <v>#VALUE!</v>
      </c>
      <c r="M37" t="e">
        <f>AND(Plan!CF85,"AAAAADa//ww=")</f>
        <v>#VALUE!</v>
      </c>
      <c r="N37" t="e">
        <f>AND(Plan!CG85,"AAAAADa//w0=")</f>
        <v>#VALUE!</v>
      </c>
      <c r="O37" t="e">
        <f>AND(Plan!CH85,"AAAAADa//w4=")</f>
        <v>#VALUE!</v>
      </c>
      <c r="P37" t="e">
        <f>AND(Plan!CI85,"AAAAADa//w8=")</f>
        <v>#VALUE!</v>
      </c>
      <c r="Q37" t="e">
        <f>AND(Plan!CJ85,"AAAAADa//xA=")</f>
        <v>#VALUE!</v>
      </c>
      <c r="R37" t="e">
        <f>AND(Plan!CK85,"AAAAADa//xE=")</f>
        <v>#VALUE!</v>
      </c>
      <c r="S37" t="e">
        <f>AND(Plan!CL85,"AAAAADa//xI=")</f>
        <v>#VALUE!</v>
      </c>
      <c r="T37" t="e">
        <f>AND(Plan!CM85,"AAAAADa//xM=")</f>
        <v>#VALUE!</v>
      </c>
      <c r="U37" t="e">
        <f>AND(Plan!CN85,"AAAAADa//xQ=")</f>
        <v>#VALUE!</v>
      </c>
      <c r="V37" t="e">
        <f>AND(Plan!CO85,"AAAAADa//xU=")</f>
        <v>#VALUE!</v>
      </c>
      <c r="W37" t="e">
        <f>AND(Plan!CP85,"AAAAADa//xY=")</f>
        <v>#VALUE!</v>
      </c>
      <c r="X37" t="e">
        <f>AND(Plan!CQ85,"AAAAADa//xc=")</f>
        <v>#VALUE!</v>
      </c>
      <c r="Y37" t="e">
        <f>AND(Plan!CR85,"AAAAADa//xg=")</f>
        <v>#VALUE!</v>
      </c>
      <c r="Z37" t="e">
        <f>AND(Plan!CS85,"AAAAADa//xk=")</f>
        <v>#VALUE!</v>
      </c>
      <c r="AA37" t="e">
        <f>AND(Plan!CT85,"AAAAADa//xo=")</f>
        <v>#VALUE!</v>
      </c>
      <c r="AB37" t="e">
        <f>AND(Plan!CU85,"AAAAADa//xs=")</f>
        <v>#VALUE!</v>
      </c>
      <c r="AC37" t="e">
        <f>AND(Plan!CV85,"AAAAADa//xw=")</f>
        <v>#VALUE!</v>
      </c>
      <c r="AD37" t="e">
        <f>AND(Plan!CW85,"AAAAADa//x0=")</f>
        <v>#VALUE!</v>
      </c>
      <c r="AE37">
        <f>IF(Plan!86:86,"AAAAADa//x4=",0)</f>
        <v>0</v>
      </c>
      <c r="AF37" t="e">
        <f>AND(Plan!A86,"AAAAADa//x8=")</f>
        <v>#VALUE!</v>
      </c>
      <c r="AG37" t="e">
        <f>AND(Plan!B86,"AAAAADa//yA=")</f>
        <v>#VALUE!</v>
      </c>
      <c r="AH37" t="e">
        <f>AND(Plan!C86,"AAAAADa//yE=")</f>
        <v>#VALUE!</v>
      </c>
      <c r="AI37" t="e">
        <f>AND(Plan!D86,"AAAAADa//yI=")</f>
        <v>#VALUE!</v>
      </c>
      <c r="AJ37" t="e">
        <f>AND(Plan!E86,"AAAAADa//yM=")</f>
        <v>#VALUE!</v>
      </c>
      <c r="AK37" t="e">
        <f>AND(Plan!F86,"AAAAADa//yQ=")</f>
        <v>#VALUE!</v>
      </c>
      <c r="AL37" t="e">
        <f>AND(Plan!G86,"AAAAADa//yU=")</f>
        <v>#VALUE!</v>
      </c>
      <c r="AM37" t="e">
        <f>AND(Plan!H86,"AAAAADa//yY=")</f>
        <v>#VALUE!</v>
      </c>
      <c r="AN37" t="e">
        <f>AND(Plan!I86,"AAAAADa//yc=")</f>
        <v>#VALUE!</v>
      </c>
      <c r="AO37" t="e">
        <f>AND(Plan!J86,"AAAAADa//yg=")</f>
        <v>#VALUE!</v>
      </c>
      <c r="AP37" t="e">
        <f>AND(Plan!K86,"AAAAADa//yk=")</f>
        <v>#VALUE!</v>
      </c>
      <c r="AQ37" t="e">
        <f>AND(Plan!L86,"AAAAADa//yo=")</f>
        <v>#VALUE!</v>
      </c>
      <c r="AR37" t="e">
        <f>AND(Plan!M86,"AAAAADa//ys=")</f>
        <v>#VALUE!</v>
      </c>
      <c r="AS37" t="e">
        <f>AND(Plan!N86,"AAAAADa//yw=")</f>
        <v>#VALUE!</v>
      </c>
      <c r="AT37" t="e">
        <f>AND(Plan!O86,"AAAAADa//y0=")</f>
        <v>#VALUE!</v>
      </c>
      <c r="AU37" t="e">
        <f>AND(Plan!P86,"AAAAADa//y4=")</f>
        <v>#VALUE!</v>
      </c>
      <c r="AV37" t="e">
        <f>AND(Plan!Q86,"AAAAADa//y8=")</f>
        <v>#VALUE!</v>
      </c>
      <c r="AW37" t="e">
        <f>AND(Plan!R86,"AAAAADa//zA=")</f>
        <v>#VALUE!</v>
      </c>
      <c r="AX37" t="e">
        <f>AND(Plan!S86,"AAAAADa//zE=")</f>
        <v>#VALUE!</v>
      </c>
      <c r="AY37" t="e">
        <f>AND(Plan!T86,"AAAAADa//zI=")</f>
        <v>#VALUE!</v>
      </c>
      <c r="AZ37" t="e">
        <f>AND(Plan!U86,"AAAAADa//zM=")</f>
        <v>#VALUE!</v>
      </c>
      <c r="BA37" t="e">
        <f>AND(Plan!V86,"AAAAADa//zQ=")</f>
        <v>#VALUE!</v>
      </c>
      <c r="BB37" t="e">
        <f>AND(Plan!W86,"AAAAADa//zU=")</f>
        <v>#VALUE!</v>
      </c>
      <c r="BC37" t="e">
        <f>AND(Plan!X86,"AAAAADa//zY=")</f>
        <v>#VALUE!</v>
      </c>
      <c r="BD37" t="e">
        <f>AND(Plan!Y86,"AAAAADa//zc=")</f>
        <v>#VALUE!</v>
      </c>
      <c r="BE37" t="e">
        <f>AND(Plan!Z86,"AAAAADa//zg=")</f>
        <v>#VALUE!</v>
      </c>
      <c r="BF37" t="e">
        <f>AND(Plan!AA86,"AAAAADa//zk=")</f>
        <v>#VALUE!</v>
      </c>
      <c r="BG37" t="e">
        <f>AND(Plan!AB86,"AAAAADa//zo=")</f>
        <v>#VALUE!</v>
      </c>
      <c r="BH37" t="e">
        <f>AND(Plan!AC86,"AAAAADa//zs=")</f>
        <v>#VALUE!</v>
      </c>
      <c r="BI37" t="e">
        <f>AND(Plan!AD86,"AAAAADa//zw=")</f>
        <v>#VALUE!</v>
      </c>
      <c r="BJ37" t="e">
        <f>AND(Plan!AE86,"AAAAADa//z0=")</f>
        <v>#VALUE!</v>
      </c>
      <c r="BK37" t="e">
        <f>AND(Plan!AF86,"AAAAADa//z4=")</f>
        <v>#VALUE!</v>
      </c>
      <c r="BL37" t="e">
        <f>AND(Plan!AG86,"AAAAADa//z8=")</f>
        <v>#VALUE!</v>
      </c>
      <c r="BM37" t="e">
        <f>AND(Plan!AH86,"AAAAADa//0A=")</f>
        <v>#VALUE!</v>
      </c>
      <c r="BN37" t="e">
        <f>AND(Plan!AI86,"AAAAADa//0E=")</f>
        <v>#VALUE!</v>
      </c>
      <c r="BO37" t="e">
        <f>AND(Plan!AJ86,"AAAAADa//0I=")</f>
        <v>#VALUE!</v>
      </c>
      <c r="BP37" t="e">
        <f>AND(Plan!AK86,"AAAAADa//0M=")</f>
        <v>#VALUE!</v>
      </c>
      <c r="BQ37" t="e">
        <f>AND(Plan!AL86,"AAAAADa//0Q=")</f>
        <v>#VALUE!</v>
      </c>
      <c r="BR37" t="e">
        <f>AND(Plan!AM86,"AAAAADa//0U=")</f>
        <v>#VALUE!</v>
      </c>
      <c r="BS37" t="e">
        <f>AND(Plan!AN86,"AAAAADa//0Y=")</f>
        <v>#VALUE!</v>
      </c>
      <c r="BT37" t="e">
        <f>AND(Plan!AO86,"AAAAADa//0c=")</f>
        <v>#VALUE!</v>
      </c>
      <c r="BU37" t="e">
        <f>AND(Plan!AP86,"AAAAADa//0g=")</f>
        <v>#VALUE!</v>
      </c>
      <c r="BV37" t="e">
        <f>AND(Plan!AQ86,"AAAAADa//0k=")</f>
        <v>#VALUE!</v>
      </c>
      <c r="BW37" t="e">
        <f>AND(Plan!AR86,"AAAAADa//0o=")</f>
        <v>#VALUE!</v>
      </c>
      <c r="BX37" t="e">
        <f>AND(Plan!AS86,"AAAAADa//0s=")</f>
        <v>#VALUE!</v>
      </c>
      <c r="BY37" t="e">
        <f>AND(Plan!AT86,"AAAAADa//0w=")</f>
        <v>#VALUE!</v>
      </c>
      <c r="BZ37" t="e">
        <f>AND(Plan!AU86,"AAAAADa//00=")</f>
        <v>#VALUE!</v>
      </c>
      <c r="CA37" t="e">
        <f>AND(Plan!AV86,"AAAAADa//04=")</f>
        <v>#VALUE!</v>
      </c>
      <c r="CB37" t="e">
        <f>AND(Plan!AW86,"AAAAADa//08=")</f>
        <v>#VALUE!</v>
      </c>
      <c r="CC37" t="e">
        <f>AND(Plan!AX86,"AAAAADa//1A=")</f>
        <v>#VALUE!</v>
      </c>
      <c r="CD37" t="e">
        <f>AND(Plan!AY86,"AAAAADa//1E=")</f>
        <v>#VALUE!</v>
      </c>
      <c r="CE37" t="e">
        <f>AND(Plan!AZ86,"AAAAADa//1I=")</f>
        <v>#VALUE!</v>
      </c>
      <c r="CF37" t="e">
        <f>AND(Plan!BA86,"AAAAADa//1M=")</f>
        <v>#VALUE!</v>
      </c>
      <c r="CG37" t="e">
        <f>AND(Plan!BB86,"AAAAADa//1Q=")</f>
        <v>#VALUE!</v>
      </c>
      <c r="CH37" t="e">
        <f>AND(Plan!BC86,"AAAAADa//1U=")</f>
        <v>#VALUE!</v>
      </c>
      <c r="CI37" t="e">
        <f>AND(Plan!BD86,"AAAAADa//1Y=")</f>
        <v>#VALUE!</v>
      </c>
      <c r="CJ37" t="e">
        <f>AND(Plan!BE86,"AAAAADa//1c=")</f>
        <v>#VALUE!</v>
      </c>
      <c r="CK37" t="e">
        <f>AND(Plan!BF86,"AAAAADa//1g=")</f>
        <v>#VALUE!</v>
      </c>
      <c r="CL37" t="e">
        <f>AND(Plan!BG86,"AAAAADa//1k=")</f>
        <v>#VALUE!</v>
      </c>
      <c r="CM37" t="e">
        <f>AND(Plan!BH86,"AAAAADa//1o=")</f>
        <v>#VALUE!</v>
      </c>
      <c r="CN37" t="e">
        <f>AND(Plan!BI86,"AAAAADa//1s=")</f>
        <v>#VALUE!</v>
      </c>
      <c r="CO37" t="e">
        <f>AND(Plan!BJ86,"AAAAADa//1w=")</f>
        <v>#VALUE!</v>
      </c>
      <c r="CP37" t="e">
        <f>AND(Plan!BK86,"AAAAADa//10=")</f>
        <v>#VALUE!</v>
      </c>
      <c r="CQ37" t="e">
        <f>AND(Plan!BL86,"AAAAADa//14=")</f>
        <v>#VALUE!</v>
      </c>
      <c r="CR37" t="e">
        <f>AND(Plan!BM86,"AAAAADa//18=")</f>
        <v>#VALUE!</v>
      </c>
      <c r="CS37" t="e">
        <f>AND(Plan!BN86,"AAAAADa//2A=")</f>
        <v>#VALUE!</v>
      </c>
      <c r="CT37" t="e">
        <f>AND(Plan!BO86,"AAAAADa//2E=")</f>
        <v>#VALUE!</v>
      </c>
      <c r="CU37" t="e">
        <f>AND(Plan!BP86,"AAAAADa//2I=")</f>
        <v>#VALUE!</v>
      </c>
      <c r="CV37" t="e">
        <f>AND(Plan!BQ86,"AAAAADa//2M=")</f>
        <v>#VALUE!</v>
      </c>
      <c r="CW37" t="e">
        <f>AND(Plan!BR86,"AAAAADa//2Q=")</f>
        <v>#VALUE!</v>
      </c>
      <c r="CX37" t="e">
        <f>AND(Plan!BS86,"AAAAADa//2U=")</f>
        <v>#VALUE!</v>
      </c>
      <c r="CY37" t="e">
        <f>AND(Plan!BT86,"AAAAADa//2Y=")</f>
        <v>#VALUE!</v>
      </c>
      <c r="CZ37" t="e">
        <f>AND(Plan!BU86,"AAAAADa//2c=")</f>
        <v>#VALUE!</v>
      </c>
      <c r="DA37" t="e">
        <f>AND(Plan!BV86,"AAAAADa//2g=")</f>
        <v>#VALUE!</v>
      </c>
      <c r="DB37" t="e">
        <f>AND(Plan!BW86,"AAAAADa//2k=")</f>
        <v>#VALUE!</v>
      </c>
      <c r="DC37" t="e">
        <f>AND(Plan!BX86,"AAAAADa//2o=")</f>
        <v>#VALUE!</v>
      </c>
      <c r="DD37" t="e">
        <f>AND(Plan!BY86,"AAAAADa//2s=")</f>
        <v>#VALUE!</v>
      </c>
      <c r="DE37" t="e">
        <f>AND(Plan!BZ86,"AAAAADa//2w=")</f>
        <v>#VALUE!</v>
      </c>
      <c r="DF37" t="e">
        <f>AND(Plan!CA86,"AAAAADa//20=")</f>
        <v>#VALUE!</v>
      </c>
      <c r="DG37" t="e">
        <f>AND(Plan!CB86,"AAAAADa//24=")</f>
        <v>#VALUE!</v>
      </c>
      <c r="DH37" t="e">
        <f>AND(Plan!CC86,"AAAAADa//28=")</f>
        <v>#VALUE!</v>
      </c>
      <c r="DI37" t="e">
        <f>AND(Plan!CD86,"AAAAADa//3A=")</f>
        <v>#VALUE!</v>
      </c>
      <c r="DJ37" t="e">
        <f>AND(Plan!CE86,"AAAAADa//3E=")</f>
        <v>#VALUE!</v>
      </c>
      <c r="DK37" t="e">
        <f>AND(Plan!CF86,"AAAAADa//3I=")</f>
        <v>#VALUE!</v>
      </c>
      <c r="DL37" t="e">
        <f>AND(Plan!CG86,"AAAAADa//3M=")</f>
        <v>#VALUE!</v>
      </c>
      <c r="DM37" t="e">
        <f>AND(Plan!CH86,"AAAAADa//3Q=")</f>
        <v>#VALUE!</v>
      </c>
      <c r="DN37" t="e">
        <f>AND(Plan!CI86,"AAAAADa//3U=")</f>
        <v>#VALUE!</v>
      </c>
      <c r="DO37" t="e">
        <f>AND(Plan!CJ86,"AAAAADa//3Y=")</f>
        <v>#VALUE!</v>
      </c>
      <c r="DP37" t="e">
        <f>AND(Plan!CK86,"AAAAADa//3c=")</f>
        <v>#VALUE!</v>
      </c>
      <c r="DQ37" t="e">
        <f>AND(Plan!CL86,"AAAAADa//3g=")</f>
        <v>#VALUE!</v>
      </c>
      <c r="DR37" t="e">
        <f>AND(Plan!CM86,"AAAAADa//3k=")</f>
        <v>#VALUE!</v>
      </c>
      <c r="DS37" t="e">
        <f>AND(Plan!CN86,"AAAAADa//3o=")</f>
        <v>#VALUE!</v>
      </c>
      <c r="DT37" t="e">
        <f>AND(Plan!CO86,"AAAAADa//3s=")</f>
        <v>#VALUE!</v>
      </c>
      <c r="DU37" t="e">
        <f>AND(Plan!CP86,"AAAAADa//3w=")</f>
        <v>#VALUE!</v>
      </c>
      <c r="DV37" t="e">
        <f>AND(Plan!CQ86,"AAAAADa//30=")</f>
        <v>#VALUE!</v>
      </c>
      <c r="DW37" t="e">
        <f>AND(Plan!CR86,"AAAAADa//34=")</f>
        <v>#VALUE!</v>
      </c>
      <c r="DX37" t="e">
        <f>AND(Plan!CS86,"AAAAADa//38=")</f>
        <v>#VALUE!</v>
      </c>
      <c r="DY37" t="e">
        <f>AND(Plan!CT86,"AAAAADa//4A=")</f>
        <v>#VALUE!</v>
      </c>
      <c r="DZ37" t="e">
        <f>AND(Plan!CU86,"AAAAADa//4E=")</f>
        <v>#VALUE!</v>
      </c>
      <c r="EA37" t="e">
        <f>AND(Plan!CV86,"AAAAADa//4I=")</f>
        <v>#VALUE!</v>
      </c>
      <c r="EB37" t="e">
        <f>AND(Plan!CW86,"AAAAADa//4M=")</f>
        <v>#VALUE!</v>
      </c>
      <c r="EC37">
        <f>IF(Plan!87:87,"AAAAADa//4Q=",0)</f>
        <v>0</v>
      </c>
      <c r="ED37" t="e">
        <f>AND(Plan!A87,"AAAAADa//4U=")</f>
        <v>#VALUE!</v>
      </c>
      <c r="EE37" t="e">
        <f>AND(Plan!B87,"AAAAADa//4Y=")</f>
        <v>#VALUE!</v>
      </c>
      <c r="EF37" t="e">
        <f>AND(Plan!C87,"AAAAADa//4c=")</f>
        <v>#VALUE!</v>
      </c>
      <c r="EG37" t="e">
        <f>AND(Plan!D87,"AAAAADa//4g=")</f>
        <v>#VALUE!</v>
      </c>
      <c r="EH37" t="e">
        <f>AND(Plan!E87,"AAAAADa//4k=")</f>
        <v>#VALUE!</v>
      </c>
      <c r="EI37" t="e">
        <f>AND(Plan!F87,"AAAAADa//4o=")</f>
        <v>#VALUE!</v>
      </c>
      <c r="EJ37" t="e">
        <f>AND(Plan!G87,"AAAAADa//4s=")</f>
        <v>#VALUE!</v>
      </c>
      <c r="EK37" t="e">
        <f>AND(Plan!H87,"AAAAADa//4w=")</f>
        <v>#VALUE!</v>
      </c>
      <c r="EL37" t="e">
        <f>AND(Plan!I87,"AAAAADa//40=")</f>
        <v>#VALUE!</v>
      </c>
      <c r="EM37" t="e">
        <f>AND(Plan!J87,"AAAAADa//44=")</f>
        <v>#VALUE!</v>
      </c>
      <c r="EN37" t="e">
        <f>AND(Plan!K87,"AAAAADa//48=")</f>
        <v>#VALUE!</v>
      </c>
      <c r="EO37" t="e">
        <f>AND(Plan!L87,"AAAAADa//5A=")</f>
        <v>#VALUE!</v>
      </c>
      <c r="EP37" t="e">
        <f>AND(Plan!M87,"AAAAADa//5E=")</f>
        <v>#VALUE!</v>
      </c>
      <c r="EQ37" t="e">
        <f>AND(Plan!N87,"AAAAADa//5I=")</f>
        <v>#VALUE!</v>
      </c>
      <c r="ER37" t="e">
        <f>AND(Plan!O87,"AAAAADa//5M=")</f>
        <v>#VALUE!</v>
      </c>
      <c r="ES37" t="e">
        <f>AND(Plan!P87,"AAAAADa//5Q=")</f>
        <v>#VALUE!</v>
      </c>
      <c r="ET37" t="e">
        <f>AND(Plan!Q87,"AAAAADa//5U=")</f>
        <v>#VALUE!</v>
      </c>
      <c r="EU37" t="e">
        <f>AND(Plan!R87,"AAAAADa//5Y=")</f>
        <v>#VALUE!</v>
      </c>
      <c r="EV37" t="e">
        <f>AND(Plan!S87,"AAAAADa//5c=")</f>
        <v>#VALUE!</v>
      </c>
      <c r="EW37" t="e">
        <f>AND(Plan!T87,"AAAAADa//5g=")</f>
        <v>#VALUE!</v>
      </c>
      <c r="EX37" t="e">
        <f>AND(Plan!U87,"AAAAADa//5k=")</f>
        <v>#VALUE!</v>
      </c>
      <c r="EY37" t="e">
        <f>AND(Plan!V87,"AAAAADa//5o=")</f>
        <v>#VALUE!</v>
      </c>
      <c r="EZ37" t="e">
        <f>AND(Plan!W87,"AAAAADa//5s=")</f>
        <v>#VALUE!</v>
      </c>
      <c r="FA37" t="e">
        <f>AND(Plan!X87,"AAAAADa//5w=")</f>
        <v>#VALUE!</v>
      </c>
      <c r="FB37" t="e">
        <f>AND(Plan!Y87,"AAAAADa//50=")</f>
        <v>#VALUE!</v>
      </c>
      <c r="FC37" t="e">
        <f>AND(Plan!Z87,"AAAAADa//54=")</f>
        <v>#VALUE!</v>
      </c>
      <c r="FD37" t="e">
        <f>AND(Plan!AA87,"AAAAADa//58=")</f>
        <v>#VALUE!</v>
      </c>
      <c r="FE37" t="e">
        <f>AND(Plan!AB87,"AAAAADa//6A=")</f>
        <v>#VALUE!</v>
      </c>
      <c r="FF37" t="e">
        <f>AND(Plan!AC87,"AAAAADa//6E=")</f>
        <v>#VALUE!</v>
      </c>
      <c r="FG37" t="e">
        <f>AND(Plan!AD87,"AAAAADa//6I=")</f>
        <v>#VALUE!</v>
      </c>
      <c r="FH37" t="e">
        <f>AND(Plan!AE87,"AAAAADa//6M=")</f>
        <v>#VALUE!</v>
      </c>
      <c r="FI37" t="e">
        <f>AND(Plan!AF87,"AAAAADa//6Q=")</f>
        <v>#VALUE!</v>
      </c>
      <c r="FJ37" t="e">
        <f>AND(Plan!AG87,"AAAAADa//6U=")</f>
        <v>#VALUE!</v>
      </c>
      <c r="FK37" t="e">
        <f>AND(Plan!AH87,"AAAAADa//6Y=")</f>
        <v>#VALUE!</v>
      </c>
      <c r="FL37" t="e">
        <f>AND(Plan!AI87,"AAAAADa//6c=")</f>
        <v>#VALUE!</v>
      </c>
      <c r="FM37" t="e">
        <f>AND(Plan!AJ87,"AAAAADa//6g=")</f>
        <v>#VALUE!</v>
      </c>
      <c r="FN37" t="e">
        <f>AND(Plan!AK87,"AAAAADa//6k=")</f>
        <v>#VALUE!</v>
      </c>
      <c r="FO37" t="e">
        <f>AND(Plan!AL87,"AAAAADa//6o=")</f>
        <v>#VALUE!</v>
      </c>
      <c r="FP37" t="e">
        <f>AND(Plan!AM87,"AAAAADa//6s=")</f>
        <v>#VALUE!</v>
      </c>
      <c r="FQ37" t="e">
        <f>AND(Plan!AN87,"AAAAADa//6w=")</f>
        <v>#VALUE!</v>
      </c>
      <c r="FR37" t="e">
        <f>AND(Plan!AO87,"AAAAADa//60=")</f>
        <v>#VALUE!</v>
      </c>
      <c r="FS37" t="e">
        <f>AND(Plan!AP87,"AAAAADa//64=")</f>
        <v>#VALUE!</v>
      </c>
      <c r="FT37" t="e">
        <f>AND(Plan!AQ87,"AAAAADa//68=")</f>
        <v>#VALUE!</v>
      </c>
      <c r="FU37" t="e">
        <f>AND(Plan!AR87,"AAAAADa//7A=")</f>
        <v>#VALUE!</v>
      </c>
      <c r="FV37" t="e">
        <f>AND(Plan!AS87,"AAAAADa//7E=")</f>
        <v>#VALUE!</v>
      </c>
      <c r="FW37" t="e">
        <f>AND(Plan!AT87,"AAAAADa//7I=")</f>
        <v>#VALUE!</v>
      </c>
      <c r="FX37" t="e">
        <f>AND(Plan!AU87,"AAAAADa//7M=")</f>
        <v>#VALUE!</v>
      </c>
      <c r="FY37" t="e">
        <f>AND(Plan!AV87,"AAAAADa//7Q=")</f>
        <v>#VALUE!</v>
      </c>
      <c r="FZ37" t="e">
        <f>AND(Plan!AW87,"AAAAADa//7U=")</f>
        <v>#VALUE!</v>
      </c>
      <c r="GA37" t="e">
        <f>AND(Plan!AX87,"AAAAADa//7Y=")</f>
        <v>#VALUE!</v>
      </c>
      <c r="GB37" t="e">
        <f>AND(Plan!AY87,"AAAAADa//7c=")</f>
        <v>#VALUE!</v>
      </c>
      <c r="GC37" t="e">
        <f>AND(Plan!AZ87,"AAAAADa//7g=")</f>
        <v>#VALUE!</v>
      </c>
      <c r="GD37" t="e">
        <f>AND(Plan!BA87,"AAAAADa//7k=")</f>
        <v>#VALUE!</v>
      </c>
      <c r="GE37" t="e">
        <f>AND(Plan!BB87,"AAAAADa//7o=")</f>
        <v>#VALUE!</v>
      </c>
      <c r="GF37" t="e">
        <f>AND(Plan!BC87,"AAAAADa//7s=")</f>
        <v>#VALUE!</v>
      </c>
      <c r="GG37" t="e">
        <f>AND(Plan!BD87,"AAAAADa//7w=")</f>
        <v>#VALUE!</v>
      </c>
      <c r="GH37" t="e">
        <f>AND(Plan!BE87,"AAAAADa//70=")</f>
        <v>#VALUE!</v>
      </c>
      <c r="GI37" t="e">
        <f>AND(Plan!BF87,"AAAAADa//74=")</f>
        <v>#VALUE!</v>
      </c>
      <c r="GJ37" t="e">
        <f>AND(Plan!BG87,"AAAAADa//78=")</f>
        <v>#VALUE!</v>
      </c>
      <c r="GK37" t="e">
        <f>AND(Plan!BH87,"AAAAADa//8A=")</f>
        <v>#VALUE!</v>
      </c>
      <c r="GL37" t="e">
        <f>AND(Plan!BI87,"AAAAADa//8E=")</f>
        <v>#VALUE!</v>
      </c>
      <c r="GM37" t="e">
        <f>AND(Plan!BJ87,"AAAAADa//8I=")</f>
        <v>#VALUE!</v>
      </c>
      <c r="GN37" t="e">
        <f>AND(Plan!BK87,"AAAAADa//8M=")</f>
        <v>#VALUE!</v>
      </c>
      <c r="GO37" t="e">
        <f>AND(Plan!BL87,"AAAAADa//8Q=")</f>
        <v>#VALUE!</v>
      </c>
      <c r="GP37" t="e">
        <f>AND(Plan!BM87,"AAAAADa//8U=")</f>
        <v>#VALUE!</v>
      </c>
      <c r="GQ37" t="e">
        <f>AND(Plan!BN87,"AAAAADa//8Y=")</f>
        <v>#VALUE!</v>
      </c>
      <c r="GR37" t="e">
        <f>AND(Plan!BO87,"AAAAADa//8c=")</f>
        <v>#VALUE!</v>
      </c>
      <c r="GS37" t="e">
        <f>AND(Plan!BP87,"AAAAADa//8g=")</f>
        <v>#VALUE!</v>
      </c>
      <c r="GT37" t="e">
        <f>AND(Plan!BQ87,"AAAAADa//8k=")</f>
        <v>#VALUE!</v>
      </c>
      <c r="GU37" t="e">
        <f>AND(Plan!BR87,"AAAAADa//8o=")</f>
        <v>#VALUE!</v>
      </c>
      <c r="GV37" t="e">
        <f>AND(Plan!BS87,"AAAAADa//8s=")</f>
        <v>#VALUE!</v>
      </c>
      <c r="GW37" t="e">
        <f>AND(Plan!BT87,"AAAAADa//8w=")</f>
        <v>#VALUE!</v>
      </c>
      <c r="GX37" t="e">
        <f>AND(Plan!BU87,"AAAAADa//80=")</f>
        <v>#VALUE!</v>
      </c>
      <c r="GY37" t="e">
        <f>AND(Plan!BV87,"AAAAADa//84=")</f>
        <v>#VALUE!</v>
      </c>
      <c r="GZ37" t="e">
        <f>AND(Plan!BW87,"AAAAADa//88=")</f>
        <v>#VALUE!</v>
      </c>
      <c r="HA37" t="e">
        <f>AND(Plan!BX87,"AAAAADa//9A=")</f>
        <v>#VALUE!</v>
      </c>
      <c r="HB37" t="e">
        <f>AND(Plan!BY87,"AAAAADa//9E=")</f>
        <v>#VALUE!</v>
      </c>
      <c r="HC37" t="e">
        <f>AND(Plan!BZ87,"AAAAADa//9I=")</f>
        <v>#VALUE!</v>
      </c>
      <c r="HD37" t="e">
        <f>AND(Plan!CA87,"AAAAADa//9M=")</f>
        <v>#VALUE!</v>
      </c>
      <c r="HE37" t="e">
        <f>AND(Plan!CB87,"AAAAADa//9Q=")</f>
        <v>#VALUE!</v>
      </c>
      <c r="HF37" t="e">
        <f>AND(Plan!CC87,"AAAAADa//9U=")</f>
        <v>#VALUE!</v>
      </c>
      <c r="HG37" t="e">
        <f>AND(Plan!CD87,"AAAAADa//9Y=")</f>
        <v>#VALUE!</v>
      </c>
      <c r="HH37" t="e">
        <f>AND(Plan!CE87,"AAAAADa//9c=")</f>
        <v>#VALUE!</v>
      </c>
      <c r="HI37" t="e">
        <f>AND(Plan!CF87,"AAAAADa//9g=")</f>
        <v>#VALUE!</v>
      </c>
      <c r="HJ37" t="e">
        <f>AND(Plan!CG87,"AAAAADa//9k=")</f>
        <v>#VALUE!</v>
      </c>
      <c r="HK37" t="e">
        <f>AND(Plan!CH87,"AAAAADa//9o=")</f>
        <v>#VALUE!</v>
      </c>
      <c r="HL37" t="e">
        <f>AND(Plan!CI87,"AAAAADa//9s=")</f>
        <v>#VALUE!</v>
      </c>
      <c r="HM37" t="e">
        <f>AND(Plan!CJ87,"AAAAADa//9w=")</f>
        <v>#VALUE!</v>
      </c>
      <c r="HN37" t="e">
        <f>AND(Plan!CK87,"AAAAADa//90=")</f>
        <v>#VALUE!</v>
      </c>
      <c r="HO37" t="e">
        <f>AND(Plan!CL87,"AAAAADa//94=")</f>
        <v>#VALUE!</v>
      </c>
      <c r="HP37" t="e">
        <f>AND(Plan!CM87,"AAAAADa//98=")</f>
        <v>#VALUE!</v>
      </c>
      <c r="HQ37" t="e">
        <f>AND(Plan!CN87,"AAAAADa//+A=")</f>
        <v>#VALUE!</v>
      </c>
      <c r="HR37" t="e">
        <f>AND(Plan!CO87,"AAAAADa//+E=")</f>
        <v>#VALUE!</v>
      </c>
      <c r="HS37" t="e">
        <f>AND(Plan!CP87,"AAAAADa//+I=")</f>
        <v>#VALUE!</v>
      </c>
      <c r="HT37" t="e">
        <f>AND(Plan!CQ87,"AAAAADa//+M=")</f>
        <v>#VALUE!</v>
      </c>
      <c r="HU37" t="e">
        <f>AND(Plan!CR87,"AAAAADa//+Q=")</f>
        <v>#VALUE!</v>
      </c>
      <c r="HV37" t="e">
        <f>AND(Plan!CS87,"AAAAADa//+U=")</f>
        <v>#VALUE!</v>
      </c>
      <c r="HW37" t="e">
        <f>AND(Plan!CT87,"AAAAADa//+Y=")</f>
        <v>#VALUE!</v>
      </c>
      <c r="HX37" t="e">
        <f>AND(Plan!CU87,"AAAAADa//+c=")</f>
        <v>#VALUE!</v>
      </c>
      <c r="HY37" t="e">
        <f>AND(Plan!CV87,"AAAAADa//+g=")</f>
        <v>#VALUE!</v>
      </c>
      <c r="HZ37" t="e">
        <f>AND(Plan!CW87,"AAAAADa//+k=")</f>
        <v>#VALUE!</v>
      </c>
      <c r="IA37">
        <f>IF(Plan!88:88,"AAAAADa//+o=",0)</f>
        <v>0</v>
      </c>
      <c r="IB37" t="e">
        <f>AND(Plan!A88,"AAAAADa//+s=")</f>
        <v>#VALUE!</v>
      </c>
      <c r="IC37" t="e">
        <f>AND(Plan!B88,"AAAAADa//+w=")</f>
        <v>#VALUE!</v>
      </c>
      <c r="ID37" t="e">
        <f>AND(Plan!C88,"AAAAADa//+0=")</f>
        <v>#VALUE!</v>
      </c>
      <c r="IE37" t="e">
        <f>AND(Plan!D88,"AAAAADa//+4=")</f>
        <v>#VALUE!</v>
      </c>
      <c r="IF37" t="e">
        <f>AND(Plan!E88,"AAAAADa//+8=")</f>
        <v>#VALUE!</v>
      </c>
      <c r="IG37" t="e">
        <f>AND(Plan!F88,"AAAAADa///A=")</f>
        <v>#VALUE!</v>
      </c>
      <c r="IH37" t="e">
        <f>AND(Plan!G88,"AAAAADa///E=")</f>
        <v>#VALUE!</v>
      </c>
      <c r="II37" t="e">
        <f>AND(Plan!H88,"AAAAADa///I=")</f>
        <v>#VALUE!</v>
      </c>
      <c r="IJ37" t="e">
        <f>AND(Plan!I88,"AAAAADa///M=")</f>
        <v>#VALUE!</v>
      </c>
      <c r="IK37" t="e">
        <f>AND(Plan!J88,"AAAAADa///Q=")</f>
        <v>#VALUE!</v>
      </c>
      <c r="IL37" t="e">
        <f>AND(Plan!K88,"AAAAADa///U=")</f>
        <v>#VALUE!</v>
      </c>
      <c r="IM37" t="e">
        <f>AND(Plan!L88,"AAAAADa///Y=")</f>
        <v>#VALUE!</v>
      </c>
      <c r="IN37" t="e">
        <f>AND(Plan!M88,"AAAAADa///c=")</f>
        <v>#VALUE!</v>
      </c>
      <c r="IO37" t="e">
        <f>AND(Plan!N88,"AAAAADa///g=")</f>
        <v>#VALUE!</v>
      </c>
      <c r="IP37" t="e">
        <f>AND(Plan!O88,"AAAAADa///k=")</f>
        <v>#VALUE!</v>
      </c>
      <c r="IQ37" t="e">
        <f>AND(Plan!P88,"AAAAADa///o=")</f>
        <v>#VALUE!</v>
      </c>
      <c r="IR37" t="e">
        <f>AND(Plan!Q88,"AAAAADa///s=")</f>
        <v>#VALUE!</v>
      </c>
      <c r="IS37" t="e">
        <f>AND(Plan!R88,"AAAAADa///w=")</f>
        <v>#VALUE!</v>
      </c>
      <c r="IT37" t="e">
        <f>AND(Plan!S88,"AAAAADa///0=")</f>
        <v>#VALUE!</v>
      </c>
      <c r="IU37" t="e">
        <f>AND(Plan!T88,"AAAAADa///4=")</f>
        <v>#VALUE!</v>
      </c>
      <c r="IV37" t="e">
        <f>AND(Plan!U88,"AAAAADa///8=")</f>
        <v>#VALUE!</v>
      </c>
    </row>
    <row r="38" spans="1:256">
      <c r="A38" t="e">
        <f>AND(Plan!V88,"AAAAACvc+wA=")</f>
        <v>#VALUE!</v>
      </c>
      <c r="B38" t="e">
        <f>AND(Plan!W88,"AAAAACvc+wE=")</f>
        <v>#VALUE!</v>
      </c>
      <c r="C38" t="e">
        <f>AND(Plan!X88,"AAAAACvc+wI=")</f>
        <v>#VALUE!</v>
      </c>
      <c r="D38" t="e">
        <f>AND(Plan!Y88,"AAAAACvc+wM=")</f>
        <v>#VALUE!</v>
      </c>
      <c r="E38" t="e">
        <f>AND(Plan!Z88,"AAAAACvc+wQ=")</f>
        <v>#VALUE!</v>
      </c>
      <c r="F38" t="e">
        <f>AND(Plan!AA88,"AAAAACvc+wU=")</f>
        <v>#VALUE!</v>
      </c>
      <c r="G38" t="e">
        <f>AND(Plan!AB88,"AAAAACvc+wY=")</f>
        <v>#VALUE!</v>
      </c>
      <c r="H38" t="e">
        <f>AND(Plan!AC88,"AAAAACvc+wc=")</f>
        <v>#VALUE!</v>
      </c>
      <c r="I38" t="e">
        <f>AND(Plan!AD88,"AAAAACvc+wg=")</f>
        <v>#VALUE!</v>
      </c>
      <c r="J38" t="e">
        <f>AND(Plan!AE88,"AAAAACvc+wk=")</f>
        <v>#VALUE!</v>
      </c>
      <c r="K38" t="e">
        <f>AND(Plan!AF88,"AAAAACvc+wo=")</f>
        <v>#VALUE!</v>
      </c>
      <c r="L38" t="e">
        <f>AND(Plan!AG88,"AAAAACvc+ws=")</f>
        <v>#VALUE!</v>
      </c>
      <c r="M38" t="e">
        <f>AND(Plan!AH88,"AAAAACvc+ww=")</f>
        <v>#VALUE!</v>
      </c>
      <c r="N38" t="e">
        <f>AND(Plan!AI88,"AAAAACvc+w0=")</f>
        <v>#VALUE!</v>
      </c>
      <c r="O38" t="e">
        <f>AND(Plan!AJ88,"AAAAACvc+w4=")</f>
        <v>#VALUE!</v>
      </c>
      <c r="P38" t="e">
        <f>AND(Plan!AK88,"AAAAACvc+w8=")</f>
        <v>#VALUE!</v>
      </c>
      <c r="Q38" t="e">
        <f>AND(Plan!AL88,"AAAAACvc+xA=")</f>
        <v>#VALUE!</v>
      </c>
      <c r="R38" t="e">
        <f>AND(Plan!AM88,"AAAAACvc+xE=")</f>
        <v>#VALUE!</v>
      </c>
      <c r="S38" t="e">
        <f>AND(Plan!AN88,"AAAAACvc+xI=")</f>
        <v>#VALUE!</v>
      </c>
      <c r="T38" t="e">
        <f>AND(Plan!AO88,"AAAAACvc+xM=")</f>
        <v>#VALUE!</v>
      </c>
      <c r="U38" t="e">
        <f>AND(Plan!AP88,"AAAAACvc+xQ=")</f>
        <v>#VALUE!</v>
      </c>
      <c r="V38" t="e">
        <f>AND(Plan!AQ88,"AAAAACvc+xU=")</f>
        <v>#VALUE!</v>
      </c>
      <c r="W38" t="e">
        <f>AND(Plan!AR88,"AAAAACvc+xY=")</f>
        <v>#VALUE!</v>
      </c>
      <c r="X38" t="e">
        <f>AND(Plan!AS88,"AAAAACvc+xc=")</f>
        <v>#VALUE!</v>
      </c>
      <c r="Y38" t="e">
        <f>AND(Plan!AT88,"AAAAACvc+xg=")</f>
        <v>#VALUE!</v>
      </c>
      <c r="Z38" t="e">
        <f>AND(Plan!AU88,"AAAAACvc+xk=")</f>
        <v>#VALUE!</v>
      </c>
      <c r="AA38" t="e">
        <f>AND(Plan!AV88,"AAAAACvc+xo=")</f>
        <v>#VALUE!</v>
      </c>
      <c r="AB38" t="e">
        <f>AND(Plan!AW88,"AAAAACvc+xs=")</f>
        <v>#VALUE!</v>
      </c>
      <c r="AC38" t="e">
        <f>AND(Plan!AX88,"AAAAACvc+xw=")</f>
        <v>#VALUE!</v>
      </c>
      <c r="AD38" t="e">
        <f>AND(Plan!AY88,"AAAAACvc+x0=")</f>
        <v>#VALUE!</v>
      </c>
      <c r="AE38" t="e">
        <f>AND(Plan!AZ88,"AAAAACvc+x4=")</f>
        <v>#VALUE!</v>
      </c>
      <c r="AF38" t="e">
        <f>AND(Plan!BA88,"AAAAACvc+x8=")</f>
        <v>#VALUE!</v>
      </c>
      <c r="AG38" t="e">
        <f>AND(Plan!BB88,"AAAAACvc+yA=")</f>
        <v>#VALUE!</v>
      </c>
      <c r="AH38" t="e">
        <f>AND(Plan!BC88,"AAAAACvc+yE=")</f>
        <v>#VALUE!</v>
      </c>
      <c r="AI38" t="e">
        <f>AND(Plan!BD88,"AAAAACvc+yI=")</f>
        <v>#VALUE!</v>
      </c>
      <c r="AJ38" t="e">
        <f>AND(Plan!BE88,"AAAAACvc+yM=")</f>
        <v>#VALUE!</v>
      </c>
      <c r="AK38" t="e">
        <f>AND(Plan!BF88,"AAAAACvc+yQ=")</f>
        <v>#VALUE!</v>
      </c>
      <c r="AL38" t="e">
        <f>AND(Plan!BG88,"AAAAACvc+yU=")</f>
        <v>#VALUE!</v>
      </c>
      <c r="AM38" t="e">
        <f>AND(Plan!BH88,"AAAAACvc+yY=")</f>
        <v>#VALUE!</v>
      </c>
      <c r="AN38" t="e">
        <f>AND(Plan!BI88,"AAAAACvc+yc=")</f>
        <v>#VALUE!</v>
      </c>
      <c r="AO38" t="e">
        <f>AND(Plan!BJ88,"AAAAACvc+yg=")</f>
        <v>#VALUE!</v>
      </c>
      <c r="AP38" t="e">
        <f>AND(Plan!BK88,"AAAAACvc+yk=")</f>
        <v>#VALUE!</v>
      </c>
      <c r="AQ38" t="e">
        <f>AND(Plan!BL88,"AAAAACvc+yo=")</f>
        <v>#VALUE!</v>
      </c>
      <c r="AR38" t="e">
        <f>AND(Plan!BM88,"AAAAACvc+ys=")</f>
        <v>#VALUE!</v>
      </c>
      <c r="AS38" t="e">
        <f>AND(Plan!BN88,"AAAAACvc+yw=")</f>
        <v>#VALUE!</v>
      </c>
      <c r="AT38" t="e">
        <f>AND(Plan!BO88,"AAAAACvc+y0=")</f>
        <v>#VALUE!</v>
      </c>
      <c r="AU38" t="e">
        <f>AND(Plan!BP88,"AAAAACvc+y4=")</f>
        <v>#VALUE!</v>
      </c>
      <c r="AV38" t="e">
        <f>AND(Plan!BQ88,"AAAAACvc+y8=")</f>
        <v>#VALUE!</v>
      </c>
      <c r="AW38" t="e">
        <f>AND(Plan!BR88,"AAAAACvc+zA=")</f>
        <v>#VALUE!</v>
      </c>
      <c r="AX38" t="e">
        <f>AND(Plan!BS88,"AAAAACvc+zE=")</f>
        <v>#VALUE!</v>
      </c>
      <c r="AY38" t="e">
        <f>AND(Plan!BT88,"AAAAACvc+zI=")</f>
        <v>#VALUE!</v>
      </c>
      <c r="AZ38" t="e">
        <f>AND(Plan!BU88,"AAAAACvc+zM=")</f>
        <v>#VALUE!</v>
      </c>
      <c r="BA38" t="e">
        <f>AND(Plan!BV88,"AAAAACvc+zQ=")</f>
        <v>#VALUE!</v>
      </c>
      <c r="BB38" t="e">
        <f>AND(Plan!BW88,"AAAAACvc+zU=")</f>
        <v>#VALUE!</v>
      </c>
      <c r="BC38" t="e">
        <f>AND(Plan!BX88,"AAAAACvc+zY=")</f>
        <v>#VALUE!</v>
      </c>
      <c r="BD38" t="e">
        <f>AND(Plan!BY88,"AAAAACvc+zc=")</f>
        <v>#VALUE!</v>
      </c>
      <c r="BE38" t="e">
        <f>AND(Plan!BZ88,"AAAAACvc+zg=")</f>
        <v>#VALUE!</v>
      </c>
      <c r="BF38" t="e">
        <f>AND(Plan!CA88,"AAAAACvc+zk=")</f>
        <v>#VALUE!</v>
      </c>
      <c r="BG38" t="e">
        <f>AND(Plan!CB88,"AAAAACvc+zo=")</f>
        <v>#VALUE!</v>
      </c>
      <c r="BH38" t="e">
        <f>AND(Plan!CC88,"AAAAACvc+zs=")</f>
        <v>#VALUE!</v>
      </c>
      <c r="BI38" t="e">
        <f>AND(Plan!CD88,"AAAAACvc+zw=")</f>
        <v>#VALUE!</v>
      </c>
      <c r="BJ38" t="e">
        <f>AND(Plan!CE88,"AAAAACvc+z0=")</f>
        <v>#VALUE!</v>
      </c>
      <c r="BK38" t="e">
        <f>AND(Plan!CF88,"AAAAACvc+z4=")</f>
        <v>#VALUE!</v>
      </c>
      <c r="BL38" t="e">
        <f>AND(Plan!CG88,"AAAAACvc+z8=")</f>
        <v>#VALUE!</v>
      </c>
      <c r="BM38" t="e">
        <f>AND(Plan!CH88,"AAAAACvc+0A=")</f>
        <v>#VALUE!</v>
      </c>
      <c r="BN38" t="e">
        <f>AND(Plan!CI88,"AAAAACvc+0E=")</f>
        <v>#VALUE!</v>
      </c>
      <c r="BO38" t="e">
        <f>AND(Plan!CJ88,"AAAAACvc+0I=")</f>
        <v>#VALUE!</v>
      </c>
      <c r="BP38" t="e">
        <f>AND(Plan!CK88,"AAAAACvc+0M=")</f>
        <v>#VALUE!</v>
      </c>
      <c r="BQ38" t="e">
        <f>AND(Plan!CL88,"AAAAACvc+0Q=")</f>
        <v>#VALUE!</v>
      </c>
      <c r="BR38" t="e">
        <f>AND(Plan!CM88,"AAAAACvc+0U=")</f>
        <v>#VALUE!</v>
      </c>
      <c r="BS38" t="e">
        <f>AND(Plan!CN88,"AAAAACvc+0Y=")</f>
        <v>#VALUE!</v>
      </c>
      <c r="BT38" t="e">
        <f>AND(Plan!CO88,"AAAAACvc+0c=")</f>
        <v>#VALUE!</v>
      </c>
      <c r="BU38" t="e">
        <f>AND(Plan!CP88,"AAAAACvc+0g=")</f>
        <v>#VALUE!</v>
      </c>
      <c r="BV38" t="e">
        <f>AND(Plan!CQ88,"AAAAACvc+0k=")</f>
        <v>#VALUE!</v>
      </c>
      <c r="BW38" t="e">
        <f>AND(Plan!CR88,"AAAAACvc+0o=")</f>
        <v>#VALUE!</v>
      </c>
      <c r="BX38" t="e">
        <f>AND(Plan!CS88,"AAAAACvc+0s=")</f>
        <v>#VALUE!</v>
      </c>
      <c r="BY38" t="e">
        <f>AND(Plan!CT88,"AAAAACvc+0w=")</f>
        <v>#VALUE!</v>
      </c>
      <c r="BZ38" t="e">
        <f>AND(Plan!CU88,"AAAAACvc+00=")</f>
        <v>#VALUE!</v>
      </c>
      <c r="CA38" t="e">
        <f>AND(Plan!CV88,"AAAAACvc+04=")</f>
        <v>#VALUE!</v>
      </c>
      <c r="CB38" t="e">
        <f>AND(Plan!CW88,"AAAAACvc+08=")</f>
        <v>#VALUE!</v>
      </c>
      <c r="CC38">
        <f>IF(Plan!89:89,"AAAAACvc+1A=",0)</f>
        <v>0</v>
      </c>
      <c r="CD38" t="e">
        <f>AND(Plan!A89,"AAAAACvc+1E=")</f>
        <v>#VALUE!</v>
      </c>
      <c r="CE38" t="e">
        <f>AND(Plan!B89,"AAAAACvc+1I=")</f>
        <v>#VALUE!</v>
      </c>
      <c r="CF38" t="e">
        <f>AND(Plan!C89,"AAAAACvc+1M=")</f>
        <v>#VALUE!</v>
      </c>
      <c r="CG38" t="e">
        <f>AND(Plan!D89,"AAAAACvc+1Q=")</f>
        <v>#VALUE!</v>
      </c>
      <c r="CH38" t="e">
        <f>AND(Plan!E89,"AAAAACvc+1U=")</f>
        <v>#VALUE!</v>
      </c>
      <c r="CI38" t="e">
        <f>AND(Plan!F89,"AAAAACvc+1Y=")</f>
        <v>#VALUE!</v>
      </c>
      <c r="CJ38" t="e">
        <f>AND(Plan!G89,"AAAAACvc+1c=")</f>
        <v>#VALUE!</v>
      </c>
      <c r="CK38" t="e">
        <f>AND(Plan!H89,"AAAAACvc+1g=")</f>
        <v>#VALUE!</v>
      </c>
      <c r="CL38" t="e">
        <f>AND(Plan!I89,"AAAAACvc+1k=")</f>
        <v>#VALUE!</v>
      </c>
      <c r="CM38" t="e">
        <f>AND(Plan!J89,"AAAAACvc+1o=")</f>
        <v>#VALUE!</v>
      </c>
      <c r="CN38" t="e">
        <f>AND(Plan!K89,"AAAAACvc+1s=")</f>
        <v>#VALUE!</v>
      </c>
      <c r="CO38" t="e">
        <f>AND(Plan!L89,"AAAAACvc+1w=")</f>
        <v>#VALUE!</v>
      </c>
      <c r="CP38" t="e">
        <f>AND(Plan!M89,"AAAAACvc+10=")</f>
        <v>#VALUE!</v>
      </c>
      <c r="CQ38" t="e">
        <f>AND(Plan!N89,"AAAAACvc+14=")</f>
        <v>#VALUE!</v>
      </c>
      <c r="CR38" t="e">
        <f>AND(Plan!O89,"AAAAACvc+18=")</f>
        <v>#VALUE!</v>
      </c>
      <c r="CS38" t="e">
        <f>AND(Plan!P89,"AAAAACvc+2A=")</f>
        <v>#VALUE!</v>
      </c>
      <c r="CT38" t="e">
        <f>AND(Plan!Q89,"AAAAACvc+2E=")</f>
        <v>#VALUE!</v>
      </c>
      <c r="CU38" t="e">
        <f>AND(Plan!R89,"AAAAACvc+2I=")</f>
        <v>#VALUE!</v>
      </c>
      <c r="CV38" t="e">
        <f>AND(Plan!S89,"AAAAACvc+2M=")</f>
        <v>#VALUE!</v>
      </c>
      <c r="CW38" t="e">
        <f>AND(Plan!T89,"AAAAACvc+2Q=")</f>
        <v>#VALUE!</v>
      </c>
      <c r="CX38" t="e">
        <f>AND(Plan!U89,"AAAAACvc+2U=")</f>
        <v>#VALUE!</v>
      </c>
      <c r="CY38" t="e">
        <f>AND(Plan!V89,"AAAAACvc+2Y=")</f>
        <v>#VALUE!</v>
      </c>
      <c r="CZ38" t="e">
        <f>AND(Plan!W89,"AAAAACvc+2c=")</f>
        <v>#VALUE!</v>
      </c>
      <c r="DA38" t="e">
        <f>AND(Plan!X89,"AAAAACvc+2g=")</f>
        <v>#VALUE!</v>
      </c>
      <c r="DB38" t="e">
        <f>AND(Plan!Y89,"AAAAACvc+2k=")</f>
        <v>#VALUE!</v>
      </c>
      <c r="DC38" t="e">
        <f>AND(Plan!Z89,"AAAAACvc+2o=")</f>
        <v>#VALUE!</v>
      </c>
      <c r="DD38" t="e">
        <f>AND(Plan!AA89,"AAAAACvc+2s=")</f>
        <v>#VALUE!</v>
      </c>
      <c r="DE38" t="e">
        <f>AND(Plan!AB89,"AAAAACvc+2w=")</f>
        <v>#VALUE!</v>
      </c>
      <c r="DF38" t="e">
        <f>AND(Plan!AC89,"AAAAACvc+20=")</f>
        <v>#VALUE!</v>
      </c>
      <c r="DG38" t="e">
        <f>AND(Plan!AD89,"AAAAACvc+24=")</f>
        <v>#VALUE!</v>
      </c>
      <c r="DH38" t="e">
        <f>AND(Plan!AE89,"AAAAACvc+28=")</f>
        <v>#VALUE!</v>
      </c>
      <c r="DI38" t="e">
        <f>AND(Plan!AF89,"AAAAACvc+3A=")</f>
        <v>#VALUE!</v>
      </c>
      <c r="DJ38" t="e">
        <f>AND(Plan!AG89,"AAAAACvc+3E=")</f>
        <v>#VALUE!</v>
      </c>
      <c r="DK38" t="e">
        <f>AND(Plan!AH89,"AAAAACvc+3I=")</f>
        <v>#VALUE!</v>
      </c>
      <c r="DL38" t="e">
        <f>AND(Plan!AI89,"AAAAACvc+3M=")</f>
        <v>#VALUE!</v>
      </c>
      <c r="DM38" t="e">
        <f>AND(Plan!AJ89,"AAAAACvc+3Q=")</f>
        <v>#VALUE!</v>
      </c>
      <c r="DN38" t="e">
        <f>AND(Plan!AK89,"AAAAACvc+3U=")</f>
        <v>#VALUE!</v>
      </c>
      <c r="DO38" t="e">
        <f>AND(Plan!AL89,"AAAAACvc+3Y=")</f>
        <v>#VALUE!</v>
      </c>
      <c r="DP38" t="e">
        <f>AND(Plan!AM89,"AAAAACvc+3c=")</f>
        <v>#VALUE!</v>
      </c>
      <c r="DQ38" t="e">
        <f>AND(Plan!AN89,"AAAAACvc+3g=")</f>
        <v>#VALUE!</v>
      </c>
      <c r="DR38" t="e">
        <f>AND(Plan!AO89,"AAAAACvc+3k=")</f>
        <v>#VALUE!</v>
      </c>
      <c r="DS38" t="e">
        <f>AND(Plan!AP89,"AAAAACvc+3o=")</f>
        <v>#VALUE!</v>
      </c>
      <c r="DT38" t="e">
        <f>AND(Plan!AQ89,"AAAAACvc+3s=")</f>
        <v>#VALUE!</v>
      </c>
      <c r="DU38" t="e">
        <f>AND(Plan!AR89,"AAAAACvc+3w=")</f>
        <v>#VALUE!</v>
      </c>
      <c r="DV38" t="e">
        <f>AND(Plan!AS89,"AAAAACvc+30=")</f>
        <v>#VALUE!</v>
      </c>
      <c r="DW38" t="e">
        <f>AND(Plan!AT89,"AAAAACvc+34=")</f>
        <v>#VALUE!</v>
      </c>
      <c r="DX38" t="e">
        <f>AND(Plan!AU89,"AAAAACvc+38=")</f>
        <v>#VALUE!</v>
      </c>
      <c r="DY38" t="e">
        <f>AND(Plan!AV89,"AAAAACvc+4A=")</f>
        <v>#VALUE!</v>
      </c>
      <c r="DZ38" t="e">
        <f>AND(Plan!AW89,"AAAAACvc+4E=")</f>
        <v>#VALUE!</v>
      </c>
      <c r="EA38" t="e">
        <f>AND(Plan!AX89,"AAAAACvc+4I=")</f>
        <v>#VALUE!</v>
      </c>
      <c r="EB38" t="e">
        <f>AND(Plan!AY89,"AAAAACvc+4M=")</f>
        <v>#VALUE!</v>
      </c>
      <c r="EC38" t="e">
        <f>AND(Plan!AZ89,"AAAAACvc+4Q=")</f>
        <v>#VALUE!</v>
      </c>
      <c r="ED38" t="e">
        <f>AND(Plan!BA89,"AAAAACvc+4U=")</f>
        <v>#VALUE!</v>
      </c>
      <c r="EE38" t="e">
        <f>AND(Plan!BB89,"AAAAACvc+4Y=")</f>
        <v>#VALUE!</v>
      </c>
      <c r="EF38" t="e">
        <f>AND(Plan!BC89,"AAAAACvc+4c=")</f>
        <v>#VALUE!</v>
      </c>
      <c r="EG38" t="e">
        <f>AND(Plan!BD89,"AAAAACvc+4g=")</f>
        <v>#VALUE!</v>
      </c>
      <c r="EH38" t="e">
        <f>AND(Plan!BE89,"AAAAACvc+4k=")</f>
        <v>#VALUE!</v>
      </c>
      <c r="EI38" t="e">
        <f>AND(Plan!BF89,"AAAAACvc+4o=")</f>
        <v>#VALUE!</v>
      </c>
      <c r="EJ38" t="e">
        <f>AND(Plan!BG89,"AAAAACvc+4s=")</f>
        <v>#VALUE!</v>
      </c>
      <c r="EK38" t="e">
        <f>AND(Plan!BH89,"AAAAACvc+4w=")</f>
        <v>#VALUE!</v>
      </c>
      <c r="EL38" t="e">
        <f>AND(Plan!BI89,"AAAAACvc+40=")</f>
        <v>#VALUE!</v>
      </c>
      <c r="EM38" t="e">
        <f>AND(Plan!BJ89,"AAAAACvc+44=")</f>
        <v>#VALUE!</v>
      </c>
      <c r="EN38" t="e">
        <f>AND(Plan!BK89,"AAAAACvc+48=")</f>
        <v>#VALUE!</v>
      </c>
      <c r="EO38" t="e">
        <f>AND(Plan!BL89,"AAAAACvc+5A=")</f>
        <v>#VALUE!</v>
      </c>
      <c r="EP38" t="e">
        <f>AND(Plan!BM89,"AAAAACvc+5E=")</f>
        <v>#VALUE!</v>
      </c>
      <c r="EQ38" t="e">
        <f>AND(Plan!BN89,"AAAAACvc+5I=")</f>
        <v>#VALUE!</v>
      </c>
      <c r="ER38" t="e">
        <f>AND(Plan!BO89,"AAAAACvc+5M=")</f>
        <v>#VALUE!</v>
      </c>
      <c r="ES38" t="e">
        <f>AND(Plan!BP89,"AAAAACvc+5Q=")</f>
        <v>#VALUE!</v>
      </c>
      <c r="ET38" t="e">
        <f>AND(Plan!BQ89,"AAAAACvc+5U=")</f>
        <v>#VALUE!</v>
      </c>
      <c r="EU38" t="e">
        <f>AND(Plan!BR89,"AAAAACvc+5Y=")</f>
        <v>#VALUE!</v>
      </c>
      <c r="EV38" t="e">
        <f>AND(Plan!BS89,"AAAAACvc+5c=")</f>
        <v>#VALUE!</v>
      </c>
      <c r="EW38" t="e">
        <f>AND(Plan!BT89,"AAAAACvc+5g=")</f>
        <v>#VALUE!</v>
      </c>
      <c r="EX38" t="e">
        <f>AND(Plan!BU89,"AAAAACvc+5k=")</f>
        <v>#VALUE!</v>
      </c>
      <c r="EY38" t="e">
        <f>AND(Plan!BV89,"AAAAACvc+5o=")</f>
        <v>#VALUE!</v>
      </c>
      <c r="EZ38" t="e">
        <f>AND(Plan!BW89,"AAAAACvc+5s=")</f>
        <v>#VALUE!</v>
      </c>
      <c r="FA38" t="e">
        <f>AND(Plan!BX89,"AAAAACvc+5w=")</f>
        <v>#VALUE!</v>
      </c>
      <c r="FB38" t="e">
        <f>AND(Plan!BY89,"AAAAACvc+50=")</f>
        <v>#VALUE!</v>
      </c>
      <c r="FC38" t="e">
        <f>AND(Plan!BZ89,"AAAAACvc+54=")</f>
        <v>#VALUE!</v>
      </c>
      <c r="FD38" t="e">
        <f>AND(Plan!CA89,"AAAAACvc+58=")</f>
        <v>#VALUE!</v>
      </c>
      <c r="FE38" t="e">
        <f>AND(Plan!CB89,"AAAAACvc+6A=")</f>
        <v>#VALUE!</v>
      </c>
      <c r="FF38" t="e">
        <f>AND(Plan!CC89,"AAAAACvc+6E=")</f>
        <v>#VALUE!</v>
      </c>
      <c r="FG38" t="e">
        <f>AND(Plan!CD89,"AAAAACvc+6I=")</f>
        <v>#VALUE!</v>
      </c>
      <c r="FH38" t="e">
        <f>AND(Plan!CE89,"AAAAACvc+6M=")</f>
        <v>#VALUE!</v>
      </c>
      <c r="FI38" t="e">
        <f>AND(Plan!CF89,"AAAAACvc+6Q=")</f>
        <v>#VALUE!</v>
      </c>
      <c r="FJ38" t="e">
        <f>AND(Plan!CG89,"AAAAACvc+6U=")</f>
        <v>#VALUE!</v>
      </c>
      <c r="FK38" t="e">
        <f>AND(Plan!CH89,"AAAAACvc+6Y=")</f>
        <v>#VALUE!</v>
      </c>
      <c r="FL38" t="e">
        <f>AND(Plan!CI89,"AAAAACvc+6c=")</f>
        <v>#VALUE!</v>
      </c>
      <c r="FM38" t="e">
        <f>AND(Plan!CJ89,"AAAAACvc+6g=")</f>
        <v>#VALUE!</v>
      </c>
      <c r="FN38" t="e">
        <f>AND(Plan!CK89,"AAAAACvc+6k=")</f>
        <v>#VALUE!</v>
      </c>
      <c r="FO38" t="e">
        <f>AND(Plan!CL89,"AAAAACvc+6o=")</f>
        <v>#VALUE!</v>
      </c>
      <c r="FP38" t="e">
        <f>AND(Plan!CM89,"AAAAACvc+6s=")</f>
        <v>#VALUE!</v>
      </c>
      <c r="FQ38" t="e">
        <f>AND(Plan!CN89,"AAAAACvc+6w=")</f>
        <v>#VALUE!</v>
      </c>
      <c r="FR38" t="e">
        <f>AND(Plan!CO89,"AAAAACvc+60=")</f>
        <v>#VALUE!</v>
      </c>
      <c r="FS38" t="e">
        <f>AND(Plan!CP89,"AAAAACvc+64=")</f>
        <v>#VALUE!</v>
      </c>
      <c r="FT38" t="e">
        <f>AND(Plan!CQ89,"AAAAACvc+68=")</f>
        <v>#VALUE!</v>
      </c>
      <c r="FU38" t="e">
        <f>AND(Plan!CR89,"AAAAACvc+7A=")</f>
        <v>#VALUE!</v>
      </c>
      <c r="FV38" t="e">
        <f>AND(Plan!CS89,"AAAAACvc+7E=")</f>
        <v>#VALUE!</v>
      </c>
      <c r="FW38" t="e">
        <f>AND(Plan!CT89,"AAAAACvc+7I=")</f>
        <v>#VALUE!</v>
      </c>
      <c r="FX38" t="e">
        <f>AND(Plan!CU89,"AAAAACvc+7M=")</f>
        <v>#VALUE!</v>
      </c>
      <c r="FY38" t="e">
        <f>AND(Plan!CV89,"AAAAACvc+7Q=")</f>
        <v>#VALUE!</v>
      </c>
      <c r="FZ38" t="e">
        <f>AND(Plan!CW89,"AAAAACvc+7U=")</f>
        <v>#VALUE!</v>
      </c>
      <c r="GA38">
        <f>IF(Plan!90:90,"AAAAACvc+7Y=",0)</f>
        <v>0</v>
      </c>
      <c r="GB38" t="e">
        <f>AND(Plan!A90,"AAAAACvc+7c=")</f>
        <v>#VALUE!</v>
      </c>
      <c r="GC38" t="e">
        <f>AND(Plan!B90,"AAAAACvc+7g=")</f>
        <v>#VALUE!</v>
      </c>
      <c r="GD38" t="e">
        <f>AND(Plan!C90,"AAAAACvc+7k=")</f>
        <v>#VALUE!</v>
      </c>
      <c r="GE38" t="e">
        <f>AND(Plan!D90,"AAAAACvc+7o=")</f>
        <v>#VALUE!</v>
      </c>
      <c r="GF38" t="e">
        <f>AND(Plan!E90,"AAAAACvc+7s=")</f>
        <v>#VALUE!</v>
      </c>
      <c r="GG38" t="e">
        <f>AND(Plan!F90,"AAAAACvc+7w=")</f>
        <v>#VALUE!</v>
      </c>
      <c r="GH38" t="e">
        <f>AND(Plan!G90,"AAAAACvc+70=")</f>
        <v>#VALUE!</v>
      </c>
      <c r="GI38" t="e">
        <f>AND(Plan!H90,"AAAAACvc+74=")</f>
        <v>#VALUE!</v>
      </c>
      <c r="GJ38" t="e">
        <f>AND(Plan!I90,"AAAAACvc+78=")</f>
        <v>#VALUE!</v>
      </c>
      <c r="GK38" t="e">
        <f>AND(Plan!J90,"AAAAACvc+8A=")</f>
        <v>#VALUE!</v>
      </c>
      <c r="GL38" t="e">
        <f>AND(Plan!K90,"AAAAACvc+8E=")</f>
        <v>#VALUE!</v>
      </c>
      <c r="GM38" t="e">
        <f>AND(Plan!L90,"AAAAACvc+8I=")</f>
        <v>#VALUE!</v>
      </c>
      <c r="GN38" t="e">
        <f>AND(Plan!M90,"AAAAACvc+8M=")</f>
        <v>#VALUE!</v>
      </c>
      <c r="GO38" t="e">
        <f>AND(Plan!N90,"AAAAACvc+8Q=")</f>
        <v>#VALUE!</v>
      </c>
      <c r="GP38" t="e">
        <f>AND(Plan!O90,"AAAAACvc+8U=")</f>
        <v>#VALUE!</v>
      </c>
      <c r="GQ38" t="e">
        <f>AND(Plan!P90,"AAAAACvc+8Y=")</f>
        <v>#VALUE!</v>
      </c>
      <c r="GR38" t="e">
        <f>AND(Plan!Q90,"AAAAACvc+8c=")</f>
        <v>#VALUE!</v>
      </c>
      <c r="GS38" t="e">
        <f>AND(Plan!R90,"AAAAACvc+8g=")</f>
        <v>#VALUE!</v>
      </c>
      <c r="GT38" t="e">
        <f>AND(Plan!S90,"AAAAACvc+8k=")</f>
        <v>#VALUE!</v>
      </c>
      <c r="GU38" t="e">
        <f>AND(Plan!T90,"AAAAACvc+8o=")</f>
        <v>#VALUE!</v>
      </c>
      <c r="GV38" t="e">
        <f>AND(Plan!U90,"AAAAACvc+8s=")</f>
        <v>#VALUE!</v>
      </c>
      <c r="GW38" t="e">
        <f>AND(Plan!V90,"AAAAACvc+8w=")</f>
        <v>#VALUE!</v>
      </c>
      <c r="GX38" t="e">
        <f>AND(Plan!W90,"AAAAACvc+80=")</f>
        <v>#VALUE!</v>
      </c>
      <c r="GY38" t="e">
        <f>AND(Plan!X90,"AAAAACvc+84=")</f>
        <v>#VALUE!</v>
      </c>
      <c r="GZ38" t="e">
        <f>AND(Plan!Y90,"AAAAACvc+88=")</f>
        <v>#VALUE!</v>
      </c>
      <c r="HA38" t="e">
        <f>AND(Plan!Z90,"AAAAACvc+9A=")</f>
        <v>#VALUE!</v>
      </c>
      <c r="HB38" t="e">
        <f>AND(Plan!AA90,"AAAAACvc+9E=")</f>
        <v>#VALUE!</v>
      </c>
      <c r="HC38" t="e">
        <f>AND(Plan!AB90,"AAAAACvc+9I=")</f>
        <v>#VALUE!</v>
      </c>
      <c r="HD38" t="e">
        <f>AND(Plan!AC90,"AAAAACvc+9M=")</f>
        <v>#VALUE!</v>
      </c>
      <c r="HE38" t="e">
        <f>AND(Plan!AD90,"AAAAACvc+9Q=")</f>
        <v>#VALUE!</v>
      </c>
      <c r="HF38" t="e">
        <f>AND(Plan!AE90,"AAAAACvc+9U=")</f>
        <v>#VALUE!</v>
      </c>
      <c r="HG38" t="e">
        <f>AND(Plan!AF90,"AAAAACvc+9Y=")</f>
        <v>#VALUE!</v>
      </c>
      <c r="HH38" t="e">
        <f>AND(Plan!AG90,"AAAAACvc+9c=")</f>
        <v>#VALUE!</v>
      </c>
      <c r="HI38" t="e">
        <f>AND(Plan!AH90,"AAAAACvc+9g=")</f>
        <v>#VALUE!</v>
      </c>
      <c r="HJ38" t="e">
        <f>AND(Plan!AI90,"AAAAACvc+9k=")</f>
        <v>#VALUE!</v>
      </c>
      <c r="HK38" t="e">
        <f>AND(Plan!AJ90,"AAAAACvc+9o=")</f>
        <v>#VALUE!</v>
      </c>
      <c r="HL38" t="e">
        <f>AND(Plan!AK90,"AAAAACvc+9s=")</f>
        <v>#VALUE!</v>
      </c>
      <c r="HM38" t="e">
        <f>AND(Plan!AL90,"AAAAACvc+9w=")</f>
        <v>#VALUE!</v>
      </c>
      <c r="HN38" t="e">
        <f>AND(Plan!AM90,"AAAAACvc+90=")</f>
        <v>#VALUE!</v>
      </c>
      <c r="HO38" t="e">
        <f>AND(Plan!AN90,"AAAAACvc+94=")</f>
        <v>#VALUE!</v>
      </c>
      <c r="HP38" t="e">
        <f>AND(Plan!AO90,"AAAAACvc+98=")</f>
        <v>#VALUE!</v>
      </c>
      <c r="HQ38" t="e">
        <f>AND(Plan!AP90,"AAAAACvc++A=")</f>
        <v>#VALUE!</v>
      </c>
      <c r="HR38" t="e">
        <f>AND(Plan!AQ90,"AAAAACvc++E=")</f>
        <v>#VALUE!</v>
      </c>
      <c r="HS38" t="e">
        <f>AND(Plan!AR90,"AAAAACvc++I=")</f>
        <v>#VALUE!</v>
      </c>
      <c r="HT38" t="e">
        <f>AND(Plan!AS90,"AAAAACvc++M=")</f>
        <v>#VALUE!</v>
      </c>
      <c r="HU38" t="e">
        <f>AND(Plan!AT90,"AAAAACvc++Q=")</f>
        <v>#VALUE!</v>
      </c>
      <c r="HV38" t="e">
        <f>AND(Plan!AU90,"AAAAACvc++U=")</f>
        <v>#VALUE!</v>
      </c>
      <c r="HW38" t="e">
        <f>AND(Plan!AV90,"AAAAACvc++Y=")</f>
        <v>#VALUE!</v>
      </c>
      <c r="HX38" t="e">
        <f>AND(Plan!AW90,"AAAAACvc++c=")</f>
        <v>#VALUE!</v>
      </c>
      <c r="HY38" t="e">
        <f>AND(Plan!AX90,"AAAAACvc++g=")</f>
        <v>#VALUE!</v>
      </c>
      <c r="HZ38" t="e">
        <f>AND(Plan!AY90,"AAAAACvc++k=")</f>
        <v>#VALUE!</v>
      </c>
      <c r="IA38" t="e">
        <f>AND(Plan!AZ90,"AAAAACvc++o=")</f>
        <v>#VALUE!</v>
      </c>
      <c r="IB38" t="e">
        <f>AND(Plan!BA90,"AAAAACvc++s=")</f>
        <v>#VALUE!</v>
      </c>
      <c r="IC38" t="e">
        <f>AND(Plan!BB90,"AAAAACvc++w=")</f>
        <v>#VALUE!</v>
      </c>
      <c r="ID38" t="e">
        <f>AND(Plan!BC90,"AAAAACvc++0=")</f>
        <v>#VALUE!</v>
      </c>
      <c r="IE38" t="e">
        <f>AND(Plan!BD90,"AAAAACvc++4=")</f>
        <v>#VALUE!</v>
      </c>
      <c r="IF38" t="e">
        <f>AND(Plan!BE90,"AAAAACvc++8=")</f>
        <v>#VALUE!</v>
      </c>
      <c r="IG38" t="e">
        <f>AND(Plan!BF90,"AAAAACvc+/A=")</f>
        <v>#VALUE!</v>
      </c>
      <c r="IH38" t="e">
        <f>AND(Plan!BG90,"AAAAACvc+/E=")</f>
        <v>#VALUE!</v>
      </c>
      <c r="II38" t="e">
        <f>AND(Plan!BH90,"AAAAACvc+/I=")</f>
        <v>#VALUE!</v>
      </c>
      <c r="IJ38" t="e">
        <f>AND(Plan!BI90,"AAAAACvc+/M=")</f>
        <v>#VALUE!</v>
      </c>
      <c r="IK38" t="e">
        <f>AND(Plan!BJ90,"AAAAACvc+/Q=")</f>
        <v>#VALUE!</v>
      </c>
      <c r="IL38" t="e">
        <f>AND(Plan!BK90,"AAAAACvc+/U=")</f>
        <v>#VALUE!</v>
      </c>
      <c r="IM38" t="e">
        <f>AND(Plan!BL90,"AAAAACvc+/Y=")</f>
        <v>#VALUE!</v>
      </c>
      <c r="IN38" t="e">
        <f>AND(Plan!BM90,"AAAAACvc+/c=")</f>
        <v>#VALUE!</v>
      </c>
      <c r="IO38" t="e">
        <f>AND(Plan!BN90,"AAAAACvc+/g=")</f>
        <v>#VALUE!</v>
      </c>
      <c r="IP38" t="e">
        <f>AND(Plan!BO90,"AAAAACvc+/k=")</f>
        <v>#VALUE!</v>
      </c>
      <c r="IQ38" t="e">
        <f>AND(Plan!BP90,"AAAAACvc+/o=")</f>
        <v>#VALUE!</v>
      </c>
      <c r="IR38" t="e">
        <f>AND(Plan!BQ90,"AAAAACvc+/s=")</f>
        <v>#VALUE!</v>
      </c>
      <c r="IS38" t="e">
        <f>AND(Plan!BR90,"AAAAACvc+/w=")</f>
        <v>#VALUE!</v>
      </c>
      <c r="IT38" t="e">
        <f>AND(Plan!BS90,"AAAAACvc+/0=")</f>
        <v>#VALUE!</v>
      </c>
      <c r="IU38" t="e">
        <f>AND(Plan!BT90,"AAAAACvc+/4=")</f>
        <v>#VALUE!</v>
      </c>
      <c r="IV38" t="e">
        <f>AND(Plan!BU90,"AAAAACvc+/8=")</f>
        <v>#VALUE!</v>
      </c>
    </row>
    <row r="39" spans="1:256">
      <c r="A39" t="e">
        <f>AND(Plan!BV90,"AAAAAFP+fAA=")</f>
        <v>#VALUE!</v>
      </c>
      <c r="B39" t="e">
        <f>AND(Plan!BW90,"AAAAAFP+fAE=")</f>
        <v>#VALUE!</v>
      </c>
      <c r="C39" t="e">
        <f>AND(Plan!BX90,"AAAAAFP+fAI=")</f>
        <v>#VALUE!</v>
      </c>
      <c r="D39" t="e">
        <f>AND(Plan!BY90,"AAAAAFP+fAM=")</f>
        <v>#VALUE!</v>
      </c>
      <c r="E39" t="e">
        <f>AND(Plan!BZ90,"AAAAAFP+fAQ=")</f>
        <v>#VALUE!</v>
      </c>
      <c r="F39" t="e">
        <f>AND(Plan!CA90,"AAAAAFP+fAU=")</f>
        <v>#VALUE!</v>
      </c>
      <c r="G39" t="e">
        <f>AND(Plan!CB90,"AAAAAFP+fAY=")</f>
        <v>#VALUE!</v>
      </c>
      <c r="H39" t="e">
        <f>AND(Plan!CC90,"AAAAAFP+fAc=")</f>
        <v>#VALUE!</v>
      </c>
      <c r="I39" t="e">
        <f>AND(Plan!CD90,"AAAAAFP+fAg=")</f>
        <v>#VALUE!</v>
      </c>
      <c r="J39" t="e">
        <f>AND(Plan!CE90,"AAAAAFP+fAk=")</f>
        <v>#VALUE!</v>
      </c>
      <c r="K39" t="e">
        <f>AND(Plan!CF90,"AAAAAFP+fAo=")</f>
        <v>#VALUE!</v>
      </c>
      <c r="L39" t="e">
        <f>AND(Plan!CG90,"AAAAAFP+fAs=")</f>
        <v>#VALUE!</v>
      </c>
      <c r="M39" t="e">
        <f>AND(Plan!CH90,"AAAAAFP+fAw=")</f>
        <v>#VALUE!</v>
      </c>
      <c r="N39" t="e">
        <f>AND(Plan!CI90,"AAAAAFP+fA0=")</f>
        <v>#VALUE!</v>
      </c>
      <c r="O39" t="e">
        <f>AND(Plan!CJ90,"AAAAAFP+fA4=")</f>
        <v>#VALUE!</v>
      </c>
      <c r="P39" t="e">
        <f>AND(Plan!CK90,"AAAAAFP+fA8=")</f>
        <v>#VALUE!</v>
      </c>
      <c r="Q39" t="e">
        <f>AND(Plan!CL90,"AAAAAFP+fBA=")</f>
        <v>#VALUE!</v>
      </c>
      <c r="R39" t="e">
        <f>AND(Plan!CM90,"AAAAAFP+fBE=")</f>
        <v>#VALUE!</v>
      </c>
      <c r="S39" t="e">
        <f>AND(Plan!CN90,"AAAAAFP+fBI=")</f>
        <v>#VALUE!</v>
      </c>
      <c r="T39" t="e">
        <f>AND(Plan!CO90,"AAAAAFP+fBM=")</f>
        <v>#VALUE!</v>
      </c>
      <c r="U39" t="e">
        <f>AND(Plan!CP90,"AAAAAFP+fBQ=")</f>
        <v>#VALUE!</v>
      </c>
      <c r="V39" t="e">
        <f>AND(Plan!CQ90,"AAAAAFP+fBU=")</f>
        <v>#VALUE!</v>
      </c>
      <c r="W39" t="e">
        <f>AND(Plan!CR90,"AAAAAFP+fBY=")</f>
        <v>#VALUE!</v>
      </c>
      <c r="X39" t="e">
        <f>AND(Plan!CS90,"AAAAAFP+fBc=")</f>
        <v>#VALUE!</v>
      </c>
      <c r="Y39" t="e">
        <f>AND(Plan!CT90,"AAAAAFP+fBg=")</f>
        <v>#VALUE!</v>
      </c>
      <c r="Z39" t="e">
        <f>AND(Plan!CU90,"AAAAAFP+fBk=")</f>
        <v>#VALUE!</v>
      </c>
      <c r="AA39" t="e">
        <f>AND(Plan!CV90,"AAAAAFP+fBo=")</f>
        <v>#VALUE!</v>
      </c>
      <c r="AB39" t="e">
        <f>AND(Plan!CW90,"AAAAAFP+fBs=")</f>
        <v>#VALUE!</v>
      </c>
      <c r="AC39">
        <f>IF(Plan!91:91,"AAAAAFP+fBw=",0)</f>
        <v>0</v>
      </c>
      <c r="AD39" t="e">
        <f>AND(Plan!A91,"AAAAAFP+fB0=")</f>
        <v>#VALUE!</v>
      </c>
      <c r="AE39" t="e">
        <f>AND(Plan!B91,"AAAAAFP+fB4=")</f>
        <v>#VALUE!</v>
      </c>
      <c r="AF39" t="e">
        <f>AND(Plan!C91,"AAAAAFP+fB8=")</f>
        <v>#VALUE!</v>
      </c>
      <c r="AG39" t="e">
        <f>AND(Plan!D91,"AAAAAFP+fCA=")</f>
        <v>#VALUE!</v>
      </c>
      <c r="AH39" t="e">
        <f>AND(Plan!E91,"AAAAAFP+fCE=")</f>
        <v>#VALUE!</v>
      </c>
      <c r="AI39" t="e">
        <f>AND(Plan!F91,"AAAAAFP+fCI=")</f>
        <v>#VALUE!</v>
      </c>
      <c r="AJ39" t="e">
        <f>AND(Plan!G91,"AAAAAFP+fCM=")</f>
        <v>#VALUE!</v>
      </c>
      <c r="AK39" t="e">
        <f>AND(Plan!H91,"AAAAAFP+fCQ=")</f>
        <v>#VALUE!</v>
      </c>
      <c r="AL39" t="e">
        <f>AND(Plan!I91,"AAAAAFP+fCU=")</f>
        <v>#VALUE!</v>
      </c>
      <c r="AM39" t="e">
        <f>AND(Plan!J91,"AAAAAFP+fCY=")</f>
        <v>#VALUE!</v>
      </c>
      <c r="AN39" t="e">
        <f>AND(Plan!K91,"AAAAAFP+fCc=")</f>
        <v>#VALUE!</v>
      </c>
      <c r="AO39" t="e">
        <f>AND(Plan!L91,"AAAAAFP+fCg=")</f>
        <v>#VALUE!</v>
      </c>
      <c r="AP39" t="e">
        <f>AND(Plan!M91,"AAAAAFP+fCk=")</f>
        <v>#VALUE!</v>
      </c>
      <c r="AQ39" t="e">
        <f>AND(Plan!N91,"AAAAAFP+fCo=")</f>
        <v>#VALUE!</v>
      </c>
      <c r="AR39" t="e">
        <f>AND(Plan!O91,"AAAAAFP+fCs=")</f>
        <v>#VALUE!</v>
      </c>
      <c r="AS39" t="e">
        <f>AND(Plan!P91,"AAAAAFP+fCw=")</f>
        <v>#VALUE!</v>
      </c>
      <c r="AT39" t="e">
        <f>AND(Plan!Q91,"AAAAAFP+fC0=")</f>
        <v>#VALUE!</v>
      </c>
      <c r="AU39" t="e">
        <f>AND(Plan!R91,"AAAAAFP+fC4=")</f>
        <v>#VALUE!</v>
      </c>
      <c r="AV39" t="e">
        <f>AND(Plan!S91,"AAAAAFP+fC8=")</f>
        <v>#VALUE!</v>
      </c>
      <c r="AW39" t="e">
        <f>AND(Plan!T91,"AAAAAFP+fDA=")</f>
        <v>#VALUE!</v>
      </c>
      <c r="AX39" t="e">
        <f>AND(Plan!U91,"AAAAAFP+fDE=")</f>
        <v>#VALUE!</v>
      </c>
      <c r="AY39" t="e">
        <f>AND(Plan!V91,"AAAAAFP+fDI=")</f>
        <v>#VALUE!</v>
      </c>
      <c r="AZ39" t="e">
        <f>AND(Plan!W91,"AAAAAFP+fDM=")</f>
        <v>#VALUE!</v>
      </c>
      <c r="BA39" t="e">
        <f>AND(Plan!X91,"AAAAAFP+fDQ=")</f>
        <v>#VALUE!</v>
      </c>
      <c r="BB39" t="e">
        <f>AND(Plan!Y91,"AAAAAFP+fDU=")</f>
        <v>#VALUE!</v>
      </c>
      <c r="BC39" t="e">
        <f>AND(Plan!Z91,"AAAAAFP+fDY=")</f>
        <v>#VALUE!</v>
      </c>
      <c r="BD39" t="e">
        <f>AND(Plan!AA91,"AAAAAFP+fDc=")</f>
        <v>#VALUE!</v>
      </c>
      <c r="BE39" t="e">
        <f>AND(Plan!AB91,"AAAAAFP+fDg=")</f>
        <v>#VALUE!</v>
      </c>
      <c r="BF39" t="e">
        <f>AND(Plan!AC91,"AAAAAFP+fDk=")</f>
        <v>#VALUE!</v>
      </c>
      <c r="BG39" t="e">
        <f>AND(Plan!AD91,"AAAAAFP+fDo=")</f>
        <v>#VALUE!</v>
      </c>
      <c r="BH39" t="e">
        <f>AND(Plan!AE91,"AAAAAFP+fDs=")</f>
        <v>#VALUE!</v>
      </c>
      <c r="BI39" t="e">
        <f>AND(Plan!AF91,"AAAAAFP+fDw=")</f>
        <v>#VALUE!</v>
      </c>
      <c r="BJ39" t="e">
        <f>AND(Plan!AG91,"AAAAAFP+fD0=")</f>
        <v>#VALUE!</v>
      </c>
      <c r="BK39" t="e">
        <f>AND(Plan!AH91,"AAAAAFP+fD4=")</f>
        <v>#VALUE!</v>
      </c>
      <c r="BL39" t="e">
        <f>AND(Plan!AI91,"AAAAAFP+fD8=")</f>
        <v>#VALUE!</v>
      </c>
      <c r="BM39" t="e">
        <f>AND(Plan!AJ91,"AAAAAFP+fEA=")</f>
        <v>#VALUE!</v>
      </c>
      <c r="BN39" t="e">
        <f>AND(Plan!AK91,"AAAAAFP+fEE=")</f>
        <v>#VALUE!</v>
      </c>
      <c r="BO39" t="e">
        <f>AND(Plan!AL91,"AAAAAFP+fEI=")</f>
        <v>#VALUE!</v>
      </c>
      <c r="BP39" t="e">
        <f>AND(Plan!AM91,"AAAAAFP+fEM=")</f>
        <v>#VALUE!</v>
      </c>
      <c r="BQ39" t="e">
        <f>AND(Plan!AN91,"AAAAAFP+fEQ=")</f>
        <v>#VALUE!</v>
      </c>
      <c r="BR39" t="e">
        <f>AND(Plan!AO91,"AAAAAFP+fEU=")</f>
        <v>#VALUE!</v>
      </c>
      <c r="BS39" t="e">
        <f>AND(Plan!AP91,"AAAAAFP+fEY=")</f>
        <v>#VALUE!</v>
      </c>
      <c r="BT39" t="e">
        <f>AND(Plan!AQ91,"AAAAAFP+fEc=")</f>
        <v>#VALUE!</v>
      </c>
      <c r="BU39" t="e">
        <f>AND(Plan!AR91,"AAAAAFP+fEg=")</f>
        <v>#VALUE!</v>
      </c>
      <c r="BV39" t="e">
        <f>AND(Plan!AS91,"AAAAAFP+fEk=")</f>
        <v>#VALUE!</v>
      </c>
      <c r="BW39" t="e">
        <f>AND(Plan!AT91,"AAAAAFP+fEo=")</f>
        <v>#VALUE!</v>
      </c>
      <c r="BX39" t="e">
        <f>AND(Plan!AU91,"AAAAAFP+fEs=")</f>
        <v>#VALUE!</v>
      </c>
      <c r="BY39" t="e">
        <f>AND(Plan!AV91,"AAAAAFP+fEw=")</f>
        <v>#VALUE!</v>
      </c>
      <c r="BZ39" t="e">
        <f>AND(Plan!AW91,"AAAAAFP+fE0=")</f>
        <v>#VALUE!</v>
      </c>
      <c r="CA39" t="e">
        <f>AND(Plan!AX91,"AAAAAFP+fE4=")</f>
        <v>#VALUE!</v>
      </c>
      <c r="CB39" t="e">
        <f>AND(Plan!AY91,"AAAAAFP+fE8=")</f>
        <v>#VALUE!</v>
      </c>
      <c r="CC39" t="e">
        <f>AND(Plan!AZ91,"AAAAAFP+fFA=")</f>
        <v>#VALUE!</v>
      </c>
      <c r="CD39" t="e">
        <f>AND(Plan!BA91,"AAAAAFP+fFE=")</f>
        <v>#VALUE!</v>
      </c>
      <c r="CE39" t="e">
        <f>AND(Plan!BB91,"AAAAAFP+fFI=")</f>
        <v>#VALUE!</v>
      </c>
      <c r="CF39" t="e">
        <f>AND(Plan!BC91,"AAAAAFP+fFM=")</f>
        <v>#VALUE!</v>
      </c>
      <c r="CG39" t="e">
        <f>AND(Plan!BD91,"AAAAAFP+fFQ=")</f>
        <v>#VALUE!</v>
      </c>
      <c r="CH39" t="e">
        <f>AND(Plan!BE91,"AAAAAFP+fFU=")</f>
        <v>#VALUE!</v>
      </c>
      <c r="CI39" t="e">
        <f>AND(Plan!BF91,"AAAAAFP+fFY=")</f>
        <v>#VALUE!</v>
      </c>
      <c r="CJ39" t="e">
        <f>AND(Plan!BG91,"AAAAAFP+fFc=")</f>
        <v>#VALUE!</v>
      </c>
      <c r="CK39" t="e">
        <f>AND(Plan!BH91,"AAAAAFP+fFg=")</f>
        <v>#VALUE!</v>
      </c>
      <c r="CL39" t="e">
        <f>AND(Plan!BI91,"AAAAAFP+fFk=")</f>
        <v>#VALUE!</v>
      </c>
      <c r="CM39" t="e">
        <f>AND(Plan!BJ91,"AAAAAFP+fFo=")</f>
        <v>#VALUE!</v>
      </c>
      <c r="CN39" t="e">
        <f>AND(Plan!BK91,"AAAAAFP+fFs=")</f>
        <v>#VALUE!</v>
      </c>
      <c r="CO39" t="e">
        <f>AND(Plan!BL91,"AAAAAFP+fFw=")</f>
        <v>#VALUE!</v>
      </c>
      <c r="CP39" t="e">
        <f>AND(Plan!BM91,"AAAAAFP+fF0=")</f>
        <v>#VALUE!</v>
      </c>
      <c r="CQ39" t="e">
        <f>AND(Plan!BN91,"AAAAAFP+fF4=")</f>
        <v>#VALUE!</v>
      </c>
      <c r="CR39" t="e">
        <f>AND(Plan!BO91,"AAAAAFP+fF8=")</f>
        <v>#VALUE!</v>
      </c>
      <c r="CS39" t="e">
        <f>AND(Plan!BP91,"AAAAAFP+fGA=")</f>
        <v>#VALUE!</v>
      </c>
      <c r="CT39" t="e">
        <f>AND(Plan!BQ91,"AAAAAFP+fGE=")</f>
        <v>#VALUE!</v>
      </c>
      <c r="CU39" t="e">
        <f>AND(Plan!BR91,"AAAAAFP+fGI=")</f>
        <v>#VALUE!</v>
      </c>
      <c r="CV39" t="e">
        <f>AND(Plan!BS91,"AAAAAFP+fGM=")</f>
        <v>#VALUE!</v>
      </c>
      <c r="CW39" t="e">
        <f>AND(Plan!BT91,"AAAAAFP+fGQ=")</f>
        <v>#VALUE!</v>
      </c>
      <c r="CX39" t="e">
        <f>AND(Plan!BU91,"AAAAAFP+fGU=")</f>
        <v>#VALUE!</v>
      </c>
      <c r="CY39" t="e">
        <f>AND(Plan!BV91,"AAAAAFP+fGY=")</f>
        <v>#VALUE!</v>
      </c>
      <c r="CZ39" t="e">
        <f>AND(Plan!BW91,"AAAAAFP+fGc=")</f>
        <v>#VALUE!</v>
      </c>
      <c r="DA39" t="e">
        <f>AND(Plan!BX91,"AAAAAFP+fGg=")</f>
        <v>#VALUE!</v>
      </c>
      <c r="DB39" t="e">
        <f>AND(Plan!BY91,"AAAAAFP+fGk=")</f>
        <v>#VALUE!</v>
      </c>
      <c r="DC39" t="e">
        <f>AND(Plan!BZ91,"AAAAAFP+fGo=")</f>
        <v>#VALUE!</v>
      </c>
      <c r="DD39" t="e">
        <f>AND(Plan!CA91,"AAAAAFP+fGs=")</f>
        <v>#VALUE!</v>
      </c>
      <c r="DE39" t="e">
        <f>AND(Plan!CB91,"AAAAAFP+fGw=")</f>
        <v>#VALUE!</v>
      </c>
      <c r="DF39" t="e">
        <f>AND(Plan!CC91,"AAAAAFP+fG0=")</f>
        <v>#VALUE!</v>
      </c>
      <c r="DG39" t="e">
        <f>AND(Plan!CD91,"AAAAAFP+fG4=")</f>
        <v>#VALUE!</v>
      </c>
      <c r="DH39" t="e">
        <f>AND(Plan!CE91,"AAAAAFP+fG8=")</f>
        <v>#VALUE!</v>
      </c>
      <c r="DI39" t="e">
        <f>AND(Plan!CF91,"AAAAAFP+fHA=")</f>
        <v>#VALUE!</v>
      </c>
      <c r="DJ39" t="e">
        <f>AND(Plan!CG91,"AAAAAFP+fHE=")</f>
        <v>#VALUE!</v>
      </c>
      <c r="DK39" t="e">
        <f>AND(Plan!CH91,"AAAAAFP+fHI=")</f>
        <v>#VALUE!</v>
      </c>
      <c r="DL39" t="e">
        <f>AND(Plan!CI91,"AAAAAFP+fHM=")</f>
        <v>#VALUE!</v>
      </c>
      <c r="DM39" t="e">
        <f>AND(Plan!CJ91,"AAAAAFP+fHQ=")</f>
        <v>#VALUE!</v>
      </c>
      <c r="DN39" t="e">
        <f>AND(Plan!CK91,"AAAAAFP+fHU=")</f>
        <v>#VALUE!</v>
      </c>
      <c r="DO39" t="e">
        <f>AND(Plan!CL91,"AAAAAFP+fHY=")</f>
        <v>#VALUE!</v>
      </c>
      <c r="DP39" t="e">
        <f>AND(Plan!CM91,"AAAAAFP+fHc=")</f>
        <v>#VALUE!</v>
      </c>
      <c r="DQ39" t="e">
        <f>AND(Plan!CN91,"AAAAAFP+fHg=")</f>
        <v>#VALUE!</v>
      </c>
      <c r="DR39" t="e">
        <f>AND(Plan!CO91,"AAAAAFP+fHk=")</f>
        <v>#VALUE!</v>
      </c>
      <c r="DS39" t="e">
        <f>AND(Plan!CP91,"AAAAAFP+fHo=")</f>
        <v>#VALUE!</v>
      </c>
      <c r="DT39" t="e">
        <f>AND(Plan!CQ91,"AAAAAFP+fHs=")</f>
        <v>#VALUE!</v>
      </c>
      <c r="DU39" t="e">
        <f>AND(Plan!CR91,"AAAAAFP+fHw=")</f>
        <v>#VALUE!</v>
      </c>
      <c r="DV39" t="e">
        <f>AND(Plan!CS91,"AAAAAFP+fH0=")</f>
        <v>#VALUE!</v>
      </c>
      <c r="DW39" t="e">
        <f>AND(Plan!CT91,"AAAAAFP+fH4=")</f>
        <v>#VALUE!</v>
      </c>
      <c r="DX39" t="e">
        <f>AND(Plan!CU91,"AAAAAFP+fH8=")</f>
        <v>#VALUE!</v>
      </c>
      <c r="DY39" t="e">
        <f>AND(Plan!CV91,"AAAAAFP+fIA=")</f>
        <v>#VALUE!</v>
      </c>
      <c r="DZ39" t="e">
        <f>AND(Plan!CW91,"AAAAAFP+fIE=")</f>
        <v>#VALUE!</v>
      </c>
      <c r="EA39">
        <f>IF(Plan!92:92,"AAAAAFP+fII=",0)</f>
        <v>0</v>
      </c>
      <c r="EB39" t="e">
        <f>AND(Plan!A92,"AAAAAFP+fIM=")</f>
        <v>#VALUE!</v>
      </c>
      <c r="EC39" t="e">
        <f>AND(Plan!B92,"AAAAAFP+fIQ=")</f>
        <v>#VALUE!</v>
      </c>
      <c r="ED39" t="e">
        <f>AND(Plan!C92,"AAAAAFP+fIU=")</f>
        <v>#VALUE!</v>
      </c>
      <c r="EE39" t="e">
        <f>AND(Plan!D92,"AAAAAFP+fIY=")</f>
        <v>#VALUE!</v>
      </c>
      <c r="EF39" t="e">
        <f>AND(Plan!E92,"AAAAAFP+fIc=")</f>
        <v>#VALUE!</v>
      </c>
      <c r="EG39" t="e">
        <f>AND(Plan!F92,"AAAAAFP+fIg=")</f>
        <v>#VALUE!</v>
      </c>
      <c r="EH39" t="e">
        <f>AND(Plan!G92,"AAAAAFP+fIk=")</f>
        <v>#VALUE!</v>
      </c>
      <c r="EI39" t="e">
        <f>AND(Plan!H92,"AAAAAFP+fIo=")</f>
        <v>#VALUE!</v>
      </c>
      <c r="EJ39" t="e">
        <f>AND(Plan!I92,"AAAAAFP+fIs=")</f>
        <v>#VALUE!</v>
      </c>
      <c r="EK39" t="e">
        <f>AND(Plan!J92,"AAAAAFP+fIw=")</f>
        <v>#VALUE!</v>
      </c>
      <c r="EL39" t="e">
        <f>AND(Plan!K92,"AAAAAFP+fI0=")</f>
        <v>#VALUE!</v>
      </c>
      <c r="EM39" t="e">
        <f>AND(Plan!L92,"AAAAAFP+fI4=")</f>
        <v>#VALUE!</v>
      </c>
      <c r="EN39" t="e">
        <f>AND(Plan!M92,"AAAAAFP+fI8=")</f>
        <v>#VALUE!</v>
      </c>
      <c r="EO39" t="e">
        <f>AND(Plan!N92,"AAAAAFP+fJA=")</f>
        <v>#VALUE!</v>
      </c>
      <c r="EP39" t="e">
        <f>AND(Plan!O92,"AAAAAFP+fJE=")</f>
        <v>#VALUE!</v>
      </c>
      <c r="EQ39" t="e">
        <f>AND(Plan!P92,"AAAAAFP+fJI=")</f>
        <v>#VALUE!</v>
      </c>
      <c r="ER39" t="e">
        <f>AND(Plan!Q92,"AAAAAFP+fJM=")</f>
        <v>#VALUE!</v>
      </c>
      <c r="ES39" t="e">
        <f>AND(Plan!R92,"AAAAAFP+fJQ=")</f>
        <v>#VALUE!</v>
      </c>
      <c r="ET39" t="e">
        <f>AND(Plan!S92,"AAAAAFP+fJU=")</f>
        <v>#VALUE!</v>
      </c>
      <c r="EU39" t="e">
        <f>AND(Plan!T92,"AAAAAFP+fJY=")</f>
        <v>#VALUE!</v>
      </c>
      <c r="EV39" t="e">
        <f>AND(Plan!U92,"AAAAAFP+fJc=")</f>
        <v>#VALUE!</v>
      </c>
      <c r="EW39" t="e">
        <f>AND(Plan!V92,"AAAAAFP+fJg=")</f>
        <v>#VALUE!</v>
      </c>
      <c r="EX39" t="e">
        <f>AND(Plan!W92,"AAAAAFP+fJk=")</f>
        <v>#VALUE!</v>
      </c>
      <c r="EY39" t="e">
        <f>AND(Plan!X92,"AAAAAFP+fJo=")</f>
        <v>#VALUE!</v>
      </c>
      <c r="EZ39" t="e">
        <f>AND(Plan!Y92,"AAAAAFP+fJs=")</f>
        <v>#VALUE!</v>
      </c>
      <c r="FA39" t="e">
        <f>AND(Plan!Z92,"AAAAAFP+fJw=")</f>
        <v>#VALUE!</v>
      </c>
      <c r="FB39" t="e">
        <f>AND(Plan!AA92,"AAAAAFP+fJ0=")</f>
        <v>#VALUE!</v>
      </c>
      <c r="FC39" t="e">
        <f>AND(Plan!AB92,"AAAAAFP+fJ4=")</f>
        <v>#VALUE!</v>
      </c>
      <c r="FD39" t="e">
        <f>AND(Plan!AC92,"AAAAAFP+fJ8=")</f>
        <v>#VALUE!</v>
      </c>
      <c r="FE39" t="e">
        <f>AND(Plan!AD92,"AAAAAFP+fKA=")</f>
        <v>#VALUE!</v>
      </c>
      <c r="FF39" t="e">
        <f>AND(Plan!AE92,"AAAAAFP+fKE=")</f>
        <v>#VALUE!</v>
      </c>
      <c r="FG39" t="e">
        <f>AND(Plan!AF92,"AAAAAFP+fKI=")</f>
        <v>#VALUE!</v>
      </c>
      <c r="FH39" t="e">
        <f>AND(Plan!AG92,"AAAAAFP+fKM=")</f>
        <v>#VALUE!</v>
      </c>
      <c r="FI39" t="e">
        <f>AND(Plan!AH92,"AAAAAFP+fKQ=")</f>
        <v>#VALUE!</v>
      </c>
      <c r="FJ39" t="e">
        <f>AND(Plan!AI92,"AAAAAFP+fKU=")</f>
        <v>#VALUE!</v>
      </c>
      <c r="FK39" t="e">
        <f>AND(Plan!AJ92,"AAAAAFP+fKY=")</f>
        <v>#VALUE!</v>
      </c>
      <c r="FL39" t="e">
        <f>AND(Plan!AK92,"AAAAAFP+fKc=")</f>
        <v>#VALUE!</v>
      </c>
      <c r="FM39" t="e">
        <f>AND(Plan!AL92,"AAAAAFP+fKg=")</f>
        <v>#VALUE!</v>
      </c>
      <c r="FN39" t="e">
        <f>AND(Plan!AM92,"AAAAAFP+fKk=")</f>
        <v>#VALUE!</v>
      </c>
      <c r="FO39" t="e">
        <f>AND(Plan!AN92,"AAAAAFP+fKo=")</f>
        <v>#VALUE!</v>
      </c>
      <c r="FP39" t="e">
        <f>AND(Plan!AO92,"AAAAAFP+fKs=")</f>
        <v>#VALUE!</v>
      </c>
      <c r="FQ39" t="e">
        <f>AND(Plan!AP92,"AAAAAFP+fKw=")</f>
        <v>#VALUE!</v>
      </c>
      <c r="FR39" t="e">
        <f>AND(Plan!AQ92,"AAAAAFP+fK0=")</f>
        <v>#VALUE!</v>
      </c>
      <c r="FS39" t="e">
        <f>AND(Plan!AR92,"AAAAAFP+fK4=")</f>
        <v>#VALUE!</v>
      </c>
      <c r="FT39" t="e">
        <f>AND(Plan!AS92,"AAAAAFP+fK8=")</f>
        <v>#VALUE!</v>
      </c>
      <c r="FU39" t="e">
        <f>AND(Plan!AT92,"AAAAAFP+fLA=")</f>
        <v>#VALUE!</v>
      </c>
      <c r="FV39" t="e">
        <f>AND(Plan!AU92,"AAAAAFP+fLE=")</f>
        <v>#VALUE!</v>
      </c>
      <c r="FW39" t="e">
        <f>AND(Plan!AV92,"AAAAAFP+fLI=")</f>
        <v>#VALUE!</v>
      </c>
      <c r="FX39" t="e">
        <f>AND(Plan!AW92,"AAAAAFP+fLM=")</f>
        <v>#VALUE!</v>
      </c>
      <c r="FY39" t="e">
        <f>AND(Plan!AX92,"AAAAAFP+fLQ=")</f>
        <v>#VALUE!</v>
      </c>
      <c r="FZ39" t="e">
        <f>AND(Plan!AY92,"AAAAAFP+fLU=")</f>
        <v>#VALUE!</v>
      </c>
      <c r="GA39" t="e">
        <f>AND(Plan!AZ92,"AAAAAFP+fLY=")</f>
        <v>#VALUE!</v>
      </c>
      <c r="GB39" t="e">
        <f>AND(Plan!BA92,"AAAAAFP+fLc=")</f>
        <v>#VALUE!</v>
      </c>
      <c r="GC39" t="e">
        <f>AND(Plan!BB92,"AAAAAFP+fLg=")</f>
        <v>#VALUE!</v>
      </c>
      <c r="GD39" t="e">
        <f>AND(Plan!BC92,"AAAAAFP+fLk=")</f>
        <v>#VALUE!</v>
      </c>
      <c r="GE39" t="e">
        <f>AND(Plan!BD92,"AAAAAFP+fLo=")</f>
        <v>#VALUE!</v>
      </c>
      <c r="GF39" t="e">
        <f>AND(Plan!BE92,"AAAAAFP+fLs=")</f>
        <v>#VALUE!</v>
      </c>
      <c r="GG39" t="e">
        <f>AND(Plan!BF92,"AAAAAFP+fLw=")</f>
        <v>#VALUE!</v>
      </c>
      <c r="GH39" t="e">
        <f>AND(Plan!BG92,"AAAAAFP+fL0=")</f>
        <v>#VALUE!</v>
      </c>
      <c r="GI39" t="e">
        <f>AND(Plan!BH92,"AAAAAFP+fL4=")</f>
        <v>#VALUE!</v>
      </c>
      <c r="GJ39" t="e">
        <f>AND(Plan!BI92,"AAAAAFP+fL8=")</f>
        <v>#VALUE!</v>
      </c>
      <c r="GK39" t="e">
        <f>AND(Plan!BJ92,"AAAAAFP+fMA=")</f>
        <v>#VALUE!</v>
      </c>
      <c r="GL39" t="e">
        <f>AND(Plan!BK92,"AAAAAFP+fME=")</f>
        <v>#VALUE!</v>
      </c>
      <c r="GM39" t="e">
        <f>AND(Plan!BL92,"AAAAAFP+fMI=")</f>
        <v>#VALUE!</v>
      </c>
      <c r="GN39" t="e">
        <f>AND(Plan!BM92,"AAAAAFP+fMM=")</f>
        <v>#VALUE!</v>
      </c>
      <c r="GO39" t="e">
        <f>AND(Plan!BN92,"AAAAAFP+fMQ=")</f>
        <v>#VALUE!</v>
      </c>
      <c r="GP39" t="e">
        <f>AND(Plan!BO92,"AAAAAFP+fMU=")</f>
        <v>#VALUE!</v>
      </c>
      <c r="GQ39" t="e">
        <f>AND(Plan!BP92,"AAAAAFP+fMY=")</f>
        <v>#VALUE!</v>
      </c>
      <c r="GR39" t="e">
        <f>AND(Plan!BQ92,"AAAAAFP+fMc=")</f>
        <v>#VALUE!</v>
      </c>
      <c r="GS39" t="e">
        <f>AND(Plan!BR92,"AAAAAFP+fMg=")</f>
        <v>#VALUE!</v>
      </c>
      <c r="GT39" t="e">
        <f>AND(Plan!BS92,"AAAAAFP+fMk=")</f>
        <v>#VALUE!</v>
      </c>
      <c r="GU39" t="e">
        <f>AND(Plan!BT92,"AAAAAFP+fMo=")</f>
        <v>#VALUE!</v>
      </c>
      <c r="GV39" t="e">
        <f>AND(Plan!BU92,"AAAAAFP+fMs=")</f>
        <v>#VALUE!</v>
      </c>
      <c r="GW39" t="e">
        <f>AND(Plan!BV92,"AAAAAFP+fMw=")</f>
        <v>#VALUE!</v>
      </c>
      <c r="GX39" t="e">
        <f>AND(Plan!BW92,"AAAAAFP+fM0=")</f>
        <v>#VALUE!</v>
      </c>
      <c r="GY39" t="e">
        <f>AND(Plan!BX92,"AAAAAFP+fM4=")</f>
        <v>#VALUE!</v>
      </c>
      <c r="GZ39" t="e">
        <f>AND(Plan!BY92,"AAAAAFP+fM8=")</f>
        <v>#VALUE!</v>
      </c>
      <c r="HA39" t="e">
        <f>AND(Plan!BZ92,"AAAAAFP+fNA=")</f>
        <v>#VALUE!</v>
      </c>
      <c r="HB39" t="e">
        <f>AND(Plan!CA92,"AAAAAFP+fNE=")</f>
        <v>#VALUE!</v>
      </c>
      <c r="HC39" t="e">
        <f>AND(Plan!CB92,"AAAAAFP+fNI=")</f>
        <v>#VALUE!</v>
      </c>
      <c r="HD39" t="e">
        <f>AND(Plan!CC92,"AAAAAFP+fNM=")</f>
        <v>#VALUE!</v>
      </c>
      <c r="HE39" t="e">
        <f>AND(Plan!CD92,"AAAAAFP+fNQ=")</f>
        <v>#VALUE!</v>
      </c>
      <c r="HF39" t="e">
        <f>AND(Plan!CE92,"AAAAAFP+fNU=")</f>
        <v>#VALUE!</v>
      </c>
      <c r="HG39" t="e">
        <f>AND(Plan!CF92,"AAAAAFP+fNY=")</f>
        <v>#VALUE!</v>
      </c>
      <c r="HH39" t="e">
        <f>AND(Plan!CG92,"AAAAAFP+fNc=")</f>
        <v>#VALUE!</v>
      </c>
      <c r="HI39" t="e">
        <f>AND(Plan!CH92,"AAAAAFP+fNg=")</f>
        <v>#VALUE!</v>
      </c>
      <c r="HJ39" t="e">
        <f>AND(Plan!CI92,"AAAAAFP+fNk=")</f>
        <v>#VALUE!</v>
      </c>
      <c r="HK39" t="e">
        <f>AND(Plan!CJ92,"AAAAAFP+fNo=")</f>
        <v>#VALUE!</v>
      </c>
      <c r="HL39" t="e">
        <f>AND(Plan!CK92,"AAAAAFP+fNs=")</f>
        <v>#VALUE!</v>
      </c>
      <c r="HM39" t="e">
        <f>AND(Plan!CL92,"AAAAAFP+fNw=")</f>
        <v>#VALUE!</v>
      </c>
      <c r="HN39" t="e">
        <f>AND(Plan!CM92,"AAAAAFP+fN0=")</f>
        <v>#VALUE!</v>
      </c>
      <c r="HO39" t="e">
        <f>AND(Plan!CN92,"AAAAAFP+fN4=")</f>
        <v>#VALUE!</v>
      </c>
      <c r="HP39" t="e">
        <f>AND(Plan!CO92,"AAAAAFP+fN8=")</f>
        <v>#VALUE!</v>
      </c>
      <c r="HQ39" t="e">
        <f>AND(Plan!CP92,"AAAAAFP+fOA=")</f>
        <v>#VALUE!</v>
      </c>
      <c r="HR39" t="e">
        <f>AND(Plan!CQ92,"AAAAAFP+fOE=")</f>
        <v>#VALUE!</v>
      </c>
      <c r="HS39" t="e">
        <f>AND(Plan!CR92,"AAAAAFP+fOI=")</f>
        <v>#VALUE!</v>
      </c>
      <c r="HT39" t="e">
        <f>AND(Plan!CS92,"AAAAAFP+fOM=")</f>
        <v>#VALUE!</v>
      </c>
      <c r="HU39" t="e">
        <f>AND(Plan!CT92,"AAAAAFP+fOQ=")</f>
        <v>#VALUE!</v>
      </c>
      <c r="HV39" t="e">
        <f>AND(Plan!CU92,"AAAAAFP+fOU=")</f>
        <v>#VALUE!</v>
      </c>
      <c r="HW39" t="e">
        <f>AND(Plan!CV92,"AAAAAFP+fOY=")</f>
        <v>#VALUE!</v>
      </c>
      <c r="HX39" t="e">
        <f>AND(Plan!CW92,"AAAAAFP+fOc=")</f>
        <v>#VALUE!</v>
      </c>
      <c r="HY39">
        <f>IF(Plan!93:93,"AAAAAFP+fOg=",0)</f>
        <v>0</v>
      </c>
      <c r="HZ39" t="e">
        <f>AND(Plan!A93,"AAAAAFP+fOk=")</f>
        <v>#VALUE!</v>
      </c>
      <c r="IA39" t="e">
        <f>AND(Plan!B93,"AAAAAFP+fOo=")</f>
        <v>#VALUE!</v>
      </c>
      <c r="IB39" t="e">
        <f>AND(Plan!C93,"AAAAAFP+fOs=")</f>
        <v>#VALUE!</v>
      </c>
      <c r="IC39" t="e">
        <f>AND(Plan!D93,"AAAAAFP+fOw=")</f>
        <v>#VALUE!</v>
      </c>
      <c r="ID39" t="e">
        <f>AND(Plan!E93,"AAAAAFP+fO0=")</f>
        <v>#VALUE!</v>
      </c>
      <c r="IE39" t="e">
        <f>AND(Plan!F93,"AAAAAFP+fO4=")</f>
        <v>#VALUE!</v>
      </c>
      <c r="IF39" t="e">
        <f>AND(Plan!G93,"AAAAAFP+fO8=")</f>
        <v>#VALUE!</v>
      </c>
      <c r="IG39" t="e">
        <f>AND(Plan!H93,"AAAAAFP+fPA=")</f>
        <v>#VALUE!</v>
      </c>
      <c r="IH39" t="e">
        <f>AND(Plan!I93,"AAAAAFP+fPE=")</f>
        <v>#VALUE!</v>
      </c>
      <c r="II39" t="e">
        <f>AND(Plan!J93,"AAAAAFP+fPI=")</f>
        <v>#VALUE!</v>
      </c>
      <c r="IJ39" t="e">
        <f>AND(Plan!K93,"AAAAAFP+fPM=")</f>
        <v>#VALUE!</v>
      </c>
      <c r="IK39" t="e">
        <f>AND(Plan!L93,"AAAAAFP+fPQ=")</f>
        <v>#VALUE!</v>
      </c>
      <c r="IL39" t="e">
        <f>AND(Plan!M93,"AAAAAFP+fPU=")</f>
        <v>#VALUE!</v>
      </c>
      <c r="IM39" t="e">
        <f>AND(Plan!N93,"AAAAAFP+fPY=")</f>
        <v>#VALUE!</v>
      </c>
      <c r="IN39" t="e">
        <f>AND(Plan!O93,"AAAAAFP+fPc=")</f>
        <v>#VALUE!</v>
      </c>
      <c r="IO39" t="e">
        <f>AND(Plan!P93,"AAAAAFP+fPg=")</f>
        <v>#VALUE!</v>
      </c>
      <c r="IP39" t="e">
        <f>AND(Plan!Q93,"AAAAAFP+fPk=")</f>
        <v>#VALUE!</v>
      </c>
      <c r="IQ39" t="e">
        <f>AND(Plan!R93,"AAAAAFP+fPo=")</f>
        <v>#VALUE!</v>
      </c>
      <c r="IR39" t="e">
        <f>AND(Plan!S93,"AAAAAFP+fPs=")</f>
        <v>#VALUE!</v>
      </c>
      <c r="IS39" t="e">
        <f>AND(Plan!T93,"AAAAAFP+fPw=")</f>
        <v>#VALUE!</v>
      </c>
      <c r="IT39" t="e">
        <f>AND(Plan!U93,"AAAAAFP+fP0=")</f>
        <v>#VALUE!</v>
      </c>
      <c r="IU39" t="e">
        <f>AND(Plan!V93,"AAAAAFP+fP4=")</f>
        <v>#VALUE!</v>
      </c>
      <c r="IV39" t="e">
        <f>AND(Plan!W93,"AAAAAFP+fP8=")</f>
        <v>#VALUE!</v>
      </c>
    </row>
    <row r="40" spans="1:256">
      <c r="A40" t="e">
        <f>AND(Plan!X93,"AAAAAGvu7gA=")</f>
        <v>#VALUE!</v>
      </c>
      <c r="B40" t="e">
        <f>AND(Plan!Y93,"AAAAAGvu7gE=")</f>
        <v>#VALUE!</v>
      </c>
      <c r="C40" t="e">
        <f>AND(Plan!Z93,"AAAAAGvu7gI=")</f>
        <v>#VALUE!</v>
      </c>
      <c r="D40" t="e">
        <f>AND(Plan!AA93,"AAAAAGvu7gM=")</f>
        <v>#VALUE!</v>
      </c>
      <c r="E40" t="e">
        <f>AND(Plan!AB93,"AAAAAGvu7gQ=")</f>
        <v>#VALUE!</v>
      </c>
      <c r="F40" t="e">
        <f>AND(Plan!AC93,"AAAAAGvu7gU=")</f>
        <v>#VALUE!</v>
      </c>
      <c r="G40" t="e">
        <f>AND(Plan!AD93,"AAAAAGvu7gY=")</f>
        <v>#VALUE!</v>
      </c>
      <c r="H40" t="e">
        <f>AND(Plan!AE93,"AAAAAGvu7gc=")</f>
        <v>#VALUE!</v>
      </c>
      <c r="I40" t="e">
        <f>AND(Plan!AF93,"AAAAAGvu7gg=")</f>
        <v>#VALUE!</v>
      </c>
      <c r="J40" t="e">
        <f>AND(Plan!AG93,"AAAAAGvu7gk=")</f>
        <v>#VALUE!</v>
      </c>
      <c r="K40" t="e">
        <f>AND(Plan!AH93,"AAAAAGvu7go=")</f>
        <v>#VALUE!</v>
      </c>
      <c r="L40" t="e">
        <f>AND(Plan!AI93,"AAAAAGvu7gs=")</f>
        <v>#VALUE!</v>
      </c>
      <c r="M40" t="e">
        <f>AND(Plan!AJ93,"AAAAAGvu7gw=")</f>
        <v>#VALUE!</v>
      </c>
      <c r="N40" t="e">
        <f>AND(Plan!AK93,"AAAAAGvu7g0=")</f>
        <v>#VALUE!</v>
      </c>
      <c r="O40" t="e">
        <f>AND(Plan!AL93,"AAAAAGvu7g4=")</f>
        <v>#VALUE!</v>
      </c>
      <c r="P40" t="e">
        <f>AND(Plan!AM93,"AAAAAGvu7g8=")</f>
        <v>#VALUE!</v>
      </c>
      <c r="Q40" t="e">
        <f>AND(Plan!AN93,"AAAAAGvu7hA=")</f>
        <v>#VALUE!</v>
      </c>
      <c r="R40" t="e">
        <f>AND(Plan!AO93,"AAAAAGvu7hE=")</f>
        <v>#VALUE!</v>
      </c>
      <c r="S40" t="e">
        <f>AND(Plan!AP93,"AAAAAGvu7hI=")</f>
        <v>#VALUE!</v>
      </c>
      <c r="T40" t="e">
        <f>AND(Plan!AQ93,"AAAAAGvu7hM=")</f>
        <v>#VALUE!</v>
      </c>
      <c r="U40" t="e">
        <f>AND(Plan!AR93,"AAAAAGvu7hQ=")</f>
        <v>#VALUE!</v>
      </c>
      <c r="V40" t="e">
        <f>AND(Plan!AS93,"AAAAAGvu7hU=")</f>
        <v>#VALUE!</v>
      </c>
      <c r="W40" t="e">
        <f>AND(Plan!AT93,"AAAAAGvu7hY=")</f>
        <v>#VALUE!</v>
      </c>
      <c r="X40" t="e">
        <f>AND(Plan!AU93,"AAAAAGvu7hc=")</f>
        <v>#VALUE!</v>
      </c>
      <c r="Y40" t="e">
        <f>AND(Plan!AV93,"AAAAAGvu7hg=")</f>
        <v>#VALUE!</v>
      </c>
      <c r="Z40" t="e">
        <f>AND(Plan!AW93,"AAAAAGvu7hk=")</f>
        <v>#VALUE!</v>
      </c>
      <c r="AA40" t="e">
        <f>AND(Plan!AX93,"AAAAAGvu7ho=")</f>
        <v>#VALUE!</v>
      </c>
      <c r="AB40" t="e">
        <f>AND(Plan!AY93,"AAAAAGvu7hs=")</f>
        <v>#VALUE!</v>
      </c>
      <c r="AC40" t="e">
        <f>AND(Plan!AZ93,"AAAAAGvu7hw=")</f>
        <v>#VALUE!</v>
      </c>
      <c r="AD40" t="e">
        <f>AND(Plan!BA93,"AAAAAGvu7h0=")</f>
        <v>#VALUE!</v>
      </c>
      <c r="AE40" t="e">
        <f>AND(Plan!BB93,"AAAAAGvu7h4=")</f>
        <v>#VALUE!</v>
      </c>
      <c r="AF40" t="e">
        <f>AND(Plan!BC93,"AAAAAGvu7h8=")</f>
        <v>#VALUE!</v>
      </c>
      <c r="AG40" t="e">
        <f>AND(Plan!BD93,"AAAAAGvu7iA=")</f>
        <v>#VALUE!</v>
      </c>
      <c r="AH40" t="e">
        <f>AND(Plan!BE93,"AAAAAGvu7iE=")</f>
        <v>#VALUE!</v>
      </c>
      <c r="AI40" t="e">
        <f>AND(Plan!BF93,"AAAAAGvu7iI=")</f>
        <v>#VALUE!</v>
      </c>
      <c r="AJ40" t="e">
        <f>AND(Plan!BG93,"AAAAAGvu7iM=")</f>
        <v>#VALUE!</v>
      </c>
      <c r="AK40" t="e">
        <f>AND(Plan!BH93,"AAAAAGvu7iQ=")</f>
        <v>#VALUE!</v>
      </c>
      <c r="AL40" t="e">
        <f>AND(Plan!BI93,"AAAAAGvu7iU=")</f>
        <v>#VALUE!</v>
      </c>
      <c r="AM40" t="e">
        <f>AND(Plan!BJ93,"AAAAAGvu7iY=")</f>
        <v>#VALUE!</v>
      </c>
      <c r="AN40" t="e">
        <f>AND(Plan!BK93,"AAAAAGvu7ic=")</f>
        <v>#VALUE!</v>
      </c>
      <c r="AO40" t="e">
        <f>AND(Plan!BL93,"AAAAAGvu7ig=")</f>
        <v>#VALUE!</v>
      </c>
      <c r="AP40" t="e">
        <f>AND(Plan!BM93,"AAAAAGvu7ik=")</f>
        <v>#VALUE!</v>
      </c>
      <c r="AQ40" t="e">
        <f>AND(Plan!BN93,"AAAAAGvu7io=")</f>
        <v>#VALUE!</v>
      </c>
      <c r="AR40" t="e">
        <f>AND(Plan!BO93,"AAAAAGvu7is=")</f>
        <v>#VALUE!</v>
      </c>
      <c r="AS40" t="e">
        <f>AND(Plan!BP93,"AAAAAGvu7iw=")</f>
        <v>#VALUE!</v>
      </c>
      <c r="AT40" t="e">
        <f>AND(Plan!BQ93,"AAAAAGvu7i0=")</f>
        <v>#VALUE!</v>
      </c>
      <c r="AU40" t="e">
        <f>AND(Plan!BR93,"AAAAAGvu7i4=")</f>
        <v>#VALUE!</v>
      </c>
      <c r="AV40" t="e">
        <f>AND(Plan!BS93,"AAAAAGvu7i8=")</f>
        <v>#VALUE!</v>
      </c>
      <c r="AW40" t="e">
        <f>AND(Plan!BT93,"AAAAAGvu7jA=")</f>
        <v>#VALUE!</v>
      </c>
      <c r="AX40" t="e">
        <f>AND(Plan!BU93,"AAAAAGvu7jE=")</f>
        <v>#VALUE!</v>
      </c>
      <c r="AY40" t="e">
        <f>AND(Plan!BV93,"AAAAAGvu7jI=")</f>
        <v>#VALUE!</v>
      </c>
      <c r="AZ40" t="e">
        <f>AND(Plan!BW93,"AAAAAGvu7jM=")</f>
        <v>#VALUE!</v>
      </c>
      <c r="BA40" t="e">
        <f>AND(Plan!BX93,"AAAAAGvu7jQ=")</f>
        <v>#VALUE!</v>
      </c>
      <c r="BB40" t="e">
        <f>AND(Plan!BY93,"AAAAAGvu7jU=")</f>
        <v>#VALUE!</v>
      </c>
      <c r="BC40" t="e">
        <f>AND(Plan!BZ93,"AAAAAGvu7jY=")</f>
        <v>#VALUE!</v>
      </c>
      <c r="BD40" t="e">
        <f>AND(Plan!CA93,"AAAAAGvu7jc=")</f>
        <v>#VALUE!</v>
      </c>
      <c r="BE40" t="e">
        <f>AND(Plan!CB93,"AAAAAGvu7jg=")</f>
        <v>#VALUE!</v>
      </c>
      <c r="BF40" t="e">
        <f>AND(Plan!CC93,"AAAAAGvu7jk=")</f>
        <v>#VALUE!</v>
      </c>
      <c r="BG40" t="e">
        <f>AND(Plan!CD93,"AAAAAGvu7jo=")</f>
        <v>#VALUE!</v>
      </c>
      <c r="BH40" t="e">
        <f>AND(Plan!CE93,"AAAAAGvu7js=")</f>
        <v>#VALUE!</v>
      </c>
      <c r="BI40" t="e">
        <f>AND(Plan!CF93,"AAAAAGvu7jw=")</f>
        <v>#VALUE!</v>
      </c>
      <c r="BJ40" t="e">
        <f>AND(Plan!CG93,"AAAAAGvu7j0=")</f>
        <v>#VALUE!</v>
      </c>
      <c r="BK40" t="e">
        <f>AND(Plan!CH93,"AAAAAGvu7j4=")</f>
        <v>#VALUE!</v>
      </c>
      <c r="BL40" t="e">
        <f>AND(Plan!CI93,"AAAAAGvu7j8=")</f>
        <v>#VALUE!</v>
      </c>
      <c r="BM40" t="e">
        <f>AND(Plan!CJ93,"AAAAAGvu7kA=")</f>
        <v>#VALUE!</v>
      </c>
      <c r="BN40" t="e">
        <f>AND(Plan!CK93,"AAAAAGvu7kE=")</f>
        <v>#VALUE!</v>
      </c>
      <c r="BO40" t="e">
        <f>AND(Plan!CL93,"AAAAAGvu7kI=")</f>
        <v>#VALUE!</v>
      </c>
      <c r="BP40" t="e">
        <f>AND(Plan!CM93,"AAAAAGvu7kM=")</f>
        <v>#VALUE!</v>
      </c>
      <c r="BQ40" t="e">
        <f>AND(Plan!CN93,"AAAAAGvu7kQ=")</f>
        <v>#VALUE!</v>
      </c>
      <c r="BR40" t="e">
        <f>AND(Plan!CO93,"AAAAAGvu7kU=")</f>
        <v>#VALUE!</v>
      </c>
      <c r="BS40" t="e">
        <f>AND(Plan!CP93,"AAAAAGvu7kY=")</f>
        <v>#VALUE!</v>
      </c>
      <c r="BT40" t="e">
        <f>AND(Plan!CQ93,"AAAAAGvu7kc=")</f>
        <v>#VALUE!</v>
      </c>
      <c r="BU40" t="e">
        <f>AND(Plan!CR93,"AAAAAGvu7kg=")</f>
        <v>#VALUE!</v>
      </c>
      <c r="BV40" t="e">
        <f>AND(Plan!CS93,"AAAAAGvu7kk=")</f>
        <v>#VALUE!</v>
      </c>
      <c r="BW40" t="e">
        <f>AND(Plan!CT93,"AAAAAGvu7ko=")</f>
        <v>#VALUE!</v>
      </c>
      <c r="BX40" t="e">
        <f>AND(Plan!CU93,"AAAAAGvu7ks=")</f>
        <v>#VALUE!</v>
      </c>
      <c r="BY40" t="e">
        <f>AND(Plan!CV93,"AAAAAGvu7kw=")</f>
        <v>#VALUE!</v>
      </c>
      <c r="BZ40" t="e">
        <f>AND(Plan!CW93,"AAAAAGvu7k0=")</f>
        <v>#VALUE!</v>
      </c>
      <c r="CA40">
        <f>IF(Plan!94:94,"AAAAAGvu7k4=",0)</f>
        <v>0</v>
      </c>
      <c r="CB40" t="e">
        <f>AND(Plan!A94,"AAAAAGvu7k8=")</f>
        <v>#VALUE!</v>
      </c>
      <c r="CC40" t="e">
        <f>AND(Plan!B94,"AAAAAGvu7lA=")</f>
        <v>#VALUE!</v>
      </c>
      <c r="CD40" t="e">
        <f>AND(Plan!C94,"AAAAAGvu7lE=")</f>
        <v>#VALUE!</v>
      </c>
      <c r="CE40" t="e">
        <f>AND(Plan!D94,"AAAAAGvu7lI=")</f>
        <v>#VALUE!</v>
      </c>
      <c r="CF40" t="e">
        <f>AND(Plan!E94,"AAAAAGvu7lM=")</f>
        <v>#VALUE!</v>
      </c>
      <c r="CG40" t="e">
        <f>AND(Plan!F94,"AAAAAGvu7lQ=")</f>
        <v>#VALUE!</v>
      </c>
      <c r="CH40" t="e">
        <f>AND(Plan!G94,"AAAAAGvu7lU=")</f>
        <v>#VALUE!</v>
      </c>
      <c r="CI40" t="e">
        <f>AND(Plan!H94,"AAAAAGvu7lY=")</f>
        <v>#VALUE!</v>
      </c>
      <c r="CJ40" t="e">
        <f>AND(Plan!I94,"AAAAAGvu7lc=")</f>
        <v>#VALUE!</v>
      </c>
      <c r="CK40" t="e">
        <f>AND(Plan!J94,"AAAAAGvu7lg=")</f>
        <v>#VALUE!</v>
      </c>
      <c r="CL40" t="e">
        <f>AND(Plan!K94,"AAAAAGvu7lk=")</f>
        <v>#VALUE!</v>
      </c>
      <c r="CM40" t="e">
        <f>AND(Plan!L94,"AAAAAGvu7lo=")</f>
        <v>#VALUE!</v>
      </c>
      <c r="CN40" t="e">
        <f>AND(Plan!M94,"AAAAAGvu7ls=")</f>
        <v>#VALUE!</v>
      </c>
      <c r="CO40" t="e">
        <f>AND(Plan!N94,"AAAAAGvu7lw=")</f>
        <v>#VALUE!</v>
      </c>
      <c r="CP40" t="e">
        <f>AND(Plan!O94,"AAAAAGvu7l0=")</f>
        <v>#VALUE!</v>
      </c>
      <c r="CQ40" t="e">
        <f>AND(Plan!P94,"AAAAAGvu7l4=")</f>
        <v>#VALUE!</v>
      </c>
      <c r="CR40" t="e">
        <f>AND(Plan!Q94,"AAAAAGvu7l8=")</f>
        <v>#VALUE!</v>
      </c>
      <c r="CS40" t="e">
        <f>AND(Plan!R94,"AAAAAGvu7mA=")</f>
        <v>#VALUE!</v>
      </c>
      <c r="CT40" t="e">
        <f>AND(Plan!S94,"AAAAAGvu7mE=")</f>
        <v>#VALUE!</v>
      </c>
      <c r="CU40" t="e">
        <f>AND(Plan!T94,"AAAAAGvu7mI=")</f>
        <v>#VALUE!</v>
      </c>
      <c r="CV40" t="e">
        <f>AND(Plan!U94,"AAAAAGvu7mM=")</f>
        <v>#VALUE!</v>
      </c>
      <c r="CW40" t="e">
        <f>AND(Plan!V94,"AAAAAGvu7mQ=")</f>
        <v>#VALUE!</v>
      </c>
      <c r="CX40" t="e">
        <f>AND(Plan!W94,"AAAAAGvu7mU=")</f>
        <v>#VALUE!</v>
      </c>
      <c r="CY40" t="e">
        <f>AND(Plan!X94,"AAAAAGvu7mY=")</f>
        <v>#VALUE!</v>
      </c>
      <c r="CZ40" t="e">
        <f>AND(Plan!Y94,"AAAAAGvu7mc=")</f>
        <v>#VALUE!</v>
      </c>
      <c r="DA40" t="e">
        <f>AND(Plan!Z94,"AAAAAGvu7mg=")</f>
        <v>#VALUE!</v>
      </c>
      <c r="DB40" t="e">
        <f>AND(Plan!AA94,"AAAAAGvu7mk=")</f>
        <v>#VALUE!</v>
      </c>
      <c r="DC40" t="e">
        <f>AND(Plan!AB94,"AAAAAGvu7mo=")</f>
        <v>#VALUE!</v>
      </c>
      <c r="DD40" t="e">
        <f>AND(Plan!AC94,"AAAAAGvu7ms=")</f>
        <v>#VALUE!</v>
      </c>
      <c r="DE40" t="e">
        <f>AND(Plan!AD94,"AAAAAGvu7mw=")</f>
        <v>#VALUE!</v>
      </c>
      <c r="DF40" t="e">
        <f>AND(Plan!AE94,"AAAAAGvu7m0=")</f>
        <v>#VALUE!</v>
      </c>
      <c r="DG40" t="e">
        <f>AND(Plan!AF94,"AAAAAGvu7m4=")</f>
        <v>#VALUE!</v>
      </c>
      <c r="DH40" t="e">
        <f>AND(Plan!AG94,"AAAAAGvu7m8=")</f>
        <v>#VALUE!</v>
      </c>
      <c r="DI40" t="e">
        <f>AND(Plan!AH94,"AAAAAGvu7nA=")</f>
        <v>#VALUE!</v>
      </c>
      <c r="DJ40" t="e">
        <f>AND(Plan!AI94,"AAAAAGvu7nE=")</f>
        <v>#VALUE!</v>
      </c>
      <c r="DK40" t="e">
        <f>AND(Plan!AJ94,"AAAAAGvu7nI=")</f>
        <v>#VALUE!</v>
      </c>
      <c r="DL40" t="e">
        <f>AND(Plan!AK94,"AAAAAGvu7nM=")</f>
        <v>#VALUE!</v>
      </c>
      <c r="DM40" t="e">
        <f>AND(Plan!AL94,"AAAAAGvu7nQ=")</f>
        <v>#VALUE!</v>
      </c>
      <c r="DN40" t="e">
        <f>AND(Plan!AM94,"AAAAAGvu7nU=")</f>
        <v>#VALUE!</v>
      </c>
      <c r="DO40" t="e">
        <f>AND(Plan!AN94,"AAAAAGvu7nY=")</f>
        <v>#VALUE!</v>
      </c>
      <c r="DP40" t="e">
        <f>AND(Plan!AO94,"AAAAAGvu7nc=")</f>
        <v>#VALUE!</v>
      </c>
      <c r="DQ40" t="e">
        <f>AND(Plan!AP94,"AAAAAGvu7ng=")</f>
        <v>#VALUE!</v>
      </c>
      <c r="DR40" t="e">
        <f>AND(Plan!AQ94,"AAAAAGvu7nk=")</f>
        <v>#VALUE!</v>
      </c>
      <c r="DS40" t="e">
        <f>AND(Plan!AR94,"AAAAAGvu7no=")</f>
        <v>#VALUE!</v>
      </c>
      <c r="DT40" t="e">
        <f>AND(Plan!AS94,"AAAAAGvu7ns=")</f>
        <v>#VALUE!</v>
      </c>
      <c r="DU40" t="e">
        <f>AND(Plan!AT94,"AAAAAGvu7nw=")</f>
        <v>#VALUE!</v>
      </c>
      <c r="DV40" t="e">
        <f>AND(Plan!AU94,"AAAAAGvu7n0=")</f>
        <v>#VALUE!</v>
      </c>
      <c r="DW40" t="e">
        <f>AND(Plan!AV94,"AAAAAGvu7n4=")</f>
        <v>#VALUE!</v>
      </c>
      <c r="DX40" t="e">
        <f>AND(Plan!AW94,"AAAAAGvu7n8=")</f>
        <v>#VALUE!</v>
      </c>
      <c r="DY40" t="e">
        <f>AND(Plan!AX94,"AAAAAGvu7oA=")</f>
        <v>#VALUE!</v>
      </c>
      <c r="DZ40" t="e">
        <f>AND(Plan!AY94,"AAAAAGvu7oE=")</f>
        <v>#VALUE!</v>
      </c>
      <c r="EA40" t="e">
        <f>AND(Plan!AZ94,"AAAAAGvu7oI=")</f>
        <v>#VALUE!</v>
      </c>
      <c r="EB40" t="e">
        <f>AND(Plan!BA94,"AAAAAGvu7oM=")</f>
        <v>#VALUE!</v>
      </c>
      <c r="EC40" t="e">
        <f>AND(Plan!BB94,"AAAAAGvu7oQ=")</f>
        <v>#VALUE!</v>
      </c>
      <c r="ED40" t="e">
        <f>AND(Plan!BC94,"AAAAAGvu7oU=")</f>
        <v>#VALUE!</v>
      </c>
      <c r="EE40" t="e">
        <f>AND(Plan!BD94,"AAAAAGvu7oY=")</f>
        <v>#VALUE!</v>
      </c>
      <c r="EF40" t="e">
        <f>AND(Plan!BE94,"AAAAAGvu7oc=")</f>
        <v>#VALUE!</v>
      </c>
      <c r="EG40" t="e">
        <f>AND(Plan!BF94,"AAAAAGvu7og=")</f>
        <v>#VALUE!</v>
      </c>
      <c r="EH40" t="e">
        <f>AND(Plan!BG94,"AAAAAGvu7ok=")</f>
        <v>#VALUE!</v>
      </c>
      <c r="EI40" t="e">
        <f>AND(Plan!BH94,"AAAAAGvu7oo=")</f>
        <v>#VALUE!</v>
      </c>
      <c r="EJ40" t="e">
        <f>AND(Plan!BI94,"AAAAAGvu7os=")</f>
        <v>#VALUE!</v>
      </c>
      <c r="EK40" t="e">
        <f>AND(Plan!BJ94,"AAAAAGvu7ow=")</f>
        <v>#VALUE!</v>
      </c>
      <c r="EL40" t="e">
        <f>AND(Plan!BK94,"AAAAAGvu7o0=")</f>
        <v>#VALUE!</v>
      </c>
      <c r="EM40" t="e">
        <f>AND(Plan!BL94,"AAAAAGvu7o4=")</f>
        <v>#VALUE!</v>
      </c>
      <c r="EN40" t="e">
        <f>AND(Plan!BM94,"AAAAAGvu7o8=")</f>
        <v>#VALUE!</v>
      </c>
      <c r="EO40" t="e">
        <f>AND(Plan!BN94,"AAAAAGvu7pA=")</f>
        <v>#VALUE!</v>
      </c>
      <c r="EP40" t="e">
        <f>AND(Plan!BO94,"AAAAAGvu7pE=")</f>
        <v>#VALUE!</v>
      </c>
      <c r="EQ40" t="e">
        <f>AND(Plan!BP94,"AAAAAGvu7pI=")</f>
        <v>#VALUE!</v>
      </c>
      <c r="ER40" t="e">
        <f>AND(Plan!BQ94,"AAAAAGvu7pM=")</f>
        <v>#VALUE!</v>
      </c>
      <c r="ES40" t="e">
        <f>AND(Plan!BR94,"AAAAAGvu7pQ=")</f>
        <v>#VALUE!</v>
      </c>
      <c r="ET40" t="e">
        <f>AND(Plan!BS94,"AAAAAGvu7pU=")</f>
        <v>#VALUE!</v>
      </c>
      <c r="EU40" t="e">
        <f>AND(Plan!BT94,"AAAAAGvu7pY=")</f>
        <v>#VALUE!</v>
      </c>
      <c r="EV40" t="e">
        <f>AND(Plan!BU94,"AAAAAGvu7pc=")</f>
        <v>#VALUE!</v>
      </c>
      <c r="EW40" t="e">
        <f>AND(Plan!BV94,"AAAAAGvu7pg=")</f>
        <v>#VALUE!</v>
      </c>
      <c r="EX40" t="e">
        <f>AND(Plan!BW94,"AAAAAGvu7pk=")</f>
        <v>#VALUE!</v>
      </c>
      <c r="EY40" t="e">
        <f>AND(Plan!BX94,"AAAAAGvu7po=")</f>
        <v>#VALUE!</v>
      </c>
      <c r="EZ40" t="e">
        <f>AND(Plan!BY94,"AAAAAGvu7ps=")</f>
        <v>#VALUE!</v>
      </c>
      <c r="FA40" t="e">
        <f>AND(Plan!BZ94,"AAAAAGvu7pw=")</f>
        <v>#VALUE!</v>
      </c>
      <c r="FB40" t="e">
        <f>AND(Plan!CA94,"AAAAAGvu7p0=")</f>
        <v>#VALUE!</v>
      </c>
      <c r="FC40" t="e">
        <f>AND(Plan!CB94,"AAAAAGvu7p4=")</f>
        <v>#VALUE!</v>
      </c>
      <c r="FD40" t="e">
        <f>AND(Plan!CC94,"AAAAAGvu7p8=")</f>
        <v>#VALUE!</v>
      </c>
      <c r="FE40" t="e">
        <f>AND(Plan!CD94,"AAAAAGvu7qA=")</f>
        <v>#VALUE!</v>
      </c>
      <c r="FF40" t="e">
        <f>AND(Plan!CE94,"AAAAAGvu7qE=")</f>
        <v>#VALUE!</v>
      </c>
      <c r="FG40" t="e">
        <f>AND(Plan!CF94,"AAAAAGvu7qI=")</f>
        <v>#VALUE!</v>
      </c>
      <c r="FH40" t="e">
        <f>AND(Plan!CG94,"AAAAAGvu7qM=")</f>
        <v>#VALUE!</v>
      </c>
      <c r="FI40" t="e">
        <f>AND(Plan!CH94,"AAAAAGvu7qQ=")</f>
        <v>#VALUE!</v>
      </c>
      <c r="FJ40" t="e">
        <f>AND(Plan!CI94,"AAAAAGvu7qU=")</f>
        <v>#VALUE!</v>
      </c>
      <c r="FK40" t="e">
        <f>AND(Plan!CJ94,"AAAAAGvu7qY=")</f>
        <v>#VALUE!</v>
      </c>
      <c r="FL40" t="e">
        <f>AND(Plan!CK94,"AAAAAGvu7qc=")</f>
        <v>#VALUE!</v>
      </c>
      <c r="FM40" t="e">
        <f>AND(Plan!CL94,"AAAAAGvu7qg=")</f>
        <v>#VALUE!</v>
      </c>
      <c r="FN40" t="e">
        <f>AND(Plan!CM94,"AAAAAGvu7qk=")</f>
        <v>#VALUE!</v>
      </c>
      <c r="FO40" t="e">
        <f>AND(Plan!CN94,"AAAAAGvu7qo=")</f>
        <v>#VALUE!</v>
      </c>
      <c r="FP40" t="e">
        <f>AND(Plan!CO94,"AAAAAGvu7qs=")</f>
        <v>#VALUE!</v>
      </c>
      <c r="FQ40" t="e">
        <f>AND(Plan!CP94,"AAAAAGvu7qw=")</f>
        <v>#VALUE!</v>
      </c>
      <c r="FR40" t="e">
        <f>AND(Plan!CQ94,"AAAAAGvu7q0=")</f>
        <v>#VALUE!</v>
      </c>
      <c r="FS40" t="e">
        <f>AND(Plan!CR94,"AAAAAGvu7q4=")</f>
        <v>#VALUE!</v>
      </c>
      <c r="FT40" t="e">
        <f>AND(Plan!CS94,"AAAAAGvu7q8=")</f>
        <v>#VALUE!</v>
      </c>
      <c r="FU40" t="e">
        <f>AND(Plan!CT94,"AAAAAGvu7rA=")</f>
        <v>#VALUE!</v>
      </c>
      <c r="FV40" t="e">
        <f>AND(Plan!CU94,"AAAAAGvu7rE=")</f>
        <v>#VALUE!</v>
      </c>
      <c r="FW40" t="e">
        <f>AND(Plan!CV94,"AAAAAGvu7rI=")</f>
        <v>#VALUE!</v>
      </c>
      <c r="FX40" t="e">
        <f>AND(Plan!CW94,"AAAAAGvu7rM=")</f>
        <v>#VALUE!</v>
      </c>
      <c r="FY40">
        <f>IF(Plan!95:95,"AAAAAGvu7rQ=",0)</f>
        <v>0</v>
      </c>
      <c r="FZ40" t="e">
        <f>AND(Plan!A95,"AAAAAGvu7rU=")</f>
        <v>#VALUE!</v>
      </c>
      <c r="GA40" t="e">
        <f>AND(Plan!B95,"AAAAAGvu7rY=")</f>
        <v>#VALUE!</v>
      </c>
      <c r="GB40" t="e">
        <f>AND(Plan!C95,"AAAAAGvu7rc=")</f>
        <v>#VALUE!</v>
      </c>
      <c r="GC40" t="e">
        <f>AND(Plan!D95,"AAAAAGvu7rg=")</f>
        <v>#VALUE!</v>
      </c>
      <c r="GD40" t="e">
        <f>AND(Plan!E95,"AAAAAGvu7rk=")</f>
        <v>#VALUE!</v>
      </c>
      <c r="GE40" t="e">
        <f>AND(Plan!F95,"AAAAAGvu7ro=")</f>
        <v>#VALUE!</v>
      </c>
      <c r="GF40" t="e">
        <f>AND(Plan!G95,"AAAAAGvu7rs=")</f>
        <v>#VALUE!</v>
      </c>
      <c r="GG40" t="e">
        <f>AND(Plan!H95,"AAAAAGvu7rw=")</f>
        <v>#VALUE!</v>
      </c>
      <c r="GH40" t="e">
        <f>AND(Plan!I95,"AAAAAGvu7r0=")</f>
        <v>#VALUE!</v>
      </c>
      <c r="GI40" t="e">
        <f>AND(Plan!J95,"AAAAAGvu7r4=")</f>
        <v>#VALUE!</v>
      </c>
      <c r="GJ40" t="e">
        <f>AND(Plan!K95,"AAAAAGvu7r8=")</f>
        <v>#VALUE!</v>
      </c>
      <c r="GK40" t="e">
        <f>AND(Plan!L95,"AAAAAGvu7sA=")</f>
        <v>#VALUE!</v>
      </c>
      <c r="GL40" t="e">
        <f>AND(Plan!M95,"AAAAAGvu7sE=")</f>
        <v>#VALUE!</v>
      </c>
      <c r="GM40" t="e">
        <f>AND(Plan!N95,"AAAAAGvu7sI=")</f>
        <v>#VALUE!</v>
      </c>
      <c r="GN40" t="e">
        <f>AND(Plan!O95,"AAAAAGvu7sM=")</f>
        <v>#VALUE!</v>
      </c>
      <c r="GO40" t="e">
        <f>AND(Plan!P95,"AAAAAGvu7sQ=")</f>
        <v>#VALUE!</v>
      </c>
      <c r="GP40" t="e">
        <f>AND(Plan!Q95,"AAAAAGvu7sU=")</f>
        <v>#VALUE!</v>
      </c>
      <c r="GQ40" t="e">
        <f>AND(Plan!R95,"AAAAAGvu7sY=")</f>
        <v>#VALUE!</v>
      </c>
      <c r="GR40" t="e">
        <f>AND(Plan!S95,"AAAAAGvu7sc=")</f>
        <v>#VALUE!</v>
      </c>
      <c r="GS40" t="e">
        <f>AND(Plan!T95,"AAAAAGvu7sg=")</f>
        <v>#VALUE!</v>
      </c>
      <c r="GT40" t="e">
        <f>AND(Plan!U95,"AAAAAGvu7sk=")</f>
        <v>#VALUE!</v>
      </c>
      <c r="GU40" t="e">
        <f>AND(Plan!V95,"AAAAAGvu7so=")</f>
        <v>#VALUE!</v>
      </c>
      <c r="GV40" t="e">
        <f>AND(Plan!W95,"AAAAAGvu7ss=")</f>
        <v>#VALUE!</v>
      </c>
      <c r="GW40" t="e">
        <f>AND(Plan!X95,"AAAAAGvu7sw=")</f>
        <v>#VALUE!</v>
      </c>
      <c r="GX40" t="e">
        <f>AND(Plan!Y95,"AAAAAGvu7s0=")</f>
        <v>#VALUE!</v>
      </c>
      <c r="GY40" t="e">
        <f>AND(Plan!Z95,"AAAAAGvu7s4=")</f>
        <v>#VALUE!</v>
      </c>
      <c r="GZ40" t="e">
        <f>AND(Plan!AA95,"AAAAAGvu7s8=")</f>
        <v>#VALUE!</v>
      </c>
      <c r="HA40" t="e">
        <f>AND(Plan!AB95,"AAAAAGvu7tA=")</f>
        <v>#VALUE!</v>
      </c>
      <c r="HB40" t="e">
        <f>AND(Plan!AC95,"AAAAAGvu7tE=")</f>
        <v>#VALUE!</v>
      </c>
      <c r="HC40" t="e">
        <f>AND(Plan!AD95,"AAAAAGvu7tI=")</f>
        <v>#VALUE!</v>
      </c>
      <c r="HD40" t="e">
        <f>AND(Plan!AE95,"AAAAAGvu7tM=")</f>
        <v>#VALUE!</v>
      </c>
      <c r="HE40" t="e">
        <f>AND(Plan!AF95,"AAAAAGvu7tQ=")</f>
        <v>#VALUE!</v>
      </c>
      <c r="HF40" t="e">
        <f>AND(Plan!AG95,"AAAAAGvu7tU=")</f>
        <v>#VALUE!</v>
      </c>
      <c r="HG40" t="e">
        <f>AND(Plan!AH95,"AAAAAGvu7tY=")</f>
        <v>#VALUE!</v>
      </c>
      <c r="HH40" t="e">
        <f>AND(Plan!AI95,"AAAAAGvu7tc=")</f>
        <v>#VALUE!</v>
      </c>
      <c r="HI40" t="e">
        <f>AND(Plan!AJ95,"AAAAAGvu7tg=")</f>
        <v>#VALUE!</v>
      </c>
      <c r="HJ40" t="e">
        <f>AND(Plan!AK95,"AAAAAGvu7tk=")</f>
        <v>#VALUE!</v>
      </c>
      <c r="HK40" t="e">
        <f>AND(Plan!AL95,"AAAAAGvu7to=")</f>
        <v>#VALUE!</v>
      </c>
      <c r="HL40" t="e">
        <f>AND(Plan!AM95,"AAAAAGvu7ts=")</f>
        <v>#VALUE!</v>
      </c>
      <c r="HM40" t="e">
        <f>AND(Plan!AN95,"AAAAAGvu7tw=")</f>
        <v>#VALUE!</v>
      </c>
      <c r="HN40" t="e">
        <f>AND(Plan!AO95,"AAAAAGvu7t0=")</f>
        <v>#VALUE!</v>
      </c>
      <c r="HO40" t="e">
        <f>AND(Plan!AP95,"AAAAAGvu7t4=")</f>
        <v>#VALUE!</v>
      </c>
      <c r="HP40" t="e">
        <f>AND(Plan!AQ95,"AAAAAGvu7t8=")</f>
        <v>#VALUE!</v>
      </c>
      <c r="HQ40" t="e">
        <f>AND(Plan!AR95,"AAAAAGvu7uA=")</f>
        <v>#VALUE!</v>
      </c>
      <c r="HR40" t="e">
        <f>AND(Plan!AS95,"AAAAAGvu7uE=")</f>
        <v>#VALUE!</v>
      </c>
      <c r="HS40" t="e">
        <f>AND(Plan!AT95,"AAAAAGvu7uI=")</f>
        <v>#VALUE!</v>
      </c>
      <c r="HT40" t="e">
        <f>AND(Plan!AU95,"AAAAAGvu7uM=")</f>
        <v>#VALUE!</v>
      </c>
      <c r="HU40" t="e">
        <f>AND(Plan!AV95,"AAAAAGvu7uQ=")</f>
        <v>#VALUE!</v>
      </c>
      <c r="HV40" t="e">
        <f>AND(Plan!AW95,"AAAAAGvu7uU=")</f>
        <v>#VALUE!</v>
      </c>
      <c r="HW40" t="e">
        <f>AND(Plan!AX95,"AAAAAGvu7uY=")</f>
        <v>#VALUE!</v>
      </c>
      <c r="HX40" t="e">
        <f>AND(Plan!AY95,"AAAAAGvu7uc=")</f>
        <v>#VALUE!</v>
      </c>
      <c r="HY40" t="e">
        <f>AND(Plan!AZ95,"AAAAAGvu7ug=")</f>
        <v>#VALUE!</v>
      </c>
      <c r="HZ40" t="e">
        <f>AND(Plan!BA95,"AAAAAGvu7uk=")</f>
        <v>#VALUE!</v>
      </c>
      <c r="IA40" t="e">
        <f>AND(Plan!BB95,"AAAAAGvu7uo=")</f>
        <v>#VALUE!</v>
      </c>
      <c r="IB40" t="e">
        <f>AND(Plan!BC95,"AAAAAGvu7us=")</f>
        <v>#VALUE!</v>
      </c>
      <c r="IC40" t="e">
        <f>AND(Plan!BD95,"AAAAAGvu7uw=")</f>
        <v>#VALUE!</v>
      </c>
      <c r="ID40" t="e">
        <f>AND(Plan!BE95,"AAAAAGvu7u0=")</f>
        <v>#VALUE!</v>
      </c>
      <c r="IE40" t="e">
        <f>AND(Plan!BF95,"AAAAAGvu7u4=")</f>
        <v>#VALUE!</v>
      </c>
      <c r="IF40" t="e">
        <f>AND(Plan!BG95,"AAAAAGvu7u8=")</f>
        <v>#VALUE!</v>
      </c>
      <c r="IG40" t="e">
        <f>AND(Plan!BH95,"AAAAAGvu7vA=")</f>
        <v>#VALUE!</v>
      </c>
      <c r="IH40" t="e">
        <f>AND(Plan!BI95,"AAAAAGvu7vE=")</f>
        <v>#VALUE!</v>
      </c>
      <c r="II40" t="e">
        <f>AND(Plan!BJ95,"AAAAAGvu7vI=")</f>
        <v>#VALUE!</v>
      </c>
      <c r="IJ40" t="e">
        <f>AND(Plan!BK95,"AAAAAGvu7vM=")</f>
        <v>#VALUE!</v>
      </c>
      <c r="IK40" t="e">
        <f>AND(Plan!BL95,"AAAAAGvu7vQ=")</f>
        <v>#VALUE!</v>
      </c>
      <c r="IL40" t="e">
        <f>AND(Plan!BM95,"AAAAAGvu7vU=")</f>
        <v>#VALUE!</v>
      </c>
      <c r="IM40" t="e">
        <f>AND(Plan!BN95,"AAAAAGvu7vY=")</f>
        <v>#VALUE!</v>
      </c>
      <c r="IN40" t="e">
        <f>AND(Plan!BO95,"AAAAAGvu7vc=")</f>
        <v>#VALUE!</v>
      </c>
      <c r="IO40" t="e">
        <f>AND(Plan!BP95,"AAAAAGvu7vg=")</f>
        <v>#VALUE!</v>
      </c>
      <c r="IP40" t="e">
        <f>AND(Plan!BQ95,"AAAAAGvu7vk=")</f>
        <v>#VALUE!</v>
      </c>
      <c r="IQ40" t="e">
        <f>AND(Plan!BR95,"AAAAAGvu7vo=")</f>
        <v>#VALUE!</v>
      </c>
      <c r="IR40" t="e">
        <f>AND(Plan!BS95,"AAAAAGvu7vs=")</f>
        <v>#VALUE!</v>
      </c>
      <c r="IS40" t="e">
        <f>AND(Plan!BT95,"AAAAAGvu7vw=")</f>
        <v>#VALUE!</v>
      </c>
      <c r="IT40" t="e">
        <f>AND(Plan!BU95,"AAAAAGvu7v0=")</f>
        <v>#VALUE!</v>
      </c>
      <c r="IU40" t="e">
        <f>AND(Plan!BV95,"AAAAAGvu7v4=")</f>
        <v>#VALUE!</v>
      </c>
      <c r="IV40" t="e">
        <f>AND(Plan!BW95,"AAAAAGvu7v8=")</f>
        <v>#VALUE!</v>
      </c>
    </row>
    <row r="41" spans="1:256">
      <c r="A41" t="e">
        <f>AND(Plan!BX95,"AAAAAAe1/gA=")</f>
        <v>#VALUE!</v>
      </c>
      <c r="B41" t="e">
        <f>AND(Plan!BY95,"AAAAAAe1/gE=")</f>
        <v>#VALUE!</v>
      </c>
      <c r="C41" t="e">
        <f>AND(Plan!BZ95,"AAAAAAe1/gI=")</f>
        <v>#VALUE!</v>
      </c>
      <c r="D41" t="e">
        <f>AND(Plan!CA95,"AAAAAAe1/gM=")</f>
        <v>#VALUE!</v>
      </c>
      <c r="E41" t="e">
        <f>AND(Plan!CB95,"AAAAAAe1/gQ=")</f>
        <v>#VALUE!</v>
      </c>
      <c r="F41" t="e">
        <f>AND(Plan!CC95,"AAAAAAe1/gU=")</f>
        <v>#VALUE!</v>
      </c>
      <c r="G41" t="e">
        <f>AND(Plan!CD95,"AAAAAAe1/gY=")</f>
        <v>#VALUE!</v>
      </c>
      <c r="H41" t="e">
        <f>AND(Plan!CE95,"AAAAAAe1/gc=")</f>
        <v>#VALUE!</v>
      </c>
      <c r="I41" t="e">
        <f>AND(Plan!CF95,"AAAAAAe1/gg=")</f>
        <v>#VALUE!</v>
      </c>
      <c r="J41" t="e">
        <f>AND(Plan!CG95,"AAAAAAe1/gk=")</f>
        <v>#VALUE!</v>
      </c>
      <c r="K41" t="e">
        <f>AND(Plan!CH95,"AAAAAAe1/go=")</f>
        <v>#VALUE!</v>
      </c>
      <c r="L41" t="e">
        <f>AND(Plan!CI95,"AAAAAAe1/gs=")</f>
        <v>#VALUE!</v>
      </c>
      <c r="M41" t="e">
        <f>AND(Plan!CJ95,"AAAAAAe1/gw=")</f>
        <v>#VALUE!</v>
      </c>
      <c r="N41" t="e">
        <f>AND(Plan!CK95,"AAAAAAe1/g0=")</f>
        <v>#VALUE!</v>
      </c>
      <c r="O41" t="e">
        <f>AND(Plan!CL95,"AAAAAAe1/g4=")</f>
        <v>#VALUE!</v>
      </c>
      <c r="P41" t="e">
        <f>AND(Plan!CM95,"AAAAAAe1/g8=")</f>
        <v>#VALUE!</v>
      </c>
      <c r="Q41" t="e">
        <f>AND(Plan!CN95,"AAAAAAe1/hA=")</f>
        <v>#VALUE!</v>
      </c>
      <c r="R41" t="e">
        <f>AND(Plan!CO95,"AAAAAAe1/hE=")</f>
        <v>#VALUE!</v>
      </c>
      <c r="S41" t="e">
        <f>AND(Plan!CP95,"AAAAAAe1/hI=")</f>
        <v>#VALUE!</v>
      </c>
      <c r="T41" t="e">
        <f>AND(Plan!CQ95,"AAAAAAe1/hM=")</f>
        <v>#VALUE!</v>
      </c>
      <c r="U41" t="e">
        <f>AND(Plan!CR95,"AAAAAAe1/hQ=")</f>
        <v>#VALUE!</v>
      </c>
      <c r="V41" t="e">
        <f>AND(Plan!CS95,"AAAAAAe1/hU=")</f>
        <v>#VALUE!</v>
      </c>
      <c r="W41" t="e">
        <f>AND(Plan!CT95,"AAAAAAe1/hY=")</f>
        <v>#VALUE!</v>
      </c>
      <c r="X41" t="e">
        <f>AND(Plan!CU95,"AAAAAAe1/hc=")</f>
        <v>#VALUE!</v>
      </c>
      <c r="Y41" t="e">
        <f>AND(Plan!CV95,"AAAAAAe1/hg=")</f>
        <v>#VALUE!</v>
      </c>
      <c r="Z41" t="e">
        <f>AND(Plan!CW95,"AAAAAAe1/hk=")</f>
        <v>#VALUE!</v>
      </c>
      <c r="AA41">
        <f>IF(Plan!96:96,"AAAAAAe1/ho=",0)</f>
        <v>0</v>
      </c>
      <c r="AB41" t="e">
        <f>AND(Plan!A96,"AAAAAAe1/hs=")</f>
        <v>#VALUE!</v>
      </c>
      <c r="AC41" t="e">
        <f>AND(Plan!B96,"AAAAAAe1/hw=")</f>
        <v>#VALUE!</v>
      </c>
      <c r="AD41" t="e">
        <f>AND(Plan!C96,"AAAAAAe1/h0=")</f>
        <v>#VALUE!</v>
      </c>
      <c r="AE41" t="e">
        <f>AND(Plan!D96,"AAAAAAe1/h4=")</f>
        <v>#VALUE!</v>
      </c>
      <c r="AF41" t="e">
        <f>AND(Plan!E96,"AAAAAAe1/h8=")</f>
        <v>#VALUE!</v>
      </c>
      <c r="AG41" t="e">
        <f>AND(Plan!F96,"AAAAAAe1/iA=")</f>
        <v>#VALUE!</v>
      </c>
      <c r="AH41" t="e">
        <f>AND(Plan!G96,"AAAAAAe1/iE=")</f>
        <v>#VALUE!</v>
      </c>
      <c r="AI41" t="e">
        <f>AND(Plan!H96,"AAAAAAe1/iI=")</f>
        <v>#VALUE!</v>
      </c>
      <c r="AJ41" t="e">
        <f>AND(Plan!I96,"AAAAAAe1/iM=")</f>
        <v>#VALUE!</v>
      </c>
      <c r="AK41" t="e">
        <f>AND(Plan!J96,"AAAAAAe1/iQ=")</f>
        <v>#VALUE!</v>
      </c>
      <c r="AL41" t="e">
        <f>AND(Plan!K96,"AAAAAAe1/iU=")</f>
        <v>#VALUE!</v>
      </c>
      <c r="AM41" t="e">
        <f>AND(Plan!L96,"AAAAAAe1/iY=")</f>
        <v>#VALUE!</v>
      </c>
      <c r="AN41" t="e">
        <f>AND(Plan!M96,"AAAAAAe1/ic=")</f>
        <v>#VALUE!</v>
      </c>
      <c r="AO41" t="e">
        <f>AND(Plan!N96,"AAAAAAe1/ig=")</f>
        <v>#VALUE!</v>
      </c>
      <c r="AP41" t="e">
        <f>AND(Plan!O96,"AAAAAAe1/ik=")</f>
        <v>#VALUE!</v>
      </c>
      <c r="AQ41" t="e">
        <f>AND(Plan!P96,"AAAAAAe1/io=")</f>
        <v>#VALUE!</v>
      </c>
      <c r="AR41" t="e">
        <f>AND(Plan!Q96,"AAAAAAe1/is=")</f>
        <v>#VALUE!</v>
      </c>
      <c r="AS41" t="e">
        <f>AND(Plan!R96,"AAAAAAe1/iw=")</f>
        <v>#VALUE!</v>
      </c>
      <c r="AT41" t="e">
        <f>AND(Plan!S96,"AAAAAAe1/i0=")</f>
        <v>#VALUE!</v>
      </c>
      <c r="AU41" t="e">
        <f>AND(Plan!T96,"AAAAAAe1/i4=")</f>
        <v>#VALUE!</v>
      </c>
      <c r="AV41" t="e">
        <f>AND(Plan!U96,"AAAAAAe1/i8=")</f>
        <v>#VALUE!</v>
      </c>
      <c r="AW41" t="e">
        <f>AND(Plan!V96,"AAAAAAe1/jA=")</f>
        <v>#VALUE!</v>
      </c>
      <c r="AX41" t="e">
        <f>AND(Plan!W96,"AAAAAAe1/jE=")</f>
        <v>#VALUE!</v>
      </c>
      <c r="AY41" t="e">
        <f>AND(Plan!X96,"AAAAAAe1/jI=")</f>
        <v>#VALUE!</v>
      </c>
      <c r="AZ41" t="e">
        <f>AND(Plan!Y96,"AAAAAAe1/jM=")</f>
        <v>#VALUE!</v>
      </c>
      <c r="BA41" t="e">
        <f>AND(Plan!Z96,"AAAAAAe1/jQ=")</f>
        <v>#VALUE!</v>
      </c>
      <c r="BB41" t="e">
        <f>AND(Plan!AA96,"AAAAAAe1/jU=")</f>
        <v>#VALUE!</v>
      </c>
      <c r="BC41" t="e">
        <f>AND(Plan!AB96,"AAAAAAe1/jY=")</f>
        <v>#VALUE!</v>
      </c>
      <c r="BD41" t="e">
        <f>AND(Plan!AC96,"AAAAAAe1/jc=")</f>
        <v>#VALUE!</v>
      </c>
      <c r="BE41" t="e">
        <f>AND(Plan!AD96,"AAAAAAe1/jg=")</f>
        <v>#VALUE!</v>
      </c>
      <c r="BF41" t="e">
        <f>AND(Plan!AE96,"AAAAAAe1/jk=")</f>
        <v>#VALUE!</v>
      </c>
      <c r="BG41" t="e">
        <f>AND(Plan!AF96,"AAAAAAe1/jo=")</f>
        <v>#VALUE!</v>
      </c>
      <c r="BH41" t="e">
        <f>AND(Plan!AG96,"AAAAAAe1/js=")</f>
        <v>#VALUE!</v>
      </c>
      <c r="BI41" t="e">
        <f>AND(Plan!AH96,"AAAAAAe1/jw=")</f>
        <v>#VALUE!</v>
      </c>
      <c r="BJ41" t="e">
        <f>AND(Plan!AI96,"AAAAAAe1/j0=")</f>
        <v>#VALUE!</v>
      </c>
      <c r="BK41" t="e">
        <f>AND(Plan!AJ96,"AAAAAAe1/j4=")</f>
        <v>#VALUE!</v>
      </c>
      <c r="BL41" t="e">
        <f>AND(Plan!AK96,"AAAAAAe1/j8=")</f>
        <v>#VALUE!</v>
      </c>
      <c r="BM41" t="e">
        <f>AND(Plan!AL96,"AAAAAAe1/kA=")</f>
        <v>#VALUE!</v>
      </c>
      <c r="BN41" t="e">
        <f>AND(Plan!AM96,"AAAAAAe1/kE=")</f>
        <v>#VALUE!</v>
      </c>
      <c r="BO41" t="e">
        <f>AND(Plan!AN96,"AAAAAAe1/kI=")</f>
        <v>#VALUE!</v>
      </c>
      <c r="BP41" t="e">
        <f>AND(Plan!AO96,"AAAAAAe1/kM=")</f>
        <v>#VALUE!</v>
      </c>
      <c r="BQ41" t="e">
        <f>AND(Plan!AP96,"AAAAAAe1/kQ=")</f>
        <v>#VALUE!</v>
      </c>
      <c r="BR41" t="e">
        <f>AND(Plan!AQ96,"AAAAAAe1/kU=")</f>
        <v>#VALUE!</v>
      </c>
      <c r="BS41" t="e">
        <f>AND(Plan!AR96,"AAAAAAe1/kY=")</f>
        <v>#VALUE!</v>
      </c>
      <c r="BT41" t="e">
        <f>AND(Plan!AS96,"AAAAAAe1/kc=")</f>
        <v>#VALUE!</v>
      </c>
      <c r="BU41" t="e">
        <f>AND(Plan!AT96,"AAAAAAe1/kg=")</f>
        <v>#VALUE!</v>
      </c>
      <c r="BV41" t="e">
        <f>AND(Plan!AU96,"AAAAAAe1/kk=")</f>
        <v>#VALUE!</v>
      </c>
      <c r="BW41" t="e">
        <f>AND(Plan!AV96,"AAAAAAe1/ko=")</f>
        <v>#VALUE!</v>
      </c>
      <c r="BX41" t="e">
        <f>AND(Plan!AW96,"AAAAAAe1/ks=")</f>
        <v>#VALUE!</v>
      </c>
      <c r="BY41" t="e">
        <f>AND(Plan!AX96,"AAAAAAe1/kw=")</f>
        <v>#VALUE!</v>
      </c>
      <c r="BZ41" t="e">
        <f>AND(Plan!AY96,"AAAAAAe1/k0=")</f>
        <v>#VALUE!</v>
      </c>
      <c r="CA41" t="e">
        <f>AND(Plan!AZ96,"AAAAAAe1/k4=")</f>
        <v>#VALUE!</v>
      </c>
      <c r="CB41" t="e">
        <f>AND(Plan!BA96,"AAAAAAe1/k8=")</f>
        <v>#VALUE!</v>
      </c>
      <c r="CC41" t="e">
        <f>AND(Plan!BB96,"AAAAAAe1/lA=")</f>
        <v>#VALUE!</v>
      </c>
      <c r="CD41" t="e">
        <f>AND(Plan!BC96,"AAAAAAe1/lE=")</f>
        <v>#VALUE!</v>
      </c>
      <c r="CE41" t="e">
        <f>AND(Plan!BD96,"AAAAAAe1/lI=")</f>
        <v>#VALUE!</v>
      </c>
      <c r="CF41" t="e">
        <f>AND(Plan!BE96,"AAAAAAe1/lM=")</f>
        <v>#VALUE!</v>
      </c>
      <c r="CG41" t="e">
        <f>AND(Plan!BF96,"AAAAAAe1/lQ=")</f>
        <v>#VALUE!</v>
      </c>
      <c r="CH41" t="e">
        <f>AND(Plan!BG96,"AAAAAAe1/lU=")</f>
        <v>#VALUE!</v>
      </c>
      <c r="CI41" t="e">
        <f>AND(Plan!BH96,"AAAAAAe1/lY=")</f>
        <v>#VALUE!</v>
      </c>
      <c r="CJ41" t="e">
        <f>AND(Plan!BI96,"AAAAAAe1/lc=")</f>
        <v>#VALUE!</v>
      </c>
      <c r="CK41" t="e">
        <f>AND(Plan!BJ96,"AAAAAAe1/lg=")</f>
        <v>#VALUE!</v>
      </c>
      <c r="CL41" t="e">
        <f>AND(Plan!BK96,"AAAAAAe1/lk=")</f>
        <v>#VALUE!</v>
      </c>
      <c r="CM41" t="e">
        <f>AND(Plan!BL96,"AAAAAAe1/lo=")</f>
        <v>#VALUE!</v>
      </c>
      <c r="CN41" t="e">
        <f>AND(Plan!BM96,"AAAAAAe1/ls=")</f>
        <v>#VALUE!</v>
      </c>
      <c r="CO41" t="e">
        <f>AND(Plan!BN96,"AAAAAAe1/lw=")</f>
        <v>#VALUE!</v>
      </c>
      <c r="CP41" t="e">
        <f>AND(Plan!BO96,"AAAAAAe1/l0=")</f>
        <v>#VALUE!</v>
      </c>
      <c r="CQ41" t="e">
        <f>AND(Plan!BP96,"AAAAAAe1/l4=")</f>
        <v>#VALUE!</v>
      </c>
      <c r="CR41" t="e">
        <f>AND(Plan!BQ96,"AAAAAAe1/l8=")</f>
        <v>#VALUE!</v>
      </c>
      <c r="CS41" t="e">
        <f>AND(Plan!BR96,"AAAAAAe1/mA=")</f>
        <v>#VALUE!</v>
      </c>
      <c r="CT41" t="e">
        <f>AND(Plan!BS96,"AAAAAAe1/mE=")</f>
        <v>#VALUE!</v>
      </c>
      <c r="CU41" t="e">
        <f>AND(Plan!BT96,"AAAAAAe1/mI=")</f>
        <v>#VALUE!</v>
      </c>
      <c r="CV41" t="e">
        <f>AND(Plan!BU96,"AAAAAAe1/mM=")</f>
        <v>#VALUE!</v>
      </c>
      <c r="CW41" t="e">
        <f>AND(Plan!BV96,"AAAAAAe1/mQ=")</f>
        <v>#VALUE!</v>
      </c>
      <c r="CX41" t="e">
        <f>AND(Plan!BW96,"AAAAAAe1/mU=")</f>
        <v>#VALUE!</v>
      </c>
      <c r="CY41" t="e">
        <f>AND(Plan!BX96,"AAAAAAe1/mY=")</f>
        <v>#VALUE!</v>
      </c>
      <c r="CZ41" t="e">
        <f>AND(Plan!BY96,"AAAAAAe1/mc=")</f>
        <v>#VALUE!</v>
      </c>
      <c r="DA41" t="e">
        <f>AND(Plan!BZ96,"AAAAAAe1/mg=")</f>
        <v>#VALUE!</v>
      </c>
      <c r="DB41" t="e">
        <f>AND(Plan!CA96,"AAAAAAe1/mk=")</f>
        <v>#VALUE!</v>
      </c>
      <c r="DC41" t="e">
        <f>AND(Plan!CB96,"AAAAAAe1/mo=")</f>
        <v>#VALUE!</v>
      </c>
      <c r="DD41" t="e">
        <f>AND(Plan!CC96,"AAAAAAe1/ms=")</f>
        <v>#VALUE!</v>
      </c>
      <c r="DE41" t="e">
        <f>AND(Plan!CD96,"AAAAAAe1/mw=")</f>
        <v>#VALUE!</v>
      </c>
      <c r="DF41" t="e">
        <f>AND(Plan!CE96,"AAAAAAe1/m0=")</f>
        <v>#VALUE!</v>
      </c>
      <c r="DG41" t="e">
        <f>AND(Plan!CF96,"AAAAAAe1/m4=")</f>
        <v>#VALUE!</v>
      </c>
      <c r="DH41" t="e">
        <f>AND(Plan!CG96,"AAAAAAe1/m8=")</f>
        <v>#VALUE!</v>
      </c>
      <c r="DI41" t="e">
        <f>AND(Plan!CH96,"AAAAAAe1/nA=")</f>
        <v>#VALUE!</v>
      </c>
      <c r="DJ41" t="e">
        <f>AND(Plan!CI96,"AAAAAAe1/nE=")</f>
        <v>#VALUE!</v>
      </c>
      <c r="DK41" t="e">
        <f>AND(Plan!CJ96,"AAAAAAe1/nI=")</f>
        <v>#VALUE!</v>
      </c>
      <c r="DL41" t="e">
        <f>AND(Plan!CK96,"AAAAAAe1/nM=")</f>
        <v>#VALUE!</v>
      </c>
      <c r="DM41" t="e">
        <f>AND(Plan!CL96,"AAAAAAe1/nQ=")</f>
        <v>#VALUE!</v>
      </c>
      <c r="DN41" t="e">
        <f>AND(Plan!CM96,"AAAAAAe1/nU=")</f>
        <v>#VALUE!</v>
      </c>
      <c r="DO41" t="e">
        <f>AND(Plan!CN96,"AAAAAAe1/nY=")</f>
        <v>#VALUE!</v>
      </c>
      <c r="DP41" t="e">
        <f>AND(Plan!CO96,"AAAAAAe1/nc=")</f>
        <v>#VALUE!</v>
      </c>
      <c r="DQ41" t="e">
        <f>AND(Plan!CP96,"AAAAAAe1/ng=")</f>
        <v>#VALUE!</v>
      </c>
      <c r="DR41" t="e">
        <f>AND(Plan!CQ96,"AAAAAAe1/nk=")</f>
        <v>#VALUE!</v>
      </c>
      <c r="DS41" t="e">
        <f>AND(Plan!CR96,"AAAAAAe1/no=")</f>
        <v>#VALUE!</v>
      </c>
      <c r="DT41" t="e">
        <f>AND(Plan!CS96,"AAAAAAe1/ns=")</f>
        <v>#VALUE!</v>
      </c>
      <c r="DU41" t="e">
        <f>AND(Plan!CT96,"AAAAAAe1/nw=")</f>
        <v>#VALUE!</v>
      </c>
      <c r="DV41" t="e">
        <f>AND(Plan!CU96,"AAAAAAe1/n0=")</f>
        <v>#VALUE!</v>
      </c>
      <c r="DW41" t="e">
        <f>AND(Plan!CV96,"AAAAAAe1/n4=")</f>
        <v>#VALUE!</v>
      </c>
      <c r="DX41" t="e">
        <f>AND(Plan!CW96,"AAAAAAe1/n8=")</f>
        <v>#VALUE!</v>
      </c>
      <c r="DY41">
        <f>IF(Plan!97:97,"AAAAAAe1/oA=",0)</f>
        <v>0</v>
      </c>
      <c r="DZ41" t="e">
        <f>AND(Plan!A97,"AAAAAAe1/oE=")</f>
        <v>#VALUE!</v>
      </c>
      <c r="EA41" t="e">
        <f>AND(Plan!B97,"AAAAAAe1/oI=")</f>
        <v>#VALUE!</v>
      </c>
      <c r="EB41" t="e">
        <f>AND(Plan!C97,"AAAAAAe1/oM=")</f>
        <v>#VALUE!</v>
      </c>
      <c r="EC41" t="e">
        <f>AND(Plan!D97,"AAAAAAe1/oQ=")</f>
        <v>#VALUE!</v>
      </c>
      <c r="ED41" t="e">
        <f>AND(Plan!E97,"AAAAAAe1/oU=")</f>
        <v>#VALUE!</v>
      </c>
      <c r="EE41" t="e">
        <f>AND(Plan!F97,"AAAAAAe1/oY=")</f>
        <v>#VALUE!</v>
      </c>
      <c r="EF41" t="e">
        <f>AND(Plan!G97,"AAAAAAe1/oc=")</f>
        <v>#VALUE!</v>
      </c>
      <c r="EG41" t="e">
        <f>AND(Plan!H97,"AAAAAAe1/og=")</f>
        <v>#VALUE!</v>
      </c>
      <c r="EH41" t="e">
        <f>AND(Plan!I97,"AAAAAAe1/ok=")</f>
        <v>#VALUE!</v>
      </c>
      <c r="EI41" t="e">
        <f>AND(Plan!J97,"AAAAAAe1/oo=")</f>
        <v>#VALUE!</v>
      </c>
      <c r="EJ41" t="e">
        <f>AND(Plan!K97,"AAAAAAe1/os=")</f>
        <v>#VALUE!</v>
      </c>
      <c r="EK41" t="e">
        <f>AND(Plan!L97,"AAAAAAe1/ow=")</f>
        <v>#VALUE!</v>
      </c>
      <c r="EL41" t="e">
        <f>AND(Plan!M97,"AAAAAAe1/o0=")</f>
        <v>#VALUE!</v>
      </c>
      <c r="EM41" t="e">
        <f>AND(Plan!N97,"AAAAAAe1/o4=")</f>
        <v>#VALUE!</v>
      </c>
      <c r="EN41" t="e">
        <f>AND(Plan!O97,"AAAAAAe1/o8=")</f>
        <v>#VALUE!</v>
      </c>
      <c r="EO41" t="e">
        <f>AND(Plan!P97,"AAAAAAe1/pA=")</f>
        <v>#VALUE!</v>
      </c>
      <c r="EP41" t="e">
        <f>AND(Plan!Q97,"AAAAAAe1/pE=")</f>
        <v>#VALUE!</v>
      </c>
      <c r="EQ41" t="e">
        <f>AND(Plan!R97,"AAAAAAe1/pI=")</f>
        <v>#VALUE!</v>
      </c>
      <c r="ER41" t="e">
        <f>AND(Plan!S97,"AAAAAAe1/pM=")</f>
        <v>#VALUE!</v>
      </c>
      <c r="ES41" t="e">
        <f>AND(Plan!T97,"AAAAAAe1/pQ=")</f>
        <v>#VALUE!</v>
      </c>
      <c r="ET41" t="e">
        <f>AND(Plan!U97,"AAAAAAe1/pU=")</f>
        <v>#VALUE!</v>
      </c>
      <c r="EU41" t="e">
        <f>AND(Plan!V97,"AAAAAAe1/pY=")</f>
        <v>#VALUE!</v>
      </c>
      <c r="EV41" t="e">
        <f>AND(Plan!W97,"AAAAAAe1/pc=")</f>
        <v>#VALUE!</v>
      </c>
      <c r="EW41" t="e">
        <f>AND(Plan!X97,"AAAAAAe1/pg=")</f>
        <v>#VALUE!</v>
      </c>
      <c r="EX41" t="e">
        <f>AND(Plan!Y97,"AAAAAAe1/pk=")</f>
        <v>#VALUE!</v>
      </c>
      <c r="EY41" t="e">
        <f>AND(Plan!Z97,"AAAAAAe1/po=")</f>
        <v>#VALUE!</v>
      </c>
      <c r="EZ41" t="e">
        <f>AND(Plan!AA97,"AAAAAAe1/ps=")</f>
        <v>#VALUE!</v>
      </c>
      <c r="FA41" t="e">
        <f>AND(Plan!AB97,"AAAAAAe1/pw=")</f>
        <v>#VALUE!</v>
      </c>
      <c r="FB41" t="e">
        <f>AND(Plan!AC97,"AAAAAAe1/p0=")</f>
        <v>#VALUE!</v>
      </c>
      <c r="FC41" t="e">
        <f>AND(Plan!AD97,"AAAAAAe1/p4=")</f>
        <v>#VALUE!</v>
      </c>
      <c r="FD41" t="e">
        <f>AND(Plan!AE97,"AAAAAAe1/p8=")</f>
        <v>#VALUE!</v>
      </c>
      <c r="FE41" t="e">
        <f>AND(Plan!AF97,"AAAAAAe1/qA=")</f>
        <v>#VALUE!</v>
      </c>
      <c r="FF41" t="e">
        <f>AND(Plan!AG97,"AAAAAAe1/qE=")</f>
        <v>#VALUE!</v>
      </c>
      <c r="FG41" t="e">
        <f>AND(Plan!AH97,"AAAAAAe1/qI=")</f>
        <v>#VALUE!</v>
      </c>
      <c r="FH41" t="e">
        <f>AND(Plan!AI97,"AAAAAAe1/qM=")</f>
        <v>#VALUE!</v>
      </c>
      <c r="FI41" t="e">
        <f>AND(Plan!AJ97,"AAAAAAe1/qQ=")</f>
        <v>#VALUE!</v>
      </c>
      <c r="FJ41" t="e">
        <f>AND(Plan!AK97,"AAAAAAe1/qU=")</f>
        <v>#VALUE!</v>
      </c>
      <c r="FK41" t="e">
        <f>AND(Plan!AL97,"AAAAAAe1/qY=")</f>
        <v>#VALUE!</v>
      </c>
      <c r="FL41" t="e">
        <f>AND(Plan!AM97,"AAAAAAe1/qc=")</f>
        <v>#VALUE!</v>
      </c>
      <c r="FM41" t="e">
        <f>AND(Plan!AN97,"AAAAAAe1/qg=")</f>
        <v>#VALUE!</v>
      </c>
      <c r="FN41" t="e">
        <f>AND(Plan!AO97,"AAAAAAe1/qk=")</f>
        <v>#VALUE!</v>
      </c>
      <c r="FO41" t="e">
        <f>AND(Plan!AP97,"AAAAAAe1/qo=")</f>
        <v>#VALUE!</v>
      </c>
      <c r="FP41" t="e">
        <f>AND(Plan!AQ97,"AAAAAAe1/qs=")</f>
        <v>#VALUE!</v>
      </c>
      <c r="FQ41" t="e">
        <f>AND(Plan!AR97,"AAAAAAe1/qw=")</f>
        <v>#VALUE!</v>
      </c>
      <c r="FR41" t="e">
        <f>AND(Plan!AS97,"AAAAAAe1/q0=")</f>
        <v>#VALUE!</v>
      </c>
      <c r="FS41" t="e">
        <f>AND(Plan!AT97,"AAAAAAe1/q4=")</f>
        <v>#VALUE!</v>
      </c>
      <c r="FT41" t="e">
        <f>AND(Plan!AU97,"AAAAAAe1/q8=")</f>
        <v>#VALUE!</v>
      </c>
      <c r="FU41" t="e">
        <f>AND(Plan!AV97,"AAAAAAe1/rA=")</f>
        <v>#VALUE!</v>
      </c>
      <c r="FV41" t="e">
        <f>AND(Plan!AW97,"AAAAAAe1/rE=")</f>
        <v>#VALUE!</v>
      </c>
      <c r="FW41" t="e">
        <f>AND(Plan!AX97,"AAAAAAe1/rI=")</f>
        <v>#VALUE!</v>
      </c>
      <c r="FX41" t="e">
        <f>AND(Plan!AY97,"AAAAAAe1/rM=")</f>
        <v>#VALUE!</v>
      </c>
      <c r="FY41" t="e">
        <f>AND(Plan!AZ97,"AAAAAAe1/rQ=")</f>
        <v>#VALUE!</v>
      </c>
      <c r="FZ41" t="e">
        <f>AND(Plan!BA97,"AAAAAAe1/rU=")</f>
        <v>#VALUE!</v>
      </c>
      <c r="GA41" t="e">
        <f>AND(Plan!BB97,"AAAAAAe1/rY=")</f>
        <v>#VALUE!</v>
      </c>
      <c r="GB41" t="e">
        <f>AND(Plan!BC97,"AAAAAAe1/rc=")</f>
        <v>#VALUE!</v>
      </c>
      <c r="GC41" t="e">
        <f>AND(Plan!BD97,"AAAAAAe1/rg=")</f>
        <v>#VALUE!</v>
      </c>
      <c r="GD41" t="e">
        <f>AND(Plan!BE97,"AAAAAAe1/rk=")</f>
        <v>#VALUE!</v>
      </c>
      <c r="GE41" t="e">
        <f>AND(Plan!BF97,"AAAAAAe1/ro=")</f>
        <v>#VALUE!</v>
      </c>
      <c r="GF41" t="e">
        <f>AND(Plan!BG97,"AAAAAAe1/rs=")</f>
        <v>#VALUE!</v>
      </c>
      <c r="GG41" t="e">
        <f>AND(Plan!BH97,"AAAAAAe1/rw=")</f>
        <v>#VALUE!</v>
      </c>
      <c r="GH41" t="e">
        <f>AND(Plan!BI97,"AAAAAAe1/r0=")</f>
        <v>#VALUE!</v>
      </c>
      <c r="GI41" t="e">
        <f>AND(Plan!BJ97,"AAAAAAe1/r4=")</f>
        <v>#VALUE!</v>
      </c>
      <c r="GJ41" t="e">
        <f>AND(Plan!BK97,"AAAAAAe1/r8=")</f>
        <v>#VALUE!</v>
      </c>
      <c r="GK41" t="e">
        <f>AND(Plan!BL97,"AAAAAAe1/sA=")</f>
        <v>#VALUE!</v>
      </c>
      <c r="GL41" t="e">
        <f>AND(Plan!BM97,"AAAAAAe1/sE=")</f>
        <v>#VALUE!</v>
      </c>
      <c r="GM41" t="e">
        <f>AND(Plan!BN97,"AAAAAAe1/sI=")</f>
        <v>#VALUE!</v>
      </c>
      <c r="GN41" t="e">
        <f>AND(Plan!BO97,"AAAAAAe1/sM=")</f>
        <v>#VALUE!</v>
      </c>
      <c r="GO41" t="e">
        <f>AND(Plan!BP97,"AAAAAAe1/sQ=")</f>
        <v>#VALUE!</v>
      </c>
      <c r="GP41" t="e">
        <f>AND(Plan!BQ97,"AAAAAAe1/sU=")</f>
        <v>#VALUE!</v>
      </c>
      <c r="GQ41" t="e">
        <f>AND(Plan!BR97,"AAAAAAe1/sY=")</f>
        <v>#VALUE!</v>
      </c>
      <c r="GR41" t="e">
        <f>AND(Plan!BS97,"AAAAAAe1/sc=")</f>
        <v>#VALUE!</v>
      </c>
      <c r="GS41" t="e">
        <f>AND(Plan!BT97,"AAAAAAe1/sg=")</f>
        <v>#VALUE!</v>
      </c>
      <c r="GT41" t="e">
        <f>AND(Plan!BU97,"AAAAAAe1/sk=")</f>
        <v>#VALUE!</v>
      </c>
      <c r="GU41" t="e">
        <f>AND(Plan!BV97,"AAAAAAe1/so=")</f>
        <v>#VALUE!</v>
      </c>
      <c r="GV41" t="e">
        <f>AND(Plan!BW97,"AAAAAAe1/ss=")</f>
        <v>#VALUE!</v>
      </c>
      <c r="GW41" t="e">
        <f>AND(Plan!BX97,"AAAAAAe1/sw=")</f>
        <v>#VALUE!</v>
      </c>
      <c r="GX41" t="e">
        <f>AND(Plan!BY97,"AAAAAAe1/s0=")</f>
        <v>#VALUE!</v>
      </c>
      <c r="GY41" t="e">
        <f>AND(Plan!BZ97,"AAAAAAe1/s4=")</f>
        <v>#VALUE!</v>
      </c>
      <c r="GZ41" t="e">
        <f>AND(Plan!CA97,"AAAAAAe1/s8=")</f>
        <v>#VALUE!</v>
      </c>
      <c r="HA41" t="e">
        <f>AND(Plan!CB97,"AAAAAAe1/tA=")</f>
        <v>#VALUE!</v>
      </c>
      <c r="HB41" t="e">
        <f>AND(Plan!CC97,"AAAAAAe1/tE=")</f>
        <v>#VALUE!</v>
      </c>
      <c r="HC41" t="e">
        <f>AND(Plan!CD97,"AAAAAAe1/tI=")</f>
        <v>#VALUE!</v>
      </c>
      <c r="HD41" t="e">
        <f>AND(Plan!CE97,"AAAAAAe1/tM=")</f>
        <v>#VALUE!</v>
      </c>
      <c r="HE41" t="e">
        <f>AND(Plan!CF97,"AAAAAAe1/tQ=")</f>
        <v>#VALUE!</v>
      </c>
      <c r="HF41" t="e">
        <f>AND(Plan!CG97,"AAAAAAe1/tU=")</f>
        <v>#VALUE!</v>
      </c>
      <c r="HG41" t="e">
        <f>AND(Plan!CH97,"AAAAAAe1/tY=")</f>
        <v>#VALUE!</v>
      </c>
      <c r="HH41" t="e">
        <f>AND(Plan!CI97,"AAAAAAe1/tc=")</f>
        <v>#VALUE!</v>
      </c>
      <c r="HI41" t="e">
        <f>AND(Plan!CJ97,"AAAAAAe1/tg=")</f>
        <v>#VALUE!</v>
      </c>
      <c r="HJ41" t="e">
        <f>AND(Plan!CK97,"AAAAAAe1/tk=")</f>
        <v>#VALUE!</v>
      </c>
      <c r="HK41" t="e">
        <f>AND(Plan!CL97,"AAAAAAe1/to=")</f>
        <v>#VALUE!</v>
      </c>
      <c r="HL41" t="e">
        <f>AND(Plan!CM97,"AAAAAAe1/ts=")</f>
        <v>#VALUE!</v>
      </c>
      <c r="HM41" t="e">
        <f>AND(Plan!CN97,"AAAAAAe1/tw=")</f>
        <v>#VALUE!</v>
      </c>
      <c r="HN41" t="e">
        <f>AND(Plan!CO97,"AAAAAAe1/t0=")</f>
        <v>#VALUE!</v>
      </c>
      <c r="HO41" t="e">
        <f>AND(Plan!CP97,"AAAAAAe1/t4=")</f>
        <v>#VALUE!</v>
      </c>
      <c r="HP41" t="e">
        <f>AND(Plan!CQ97,"AAAAAAe1/t8=")</f>
        <v>#VALUE!</v>
      </c>
      <c r="HQ41" t="e">
        <f>AND(Plan!CR97,"AAAAAAe1/uA=")</f>
        <v>#VALUE!</v>
      </c>
      <c r="HR41" t="e">
        <f>AND(Plan!CS97,"AAAAAAe1/uE=")</f>
        <v>#VALUE!</v>
      </c>
      <c r="HS41" t="e">
        <f>AND(Plan!CT97,"AAAAAAe1/uI=")</f>
        <v>#VALUE!</v>
      </c>
      <c r="HT41" t="e">
        <f>AND(Plan!CU97,"AAAAAAe1/uM=")</f>
        <v>#VALUE!</v>
      </c>
      <c r="HU41" t="e">
        <f>AND(Plan!CV97,"AAAAAAe1/uQ=")</f>
        <v>#VALUE!</v>
      </c>
      <c r="HV41" t="e">
        <f>AND(Plan!CW97,"AAAAAAe1/uU=")</f>
        <v>#VALUE!</v>
      </c>
      <c r="HW41">
        <f>IF(Plan!98:98,"AAAAAAe1/uY=",0)</f>
        <v>0</v>
      </c>
      <c r="HX41" t="e">
        <f>AND(Plan!A98,"AAAAAAe1/uc=")</f>
        <v>#VALUE!</v>
      </c>
      <c r="HY41" t="e">
        <f>AND(Plan!B98,"AAAAAAe1/ug=")</f>
        <v>#VALUE!</v>
      </c>
      <c r="HZ41" t="e">
        <f>AND(Plan!C102,"AAAAAAe1/uk=")</f>
        <v>#VALUE!</v>
      </c>
      <c r="IA41" t="e">
        <f>AND(Plan!D98,"AAAAAAe1/uo=")</f>
        <v>#VALUE!</v>
      </c>
      <c r="IB41" t="e">
        <f>AND(Plan!E98,"AAAAAAe1/us=")</f>
        <v>#VALUE!</v>
      </c>
      <c r="IC41" t="e">
        <f>AND(Plan!F98,"AAAAAAe1/uw=")</f>
        <v>#VALUE!</v>
      </c>
      <c r="ID41" t="e">
        <f>AND(Plan!G98,"AAAAAAe1/u0=")</f>
        <v>#VALUE!</v>
      </c>
      <c r="IE41" t="e">
        <f>AND(Plan!H98,"AAAAAAe1/u4=")</f>
        <v>#VALUE!</v>
      </c>
      <c r="IF41" t="e">
        <f>AND(Plan!I98,"AAAAAAe1/u8=")</f>
        <v>#VALUE!</v>
      </c>
      <c r="IG41" t="e">
        <f>AND(Plan!J98,"AAAAAAe1/vA=")</f>
        <v>#VALUE!</v>
      </c>
      <c r="IH41" t="e">
        <f>AND(Plan!K98,"AAAAAAe1/vE=")</f>
        <v>#VALUE!</v>
      </c>
      <c r="II41" t="e">
        <f>AND(Plan!L98,"AAAAAAe1/vI=")</f>
        <v>#VALUE!</v>
      </c>
      <c r="IJ41" t="e">
        <f>AND(Plan!M98,"AAAAAAe1/vM=")</f>
        <v>#VALUE!</v>
      </c>
      <c r="IK41" t="e">
        <f>AND(Plan!N98,"AAAAAAe1/vQ=")</f>
        <v>#VALUE!</v>
      </c>
      <c r="IL41" t="e">
        <f>AND(Plan!O98,"AAAAAAe1/vU=")</f>
        <v>#VALUE!</v>
      </c>
      <c r="IM41" t="e">
        <f>AND(Plan!P98,"AAAAAAe1/vY=")</f>
        <v>#VALUE!</v>
      </c>
      <c r="IN41" t="e">
        <f>AND(Plan!Q98,"AAAAAAe1/vc=")</f>
        <v>#VALUE!</v>
      </c>
      <c r="IO41" t="e">
        <f>AND(Plan!R98,"AAAAAAe1/vg=")</f>
        <v>#VALUE!</v>
      </c>
      <c r="IP41" t="e">
        <f>AND(Plan!S98,"AAAAAAe1/vk=")</f>
        <v>#VALUE!</v>
      </c>
      <c r="IQ41" t="e">
        <f>AND(Plan!T98,"AAAAAAe1/vo=")</f>
        <v>#VALUE!</v>
      </c>
      <c r="IR41" t="e">
        <f>AND(Plan!U98,"AAAAAAe1/vs=")</f>
        <v>#VALUE!</v>
      </c>
      <c r="IS41" t="e">
        <f>AND(Plan!V98,"AAAAAAe1/vw=")</f>
        <v>#VALUE!</v>
      </c>
      <c r="IT41" t="e">
        <f>AND(Plan!W98,"AAAAAAe1/v0=")</f>
        <v>#VALUE!</v>
      </c>
      <c r="IU41" t="e">
        <f>AND(Plan!X98,"AAAAAAe1/v4=")</f>
        <v>#VALUE!</v>
      </c>
      <c r="IV41" t="e">
        <f>AND(Plan!Y98,"AAAAAAe1/v8=")</f>
        <v>#VALUE!</v>
      </c>
    </row>
    <row r="42" spans="1:256">
      <c r="A42" t="e">
        <f>AND(Plan!Z98,"AAAAAH/7fQA=")</f>
        <v>#VALUE!</v>
      </c>
      <c r="B42" t="e">
        <f>AND(Plan!AA98,"AAAAAH/7fQE=")</f>
        <v>#VALUE!</v>
      </c>
      <c r="C42" t="e">
        <f>AND(Plan!AB98,"AAAAAH/7fQI=")</f>
        <v>#VALUE!</v>
      </c>
      <c r="D42" t="e">
        <f>AND(Plan!AC98,"AAAAAH/7fQM=")</f>
        <v>#VALUE!</v>
      </c>
      <c r="E42" t="e">
        <f>AND(Plan!AD98,"AAAAAH/7fQQ=")</f>
        <v>#VALUE!</v>
      </c>
      <c r="F42" t="e">
        <f>AND(Plan!AE98,"AAAAAH/7fQU=")</f>
        <v>#VALUE!</v>
      </c>
      <c r="G42" t="e">
        <f>AND(Plan!AF98,"AAAAAH/7fQY=")</f>
        <v>#VALUE!</v>
      </c>
      <c r="H42" t="e">
        <f>AND(Plan!AG98,"AAAAAH/7fQc=")</f>
        <v>#VALUE!</v>
      </c>
      <c r="I42" t="e">
        <f>AND(Plan!AH98,"AAAAAH/7fQg=")</f>
        <v>#VALUE!</v>
      </c>
      <c r="J42" t="e">
        <f>AND(Plan!AI98,"AAAAAH/7fQk=")</f>
        <v>#VALUE!</v>
      </c>
      <c r="K42" t="e">
        <f>AND(Plan!AJ98,"AAAAAH/7fQo=")</f>
        <v>#VALUE!</v>
      </c>
      <c r="L42" t="e">
        <f>AND(Plan!AK98,"AAAAAH/7fQs=")</f>
        <v>#VALUE!</v>
      </c>
      <c r="M42" t="e">
        <f>AND(Plan!AL98,"AAAAAH/7fQw=")</f>
        <v>#VALUE!</v>
      </c>
      <c r="N42" t="e">
        <f>AND(Plan!AM98,"AAAAAH/7fQ0=")</f>
        <v>#VALUE!</v>
      </c>
      <c r="O42" t="e">
        <f>AND(Plan!AN98,"AAAAAH/7fQ4=")</f>
        <v>#VALUE!</v>
      </c>
      <c r="P42" t="e">
        <f>AND(Plan!AO98,"AAAAAH/7fQ8=")</f>
        <v>#VALUE!</v>
      </c>
      <c r="Q42" t="e">
        <f>AND(Plan!AP98,"AAAAAH/7fRA=")</f>
        <v>#VALUE!</v>
      </c>
      <c r="R42" t="e">
        <f>AND(Plan!AQ98,"AAAAAH/7fRE=")</f>
        <v>#VALUE!</v>
      </c>
      <c r="S42" t="e">
        <f>AND(Plan!AR98,"AAAAAH/7fRI=")</f>
        <v>#VALUE!</v>
      </c>
      <c r="T42" t="e">
        <f>AND(Plan!AS98,"AAAAAH/7fRM=")</f>
        <v>#VALUE!</v>
      </c>
      <c r="U42" t="e">
        <f>AND(Plan!AT98,"AAAAAH/7fRQ=")</f>
        <v>#VALUE!</v>
      </c>
      <c r="V42" t="e">
        <f>AND(Plan!AU98,"AAAAAH/7fRU=")</f>
        <v>#VALUE!</v>
      </c>
      <c r="W42" t="e">
        <f>AND(Plan!AV98,"AAAAAH/7fRY=")</f>
        <v>#VALUE!</v>
      </c>
      <c r="X42" t="e">
        <f>AND(Plan!AW98,"AAAAAH/7fRc=")</f>
        <v>#VALUE!</v>
      </c>
      <c r="Y42" t="e">
        <f>AND(Plan!AX98,"AAAAAH/7fRg=")</f>
        <v>#VALUE!</v>
      </c>
      <c r="Z42" t="e">
        <f>AND(Plan!AY98,"AAAAAH/7fRk=")</f>
        <v>#VALUE!</v>
      </c>
      <c r="AA42" t="e">
        <f>AND(Plan!AZ98,"AAAAAH/7fRo=")</f>
        <v>#VALUE!</v>
      </c>
      <c r="AB42" t="e">
        <f>AND(Plan!BA98,"AAAAAH/7fRs=")</f>
        <v>#VALUE!</v>
      </c>
      <c r="AC42" t="e">
        <f>AND(Plan!BB98,"AAAAAH/7fRw=")</f>
        <v>#VALUE!</v>
      </c>
      <c r="AD42" t="e">
        <f>AND(Plan!BC98,"AAAAAH/7fR0=")</f>
        <v>#VALUE!</v>
      </c>
      <c r="AE42" t="e">
        <f>AND(Plan!BD98,"AAAAAH/7fR4=")</f>
        <v>#VALUE!</v>
      </c>
      <c r="AF42" t="e">
        <f>AND(Plan!BE98,"AAAAAH/7fR8=")</f>
        <v>#VALUE!</v>
      </c>
      <c r="AG42" t="e">
        <f>AND(Plan!BF98,"AAAAAH/7fSA=")</f>
        <v>#VALUE!</v>
      </c>
      <c r="AH42" t="e">
        <f>AND(Plan!BG98,"AAAAAH/7fSE=")</f>
        <v>#VALUE!</v>
      </c>
      <c r="AI42" t="e">
        <f>AND(Plan!BH98,"AAAAAH/7fSI=")</f>
        <v>#VALUE!</v>
      </c>
      <c r="AJ42" t="e">
        <f>AND(Plan!BI98,"AAAAAH/7fSM=")</f>
        <v>#VALUE!</v>
      </c>
      <c r="AK42" t="e">
        <f>AND(Plan!BJ98,"AAAAAH/7fSQ=")</f>
        <v>#VALUE!</v>
      </c>
      <c r="AL42" t="e">
        <f>AND(Plan!BK98,"AAAAAH/7fSU=")</f>
        <v>#VALUE!</v>
      </c>
      <c r="AM42" t="e">
        <f>AND(Plan!BL98,"AAAAAH/7fSY=")</f>
        <v>#VALUE!</v>
      </c>
      <c r="AN42" t="e">
        <f>AND(Plan!BM98,"AAAAAH/7fSc=")</f>
        <v>#VALUE!</v>
      </c>
      <c r="AO42" t="e">
        <f>AND(Plan!BN98,"AAAAAH/7fSg=")</f>
        <v>#VALUE!</v>
      </c>
      <c r="AP42" t="e">
        <f>AND(Plan!BO98,"AAAAAH/7fSk=")</f>
        <v>#VALUE!</v>
      </c>
      <c r="AQ42" t="e">
        <f>AND(Plan!BP98,"AAAAAH/7fSo=")</f>
        <v>#VALUE!</v>
      </c>
      <c r="AR42" t="e">
        <f>AND(Plan!BQ98,"AAAAAH/7fSs=")</f>
        <v>#VALUE!</v>
      </c>
      <c r="AS42" t="e">
        <f>AND(Plan!BR98,"AAAAAH/7fSw=")</f>
        <v>#VALUE!</v>
      </c>
      <c r="AT42" t="e">
        <f>AND(Plan!BS98,"AAAAAH/7fS0=")</f>
        <v>#VALUE!</v>
      </c>
      <c r="AU42" t="e">
        <f>AND(Plan!BT98,"AAAAAH/7fS4=")</f>
        <v>#VALUE!</v>
      </c>
      <c r="AV42" t="e">
        <f>AND(Plan!BU98,"AAAAAH/7fS8=")</f>
        <v>#VALUE!</v>
      </c>
      <c r="AW42" t="e">
        <f>AND(Plan!BV98,"AAAAAH/7fTA=")</f>
        <v>#VALUE!</v>
      </c>
      <c r="AX42" t="e">
        <f>AND(Plan!BW98,"AAAAAH/7fTE=")</f>
        <v>#VALUE!</v>
      </c>
      <c r="AY42" t="e">
        <f>AND(Plan!BX98,"AAAAAH/7fTI=")</f>
        <v>#VALUE!</v>
      </c>
      <c r="AZ42" t="e">
        <f>AND(Plan!BY98,"AAAAAH/7fTM=")</f>
        <v>#VALUE!</v>
      </c>
      <c r="BA42" t="e">
        <f>AND(Plan!BZ98,"AAAAAH/7fTQ=")</f>
        <v>#VALUE!</v>
      </c>
      <c r="BB42" t="e">
        <f>AND(Plan!CA98,"AAAAAH/7fTU=")</f>
        <v>#VALUE!</v>
      </c>
      <c r="BC42" t="e">
        <f>AND(Plan!CB98,"AAAAAH/7fTY=")</f>
        <v>#VALUE!</v>
      </c>
      <c r="BD42" t="e">
        <f>AND(Plan!CC98,"AAAAAH/7fTc=")</f>
        <v>#VALUE!</v>
      </c>
      <c r="BE42" t="e">
        <f>AND(Plan!CD98,"AAAAAH/7fTg=")</f>
        <v>#VALUE!</v>
      </c>
      <c r="BF42" t="e">
        <f>AND(Plan!CE98,"AAAAAH/7fTk=")</f>
        <v>#VALUE!</v>
      </c>
      <c r="BG42" t="e">
        <f>AND(Plan!CF98,"AAAAAH/7fTo=")</f>
        <v>#VALUE!</v>
      </c>
      <c r="BH42" t="e">
        <f>AND(Plan!CG98,"AAAAAH/7fTs=")</f>
        <v>#VALUE!</v>
      </c>
      <c r="BI42" t="e">
        <f>AND(Plan!CH98,"AAAAAH/7fTw=")</f>
        <v>#VALUE!</v>
      </c>
      <c r="BJ42" t="e">
        <f>AND(Plan!CI98,"AAAAAH/7fT0=")</f>
        <v>#VALUE!</v>
      </c>
      <c r="BK42" t="e">
        <f>AND(Plan!CJ98,"AAAAAH/7fT4=")</f>
        <v>#VALUE!</v>
      </c>
      <c r="BL42" t="e">
        <f>AND(Plan!CK98,"AAAAAH/7fT8=")</f>
        <v>#VALUE!</v>
      </c>
      <c r="BM42" t="e">
        <f>AND(Plan!CL98,"AAAAAH/7fUA=")</f>
        <v>#VALUE!</v>
      </c>
      <c r="BN42" t="e">
        <f>AND(Plan!CM98,"AAAAAH/7fUE=")</f>
        <v>#VALUE!</v>
      </c>
      <c r="BO42" t="e">
        <f>AND(Plan!CN98,"AAAAAH/7fUI=")</f>
        <v>#VALUE!</v>
      </c>
      <c r="BP42" t="e">
        <f>AND(Plan!CO98,"AAAAAH/7fUM=")</f>
        <v>#VALUE!</v>
      </c>
      <c r="BQ42" t="e">
        <f>AND(Plan!CP98,"AAAAAH/7fUQ=")</f>
        <v>#VALUE!</v>
      </c>
      <c r="BR42" t="e">
        <f>AND(Plan!CQ98,"AAAAAH/7fUU=")</f>
        <v>#VALUE!</v>
      </c>
      <c r="BS42" t="e">
        <f>AND(Plan!CR98,"AAAAAH/7fUY=")</f>
        <v>#VALUE!</v>
      </c>
      <c r="BT42" t="e">
        <f>AND(Plan!CS98,"AAAAAH/7fUc=")</f>
        <v>#VALUE!</v>
      </c>
      <c r="BU42" t="e">
        <f>AND(Plan!CT98,"AAAAAH/7fUg=")</f>
        <v>#VALUE!</v>
      </c>
      <c r="BV42" t="e">
        <f>AND(Plan!CU98,"AAAAAH/7fUk=")</f>
        <v>#VALUE!</v>
      </c>
      <c r="BW42" t="e">
        <f>AND(Plan!CV98,"AAAAAH/7fUo=")</f>
        <v>#VALUE!</v>
      </c>
      <c r="BX42" t="e">
        <f>AND(Plan!CW98,"AAAAAH/7fUs=")</f>
        <v>#VALUE!</v>
      </c>
      <c r="BY42">
        <f>IF(Plan!102:102,"AAAAAH/7fUw=",0)</f>
        <v>0</v>
      </c>
      <c r="BZ42" t="e">
        <f>AND(Plan!A102,"AAAAAH/7fU0=")</f>
        <v>#VALUE!</v>
      </c>
      <c r="CA42" t="e">
        <f>AND(Plan!B102,"AAAAAH/7fU4=")</f>
        <v>#VALUE!</v>
      </c>
      <c r="CB42" t="e">
        <f>AND(Plan!#REF!,"AAAAAH/7fU8=")</f>
        <v>#REF!</v>
      </c>
      <c r="CC42" t="e">
        <f>AND(Plan!D102,"AAAAAH/7fVA=")</f>
        <v>#VALUE!</v>
      </c>
      <c r="CD42" t="e">
        <f>AND(Plan!E102,"AAAAAH/7fVE=")</f>
        <v>#VALUE!</v>
      </c>
      <c r="CE42" t="e">
        <f>AND(Plan!F102,"AAAAAH/7fVI=")</f>
        <v>#VALUE!</v>
      </c>
      <c r="CF42" t="e">
        <f>AND(Plan!G102,"AAAAAH/7fVM=")</f>
        <v>#VALUE!</v>
      </c>
      <c r="CG42" t="e">
        <f>AND(Plan!H102,"AAAAAH/7fVQ=")</f>
        <v>#VALUE!</v>
      </c>
      <c r="CH42" t="e">
        <f>AND(Plan!I102,"AAAAAH/7fVU=")</f>
        <v>#VALUE!</v>
      </c>
      <c r="CI42" t="e">
        <f>AND(Plan!J102,"AAAAAH/7fVY=")</f>
        <v>#VALUE!</v>
      </c>
      <c r="CJ42" t="e">
        <f>AND(Plan!K102,"AAAAAH/7fVc=")</f>
        <v>#VALUE!</v>
      </c>
      <c r="CK42" t="e">
        <f>AND(Plan!L102,"AAAAAH/7fVg=")</f>
        <v>#VALUE!</v>
      </c>
      <c r="CL42" t="e">
        <f>AND(Plan!M102,"AAAAAH/7fVk=")</f>
        <v>#VALUE!</v>
      </c>
      <c r="CM42" t="e">
        <f>AND(Plan!N102,"AAAAAH/7fVo=")</f>
        <v>#VALUE!</v>
      </c>
      <c r="CN42" t="e">
        <f>AND(Plan!O102,"AAAAAH/7fVs=")</f>
        <v>#VALUE!</v>
      </c>
      <c r="CO42" t="e">
        <f>AND(Plan!P102,"AAAAAH/7fVw=")</f>
        <v>#VALUE!</v>
      </c>
      <c r="CP42" t="e">
        <f>AND(Plan!Q102,"AAAAAH/7fV0=")</f>
        <v>#VALUE!</v>
      </c>
      <c r="CQ42" t="e">
        <f>AND(Plan!R102,"AAAAAH/7fV4=")</f>
        <v>#VALUE!</v>
      </c>
      <c r="CR42" t="e">
        <f>AND(Plan!S102,"AAAAAH/7fV8=")</f>
        <v>#VALUE!</v>
      </c>
      <c r="CS42" t="e">
        <f>AND(Plan!T102,"AAAAAH/7fWA=")</f>
        <v>#VALUE!</v>
      </c>
      <c r="CT42" t="e">
        <f>AND(Plan!U102,"AAAAAH/7fWE=")</f>
        <v>#VALUE!</v>
      </c>
      <c r="CU42" t="e">
        <f>AND(Plan!V102,"AAAAAH/7fWI=")</f>
        <v>#VALUE!</v>
      </c>
      <c r="CV42" t="e">
        <f>AND(Plan!W102,"AAAAAH/7fWM=")</f>
        <v>#VALUE!</v>
      </c>
      <c r="CW42" t="e">
        <f>AND(Plan!X102,"AAAAAH/7fWQ=")</f>
        <v>#VALUE!</v>
      </c>
      <c r="CX42" t="e">
        <f>AND(Plan!Y102,"AAAAAH/7fWU=")</f>
        <v>#VALUE!</v>
      </c>
      <c r="CY42" t="e">
        <f>AND(Plan!Z102,"AAAAAH/7fWY=")</f>
        <v>#VALUE!</v>
      </c>
      <c r="CZ42" t="e">
        <f>AND(Plan!AA102,"AAAAAH/7fWc=")</f>
        <v>#VALUE!</v>
      </c>
      <c r="DA42" t="e">
        <f>AND(Plan!AB102,"AAAAAH/7fWg=")</f>
        <v>#VALUE!</v>
      </c>
      <c r="DB42" t="e">
        <f>AND(Plan!AC102,"AAAAAH/7fWk=")</f>
        <v>#VALUE!</v>
      </c>
      <c r="DC42" t="e">
        <f>AND(Plan!AD102,"AAAAAH/7fWo=")</f>
        <v>#VALUE!</v>
      </c>
      <c r="DD42" t="e">
        <f>AND(Plan!AE102,"AAAAAH/7fWs=")</f>
        <v>#VALUE!</v>
      </c>
      <c r="DE42" t="e">
        <f>AND(Plan!AF102,"AAAAAH/7fWw=")</f>
        <v>#VALUE!</v>
      </c>
      <c r="DF42" t="e">
        <f>AND(Plan!AG102,"AAAAAH/7fW0=")</f>
        <v>#VALUE!</v>
      </c>
      <c r="DG42" t="e">
        <f>AND(Plan!AH102,"AAAAAH/7fW4=")</f>
        <v>#VALUE!</v>
      </c>
      <c r="DH42" t="e">
        <f>AND(Plan!AI102,"AAAAAH/7fW8=")</f>
        <v>#VALUE!</v>
      </c>
      <c r="DI42" t="e">
        <f>AND(Plan!AJ102,"AAAAAH/7fXA=")</f>
        <v>#VALUE!</v>
      </c>
      <c r="DJ42" t="e">
        <f>AND(Plan!AK102,"AAAAAH/7fXE=")</f>
        <v>#VALUE!</v>
      </c>
      <c r="DK42" t="e">
        <f>AND(Plan!AL102,"AAAAAH/7fXI=")</f>
        <v>#VALUE!</v>
      </c>
      <c r="DL42" t="e">
        <f>AND(Plan!AM102,"AAAAAH/7fXM=")</f>
        <v>#VALUE!</v>
      </c>
      <c r="DM42" t="e">
        <f>AND(Plan!AN102,"AAAAAH/7fXQ=")</f>
        <v>#VALUE!</v>
      </c>
      <c r="DN42" t="e">
        <f>AND(Plan!AO102,"AAAAAH/7fXU=")</f>
        <v>#VALUE!</v>
      </c>
      <c r="DO42" t="e">
        <f>AND(Plan!AP102,"AAAAAH/7fXY=")</f>
        <v>#VALUE!</v>
      </c>
      <c r="DP42" t="e">
        <f>AND(Plan!AQ102,"AAAAAH/7fXc=")</f>
        <v>#VALUE!</v>
      </c>
      <c r="DQ42" t="e">
        <f>AND(Plan!AR102,"AAAAAH/7fXg=")</f>
        <v>#VALUE!</v>
      </c>
      <c r="DR42" t="e">
        <f>AND(Plan!AS102,"AAAAAH/7fXk=")</f>
        <v>#VALUE!</v>
      </c>
      <c r="DS42" t="e">
        <f>AND(Plan!AT102,"AAAAAH/7fXo=")</f>
        <v>#VALUE!</v>
      </c>
      <c r="DT42" t="e">
        <f>AND(Plan!AU102,"AAAAAH/7fXs=")</f>
        <v>#VALUE!</v>
      </c>
      <c r="DU42" t="e">
        <f>AND(Plan!AV102,"AAAAAH/7fXw=")</f>
        <v>#VALUE!</v>
      </c>
      <c r="DV42" t="e">
        <f>AND(Plan!AW102,"AAAAAH/7fX0=")</f>
        <v>#VALUE!</v>
      </c>
      <c r="DW42" t="e">
        <f>AND(Plan!AX102,"AAAAAH/7fX4=")</f>
        <v>#VALUE!</v>
      </c>
      <c r="DX42" t="e">
        <f>AND(Plan!AY102,"AAAAAH/7fX8=")</f>
        <v>#VALUE!</v>
      </c>
      <c r="DY42" t="e">
        <f>AND(Plan!AZ102,"AAAAAH/7fYA=")</f>
        <v>#VALUE!</v>
      </c>
      <c r="DZ42" t="e">
        <f>AND(Plan!BA102,"AAAAAH/7fYE=")</f>
        <v>#VALUE!</v>
      </c>
      <c r="EA42" t="e">
        <f>AND(Plan!BB102,"AAAAAH/7fYI=")</f>
        <v>#VALUE!</v>
      </c>
      <c r="EB42" t="e">
        <f>AND(Plan!BC102,"AAAAAH/7fYM=")</f>
        <v>#VALUE!</v>
      </c>
      <c r="EC42" t="e">
        <f>AND(Plan!BD102,"AAAAAH/7fYQ=")</f>
        <v>#VALUE!</v>
      </c>
      <c r="ED42" t="e">
        <f>AND(Plan!BE102,"AAAAAH/7fYU=")</f>
        <v>#VALUE!</v>
      </c>
      <c r="EE42" t="e">
        <f>AND(Plan!BF102,"AAAAAH/7fYY=")</f>
        <v>#VALUE!</v>
      </c>
      <c r="EF42" t="e">
        <f>AND(Plan!BG102,"AAAAAH/7fYc=")</f>
        <v>#VALUE!</v>
      </c>
      <c r="EG42" t="e">
        <f>AND(Plan!BH102,"AAAAAH/7fYg=")</f>
        <v>#VALUE!</v>
      </c>
      <c r="EH42" t="e">
        <f>AND(Plan!BI102,"AAAAAH/7fYk=")</f>
        <v>#VALUE!</v>
      </c>
      <c r="EI42" t="e">
        <f>AND(Plan!BJ102,"AAAAAH/7fYo=")</f>
        <v>#VALUE!</v>
      </c>
      <c r="EJ42" t="e">
        <f>AND(Plan!BK102,"AAAAAH/7fYs=")</f>
        <v>#VALUE!</v>
      </c>
      <c r="EK42" t="e">
        <f>AND(Plan!BL102,"AAAAAH/7fYw=")</f>
        <v>#VALUE!</v>
      </c>
      <c r="EL42" t="e">
        <f>AND(Plan!BM102,"AAAAAH/7fY0=")</f>
        <v>#VALUE!</v>
      </c>
      <c r="EM42" t="e">
        <f>AND(Plan!BN102,"AAAAAH/7fY4=")</f>
        <v>#VALUE!</v>
      </c>
      <c r="EN42" t="e">
        <f>AND(Plan!BO102,"AAAAAH/7fY8=")</f>
        <v>#VALUE!</v>
      </c>
      <c r="EO42" t="e">
        <f>AND(Plan!BP102,"AAAAAH/7fZA=")</f>
        <v>#VALUE!</v>
      </c>
      <c r="EP42" t="e">
        <f>AND(Plan!BQ102,"AAAAAH/7fZE=")</f>
        <v>#VALUE!</v>
      </c>
      <c r="EQ42" t="e">
        <f>AND(Plan!BR102,"AAAAAH/7fZI=")</f>
        <v>#VALUE!</v>
      </c>
      <c r="ER42" t="e">
        <f>AND(Plan!BS102,"AAAAAH/7fZM=")</f>
        <v>#VALUE!</v>
      </c>
      <c r="ES42" t="e">
        <f>AND(Plan!BT102,"AAAAAH/7fZQ=")</f>
        <v>#VALUE!</v>
      </c>
      <c r="ET42" t="e">
        <f>AND(Plan!BU102,"AAAAAH/7fZU=")</f>
        <v>#VALUE!</v>
      </c>
      <c r="EU42" t="e">
        <f>AND(Plan!BV102,"AAAAAH/7fZY=")</f>
        <v>#VALUE!</v>
      </c>
      <c r="EV42" t="e">
        <f>AND(Plan!BW102,"AAAAAH/7fZc=")</f>
        <v>#VALUE!</v>
      </c>
      <c r="EW42" t="e">
        <f>AND(Plan!BX102,"AAAAAH/7fZg=")</f>
        <v>#VALUE!</v>
      </c>
      <c r="EX42" t="e">
        <f>AND(Plan!BY102,"AAAAAH/7fZk=")</f>
        <v>#VALUE!</v>
      </c>
      <c r="EY42" t="e">
        <f>AND(Plan!BZ102,"AAAAAH/7fZo=")</f>
        <v>#VALUE!</v>
      </c>
      <c r="EZ42" t="e">
        <f>AND(Plan!CA102,"AAAAAH/7fZs=")</f>
        <v>#VALUE!</v>
      </c>
      <c r="FA42" t="e">
        <f>AND(Plan!CB102,"AAAAAH/7fZw=")</f>
        <v>#VALUE!</v>
      </c>
      <c r="FB42" t="e">
        <f>AND(Plan!CC102,"AAAAAH/7fZ0=")</f>
        <v>#VALUE!</v>
      </c>
      <c r="FC42" t="e">
        <f>AND(Plan!CD102,"AAAAAH/7fZ4=")</f>
        <v>#VALUE!</v>
      </c>
      <c r="FD42" t="e">
        <f>AND(Plan!CE102,"AAAAAH/7fZ8=")</f>
        <v>#VALUE!</v>
      </c>
      <c r="FE42" t="e">
        <f>AND(Plan!CF102,"AAAAAH/7faA=")</f>
        <v>#VALUE!</v>
      </c>
      <c r="FF42" t="e">
        <f>AND(Plan!CG102,"AAAAAH/7faE=")</f>
        <v>#VALUE!</v>
      </c>
      <c r="FG42" t="e">
        <f>AND(Plan!CH102,"AAAAAH/7faI=")</f>
        <v>#VALUE!</v>
      </c>
      <c r="FH42" t="e">
        <f>AND(Plan!CI102,"AAAAAH/7faM=")</f>
        <v>#VALUE!</v>
      </c>
      <c r="FI42" t="e">
        <f>AND(Plan!CJ102,"AAAAAH/7faQ=")</f>
        <v>#VALUE!</v>
      </c>
      <c r="FJ42" t="e">
        <f>AND(Plan!CK102,"AAAAAH/7faU=")</f>
        <v>#VALUE!</v>
      </c>
      <c r="FK42" t="e">
        <f>AND(Plan!CL102,"AAAAAH/7faY=")</f>
        <v>#VALUE!</v>
      </c>
      <c r="FL42" t="e">
        <f>AND(Plan!CM102,"AAAAAH/7fac=")</f>
        <v>#VALUE!</v>
      </c>
      <c r="FM42" t="e">
        <f>AND(Plan!CN102,"AAAAAH/7fag=")</f>
        <v>#VALUE!</v>
      </c>
      <c r="FN42" t="e">
        <f>AND(Plan!CO102,"AAAAAH/7fak=")</f>
        <v>#VALUE!</v>
      </c>
      <c r="FO42" t="e">
        <f>AND(Plan!CP102,"AAAAAH/7fao=")</f>
        <v>#VALUE!</v>
      </c>
      <c r="FP42" t="e">
        <f>AND(Plan!CQ102,"AAAAAH/7fas=")</f>
        <v>#VALUE!</v>
      </c>
      <c r="FQ42" t="e">
        <f>AND(Plan!CR102,"AAAAAH/7faw=")</f>
        <v>#VALUE!</v>
      </c>
      <c r="FR42" t="e">
        <f>AND(Plan!CS102,"AAAAAH/7fa0=")</f>
        <v>#VALUE!</v>
      </c>
      <c r="FS42" t="e">
        <f>AND(Plan!CT102,"AAAAAH/7fa4=")</f>
        <v>#VALUE!</v>
      </c>
      <c r="FT42" t="e">
        <f>AND(Plan!CU102,"AAAAAH/7fa8=")</f>
        <v>#VALUE!</v>
      </c>
      <c r="FU42" t="e">
        <f>AND(Plan!CV102,"AAAAAH/7fbA=")</f>
        <v>#VALUE!</v>
      </c>
      <c r="FV42" t="e">
        <f>AND(Plan!CW102,"AAAAAH/7fbE=")</f>
        <v>#VALUE!</v>
      </c>
      <c r="FW42">
        <f>IF(Plan!103:103,"AAAAAH/7fbI=",0)</f>
        <v>0</v>
      </c>
      <c r="FX42" t="e">
        <f>AND(Plan!A103,"AAAAAH/7fbM=")</f>
        <v>#VALUE!</v>
      </c>
      <c r="FY42" t="e">
        <f>AND(Plan!B103,"AAAAAH/7fbQ=")</f>
        <v>#VALUE!</v>
      </c>
      <c r="FZ42" t="e">
        <f>AND(Plan!C103,"AAAAAH/7fbU=")</f>
        <v>#VALUE!</v>
      </c>
      <c r="GA42" t="e">
        <f>AND(Plan!D103,"AAAAAH/7fbY=")</f>
        <v>#VALUE!</v>
      </c>
      <c r="GB42" t="e">
        <f>AND(Plan!E103,"AAAAAH/7fbc=")</f>
        <v>#VALUE!</v>
      </c>
      <c r="GC42" t="e">
        <f>AND(Plan!F103,"AAAAAH/7fbg=")</f>
        <v>#VALUE!</v>
      </c>
      <c r="GD42" t="e">
        <f>AND(Plan!G103,"AAAAAH/7fbk=")</f>
        <v>#VALUE!</v>
      </c>
      <c r="GE42" t="e">
        <f>AND(Plan!H103,"AAAAAH/7fbo=")</f>
        <v>#VALUE!</v>
      </c>
      <c r="GF42" t="e">
        <f>AND(Plan!I103,"AAAAAH/7fbs=")</f>
        <v>#VALUE!</v>
      </c>
      <c r="GG42" t="e">
        <f>AND(Plan!J103,"AAAAAH/7fbw=")</f>
        <v>#VALUE!</v>
      </c>
      <c r="GH42" t="e">
        <f>AND(Plan!K103,"AAAAAH/7fb0=")</f>
        <v>#VALUE!</v>
      </c>
      <c r="GI42" t="e">
        <f>AND(Plan!L103,"AAAAAH/7fb4=")</f>
        <v>#VALUE!</v>
      </c>
      <c r="GJ42" t="e">
        <f>AND(Plan!M103,"AAAAAH/7fb8=")</f>
        <v>#VALUE!</v>
      </c>
      <c r="GK42" t="e">
        <f>AND(Plan!N103,"AAAAAH/7fcA=")</f>
        <v>#VALUE!</v>
      </c>
      <c r="GL42" t="e">
        <f>AND(Plan!O103,"AAAAAH/7fcE=")</f>
        <v>#VALUE!</v>
      </c>
      <c r="GM42" t="e">
        <f>AND(Plan!P103,"AAAAAH/7fcI=")</f>
        <v>#VALUE!</v>
      </c>
      <c r="GN42" t="e">
        <f>AND(Plan!Q103,"AAAAAH/7fcM=")</f>
        <v>#VALUE!</v>
      </c>
      <c r="GO42" t="e">
        <f>AND(Plan!R103,"AAAAAH/7fcQ=")</f>
        <v>#VALUE!</v>
      </c>
      <c r="GP42" t="e">
        <f>AND(Plan!S103,"AAAAAH/7fcU=")</f>
        <v>#VALUE!</v>
      </c>
      <c r="GQ42" t="e">
        <f>AND(Plan!T103,"AAAAAH/7fcY=")</f>
        <v>#VALUE!</v>
      </c>
      <c r="GR42" t="e">
        <f>AND(Plan!U103,"AAAAAH/7fcc=")</f>
        <v>#VALUE!</v>
      </c>
      <c r="GS42" t="e">
        <f>AND(Plan!V103,"AAAAAH/7fcg=")</f>
        <v>#VALUE!</v>
      </c>
      <c r="GT42" t="e">
        <f>AND(Plan!W103,"AAAAAH/7fck=")</f>
        <v>#VALUE!</v>
      </c>
      <c r="GU42" t="e">
        <f>AND(Plan!X103,"AAAAAH/7fco=")</f>
        <v>#VALUE!</v>
      </c>
      <c r="GV42" t="e">
        <f>AND(Plan!Y103,"AAAAAH/7fcs=")</f>
        <v>#VALUE!</v>
      </c>
      <c r="GW42" t="e">
        <f>AND(Plan!Z103,"AAAAAH/7fcw=")</f>
        <v>#VALUE!</v>
      </c>
      <c r="GX42" t="e">
        <f>AND(Plan!AA103,"AAAAAH/7fc0=")</f>
        <v>#VALUE!</v>
      </c>
      <c r="GY42" t="e">
        <f>AND(Plan!AB103,"AAAAAH/7fc4=")</f>
        <v>#VALUE!</v>
      </c>
      <c r="GZ42" t="e">
        <f>AND(Plan!AC103,"AAAAAH/7fc8=")</f>
        <v>#VALUE!</v>
      </c>
      <c r="HA42" t="e">
        <f>AND(Plan!AD103,"AAAAAH/7fdA=")</f>
        <v>#VALUE!</v>
      </c>
      <c r="HB42" t="e">
        <f>AND(Plan!AE103,"AAAAAH/7fdE=")</f>
        <v>#VALUE!</v>
      </c>
      <c r="HC42" t="e">
        <f>AND(Plan!AF103,"AAAAAH/7fdI=")</f>
        <v>#VALUE!</v>
      </c>
      <c r="HD42" t="e">
        <f>AND(Plan!AG103,"AAAAAH/7fdM=")</f>
        <v>#VALUE!</v>
      </c>
      <c r="HE42" t="e">
        <f>AND(Plan!AH103,"AAAAAH/7fdQ=")</f>
        <v>#VALUE!</v>
      </c>
      <c r="HF42" t="e">
        <f>AND(Plan!AI103,"AAAAAH/7fdU=")</f>
        <v>#VALUE!</v>
      </c>
      <c r="HG42" t="e">
        <f>AND(Plan!AJ103,"AAAAAH/7fdY=")</f>
        <v>#VALUE!</v>
      </c>
      <c r="HH42" t="e">
        <f>AND(Plan!AK103,"AAAAAH/7fdc=")</f>
        <v>#VALUE!</v>
      </c>
      <c r="HI42" t="e">
        <f>AND(Plan!AL103,"AAAAAH/7fdg=")</f>
        <v>#VALUE!</v>
      </c>
      <c r="HJ42" t="e">
        <f>AND(Plan!AM103,"AAAAAH/7fdk=")</f>
        <v>#VALUE!</v>
      </c>
      <c r="HK42" t="e">
        <f>AND(Plan!AN103,"AAAAAH/7fdo=")</f>
        <v>#VALUE!</v>
      </c>
      <c r="HL42" t="e">
        <f>AND(Plan!AO103,"AAAAAH/7fds=")</f>
        <v>#VALUE!</v>
      </c>
      <c r="HM42" t="e">
        <f>AND(Plan!AP103,"AAAAAH/7fdw=")</f>
        <v>#VALUE!</v>
      </c>
      <c r="HN42" t="e">
        <f>AND(Plan!AQ103,"AAAAAH/7fd0=")</f>
        <v>#VALUE!</v>
      </c>
      <c r="HO42" t="e">
        <f>AND(Plan!AR103,"AAAAAH/7fd4=")</f>
        <v>#VALUE!</v>
      </c>
      <c r="HP42" t="e">
        <f>AND(Plan!AS103,"AAAAAH/7fd8=")</f>
        <v>#VALUE!</v>
      </c>
      <c r="HQ42" t="e">
        <f>AND(Plan!AT103,"AAAAAH/7feA=")</f>
        <v>#VALUE!</v>
      </c>
      <c r="HR42" t="e">
        <f>AND(Plan!AU103,"AAAAAH/7feE=")</f>
        <v>#VALUE!</v>
      </c>
      <c r="HS42" t="e">
        <f>AND(Plan!AV103,"AAAAAH/7feI=")</f>
        <v>#VALUE!</v>
      </c>
      <c r="HT42" t="e">
        <f>AND(Plan!AW103,"AAAAAH/7feM=")</f>
        <v>#VALUE!</v>
      </c>
      <c r="HU42" t="e">
        <f>AND(Plan!AX103,"AAAAAH/7feQ=")</f>
        <v>#VALUE!</v>
      </c>
      <c r="HV42" t="e">
        <f>AND(Plan!AY103,"AAAAAH/7feU=")</f>
        <v>#VALUE!</v>
      </c>
      <c r="HW42" t="e">
        <f>AND(Plan!AZ103,"AAAAAH/7feY=")</f>
        <v>#VALUE!</v>
      </c>
      <c r="HX42" t="e">
        <f>AND(Plan!BA103,"AAAAAH/7fec=")</f>
        <v>#VALUE!</v>
      </c>
      <c r="HY42" t="e">
        <f>AND(Plan!BB103,"AAAAAH/7feg=")</f>
        <v>#VALUE!</v>
      </c>
      <c r="HZ42" t="e">
        <f>AND(Plan!BC103,"AAAAAH/7fek=")</f>
        <v>#VALUE!</v>
      </c>
      <c r="IA42" t="e">
        <f>AND(Plan!BD103,"AAAAAH/7feo=")</f>
        <v>#VALUE!</v>
      </c>
      <c r="IB42" t="e">
        <f>AND(Plan!BE103,"AAAAAH/7fes=")</f>
        <v>#VALUE!</v>
      </c>
      <c r="IC42" t="e">
        <f>AND(Plan!BF103,"AAAAAH/7few=")</f>
        <v>#VALUE!</v>
      </c>
      <c r="ID42" t="e">
        <f>AND(Plan!BG103,"AAAAAH/7fe0=")</f>
        <v>#VALUE!</v>
      </c>
      <c r="IE42" t="e">
        <f>AND(Plan!BH103,"AAAAAH/7fe4=")</f>
        <v>#VALUE!</v>
      </c>
      <c r="IF42" t="e">
        <f>AND(Plan!BI103,"AAAAAH/7fe8=")</f>
        <v>#VALUE!</v>
      </c>
      <c r="IG42" t="e">
        <f>AND(Plan!BJ103,"AAAAAH/7ffA=")</f>
        <v>#VALUE!</v>
      </c>
      <c r="IH42" t="e">
        <f>AND(Plan!BK103,"AAAAAH/7ffE=")</f>
        <v>#VALUE!</v>
      </c>
      <c r="II42" t="e">
        <f>AND(Plan!BL103,"AAAAAH/7ffI=")</f>
        <v>#VALUE!</v>
      </c>
      <c r="IJ42" t="e">
        <f>AND(Plan!BM103,"AAAAAH/7ffM=")</f>
        <v>#VALUE!</v>
      </c>
      <c r="IK42" t="e">
        <f>AND(Plan!BN103,"AAAAAH/7ffQ=")</f>
        <v>#VALUE!</v>
      </c>
      <c r="IL42" t="e">
        <f>AND(Plan!BO103,"AAAAAH/7ffU=")</f>
        <v>#VALUE!</v>
      </c>
      <c r="IM42" t="e">
        <f>AND(Plan!BP103,"AAAAAH/7ffY=")</f>
        <v>#VALUE!</v>
      </c>
      <c r="IN42" t="e">
        <f>AND(Plan!BQ103,"AAAAAH/7ffc=")</f>
        <v>#VALUE!</v>
      </c>
      <c r="IO42" t="e">
        <f>AND(Plan!BR103,"AAAAAH/7ffg=")</f>
        <v>#VALUE!</v>
      </c>
      <c r="IP42" t="e">
        <f>AND(Plan!BS103,"AAAAAH/7ffk=")</f>
        <v>#VALUE!</v>
      </c>
      <c r="IQ42" t="e">
        <f>AND(Plan!BT103,"AAAAAH/7ffo=")</f>
        <v>#VALUE!</v>
      </c>
      <c r="IR42" t="e">
        <f>AND(Plan!BU103,"AAAAAH/7ffs=")</f>
        <v>#VALUE!</v>
      </c>
      <c r="IS42" t="e">
        <f>AND(Plan!BV103,"AAAAAH/7ffw=")</f>
        <v>#VALUE!</v>
      </c>
      <c r="IT42" t="e">
        <f>AND(Plan!BW103,"AAAAAH/7ff0=")</f>
        <v>#VALUE!</v>
      </c>
      <c r="IU42" t="e">
        <f>AND(Plan!BX103,"AAAAAH/7ff4=")</f>
        <v>#VALUE!</v>
      </c>
      <c r="IV42" t="e">
        <f>AND(Plan!BY103,"AAAAAH/7ff8=")</f>
        <v>#VALUE!</v>
      </c>
    </row>
    <row r="43" spans="1:256">
      <c r="A43" t="e">
        <f>AND(Plan!BZ103,"AAAAAG29/wA=")</f>
        <v>#VALUE!</v>
      </c>
      <c r="B43" t="e">
        <f>AND(Plan!CA103,"AAAAAG29/wE=")</f>
        <v>#VALUE!</v>
      </c>
      <c r="C43" t="e">
        <f>AND(Plan!CB103,"AAAAAG29/wI=")</f>
        <v>#VALUE!</v>
      </c>
      <c r="D43" t="e">
        <f>AND(Plan!CC103,"AAAAAG29/wM=")</f>
        <v>#VALUE!</v>
      </c>
      <c r="E43" t="e">
        <f>AND(Plan!CD103,"AAAAAG29/wQ=")</f>
        <v>#VALUE!</v>
      </c>
      <c r="F43" t="e">
        <f>AND(Plan!CE103,"AAAAAG29/wU=")</f>
        <v>#VALUE!</v>
      </c>
      <c r="G43" t="e">
        <f>AND(Plan!CF103,"AAAAAG29/wY=")</f>
        <v>#VALUE!</v>
      </c>
      <c r="H43" t="e">
        <f>AND(Plan!CG103,"AAAAAG29/wc=")</f>
        <v>#VALUE!</v>
      </c>
      <c r="I43" t="e">
        <f>AND(Plan!CH103,"AAAAAG29/wg=")</f>
        <v>#VALUE!</v>
      </c>
      <c r="J43" t="e">
        <f>AND(Plan!CI103,"AAAAAG29/wk=")</f>
        <v>#VALUE!</v>
      </c>
      <c r="K43" t="e">
        <f>AND(Plan!CJ103,"AAAAAG29/wo=")</f>
        <v>#VALUE!</v>
      </c>
      <c r="L43" t="e">
        <f>AND(Plan!CK103,"AAAAAG29/ws=")</f>
        <v>#VALUE!</v>
      </c>
      <c r="M43" t="e">
        <f>AND(Plan!CL103,"AAAAAG29/ww=")</f>
        <v>#VALUE!</v>
      </c>
      <c r="N43" t="e">
        <f>AND(Plan!CM103,"AAAAAG29/w0=")</f>
        <v>#VALUE!</v>
      </c>
      <c r="O43" t="e">
        <f>AND(Plan!CN103,"AAAAAG29/w4=")</f>
        <v>#VALUE!</v>
      </c>
      <c r="P43" t="e">
        <f>AND(Plan!CO103,"AAAAAG29/w8=")</f>
        <v>#VALUE!</v>
      </c>
      <c r="Q43" t="e">
        <f>AND(Plan!CP103,"AAAAAG29/xA=")</f>
        <v>#VALUE!</v>
      </c>
      <c r="R43" t="e">
        <f>AND(Plan!CQ103,"AAAAAG29/xE=")</f>
        <v>#VALUE!</v>
      </c>
      <c r="S43" t="e">
        <f>AND(Plan!CR103,"AAAAAG29/xI=")</f>
        <v>#VALUE!</v>
      </c>
      <c r="T43" t="e">
        <f>AND(Plan!CS103,"AAAAAG29/xM=")</f>
        <v>#VALUE!</v>
      </c>
      <c r="U43" t="e">
        <f>AND(Plan!CT103,"AAAAAG29/xQ=")</f>
        <v>#VALUE!</v>
      </c>
      <c r="V43" t="e">
        <f>AND(Plan!CU103,"AAAAAG29/xU=")</f>
        <v>#VALUE!</v>
      </c>
      <c r="W43" t="e">
        <f>AND(Plan!CV103,"AAAAAG29/xY=")</f>
        <v>#VALUE!</v>
      </c>
      <c r="X43" t="e">
        <f>AND(Plan!CW103,"AAAAAG29/xc=")</f>
        <v>#VALUE!</v>
      </c>
      <c r="Y43">
        <f>IF(Plan!104:104,"AAAAAG29/xg=",0)</f>
        <v>0</v>
      </c>
      <c r="Z43" t="e">
        <f>AND(Plan!A104,"AAAAAG29/xk=")</f>
        <v>#VALUE!</v>
      </c>
      <c r="AA43" t="e">
        <f>AND(Plan!B104,"AAAAAG29/xo=")</f>
        <v>#VALUE!</v>
      </c>
      <c r="AB43" t="e">
        <f>AND(Plan!C104,"AAAAAG29/xs=")</f>
        <v>#VALUE!</v>
      </c>
      <c r="AC43" t="e">
        <f>AND(Plan!D104,"AAAAAG29/xw=")</f>
        <v>#VALUE!</v>
      </c>
      <c r="AD43" t="e">
        <f>AND(Plan!E104,"AAAAAG29/x0=")</f>
        <v>#VALUE!</v>
      </c>
      <c r="AE43" t="e">
        <f>AND(Plan!F104,"AAAAAG29/x4=")</f>
        <v>#VALUE!</v>
      </c>
      <c r="AF43" t="e">
        <f>AND(Plan!G104,"AAAAAG29/x8=")</f>
        <v>#VALUE!</v>
      </c>
      <c r="AG43" t="e">
        <f>AND(Plan!H104,"AAAAAG29/yA=")</f>
        <v>#VALUE!</v>
      </c>
      <c r="AH43" t="e">
        <f>AND(Plan!I104,"AAAAAG29/yE=")</f>
        <v>#VALUE!</v>
      </c>
      <c r="AI43" t="e">
        <f>AND(Plan!J104,"AAAAAG29/yI=")</f>
        <v>#VALUE!</v>
      </c>
      <c r="AJ43" t="e">
        <f>AND(Plan!K104,"AAAAAG29/yM=")</f>
        <v>#VALUE!</v>
      </c>
      <c r="AK43" t="e">
        <f>AND(Plan!L104,"AAAAAG29/yQ=")</f>
        <v>#VALUE!</v>
      </c>
      <c r="AL43" t="e">
        <f>AND(Plan!M104,"AAAAAG29/yU=")</f>
        <v>#VALUE!</v>
      </c>
      <c r="AM43" t="e">
        <f>AND(Plan!N104,"AAAAAG29/yY=")</f>
        <v>#VALUE!</v>
      </c>
      <c r="AN43" t="e">
        <f>AND(Plan!O104,"AAAAAG29/yc=")</f>
        <v>#VALUE!</v>
      </c>
      <c r="AO43" t="e">
        <f>AND(Plan!P104,"AAAAAG29/yg=")</f>
        <v>#VALUE!</v>
      </c>
      <c r="AP43" t="e">
        <f>AND(Plan!Q104,"AAAAAG29/yk=")</f>
        <v>#VALUE!</v>
      </c>
      <c r="AQ43" t="e">
        <f>AND(Plan!R104,"AAAAAG29/yo=")</f>
        <v>#VALUE!</v>
      </c>
      <c r="AR43" t="e">
        <f>AND(Plan!S104,"AAAAAG29/ys=")</f>
        <v>#VALUE!</v>
      </c>
      <c r="AS43" t="e">
        <f>AND(Plan!T104,"AAAAAG29/yw=")</f>
        <v>#VALUE!</v>
      </c>
      <c r="AT43" t="e">
        <f>AND(Plan!U104,"AAAAAG29/y0=")</f>
        <v>#VALUE!</v>
      </c>
      <c r="AU43" t="e">
        <f>AND(Plan!V104,"AAAAAG29/y4=")</f>
        <v>#VALUE!</v>
      </c>
      <c r="AV43" t="e">
        <f>AND(Plan!W104,"AAAAAG29/y8=")</f>
        <v>#VALUE!</v>
      </c>
      <c r="AW43" t="e">
        <f>AND(Plan!X104,"AAAAAG29/zA=")</f>
        <v>#VALUE!</v>
      </c>
      <c r="AX43" t="e">
        <f>AND(Plan!Y104,"AAAAAG29/zE=")</f>
        <v>#VALUE!</v>
      </c>
      <c r="AY43" t="e">
        <f>AND(Plan!Z104,"AAAAAG29/zI=")</f>
        <v>#VALUE!</v>
      </c>
      <c r="AZ43" t="e">
        <f>AND(Plan!AA104,"AAAAAG29/zM=")</f>
        <v>#VALUE!</v>
      </c>
      <c r="BA43" t="e">
        <f>AND(Plan!AB104,"AAAAAG29/zQ=")</f>
        <v>#VALUE!</v>
      </c>
      <c r="BB43" t="e">
        <f>AND(Plan!AC104,"AAAAAG29/zU=")</f>
        <v>#VALUE!</v>
      </c>
      <c r="BC43" t="e">
        <f>AND(Plan!AD104,"AAAAAG29/zY=")</f>
        <v>#VALUE!</v>
      </c>
      <c r="BD43" t="e">
        <f>AND(Plan!AE104,"AAAAAG29/zc=")</f>
        <v>#VALUE!</v>
      </c>
      <c r="BE43" t="e">
        <f>AND(Plan!AF104,"AAAAAG29/zg=")</f>
        <v>#VALUE!</v>
      </c>
      <c r="BF43" t="e">
        <f>AND(Plan!AG104,"AAAAAG29/zk=")</f>
        <v>#VALUE!</v>
      </c>
      <c r="BG43" t="e">
        <f>AND(Plan!AH104,"AAAAAG29/zo=")</f>
        <v>#VALUE!</v>
      </c>
      <c r="BH43" t="e">
        <f>AND(Plan!AI104,"AAAAAG29/zs=")</f>
        <v>#VALUE!</v>
      </c>
      <c r="BI43" t="e">
        <f>AND(Plan!AJ104,"AAAAAG29/zw=")</f>
        <v>#VALUE!</v>
      </c>
      <c r="BJ43" t="e">
        <f>AND(Plan!AK104,"AAAAAG29/z0=")</f>
        <v>#VALUE!</v>
      </c>
      <c r="BK43" t="e">
        <f>AND(Plan!AL104,"AAAAAG29/z4=")</f>
        <v>#VALUE!</v>
      </c>
      <c r="BL43" t="e">
        <f>AND(Plan!AM104,"AAAAAG29/z8=")</f>
        <v>#VALUE!</v>
      </c>
      <c r="BM43" t="e">
        <f>AND(Plan!AN104,"AAAAAG29/0A=")</f>
        <v>#VALUE!</v>
      </c>
      <c r="BN43" t="e">
        <f>AND(Plan!AO104,"AAAAAG29/0E=")</f>
        <v>#VALUE!</v>
      </c>
      <c r="BO43" t="e">
        <f>AND(Plan!AP104,"AAAAAG29/0I=")</f>
        <v>#VALUE!</v>
      </c>
      <c r="BP43" t="e">
        <f>AND(Plan!AQ104,"AAAAAG29/0M=")</f>
        <v>#VALUE!</v>
      </c>
      <c r="BQ43" t="e">
        <f>AND(Plan!AR104,"AAAAAG29/0Q=")</f>
        <v>#VALUE!</v>
      </c>
      <c r="BR43" t="e">
        <f>AND(Plan!AS104,"AAAAAG29/0U=")</f>
        <v>#VALUE!</v>
      </c>
      <c r="BS43" t="e">
        <f>AND(Plan!AT104,"AAAAAG29/0Y=")</f>
        <v>#VALUE!</v>
      </c>
      <c r="BT43" t="e">
        <f>AND(Plan!AU104,"AAAAAG29/0c=")</f>
        <v>#VALUE!</v>
      </c>
      <c r="BU43" t="e">
        <f>AND(Plan!AV104,"AAAAAG29/0g=")</f>
        <v>#VALUE!</v>
      </c>
      <c r="BV43" t="e">
        <f>AND(Plan!AW104,"AAAAAG29/0k=")</f>
        <v>#VALUE!</v>
      </c>
      <c r="BW43" t="e">
        <f>AND(Plan!AX104,"AAAAAG29/0o=")</f>
        <v>#VALUE!</v>
      </c>
      <c r="BX43" t="e">
        <f>AND(Plan!AY104,"AAAAAG29/0s=")</f>
        <v>#VALUE!</v>
      </c>
      <c r="BY43" t="e">
        <f>AND(Plan!AZ104,"AAAAAG29/0w=")</f>
        <v>#VALUE!</v>
      </c>
      <c r="BZ43" t="e">
        <f>AND(Plan!BA104,"AAAAAG29/00=")</f>
        <v>#VALUE!</v>
      </c>
      <c r="CA43" t="e">
        <f>AND(Plan!BB104,"AAAAAG29/04=")</f>
        <v>#VALUE!</v>
      </c>
      <c r="CB43" t="e">
        <f>AND(Plan!BC104,"AAAAAG29/08=")</f>
        <v>#VALUE!</v>
      </c>
      <c r="CC43" t="e">
        <f>AND(Plan!BD104,"AAAAAG29/1A=")</f>
        <v>#VALUE!</v>
      </c>
      <c r="CD43" t="e">
        <f>AND(Plan!BE104,"AAAAAG29/1E=")</f>
        <v>#VALUE!</v>
      </c>
      <c r="CE43" t="e">
        <f>AND(Plan!BF104,"AAAAAG29/1I=")</f>
        <v>#VALUE!</v>
      </c>
      <c r="CF43" t="e">
        <f>AND(Plan!BG104,"AAAAAG29/1M=")</f>
        <v>#VALUE!</v>
      </c>
      <c r="CG43" t="e">
        <f>AND(Plan!BH104,"AAAAAG29/1Q=")</f>
        <v>#VALUE!</v>
      </c>
      <c r="CH43" t="e">
        <f>AND(Plan!BI104,"AAAAAG29/1U=")</f>
        <v>#VALUE!</v>
      </c>
      <c r="CI43" t="e">
        <f>AND(Plan!BJ104,"AAAAAG29/1Y=")</f>
        <v>#VALUE!</v>
      </c>
      <c r="CJ43" t="e">
        <f>AND(Plan!BK104,"AAAAAG29/1c=")</f>
        <v>#VALUE!</v>
      </c>
      <c r="CK43" t="e">
        <f>AND(Plan!BL104,"AAAAAG29/1g=")</f>
        <v>#VALUE!</v>
      </c>
      <c r="CL43" t="e">
        <f>AND(Plan!BM104,"AAAAAG29/1k=")</f>
        <v>#VALUE!</v>
      </c>
      <c r="CM43" t="e">
        <f>AND(Plan!BN104,"AAAAAG29/1o=")</f>
        <v>#VALUE!</v>
      </c>
      <c r="CN43" t="e">
        <f>AND(Plan!BO104,"AAAAAG29/1s=")</f>
        <v>#VALUE!</v>
      </c>
      <c r="CO43" t="e">
        <f>AND(Plan!BP104,"AAAAAG29/1w=")</f>
        <v>#VALUE!</v>
      </c>
      <c r="CP43" t="e">
        <f>AND(Plan!BQ104,"AAAAAG29/10=")</f>
        <v>#VALUE!</v>
      </c>
      <c r="CQ43" t="e">
        <f>AND(Plan!BR104,"AAAAAG29/14=")</f>
        <v>#VALUE!</v>
      </c>
      <c r="CR43" t="e">
        <f>AND(Plan!BS104,"AAAAAG29/18=")</f>
        <v>#VALUE!</v>
      </c>
      <c r="CS43" t="e">
        <f>AND(Plan!BT104,"AAAAAG29/2A=")</f>
        <v>#VALUE!</v>
      </c>
      <c r="CT43" t="e">
        <f>AND(Plan!BU104,"AAAAAG29/2E=")</f>
        <v>#VALUE!</v>
      </c>
      <c r="CU43" t="e">
        <f>AND(Plan!BV104,"AAAAAG29/2I=")</f>
        <v>#VALUE!</v>
      </c>
      <c r="CV43" t="e">
        <f>AND(Plan!BW104,"AAAAAG29/2M=")</f>
        <v>#VALUE!</v>
      </c>
      <c r="CW43" t="e">
        <f>AND(Plan!BX104,"AAAAAG29/2Q=")</f>
        <v>#VALUE!</v>
      </c>
      <c r="CX43" t="e">
        <f>AND(Plan!BY104,"AAAAAG29/2U=")</f>
        <v>#VALUE!</v>
      </c>
      <c r="CY43" t="e">
        <f>AND(Plan!BZ104,"AAAAAG29/2Y=")</f>
        <v>#VALUE!</v>
      </c>
      <c r="CZ43" t="e">
        <f>AND(Plan!CA104,"AAAAAG29/2c=")</f>
        <v>#VALUE!</v>
      </c>
      <c r="DA43" t="e">
        <f>AND(Plan!CB104,"AAAAAG29/2g=")</f>
        <v>#VALUE!</v>
      </c>
      <c r="DB43" t="e">
        <f>AND(Plan!CC104,"AAAAAG29/2k=")</f>
        <v>#VALUE!</v>
      </c>
      <c r="DC43" t="e">
        <f>AND(Plan!CD104,"AAAAAG29/2o=")</f>
        <v>#VALUE!</v>
      </c>
      <c r="DD43" t="e">
        <f>AND(Plan!CE104,"AAAAAG29/2s=")</f>
        <v>#VALUE!</v>
      </c>
      <c r="DE43" t="e">
        <f>AND(Plan!CF104,"AAAAAG29/2w=")</f>
        <v>#VALUE!</v>
      </c>
      <c r="DF43" t="e">
        <f>AND(Plan!CG104,"AAAAAG29/20=")</f>
        <v>#VALUE!</v>
      </c>
      <c r="DG43" t="e">
        <f>AND(Plan!CH104,"AAAAAG29/24=")</f>
        <v>#VALUE!</v>
      </c>
      <c r="DH43" t="e">
        <f>AND(Plan!CI104,"AAAAAG29/28=")</f>
        <v>#VALUE!</v>
      </c>
      <c r="DI43" t="e">
        <f>AND(Plan!CJ104,"AAAAAG29/3A=")</f>
        <v>#VALUE!</v>
      </c>
      <c r="DJ43" t="e">
        <f>AND(Plan!CK104,"AAAAAG29/3E=")</f>
        <v>#VALUE!</v>
      </c>
      <c r="DK43" t="e">
        <f>AND(Plan!CL104,"AAAAAG29/3I=")</f>
        <v>#VALUE!</v>
      </c>
      <c r="DL43" t="e">
        <f>AND(Plan!CM104,"AAAAAG29/3M=")</f>
        <v>#VALUE!</v>
      </c>
      <c r="DM43" t="e">
        <f>AND(Plan!CN104,"AAAAAG29/3Q=")</f>
        <v>#VALUE!</v>
      </c>
      <c r="DN43" t="e">
        <f>AND(Plan!CO104,"AAAAAG29/3U=")</f>
        <v>#VALUE!</v>
      </c>
      <c r="DO43" t="e">
        <f>AND(Plan!CP104,"AAAAAG29/3Y=")</f>
        <v>#VALUE!</v>
      </c>
      <c r="DP43" t="e">
        <f>AND(Plan!CQ104,"AAAAAG29/3c=")</f>
        <v>#VALUE!</v>
      </c>
      <c r="DQ43" t="e">
        <f>AND(Plan!CR104,"AAAAAG29/3g=")</f>
        <v>#VALUE!</v>
      </c>
      <c r="DR43" t="e">
        <f>AND(Plan!CS104,"AAAAAG29/3k=")</f>
        <v>#VALUE!</v>
      </c>
      <c r="DS43" t="e">
        <f>AND(Plan!CT104,"AAAAAG29/3o=")</f>
        <v>#VALUE!</v>
      </c>
      <c r="DT43" t="e">
        <f>AND(Plan!CU104,"AAAAAG29/3s=")</f>
        <v>#VALUE!</v>
      </c>
      <c r="DU43" t="e">
        <f>AND(Plan!CV104,"AAAAAG29/3w=")</f>
        <v>#VALUE!</v>
      </c>
      <c r="DV43" t="e">
        <f>AND(Plan!CW104,"AAAAAG29/30=")</f>
        <v>#VALUE!</v>
      </c>
      <c r="DW43">
        <f>IF(Plan!105:105,"AAAAAG29/34=",0)</f>
        <v>0</v>
      </c>
      <c r="DX43" t="e">
        <f>AND(Plan!A105,"AAAAAG29/38=")</f>
        <v>#VALUE!</v>
      </c>
      <c r="DY43" t="e">
        <f>AND(Plan!B105,"AAAAAG29/4A=")</f>
        <v>#VALUE!</v>
      </c>
      <c r="DZ43" t="e">
        <f>AND(Plan!C105,"AAAAAG29/4E=")</f>
        <v>#VALUE!</v>
      </c>
      <c r="EA43" t="e">
        <f>AND(Plan!D105,"AAAAAG29/4I=")</f>
        <v>#VALUE!</v>
      </c>
      <c r="EB43" t="e">
        <f>AND(Plan!E105,"AAAAAG29/4M=")</f>
        <v>#VALUE!</v>
      </c>
      <c r="EC43" t="e">
        <f>AND(Plan!F105,"AAAAAG29/4Q=")</f>
        <v>#VALUE!</v>
      </c>
      <c r="ED43" t="e">
        <f>AND(Plan!G105,"AAAAAG29/4U=")</f>
        <v>#VALUE!</v>
      </c>
      <c r="EE43" t="e">
        <f>AND(Plan!H105,"AAAAAG29/4Y=")</f>
        <v>#VALUE!</v>
      </c>
      <c r="EF43" t="e">
        <f>AND(Plan!I105,"AAAAAG29/4c=")</f>
        <v>#VALUE!</v>
      </c>
      <c r="EG43" t="e">
        <f>AND(Plan!J105,"AAAAAG29/4g=")</f>
        <v>#VALUE!</v>
      </c>
      <c r="EH43" t="e">
        <f>AND(Plan!K105,"AAAAAG29/4k=")</f>
        <v>#VALUE!</v>
      </c>
      <c r="EI43" t="e">
        <f>AND(Plan!L105,"AAAAAG29/4o=")</f>
        <v>#VALUE!</v>
      </c>
      <c r="EJ43" t="e">
        <f>AND(Plan!M105,"AAAAAG29/4s=")</f>
        <v>#VALUE!</v>
      </c>
      <c r="EK43" t="e">
        <f>AND(Plan!N105,"AAAAAG29/4w=")</f>
        <v>#VALUE!</v>
      </c>
      <c r="EL43" t="e">
        <f>AND(Plan!O105,"AAAAAG29/40=")</f>
        <v>#VALUE!</v>
      </c>
      <c r="EM43" t="e">
        <f>AND(Plan!P105,"AAAAAG29/44=")</f>
        <v>#VALUE!</v>
      </c>
      <c r="EN43" t="e">
        <f>AND(Plan!Q105,"AAAAAG29/48=")</f>
        <v>#VALUE!</v>
      </c>
      <c r="EO43" t="e">
        <f>AND(Plan!R105,"AAAAAG29/5A=")</f>
        <v>#VALUE!</v>
      </c>
      <c r="EP43" t="e">
        <f>AND(Plan!S105,"AAAAAG29/5E=")</f>
        <v>#VALUE!</v>
      </c>
      <c r="EQ43" t="e">
        <f>AND(Plan!T105,"AAAAAG29/5I=")</f>
        <v>#VALUE!</v>
      </c>
      <c r="ER43" t="e">
        <f>AND(Plan!U105,"AAAAAG29/5M=")</f>
        <v>#VALUE!</v>
      </c>
      <c r="ES43" t="e">
        <f>AND(Plan!V105,"AAAAAG29/5Q=")</f>
        <v>#VALUE!</v>
      </c>
      <c r="ET43" t="e">
        <f>AND(Plan!W105,"AAAAAG29/5U=")</f>
        <v>#VALUE!</v>
      </c>
      <c r="EU43" t="e">
        <f>AND(Plan!X105,"AAAAAG29/5Y=")</f>
        <v>#VALUE!</v>
      </c>
      <c r="EV43" t="e">
        <f>AND(Plan!Y105,"AAAAAG29/5c=")</f>
        <v>#VALUE!</v>
      </c>
      <c r="EW43" t="e">
        <f>AND(Plan!Z105,"AAAAAG29/5g=")</f>
        <v>#VALUE!</v>
      </c>
      <c r="EX43" t="e">
        <f>AND(Plan!AA105,"AAAAAG29/5k=")</f>
        <v>#VALUE!</v>
      </c>
      <c r="EY43" t="e">
        <f>AND(Plan!AB105,"AAAAAG29/5o=")</f>
        <v>#VALUE!</v>
      </c>
      <c r="EZ43" t="e">
        <f>AND(Plan!AC105,"AAAAAG29/5s=")</f>
        <v>#VALUE!</v>
      </c>
      <c r="FA43" t="e">
        <f>AND(Plan!AD105,"AAAAAG29/5w=")</f>
        <v>#VALUE!</v>
      </c>
      <c r="FB43" t="e">
        <f>AND(Plan!AE105,"AAAAAG29/50=")</f>
        <v>#VALUE!</v>
      </c>
      <c r="FC43" t="e">
        <f>AND(Plan!AF105,"AAAAAG29/54=")</f>
        <v>#VALUE!</v>
      </c>
      <c r="FD43" t="e">
        <f>AND(Plan!AG105,"AAAAAG29/58=")</f>
        <v>#VALUE!</v>
      </c>
      <c r="FE43" t="e">
        <f>AND(Plan!AH105,"AAAAAG29/6A=")</f>
        <v>#VALUE!</v>
      </c>
      <c r="FF43" t="e">
        <f>AND(Plan!AI105,"AAAAAG29/6E=")</f>
        <v>#VALUE!</v>
      </c>
      <c r="FG43" t="e">
        <f>AND(Plan!AJ105,"AAAAAG29/6I=")</f>
        <v>#VALUE!</v>
      </c>
      <c r="FH43" t="e">
        <f>AND(Plan!AK105,"AAAAAG29/6M=")</f>
        <v>#VALUE!</v>
      </c>
      <c r="FI43" t="e">
        <f>AND(Plan!AL105,"AAAAAG29/6Q=")</f>
        <v>#VALUE!</v>
      </c>
      <c r="FJ43" t="e">
        <f>AND(Plan!AM105,"AAAAAG29/6U=")</f>
        <v>#VALUE!</v>
      </c>
      <c r="FK43" t="e">
        <f>AND(Plan!AN105,"AAAAAG29/6Y=")</f>
        <v>#VALUE!</v>
      </c>
      <c r="FL43" t="e">
        <f>AND(Plan!AO105,"AAAAAG29/6c=")</f>
        <v>#VALUE!</v>
      </c>
      <c r="FM43" t="e">
        <f>AND(Plan!AP105,"AAAAAG29/6g=")</f>
        <v>#VALUE!</v>
      </c>
      <c r="FN43" t="e">
        <f>AND(Plan!AQ105,"AAAAAG29/6k=")</f>
        <v>#VALUE!</v>
      </c>
      <c r="FO43" t="e">
        <f>AND(Plan!AR105,"AAAAAG29/6o=")</f>
        <v>#VALUE!</v>
      </c>
      <c r="FP43" t="e">
        <f>AND(Plan!AS105,"AAAAAG29/6s=")</f>
        <v>#VALUE!</v>
      </c>
      <c r="FQ43" t="e">
        <f>AND(Plan!AT105,"AAAAAG29/6w=")</f>
        <v>#VALUE!</v>
      </c>
      <c r="FR43" t="e">
        <f>AND(Plan!AU105,"AAAAAG29/60=")</f>
        <v>#VALUE!</v>
      </c>
      <c r="FS43" t="e">
        <f>AND(Plan!AV105,"AAAAAG29/64=")</f>
        <v>#VALUE!</v>
      </c>
      <c r="FT43" t="e">
        <f>AND(Plan!AW105,"AAAAAG29/68=")</f>
        <v>#VALUE!</v>
      </c>
      <c r="FU43" t="e">
        <f>AND(Plan!AX105,"AAAAAG29/7A=")</f>
        <v>#VALUE!</v>
      </c>
      <c r="FV43" t="e">
        <f>AND(Plan!AY105,"AAAAAG29/7E=")</f>
        <v>#VALUE!</v>
      </c>
      <c r="FW43" t="e">
        <f>AND(Plan!AZ105,"AAAAAG29/7I=")</f>
        <v>#VALUE!</v>
      </c>
      <c r="FX43" t="e">
        <f>AND(Plan!BA105,"AAAAAG29/7M=")</f>
        <v>#VALUE!</v>
      </c>
      <c r="FY43" t="e">
        <f>AND(Plan!BB105,"AAAAAG29/7Q=")</f>
        <v>#VALUE!</v>
      </c>
      <c r="FZ43" t="e">
        <f>AND(Plan!BC105,"AAAAAG29/7U=")</f>
        <v>#VALUE!</v>
      </c>
      <c r="GA43" t="e">
        <f>AND(Plan!BD105,"AAAAAG29/7Y=")</f>
        <v>#VALUE!</v>
      </c>
      <c r="GB43" t="e">
        <f>AND(Plan!BE105,"AAAAAG29/7c=")</f>
        <v>#VALUE!</v>
      </c>
      <c r="GC43" t="e">
        <f>AND(Plan!BF105,"AAAAAG29/7g=")</f>
        <v>#VALUE!</v>
      </c>
      <c r="GD43" t="e">
        <f>AND(Plan!BG105,"AAAAAG29/7k=")</f>
        <v>#VALUE!</v>
      </c>
      <c r="GE43" t="e">
        <f>AND(Plan!BH105,"AAAAAG29/7o=")</f>
        <v>#VALUE!</v>
      </c>
      <c r="GF43" t="e">
        <f>AND(Plan!BI105,"AAAAAG29/7s=")</f>
        <v>#VALUE!</v>
      </c>
      <c r="GG43" t="e">
        <f>AND(Plan!BJ105,"AAAAAG29/7w=")</f>
        <v>#VALUE!</v>
      </c>
      <c r="GH43" t="e">
        <f>AND(Plan!BK105,"AAAAAG29/70=")</f>
        <v>#VALUE!</v>
      </c>
      <c r="GI43" t="e">
        <f>AND(Plan!BL105,"AAAAAG29/74=")</f>
        <v>#VALUE!</v>
      </c>
      <c r="GJ43" t="e">
        <f>AND(Plan!BM105,"AAAAAG29/78=")</f>
        <v>#VALUE!</v>
      </c>
      <c r="GK43" t="e">
        <f>AND(Plan!BN105,"AAAAAG29/8A=")</f>
        <v>#VALUE!</v>
      </c>
      <c r="GL43" t="e">
        <f>AND(Plan!BO105,"AAAAAG29/8E=")</f>
        <v>#VALUE!</v>
      </c>
      <c r="GM43" t="e">
        <f>AND(Plan!BP105,"AAAAAG29/8I=")</f>
        <v>#VALUE!</v>
      </c>
      <c r="GN43" t="e">
        <f>AND(Plan!BQ105,"AAAAAG29/8M=")</f>
        <v>#VALUE!</v>
      </c>
      <c r="GO43" t="e">
        <f>AND(Plan!BR105,"AAAAAG29/8Q=")</f>
        <v>#VALUE!</v>
      </c>
      <c r="GP43" t="e">
        <f>AND(Plan!BS105,"AAAAAG29/8U=")</f>
        <v>#VALUE!</v>
      </c>
      <c r="GQ43" t="e">
        <f>AND(Plan!BT105,"AAAAAG29/8Y=")</f>
        <v>#VALUE!</v>
      </c>
      <c r="GR43" t="e">
        <f>AND(Plan!BU105,"AAAAAG29/8c=")</f>
        <v>#VALUE!</v>
      </c>
      <c r="GS43" t="e">
        <f>AND(Plan!BV105,"AAAAAG29/8g=")</f>
        <v>#VALUE!</v>
      </c>
      <c r="GT43" t="e">
        <f>AND(Plan!BW105,"AAAAAG29/8k=")</f>
        <v>#VALUE!</v>
      </c>
      <c r="GU43" t="e">
        <f>AND(Plan!BX105,"AAAAAG29/8o=")</f>
        <v>#VALUE!</v>
      </c>
      <c r="GV43" t="e">
        <f>AND(Plan!BY105,"AAAAAG29/8s=")</f>
        <v>#VALUE!</v>
      </c>
      <c r="GW43" t="e">
        <f>AND(Plan!BZ105,"AAAAAG29/8w=")</f>
        <v>#VALUE!</v>
      </c>
      <c r="GX43" t="e">
        <f>AND(Plan!CA105,"AAAAAG29/80=")</f>
        <v>#VALUE!</v>
      </c>
      <c r="GY43" t="e">
        <f>AND(Plan!CB105,"AAAAAG29/84=")</f>
        <v>#VALUE!</v>
      </c>
      <c r="GZ43" t="e">
        <f>AND(Plan!CC105,"AAAAAG29/88=")</f>
        <v>#VALUE!</v>
      </c>
      <c r="HA43" t="e">
        <f>AND(Plan!CD105,"AAAAAG29/9A=")</f>
        <v>#VALUE!</v>
      </c>
      <c r="HB43" t="e">
        <f>AND(Plan!CE105,"AAAAAG29/9E=")</f>
        <v>#VALUE!</v>
      </c>
      <c r="HC43" t="e">
        <f>AND(Plan!CF105,"AAAAAG29/9I=")</f>
        <v>#VALUE!</v>
      </c>
      <c r="HD43" t="e">
        <f>AND(Plan!CG105,"AAAAAG29/9M=")</f>
        <v>#VALUE!</v>
      </c>
      <c r="HE43" t="e">
        <f>AND(Plan!CH105,"AAAAAG29/9Q=")</f>
        <v>#VALUE!</v>
      </c>
      <c r="HF43" t="e">
        <f>AND(Plan!CI105,"AAAAAG29/9U=")</f>
        <v>#VALUE!</v>
      </c>
      <c r="HG43" t="e">
        <f>AND(Plan!CJ105,"AAAAAG29/9Y=")</f>
        <v>#VALUE!</v>
      </c>
      <c r="HH43" t="e">
        <f>AND(Plan!CK105,"AAAAAG29/9c=")</f>
        <v>#VALUE!</v>
      </c>
      <c r="HI43" t="e">
        <f>AND(Plan!CL105,"AAAAAG29/9g=")</f>
        <v>#VALUE!</v>
      </c>
      <c r="HJ43" t="e">
        <f>AND(Plan!CM105,"AAAAAG29/9k=")</f>
        <v>#VALUE!</v>
      </c>
      <c r="HK43" t="e">
        <f>AND(Plan!CN105,"AAAAAG29/9o=")</f>
        <v>#VALUE!</v>
      </c>
      <c r="HL43" t="e">
        <f>AND(Plan!CO105,"AAAAAG29/9s=")</f>
        <v>#VALUE!</v>
      </c>
      <c r="HM43" t="e">
        <f>AND(Plan!CP105,"AAAAAG29/9w=")</f>
        <v>#VALUE!</v>
      </c>
      <c r="HN43" t="e">
        <f>AND(Plan!CQ105,"AAAAAG29/90=")</f>
        <v>#VALUE!</v>
      </c>
      <c r="HO43" t="e">
        <f>AND(Plan!CR105,"AAAAAG29/94=")</f>
        <v>#VALUE!</v>
      </c>
      <c r="HP43" t="e">
        <f>AND(Plan!CS105,"AAAAAG29/98=")</f>
        <v>#VALUE!</v>
      </c>
      <c r="HQ43" t="e">
        <f>AND(Plan!CT105,"AAAAAG29/+A=")</f>
        <v>#VALUE!</v>
      </c>
      <c r="HR43" t="e">
        <f>AND(Plan!CU105,"AAAAAG29/+E=")</f>
        <v>#VALUE!</v>
      </c>
      <c r="HS43" t="e">
        <f>AND(Plan!CV105,"AAAAAG29/+I=")</f>
        <v>#VALUE!</v>
      </c>
      <c r="HT43" t="e">
        <f>AND(Plan!CW105,"AAAAAG29/+M=")</f>
        <v>#VALUE!</v>
      </c>
      <c r="HU43">
        <f>IF(Plan!106:106,"AAAAAG29/+Q=",0)</f>
        <v>0</v>
      </c>
      <c r="HV43" t="e">
        <f>AND(Plan!A106,"AAAAAG29/+U=")</f>
        <v>#VALUE!</v>
      </c>
      <c r="HW43" t="e">
        <f>AND(Plan!B106,"AAAAAG29/+Y=")</f>
        <v>#VALUE!</v>
      </c>
      <c r="HX43" t="e">
        <f>AND(Plan!C106,"AAAAAG29/+c=")</f>
        <v>#VALUE!</v>
      </c>
      <c r="HY43" t="e">
        <f>AND(Plan!D106,"AAAAAG29/+g=")</f>
        <v>#VALUE!</v>
      </c>
      <c r="HZ43" t="e">
        <f>AND(Plan!E106,"AAAAAG29/+k=")</f>
        <v>#VALUE!</v>
      </c>
      <c r="IA43" t="e">
        <f>AND(Plan!F106,"AAAAAG29/+o=")</f>
        <v>#VALUE!</v>
      </c>
      <c r="IB43" t="e">
        <f>AND(Plan!G106,"AAAAAG29/+s=")</f>
        <v>#VALUE!</v>
      </c>
      <c r="IC43" t="e">
        <f>AND(Plan!H106,"AAAAAG29/+w=")</f>
        <v>#VALUE!</v>
      </c>
      <c r="ID43" t="e">
        <f>AND(Plan!I106,"AAAAAG29/+0=")</f>
        <v>#VALUE!</v>
      </c>
      <c r="IE43" t="e">
        <f>AND(Plan!J106,"AAAAAG29/+4=")</f>
        <v>#VALUE!</v>
      </c>
      <c r="IF43" t="e">
        <f>AND(Plan!K106,"AAAAAG29/+8=")</f>
        <v>#VALUE!</v>
      </c>
      <c r="IG43" t="e">
        <f>AND(Plan!L106,"AAAAAG29//A=")</f>
        <v>#VALUE!</v>
      </c>
      <c r="IH43" t="e">
        <f>AND(Plan!M106,"AAAAAG29//E=")</f>
        <v>#VALUE!</v>
      </c>
      <c r="II43" t="e">
        <f>AND(Plan!N106,"AAAAAG29//I=")</f>
        <v>#VALUE!</v>
      </c>
      <c r="IJ43" t="e">
        <f>AND(Plan!O106,"AAAAAG29//M=")</f>
        <v>#VALUE!</v>
      </c>
      <c r="IK43" t="e">
        <f>AND(Plan!P106,"AAAAAG29//Q=")</f>
        <v>#VALUE!</v>
      </c>
      <c r="IL43" t="e">
        <f>AND(Plan!Q106,"AAAAAG29//U=")</f>
        <v>#VALUE!</v>
      </c>
      <c r="IM43" t="e">
        <f>AND(Plan!R106,"AAAAAG29//Y=")</f>
        <v>#VALUE!</v>
      </c>
      <c r="IN43" t="e">
        <f>AND(Plan!S106,"AAAAAG29//c=")</f>
        <v>#VALUE!</v>
      </c>
      <c r="IO43" t="e">
        <f>AND(Plan!T106,"AAAAAG29//g=")</f>
        <v>#VALUE!</v>
      </c>
      <c r="IP43" t="e">
        <f>AND(Plan!U106,"AAAAAG29//k=")</f>
        <v>#VALUE!</v>
      </c>
      <c r="IQ43" t="e">
        <f>AND(Plan!V106,"AAAAAG29//o=")</f>
        <v>#VALUE!</v>
      </c>
      <c r="IR43" t="e">
        <f>AND(Plan!W106,"AAAAAG29//s=")</f>
        <v>#VALUE!</v>
      </c>
      <c r="IS43" t="e">
        <f>AND(Plan!X106,"AAAAAG29//w=")</f>
        <v>#VALUE!</v>
      </c>
      <c r="IT43" t="e">
        <f>AND(Plan!Y106,"AAAAAG29//0=")</f>
        <v>#VALUE!</v>
      </c>
      <c r="IU43" t="e">
        <f>AND(Plan!Z106,"AAAAAG29//4=")</f>
        <v>#VALUE!</v>
      </c>
      <c r="IV43" t="e">
        <f>AND(Plan!AA106,"AAAAAG29//8=")</f>
        <v>#VALUE!</v>
      </c>
    </row>
    <row r="44" spans="1:256">
      <c r="A44" t="e">
        <f>AND(Plan!AB106,"AAAAABfmdQA=")</f>
        <v>#VALUE!</v>
      </c>
      <c r="B44" t="e">
        <f>AND(Plan!AC106,"AAAAABfmdQE=")</f>
        <v>#VALUE!</v>
      </c>
      <c r="C44" t="e">
        <f>AND(Plan!AD106,"AAAAABfmdQI=")</f>
        <v>#VALUE!</v>
      </c>
      <c r="D44" t="e">
        <f>AND(Plan!AE106,"AAAAABfmdQM=")</f>
        <v>#VALUE!</v>
      </c>
      <c r="E44" t="e">
        <f>AND(Plan!AF106,"AAAAABfmdQQ=")</f>
        <v>#VALUE!</v>
      </c>
      <c r="F44" t="e">
        <f>AND(Plan!AG106,"AAAAABfmdQU=")</f>
        <v>#VALUE!</v>
      </c>
      <c r="G44" t="e">
        <f>AND(Plan!AH106,"AAAAABfmdQY=")</f>
        <v>#VALUE!</v>
      </c>
      <c r="H44" t="e">
        <f>AND(Plan!AI106,"AAAAABfmdQc=")</f>
        <v>#VALUE!</v>
      </c>
      <c r="I44" t="e">
        <f>AND(Plan!AJ106,"AAAAABfmdQg=")</f>
        <v>#VALUE!</v>
      </c>
      <c r="J44" t="e">
        <f>AND(Plan!AK106,"AAAAABfmdQk=")</f>
        <v>#VALUE!</v>
      </c>
      <c r="K44" t="e">
        <f>AND(Plan!AL106,"AAAAABfmdQo=")</f>
        <v>#VALUE!</v>
      </c>
      <c r="L44" t="e">
        <f>AND(Plan!AM106,"AAAAABfmdQs=")</f>
        <v>#VALUE!</v>
      </c>
      <c r="M44" t="e">
        <f>AND(Plan!AN106,"AAAAABfmdQw=")</f>
        <v>#VALUE!</v>
      </c>
      <c r="N44" t="e">
        <f>AND(Plan!AO106,"AAAAABfmdQ0=")</f>
        <v>#VALUE!</v>
      </c>
      <c r="O44" t="e">
        <f>AND(Plan!AP106,"AAAAABfmdQ4=")</f>
        <v>#VALUE!</v>
      </c>
      <c r="P44" t="e">
        <f>AND(Plan!AQ106,"AAAAABfmdQ8=")</f>
        <v>#VALUE!</v>
      </c>
      <c r="Q44" t="e">
        <f>AND(Plan!AR106,"AAAAABfmdRA=")</f>
        <v>#VALUE!</v>
      </c>
      <c r="R44" t="e">
        <f>AND(Plan!AS106,"AAAAABfmdRE=")</f>
        <v>#VALUE!</v>
      </c>
      <c r="S44" t="e">
        <f>AND(Plan!AT106,"AAAAABfmdRI=")</f>
        <v>#VALUE!</v>
      </c>
      <c r="T44" t="e">
        <f>AND(Plan!AU106,"AAAAABfmdRM=")</f>
        <v>#VALUE!</v>
      </c>
      <c r="U44" t="e">
        <f>AND(Plan!AV106,"AAAAABfmdRQ=")</f>
        <v>#VALUE!</v>
      </c>
      <c r="V44" t="e">
        <f>AND(Plan!AW106,"AAAAABfmdRU=")</f>
        <v>#VALUE!</v>
      </c>
      <c r="W44" t="e">
        <f>AND(Plan!AX106,"AAAAABfmdRY=")</f>
        <v>#VALUE!</v>
      </c>
      <c r="X44" t="e">
        <f>AND(Plan!AY106,"AAAAABfmdRc=")</f>
        <v>#VALUE!</v>
      </c>
      <c r="Y44" t="e">
        <f>AND(Plan!AZ106,"AAAAABfmdRg=")</f>
        <v>#VALUE!</v>
      </c>
      <c r="Z44" t="e">
        <f>AND(Plan!BA106,"AAAAABfmdRk=")</f>
        <v>#VALUE!</v>
      </c>
      <c r="AA44" t="e">
        <f>AND(Plan!BB106,"AAAAABfmdRo=")</f>
        <v>#VALUE!</v>
      </c>
      <c r="AB44" t="e">
        <f>AND(Plan!BC106,"AAAAABfmdRs=")</f>
        <v>#VALUE!</v>
      </c>
      <c r="AC44" t="e">
        <f>AND(Plan!BD106,"AAAAABfmdRw=")</f>
        <v>#VALUE!</v>
      </c>
      <c r="AD44" t="e">
        <f>AND(Plan!BE106,"AAAAABfmdR0=")</f>
        <v>#VALUE!</v>
      </c>
      <c r="AE44" t="e">
        <f>AND(Plan!BF106,"AAAAABfmdR4=")</f>
        <v>#VALUE!</v>
      </c>
      <c r="AF44" t="e">
        <f>AND(Plan!BG106,"AAAAABfmdR8=")</f>
        <v>#VALUE!</v>
      </c>
      <c r="AG44" t="e">
        <f>AND(Plan!BH106,"AAAAABfmdSA=")</f>
        <v>#VALUE!</v>
      </c>
      <c r="AH44" t="e">
        <f>AND(Plan!BI106,"AAAAABfmdSE=")</f>
        <v>#VALUE!</v>
      </c>
      <c r="AI44" t="e">
        <f>AND(Plan!BJ106,"AAAAABfmdSI=")</f>
        <v>#VALUE!</v>
      </c>
      <c r="AJ44" t="e">
        <f>AND(Plan!BK106,"AAAAABfmdSM=")</f>
        <v>#VALUE!</v>
      </c>
      <c r="AK44" t="e">
        <f>AND(Plan!BL106,"AAAAABfmdSQ=")</f>
        <v>#VALUE!</v>
      </c>
      <c r="AL44" t="e">
        <f>AND(Plan!BM106,"AAAAABfmdSU=")</f>
        <v>#VALUE!</v>
      </c>
      <c r="AM44" t="e">
        <f>AND(Plan!BN106,"AAAAABfmdSY=")</f>
        <v>#VALUE!</v>
      </c>
      <c r="AN44" t="e">
        <f>AND(Plan!BO106,"AAAAABfmdSc=")</f>
        <v>#VALUE!</v>
      </c>
      <c r="AO44" t="e">
        <f>AND(Plan!BP106,"AAAAABfmdSg=")</f>
        <v>#VALUE!</v>
      </c>
      <c r="AP44" t="e">
        <f>AND(Plan!BQ106,"AAAAABfmdSk=")</f>
        <v>#VALUE!</v>
      </c>
      <c r="AQ44" t="e">
        <f>AND(Plan!BR106,"AAAAABfmdSo=")</f>
        <v>#VALUE!</v>
      </c>
      <c r="AR44" t="e">
        <f>AND(Plan!BS106,"AAAAABfmdSs=")</f>
        <v>#VALUE!</v>
      </c>
      <c r="AS44" t="e">
        <f>AND(Plan!BT106,"AAAAABfmdSw=")</f>
        <v>#VALUE!</v>
      </c>
      <c r="AT44" t="e">
        <f>AND(Plan!BU106,"AAAAABfmdS0=")</f>
        <v>#VALUE!</v>
      </c>
      <c r="AU44" t="e">
        <f>AND(Plan!BV106,"AAAAABfmdS4=")</f>
        <v>#VALUE!</v>
      </c>
      <c r="AV44" t="e">
        <f>AND(Plan!BW106,"AAAAABfmdS8=")</f>
        <v>#VALUE!</v>
      </c>
      <c r="AW44" t="e">
        <f>AND(Plan!BX106,"AAAAABfmdTA=")</f>
        <v>#VALUE!</v>
      </c>
      <c r="AX44" t="e">
        <f>AND(Plan!BY106,"AAAAABfmdTE=")</f>
        <v>#VALUE!</v>
      </c>
      <c r="AY44" t="e">
        <f>AND(Plan!BZ106,"AAAAABfmdTI=")</f>
        <v>#VALUE!</v>
      </c>
      <c r="AZ44" t="e">
        <f>AND(Plan!CA106,"AAAAABfmdTM=")</f>
        <v>#VALUE!</v>
      </c>
      <c r="BA44" t="e">
        <f>AND(Plan!CB106,"AAAAABfmdTQ=")</f>
        <v>#VALUE!</v>
      </c>
      <c r="BB44" t="e">
        <f>AND(Plan!CC106,"AAAAABfmdTU=")</f>
        <v>#VALUE!</v>
      </c>
      <c r="BC44" t="e">
        <f>AND(Plan!CD106,"AAAAABfmdTY=")</f>
        <v>#VALUE!</v>
      </c>
      <c r="BD44" t="e">
        <f>AND(Plan!CE106,"AAAAABfmdTc=")</f>
        <v>#VALUE!</v>
      </c>
      <c r="BE44" t="e">
        <f>AND(Plan!CF106,"AAAAABfmdTg=")</f>
        <v>#VALUE!</v>
      </c>
      <c r="BF44" t="e">
        <f>AND(Plan!CG106,"AAAAABfmdTk=")</f>
        <v>#VALUE!</v>
      </c>
      <c r="BG44" t="e">
        <f>AND(Plan!CH106,"AAAAABfmdTo=")</f>
        <v>#VALUE!</v>
      </c>
      <c r="BH44" t="e">
        <f>AND(Plan!CI106,"AAAAABfmdTs=")</f>
        <v>#VALUE!</v>
      </c>
      <c r="BI44" t="e">
        <f>AND(Plan!CJ106,"AAAAABfmdTw=")</f>
        <v>#VALUE!</v>
      </c>
      <c r="BJ44" t="e">
        <f>AND(Plan!CK106,"AAAAABfmdT0=")</f>
        <v>#VALUE!</v>
      </c>
      <c r="BK44" t="e">
        <f>AND(Plan!CL106,"AAAAABfmdT4=")</f>
        <v>#VALUE!</v>
      </c>
      <c r="BL44" t="e">
        <f>AND(Plan!CM106,"AAAAABfmdT8=")</f>
        <v>#VALUE!</v>
      </c>
      <c r="BM44" t="e">
        <f>AND(Plan!CN106,"AAAAABfmdUA=")</f>
        <v>#VALUE!</v>
      </c>
      <c r="BN44" t="e">
        <f>AND(Plan!CO106,"AAAAABfmdUE=")</f>
        <v>#VALUE!</v>
      </c>
      <c r="BO44" t="e">
        <f>AND(Plan!CP106,"AAAAABfmdUI=")</f>
        <v>#VALUE!</v>
      </c>
      <c r="BP44" t="e">
        <f>AND(Plan!CQ106,"AAAAABfmdUM=")</f>
        <v>#VALUE!</v>
      </c>
      <c r="BQ44" t="e">
        <f>AND(Plan!CR106,"AAAAABfmdUQ=")</f>
        <v>#VALUE!</v>
      </c>
      <c r="BR44" t="e">
        <f>AND(Plan!CS106,"AAAAABfmdUU=")</f>
        <v>#VALUE!</v>
      </c>
      <c r="BS44" t="e">
        <f>AND(Plan!CT106,"AAAAABfmdUY=")</f>
        <v>#VALUE!</v>
      </c>
      <c r="BT44" t="e">
        <f>AND(Plan!CU106,"AAAAABfmdUc=")</f>
        <v>#VALUE!</v>
      </c>
      <c r="BU44" t="e">
        <f>AND(Plan!CV106,"AAAAABfmdUg=")</f>
        <v>#VALUE!</v>
      </c>
      <c r="BV44" t="e">
        <f>AND(Plan!CW106,"AAAAABfmdUk=")</f>
        <v>#VALUE!</v>
      </c>
      <c r="BW44">
        <f>IF(Plan!107:107,"AAAAABfmdUo=",0)</f>
        <v>0</v>
      </c>
      <c r="BX44" t="e">
        <f>AND(Plan!A107,"AAAAABfmdUs=")</f>
        <v>#VALUE!</v>
      </c>
      <c r="BY44" t="e">
        <f>AND(Plan!B107,"AAAAABfmdUw=")</f>
        <v>#VALUE!</v>
      </c>
      <c r="BZ44" t="e">
        <f>AND(Plan!C107,"AAAAABfmdU0=")</f>
        <v>#VALUE!</v>
      </c>
      <c r="CA44" t="e">
        <f>AND(Plan!D107,"AAAAABfmdU4=")</f>
        <v>#VALUE!</v>
      </c>
      <c r="CB44" t="e">
        <f>AND(Plan!E107,"AAAAABfmdU8=")</f>
        <v>#VALUE!</v>
      </c>
      <c r="CC44" t="e">
        <f>AND(Plan!F107,"AAAAABfmdVA=")</f>
        <v>#VALUE!</v>
      </c>
      <c r="CD44" t="e">
        <f>AND(Plan!G107,"AAAAABfmdVE=")</f>
        <v>#VALUE!</v>
      </c>
      <c r="CE44" t="e">
        <f>AND(Plan!H107,"AAAAABfmdVI=")</f>
        <v>#VALUE!</v>
      </c>
      <c r="CF44" t="e">
        <f>AND(Plan!I107,"AAAAABfmdVM=")</f>
        <v>#VALUE!</v>
      </c>
      <c r="CG44" t="e">
        <f>AND(Plan!J107,"AAAAABfmdVQ=")</f>
        <v>#VALUE!</v>
      </c>
      <c r="CH44" t="e">
        <f>AND(Plan!K107,"AAAAABfmdVU=")</f>
        <v>#VALUE!</v>
      </c>
      <c r="CI44" t="e">
        <f>AND(Plan!L107,"AAAAABfmdVY=")</f>
        <v>#VALUE!</v>
      </c>
      <c r="CJ44" t="e">
        <f>AND(Plan!M107,"AAAAABfmdVc=")</f>
        <v>#VALUE!</v>
      </c>
      <c r="CK44" t="e">
        <f>AND(Plan!N107,"AAAAABfmdVg=")</f>
        <v>#VALUE!</v>
      </c>
      <c r="CL44" t="e">
        <f>AND(Plan!O107,"AAAAABfmdVk=")</f>
        <v>#VALUE!</v>
      </c>
      <c r="CM44" t="e">
        <f>AND(Plan!P107,"AAAAABfmdVo=")</f>
        <v>#VALUE!</v>
      </c>
      <c r="CN44" t="e">
        <f>AND(Plan!Q107,"AAAAABfmdVs=")</f>
        <v>#VALUE!</v>
      </c>
      <c r="CO44" t="e">
        <f>AND(Plan!R107,"AAAAABfmdVw=")</f>
        <v>#VALUE!</v>
      </c>
      <c r="CP44" t="e">
        <f>AND(Plan!S107,"AAAAABfmdV0=")</f>
        <v>#VALUE!</v>
      </c>
      <c r="CQ44" t="e">
        <f>AND(Plan!T107,"AAAAABfmdV4=")</f>
        <v>#VALUE!</v>
      </c>
      <c r="CR44" t="e">
        <f>AND(Plan!U107,"AAAAABfmdV8=")</f>
        <v>#VALUE!</v>
      </c>
      <c r="CS44" t="e">
        <f>AND(Plan!V107,"AAAAABfmdWA=")</f>
        <v>#VALUE!</v>
      </c>
      <c r="CT44" t="e">
        <f>AND(Plan!W107,"AAAAABfmdWE=")</f>
        <v>#VALUE!</v>
      </c>
      <c r="CU44" t="e">
        <f>AND(Plan!X107,"AAAAABfmdWI=")</f>
        <v>#VALUE!</v>
      </c>
      <c r="CV44" t="e">
        <f>AND(Plan!Y107,"AAAAABfmdWM=")</f>
        <v>#VALUE!</v>
      </c>
      <c r="CW44" t="e">
        <f>AND(Plan!Z107,"AAAAABfmdWQ=")</f>
        <v>#VALUE!</v>
      </c>
      <c r="CX44" t="e">
        <f>AND(Plan!AA107,"AAAAABfmdWU=")</f>
        <v>#VALUE!</v>
      </c>
      <c r="CY44" t="e">
        <f>AND(Plan!AB107,"AAAAABfmdWY=")</f>
        <v>#VALUE!</v>
      </c>
      <c r="CZ44" t="e">
        <f>AND(Plan!AC107,"AAAAABfmdWc=")</f>
        <v>#VALUE!</v>
      </c>
      <c r="DA44" t="e">
        <f>AND(Plan!AD107,"AAAAABfmdWg=")</f>
        <v>#VALUE!</v>
      </c>
      <c r="DB44" t="e">
        <f>AND(Plan!AE107,"AAAAABfmdWk=")</f>
        <v>#VALUE!</v>
      </c>
      <c r="DC44" t="e">
        <f>AND(Plan!AF107,"AAAAABfmdWo=")</f>
        <v>#VALUE!</v>
      </c>
      <c r="DD44" t="e">
        <f>AND(Plan!AG107,"AAAAABfmdWs=")</f>
        <v>#VALUE!</v>
      </c>
      <c r="DE44" t="e">
        <f>AND(Plan!AH107,"AAAAABfmdWw=")</f>
        <v>#VALUE!</v>
      </c>
      <c r="DF44" t="e">
        <f>AND(Plan!AI107,"AAAAABfmdW0=")</f>
        <v>#VALUE!</v>
      </c>
      <c r="DG44" t="e">
        <f>AND(Plan!AJ107,"AAAAABfmdW4=")</f>
        <v>#VALUE!</v>
      </c>
      <c r="DH44" t="e">
        <f>AND(Plan!AK107,"AAAAABfmdW8=")</f>
        <v>#VALUE!</v>
      </c>
      <c r="DI44" t="e">
        <f>AND(Plan!AL107,"AAAAABfmdXA=")</f>
        <v>#VALUE!</v>
      </c>
      <c r="DJ44" t="e">
        <f>AND(Plan!AM107,"AAAAABfmdXE=")</f>
        <v>#VALUE!</v>
      </c>
      <c r="DK44" t="e">
        <f>AND(Plan!AN107,"AAAAABfmdXI=")</f>
        <v>#VALUE!</v>
      </c>
      <c r="DL44" t="e">
        <f>AND(Plan!AO107,"AAAAABfmdXM=")</f>
        <v>#VALUE!</v>
      </c>
      <c r="DM44" t="e">
        <f>AND(Plan!AP107,"AAAAABfmdXQ=")</f>
        <v>#VALUE!</v>
      </c>
      <c r="DN44" t="e">
        <f>AND(Plan!AQ107,"AAAAABfmdXU=")</f>
        <v>#VALUE!</v>
      </c>
      <c r="DO44" t="e">
        <f>AND(Plan!AR107,"AAAAABfmdXY=")</f>
        <v>#VALUE!</v>
      </c>
      <c r="DP44" t="e">
        <f>AND(Plan!AS107,"AAAAABfmdXc=")</f>
        <v>#VALUE!</v>
      </c>
      <c r="DQ44" t="e">
        <f>AND(Plan!AT107,"AAAAABfmdXg=")</f>
        <v>#VALUE!</v>
      </c>
      <c r="DR44" t="e">
        <f>AND(Plan!AU107,"AAAAABfmdXk=")</f>
        <v>#VALUE!</v>
      </c>
      <c r="DS44" t="e">
        <f>AND(Plan!AV107,"AAAAABfmdXo=")</f>
        <v>#VALUE!</v>
      </c>
      <c r="DT44" t="e">
        <f>AND(Plan!AW107,"AAAAABfmdXs=")</f>
        <v>#VALUE!</v>
      </c>
      <c r="DU44" t="e">
        <f>AND(Plan!AX107,"AAAAABfmdXw=")</f>
        <v>#VALUE!</v>
      </c>
      <c r="DV44" t="e">
        <f>AND(Plan!AY107,"AAAAABfmdX0=")</f>
        <v>#VALUE!</v>
      </c>
      <c r="DW44" t="e">
        <f>AND(Plan!AZ107,"AAAAABfmdX4=")</f>
        <v>#VALUE!</v>
      </c>
      <c r="DX44" t="e">
        <f>AND(Plan!BA107,"AAAAABfmdX8=")</f>
        <v>#VALUE!</v>
      </c>
      <c r="DY44" t="e">
        <f>AND(Plan!BB107,"AAAAABfmdYA=")</f>
        <v>#VALUE!</v>
      </c>
      <c r="DZ44" t="e">
        <f>AND(Plan!BC107,"AAAAABfmdYE=")</f>
        <v>#VALUE!</v>
      </c>
      <c r="EA44" t="e">
        <f>AND(Plan!BD107,"AAAAABfmdYI=")</f>
        <v>#VALUE!</v>
      </c>
      <c r="EB44" t="e">
        <f>AND(Plan!BE107,"AAAAABfmdYM=")</f>
        <v>#VALUE!</v>
      </c>
      <c r="EC44" t="e">
        <f>AND(Plan!BF107,"AAAAABfmdYQ=")</f>
        <v>#VALUE!</v>
      </c>
      <c r="ED44" t="e">
        <f>AND(Plan!BG107,"AAAAABfmdYU=")</f>
        <v>#VALUE!</v>
      </c>
      <c r="EE44" t="e">
        <f>AND(Plan!BH107,"AAAAABfmdYY=")</f>
        <v>#VALUE!</v>
      </c>
      <c r="EF44" t="e">
        <f>AND(Plan!BI107,"AAAAABfmdYc=")</f>
        <v>#VALUE!</v>
      </c>
      <c r="EG44" t="e">
        <f>AND(Plan!BJ107,"AAAAABfmdYg=")</f>
        <v>#VALUE!</v>
      </c>
      <c r="EH44" t="e">
        <f>AND(Plan!BK107,"AAAAABfmdYk=")</f>
        <v>#VALUE!</v>
      </c>
      <c r="EI44" t="e">
        <f>AND(Plan!BL107,"AAAAABfmdYo=")</f>
        <v>#VALUE!</v>
      </c>
      <c r="EJ44" t="e">
        <f>AND(Plan!BM107,"AAAAABfmdYs=")</f>
        <v>#VALUE!</v>
      </c>
      <c r="EK44" t="e">
        <f>AND(Plan!BN107,"AAAAABfmdYw=")</f>
        <v>#VALUE!</v>
      </c>
      <c r="EL44" t="e">
        <f>AND(Plan!BO107,"AAAAABfmdY0=")</f>
        <v>#VALUE!</v>
      </c>
      <c r="EM44" t="e">
        <f>AND(Plan!BP107,"AAAAABfmdY4=")</f>
        <v>#VALUE!</v>
      </c>
      <c r="EN44" t="e">
        <f>AND(Plan!BQ107,"AAAAABfmdY8=")</f>
        <v>#VALUE!</v>
      </c>
      <c r="EO44" t="e">
        <f>AND(Plan!BR107,"AAAAABfmdZA=")</f>
        <v>#VALUE!</v>
      </c>
      <c r="EP44" t="e">
        <f>AND(Plan!BS107,"AAAAABfmdZE=")</f>
        <v>#VALUE!</v>
      </c>
      <c r="EQ44" t="e">
        <f>AND(Plan!BT107,"AAAAABfmdZI=")</f>
        <v>#VALUE!</v>
      </c>
      <c r="ER44" t="e">
        <f>AND(Plan!BU107,"AAAAABfmdZM=")</f>
        <v>#VALUE!</v>
      </c>
      <c r="ES44" t="e">
        <f>AND(Plan!BV107,"AAAAABfmdZQ=")</f>
        <v>#VALUE!</v>
      </c>
      <c r="ET44" t="e">
        <f>AND(Plan!BW107,"AAAAABfmdZU=")</f>
        <v>#VALUE!</v>
      </c>
      <c r="EU44" t="e">
        <f>AND(Plan!BX107,"AAAAABfmdZY=")</f>
        <v>#VALUE!</v>
      </c>
      <c r="EV44" t="e">
        <f>AND(Plan!BY107,"AAAAABfmdZc=")</f>
        <v>#VALUE!</v>
      </c>
      <c r="EW44" t="e">
        <f>AND(Plan!BZ107,"AAAAABfmdZg=")</f>
        <v>#VALUE!</v>
      </c>
      <c r="EX44" t="e">
        <f>AND(Plan!CA107,"AAAAABfmdZk=")</f>
        <v>#VALUE!</v>
      </c>
      <c r="EY44" t="e">
        <f>AND(Plan!CB107,"AAAAABfmdZo=")</f>
        <v>#VALUE!</v>
      </c>
      <c r="EZ44" t="e">
        <f>AND(Plan!CC107,"AAAAABfmdZs=")</f>
        <v>#VALUE!</v>
      </c>
      <c r="FA44" t="e">
        <f>AND(Plan!CD107,"AAAAABfmdZw=")</f>
        <v>#VALUE!</v>
      </c>
      <c r="FB44" t="e">
        <f>AND(Plan!CE107,"AAAAABfmdZ0=")</f>
        <v>#VALUE!</v>
      </c>
      <c r="FC44" t="e">
        <f>AND(Plan!CF107,"AAAAABfmdZ4=")</f>
        <v>#VALUE!</v>
      </c>
      <c r="FD44" t="e">
        <f>AND(Plan!CG107,"AAAAABfmdZ8=")</f>
        <v>#VALUE!</v>
      </c>
      <c r="FE44" t="e">
        <f>AND(Plan!CH107,"AAAAABfmdaA=")</f>
        <v>#VALUE!</v>
      </c>
      <c r="FF44" t="e">
        <f>AND(Plan!CI107,"AAAAABfmdaE=")</f>
        <v>#VALUE!</v>
      </c>
      <c r="FG44" t="e">
        <f>AND(Plan!CJ107,"AAAAABfmdaI=")</f>
        <v>#VALUE!</v>
      </c>
      <c r="FH44" t="e">
        <f>AND(Plan!CK107,"AAAAABfmdaM=")</f>
        <v>#VALUE!</v>
      </c>
      <c r="FI44" t="e">
        <f>AND(Plan!CL107,"AAAAABfmdaQ=")</f>
        <v>#VALUE!</v>
      </c>
      <c r="FJ44" t="e">
        <f>AND(Plan!CM107,"AAAAABfmdaU=")</f>
        <v>#VALUE!</v>
      </c>
      <c r="FK44" t="e">
        <f>AND(Plan!CN107,"AAAAABfmdaY=")</f>
        <v>#VALUE!</v>
      </c>
      <c r="FL44" t="e">
        <f>AND(Plan!CO107,"AAAAABfmdac=")</f>
        <v>#VALUE!</v>
      </c>
      <c r="FM44" t="e">
        <f>AND(Plan!CP107,"AAAAABfmdag=")</f>
        <v>#VALUE!</v>
      </c>
      <c r="FN44" t="e">
        <f>AND(Plan!CQ107,"AAAAABfmdak=")</f>
        <v>#VALUE!</v>
      </c>
      <c r="FO44" t="e">
        <f>AND(Plan!CR107,"AAAAABfmdao=")</f>
        <v>#VALUE!</v>
      </c>
      <c r="FP44" t="e">
        <f>AND(Plan!CS107,"AAAAABfmdas=")</f>
        <v>#VALUE!</v>
      </c>
      <c r="FQ44" t="e">
        <f>AND(Plan!CT107,"AAAAABfmdaw=")</f>
        <v>#VALUE!</v>
      </c>
      <c r="FR44" t="e">
        <f>AND(Plan!CU107,"AAAAABfmda0=")</f>
        <v>#VALUE!</v>
      </c>
      <c r="FS44" t="e">
        <f>AND(Plan!CV107,"AAAAABfmda4=")</f>
        <v>#VALUE!</v>
      </c>
      <c r="FT44" t="e">
        <f>AND(Plan!CW107,"AAAAABfmda8=")</f>
        <v>#VALUE!</v>
      </c>
      <c r="FU44">
        <f>IF(Plan!108:108,"AAAAABfmdbA=",0)</f>
        <v>0</v>
      </c>
      <c r="FV44" t="e">
        <f>AND(Plan!A108,"AAAAABfmdbE=")</f>
        <v>#VALUE!</v>
      </c>
      <c r="FW44" t="e">
        <f>AND(Plan!B108,"AAAAABfmdbI=")</f>
        <v>#VALUE!</v>
      </c>
      <c r="FX44" t="e">
        <f>AND(Plan!C108,"AAAAABfmdbM=")</f>
        <v>#VALUE!</v>
      </c>
      <c r="FY44" t="e">
        <f>AND(Plan!D108,"AAAAABfmdbQ=")</f>
        <v>#VALUE!</v>
      </c>
      <c r="FZ44" t="e">
        <f>AND(Plan!E108,"AAAAABfmdbU=")</f>
        <v>#VALUE!</v>
      </c>
      <c r="GA44" t="e">
        <f>AND(Plan!F108,"AAAAABfmdbY=")</f>
        <v>#VALUE!</v>
      </c>
      <c r="GB44" t="e">
        <f>AND(Plan!G108,"AAAAABfmdbc=")</f>
        <v>#VALUE!</v>
      </c>
      <c r="GC44" t="e">
        <f>AND(Plan!H108,"AAAAABfmdbg=")</f>
        <v>#VALUE!</v>
      </c>
      <c r="GD44" t="e">
        <f>AND(Plan!I108,"AAAAABfmdbk=")</f>
        <v>#VALUE!</v>
      </c>
      <c r="GE44" t="e">
        <f>AND(Plan!J108,"AAAAABfmdbo=")</f>
        <v>#VALUE!</v>
      </c>
      <c r="GF44" t="e">
        <f>AND(Plan!K108,"AAAAABfmdbs=")</f>
        <v>#VALUE!</v>
      </c>
      <c r="GG44" t="e">
        <f>AND(Plan!L108,"AAAAABfmdbw=")</f>
        <v>#VALUE!</v>
      </c>
      <c r="GH44" t="e">
        <f>AND(Plan!M108,"AAAAABfmdb0=")</f>
        <v>#VALUE!</v>
      </c>
      <c r="GI44" t="e">
        <f>AND(Plan!N108,"AAAAABfmdb4=")</f>
        <v>#VALUE!</v>
      </c>
      <c r="GJ44" t="e">
        <f>AND(Plan!O108,"AAAAABfmdb8=")</f>
        <v>#VALUE!</v>
      </c>
      <c r="GK44" t="e">
        <f>AND(Plan!P108,"AAAAABfmdcA=")</f>
        <v>#VALUE!</v>
      </c>
      <c r="GL44" t="e">
        <f>AND(Plan!Q108,"AAAAABfmdcE=")</f>
        <v>#VALUE!</v>
      </c>
      <c r="GM44" t="e">
        <f>AND(Plan!R108,"AAAAABfmdcI=")</f>
        <v>#VALUE!</v>
      </c>
      <c r="GN44" t="e">
        <f>AND(Plan!S108,"AAAAABfmdcM=")</f>
        <v>#VALUE!</v>
      </c>
      <c r="GO44" t="e">
        <f>AND(Plan!T108,"AAAAABfmdcQ=")</f>
        <v>#VALUE!</v>
      </c>
      <c r="GP44" t="e">
        <f>AND(Plan!U108,"AAAAABfmdcU=")</f>
        <v>#VALUE!</v>
      </c>
      <c r="GQ44" t="e">
        <f>AND(Plan!V108,"AAAAABfmdcY=")</f>
        <v>#VALUE!</v>
      </c>
      <c r="GR44" t="e">
        <f>AND(Plan!W108,"AAAAABfmdcc=")</f>
        <v>#VALUE!</v>
      </c>
      <c r="GS44" t="e">
        <f>AND(Plan!X108,"AAAAABfmdcg=")</f>
        <v>#VALUE!</v>
      </c>
      <c r="GT44" t="e">
        <f>AND(Plan!Y108,"AAAAABfmdck=")</f>
        <v>#VALUE!</v>
      </c>
      <c r="GU44" t="e">
        <f>AND(Plan!Z108,"AAAAABfmdco=")</f>
        <v>#VALUE!</v>
      </c>
      <c r="GV44" t="e">
        <f>AND(Plan!AA108,"AAAAABfmdcs=")</f>
        <v>#VALUE!</v>
      </c>
      <c r="GW44" t="e">
        <f>AND(Plan!AB108,"AAAAABfmdcw=")</f>
        <v>#VALUE!</v>
      </c>
      <c r="GX44" t="e">
        <f>AND(Plan!AC108,"AAAAABfmdc0=")</f>
        <v>#VALUE!</v>
      </c>
      <c r="GY44" t="e">
        <f>AND(Plan!AD108,"AAAAABfmdc4=")</f>
        <v>#VALUE!</v>
      </c>
      <c r="GZ44" t="e">
        <f>AND(Plan!AE108,"AAAAABfmdc8=")</f>
        <v>#VALUE!</v>
      </c>
      <c r="HA44" t="e">
        <f>AND(Plan!AF108,"AAAAABfmddA=")</f>
        <v>#VALUE!</v>
      </c>
      <c r="HB44" t="e">
        <f>AND(Plan!AG108,"AAAAABfmddE=")</f>
        <v>#VALUE!</v>
      </c>
      <c r="HC44" t="e">
        <f>AND(Plan!AH108,"AAAAABfmddI=")</f>
        <v>#VALUE!</v>
      </c>
      <c r="HD44" t="e">
        <f>AND(Plan!AI108,"AAAAABfmddM=")</f>
        <v>#VALUE!</v>
      </c>
      <c r="HE44" t="e">
        <f>AND(Plan!AJ108,"AAAAABfmddQ=")</f>
        <v>#VALUE!</v>
      </c>
      <c r="HF44" t="e">
        <f>AND(Plan!AK108,"AAAAABfmddU=")</f>
        <v>#VALUE!</v>
      </c>
      <c r="HG44" t="e">
        <f>AND(Plan!AL108,"AAAAABfmddY=")</f>
        <v>#VALUE!</v>
      </c>
      <c r="HH44" t="e">
        <f>AND(Plan!AM108,"AAAAABfmddc=")</f>
        <v>#VALUE!</v>
      </c>
      <c r="HI44" t="e">
        <f>AND(Plan!AN108,"AAAAABfmddg=")</f>
        <v>#VALUE!</v>
      </c>
      <c r="HJ44" t="e">
        <f>AND(Plan!AO108,"AAAAABfmddk=")</f>
        <v>#VALUE!</v>
      </c>
      <c r="HK44" t="e">
        <f>AND(Plan!AP108,"AAAAABfmddo=")</f>
        <v>#VALUE!</v>
      </c>
      <c r="HL44" t="e">
        <f>AND(Plan!AQ108,"AAAAABfmdds=")</f>
        <v>#VALUE!</v>
      </c>
      <c r="HM44" t="e">
        <f>AND(Plan!AR108,"AAAAABfmddw=")</f>
        <v>#VALUE!</v>
      </c>
      <c r="HN44" t="e">
        <f>AND(Plan!AS108,"AAAAABfmdd0=")</f>
        <v>#VALUE!</v>
      </c>
      <c r="HO44" t="e">
        <f>AND(Plan!AT108,"AAAAABfmdd4=")</f>
        <v>#VALUE!</v>
      </c>
      <c r="HP44" t="e">
        <f>AND(Plan!AU108,"AAAAABfmdd8=")</f>
        <v>#VALUE!</v>
      </c>
      <c r="HQ44" t="e">
        <f>AND(Plan!AV108,"AAAAABfmdeA=")</f>
        <v>#VALUE!</v>
      </c>
      <c r="HR44" t="e">
        <f>AND(Plan!AW108,"AAAAABfmdeE=")</f>
        <v>#VALUE!</v>
      </c>
      <c r="HS44" t="e">
        <f>AND(Plan!AX108,"AAAAABfmdeI=")</f>
        <v>#VALUE!</v>
      </c>
      <c r="HT44" t="e">
        <f>AND(Plan!AY108,"AAAAABfmdeM=")</f>
        <v>#VALUE!</v>
      </c>
      <c r="HU44" t="e">
        <f>AND(Plan!AZ108,"AAAAABfmdeQ=")</f>
        <v>#VALUE!</v>
      </c>
      <c r="HV44" t="e">
        <f>AND(Plan!BA108,"AAAAABfmdeU=")</f>
        <v>#VALUE!</v>
      </c>
      <c r="HW44" t="e">
        <f>AND(Plan!BB108,"AAAAABfmdeY=")</f>
        <v>#VALUE!</v>
      </c>
      <c r="HX44" t="e">
        <f>AND(Plan!BC108,"AAAAABfmdec=")</f>
        <v>#VALUE!</v>
      </c>
      <c r="HY44" t="e">
        <f>AND(Plan!BD108,"AAAAABfmdeg=")</f>
        <v>#VALUE!</v>
      </c>
      <c r="HZ44" t="e">
        <f>AND(Plan!BE108,"AAAAABfmdek=")</f>
        <v>#VALUE!</v>
      </c>
      <c r="IA44" t="e">
        <f>AND(Plan!BF108,"AAAAABfmdeo=")</f>
        <v>#VALUE!</v>
      </c>
      <c r="IB44" t="e">
        <f>AND(Plan!BG108,"AAAAABfmdes=")</f>
        <v>#VALUE!</v>
      </c>
      <c r="IC44" t="e">
        <f>AND(Plan!BH108,"AAAAABfmdew=")</f>
        <v>#VALUE!</v>
      </c>
      <c r="ID44" t="e">
        <f>AND(Plan!BI108,"AAAAABfmde0=")</f>
        <v>#VALUE!</v>
      </c>
      <c r="IE44" t="e">
        <f>AND(Plan!BJ108,"AAAAABfmde4=")</f>
        <v>#VALUE!</v>
      </c>
      <c r="IF44" t="e">
        <f>AND(Plan!BK108,"AAAAABfmde8=")</f>
        <v>#VALUE!</v>
      </c>
      <c r="IG44" t="e">
        <f>AND(Plan!BL108,"AAAAABfmdfA=")</f>
        <v>#VALUE!</v>
      </c>
      <c r="IH44" t="e">
        <f>AND(Plan!BM108,"AAAAABfmdfE=")</f>
        <v>#VALUE!</v>
      </c>
      <c r="II44" t="e">
        <f>AND(Plan!BN108,"AAAAABfmdfI=")</f>
        <v>#VALUE!</v>
      </c>
      <c r="IJ44" t="e">
        <f>AND(Plan!BO108,"AAAAABfmdfM=")</f>
        <v>#VALUE!</v>
      </c>
      <c r="IK44" t="e">
        <f>AND(Plan!BP108,"AAAAABfmdfQ=")</f>
        <v>#VALUE!</v>
      </c>
      <c r="IL44" t="e">
        <f>AND(Plan!BQ108,"AAAAABfmdfU=")</f>
        <v>#VALUE!</v>
      </c>
      <c r="IM44" t="e">
        <f>AND(Plan!BR108,"AAAAABfmdfY=")</f>
        <v>#VALUE!</v>
      </c>
      <c r="IN44" t="e">
        <f>AND(Plan!BS108,"AAAAABfmdfc=")</f>
        <v>#VALUE!</v>
      </c>
      <c r="IO44" t="e">
        <f>AND(Plan!BT108,"AAAAABfmdfg=")</f>
        <v>#VALUE!</v>
      </c>
      <c r="IP44" t="e">
        <f>AND(Plan!BU108,"AAAAABfmdfk=")</f>
        <v>#VALUE!</v>
      </c>
      <c r="IQ44" t="e">
        <f>AND(Plan!BV108,"AAAAABfmdfo=")</f>
        <v>#VALUE!</v>
      </c>
      <c r="IR44" t="e">
        <f>AND(Plan!BW108,"AAAAABfmdfs=")</f>
        <v>#VALUE!</v>
      </c>
      <c r="IS44" t="e">
        <f>AND(Plan!BX108,"AAAAABfmdfw=")</f>
        <v>#VALUE!</v>
      </c>
      <c r="IT44" t="e">
        <f>AND(Plan!BY108,"AAAAABfmdf0=")</f>
        <v>#VALUE!</v>
      </c>
      <c r="IU44" t="e">
        <f>AND(Plan!BZ108,"AAAAABfmdf4=")</f>
        <v>#VALUE!</v>
      </c>
      <c r="IV44" t="e">
        <f>AND(Plan!CA108,"AAAAABfmdf8=")</f>
        <v>#VALUE!</v>
      </c>
    </row>
    <row r="45" spans="1:256">
      <c r="A45" t="e">
        <f>AND(Plan!CB108,"AAAAAC++3gA=")</f>
        <v>#VALUE!</v>
      </c>
      <c r="B45" t="e">
        <f>AND(Plan!CC108,"AAAAAC++3gE=")</f>
        <v>#VALUE!</v>
      </c>
      <c r="C45" t="e">
        <f>AND(Plan!CD108,"AAAAAC++3gI=")</f>
        <v>#VALUE!</v>
      </c>
      <c r="D45" t="e">
        <f>AND(Plan!CE108,"AAAAAC++3gM=")</f>
        <v>#VALUE!</v>
      </c>
      <c r="E45" t="e">
        <f>AND(Plan!CF108,"AAAAAC++3gQ=")</f>
        <v>#VALUE!</v>
      </c>
      <c r="F45" t="e">
        <f>AND(Plan!CG108,"AAAAAC++3gU=")</f>
        <v>#VALUE!</v>
      </c>
      <c r="G45" t="e">
        <f>AND(Plan!CH108,"AAAAAC++3gY=")</f>
        <v>#VALUE!</v>
      </c>
      <c r="H45" t="e">
        <f>AND(Plan!CI108,"AAAAAC++3gc=")</f>
        <v>#VALUE!</v>
      </c>
      <c r="I45" t="e">
        <f>AND(Plan!CJ108,"AAAAAC++3gg=")</f>
        <v>#VALUE!</v>
      </c>
      <c r="J45" t="e">
        <f>AND(Plan!CK108,"AAAAAC++3gk=")</f>
        <v>#VALUE!</v>
      </c>
      <c r="K45" t="e">
        <f>AND(Plan!CL108,"AAAAAC++3go=")</f>
        <v>#VALUE!</v>
      </c>
      <c r="L45" t="e">
        <f>AND(Plan!CM108,"AAAAAC++3gs=")</f>
        <v>#VALUE!</v>
      </c>
      <c r="M45" t="e">
        <f>AND(Plan!CN108,"AAAAAC++3gw=")</f>
        <v>#VALUE!</v>
      </c>
      <c r="N45" t="e">
        <f>AND(Plan!CO108,"AAAAAC++3g0=")</f>
        <v>#VALUE!</v>
      </c>
      <c r="O45" t="e">
        <f>AND(Plan!CP108,"AAAAAC++3g4=")</f>
        <v>#VALUE!</v>
      </c>
      <c r="P45" t="e">
        <f>AND(Plan!CQ108,"AAAAAC++3g8=")</f>
        <v>#VALUE!</v>
      </c>
      <c r="Q45" t="e">
        <f>AND(Plan!CR108,"AAAAAC++3hA=")</f>
        <v>#VALUE!</v>
      </c>
      <c r="R45" t="e">
        <f>AND(Plan!CS108,"AAAAAC++3hE=")</f>
        <v>#VALUE!</v>
      </c>
      <c r="S45" t="e">
        <f>AND(Plan!CT108,"AAAAAC++3hI=")</f>
        <v>#VALUE!</v>
      </c>
      <c r="T45" t="e">
        <f>AND(Plan!CU108,"AAAAAC++3hM=")</f>
        <v>#VALUE!</v>
      </c>
      <c r="U45" t="e">
        <f>AND(Plan!CV108,"AAAAAC++3hQ=")</f>
        <v>#VALUE!</v>
      </c>
      <c r="V45" t="e">
        <f>AND(Plan!CW108,"AAAAAC++3hU=")</f>
        <v>#VALUE!</v>
      </c>
      <c r="W45">
        <f>IF(Plan!109:109,"AAAAAC++3hY=",0)</f>
        <v>0</v>
      </c>
      <c r="X45" t="e">
        <f>AND(Plan!A109,"AAAAAC++3hc=")</f>
        <v>#VALUE!</v>
      </c>
      <c r="Y45" t="e">
        <f>AND(Plan!B109,"AAAAAC++3hg=")</f>
        <v>#VALUE!</v>
      </c>
      <c r="Z45" t="e">
        <f>AND(Plan!C109,"AAAAAC++3hk=")</f>
        <v>#VALUE!</v>
      </c>
      <c r="AA45" t="e">
        <f>AND(Plan!D109,"AAAAAC++3ho=")</f>
        <v>#VALUE!</v>
      </c>
      <c r="AB45" t="e">
        <f>AND(Plan!E109,"AAAAAC++3hs=")</f>
        <v>#VALUE!</v>
      </c>
      <c r="AC45" t="e">
        <f>AND(Plan!F109,"AAAAAC++3hw=")</f>
        <v>#VALUE!</v>
      </c>
      <c r="AD45" t="e">
        <f>AND(Plan!G109,"AAAAAC++3h0=")</f>
        <v>#VALUE!</v>
      </c>
      <c r="AE45" t="e">
        <f>AND(Plan!H109,"AAAAAC++3h4=")</f>
        <v>#VALUE!</v>
      </c>
      <c r="AF45" t="e">
        <f>AND(Plan!I109,"AAAAAC++3h8=")</f>
        <v>#VALUE!</v>
      </c>
      <c r="AG45" t="e">
        <f>AND(Plan!J109,"AAAAAC++3iA=")</f>
        <v>#VALUE!</v>
      </c>
      <c r="AH45" t="e">
        <f>AND(Plan!K109,"AAAAAC++3iE=")</f>
        <v>#VALUE!</v>
      </c>
      <c r="AI45" t="e">
        <f>AND(Plan!L109,"AAAAAC++3iI=")</f>
        <v>#VALUE!</v>
      </c>
      <c r="AJ45" t="e">
        <f>AND(Plan!M109,"AAAAAC++3iM=")</f>
        <v>#VALUE!</v>
      </c>
      <c r="AK45" t="e">
        <f>AND(Plan!N109,"AAAAAC++3iQ=")</f>
        <v>#VALUE!</v>
      </c>
      <c r="AL45" t="e">
        <f>AND(Plan!O109,"AAAAAC++3iU=")</f>
        <v>#VALUE!</v>
      </c>
      <c r="AM45" t="e">
        <f>AND(Plan!P109,"AAAAAC++3iY=")</f>
        <v>#VALUE!</v>
      </c>
      <c r="AN45" t="e">
        <f>AND(Plan!Q109,"AAAAAC++3ic=")</f>
        <v>#VALUE!</v>
      </c>
      <c r="AO45" t="e">
        <f>AND(Plan!R109,"AAAAAC++3ig=")</f>
        <v>#VALUE!</v>
      </c>
      <c r="AP45" t="e">
        <f>AND(Plan!S109,"AAAAAC++3ik=")</f>
        <v>#VALUE!</v>
      </c>
      <c r="AQ45" t="e">
        <f>AND(Plan!T109,"AAAAAC++3io=")</f>
        <v>#VALUE!</v>
      </c>
      <c r="AR45" t="e">
        <f>AND(Plan!U109,"AAAAAC++3is=")</f>
        <v>#VALUE!</v>
      </c>
      <c r="AS45" t="e">
        <f>AND(Plan!V109,"AAAAAC++3iw=")</f>
        <v>#VALUE!</v>
      </c>
      <c r="AT45" t="e">
        <f>AND(Plan!W109,"AAAAAC++3i0=")</f>
        <v>#VALUE!</v>
      </c>
      <c r="AU45" t="e">
        <f>AND(Plan!X109,"AAAAAC++3i4=")</f>
        <v>#VALUE!</v>
      </c>
      <c r="AV45" t="e">
        <f>AND(Plan!Y109,"AAAAAC++3i8=")</f>
        <v>#VALUE!</v>
      </c>
      <c r="AW45" t="e">
        <f>AND(Plan!Z109,"AAAAAC++3jA=")</f>
        <v>#VALUE!</v>
      </c>
      <c r="AX45" t="e">
        <f>AND(Plan!AA109,"AAAAAC++3jE=")</f>
        <v>#VALUE!</v>
      </c>
      <c r="AY45" t="e">
        <f>AND(Plan!AB109,"AAAAAC++3jI=")</f>
        <v>#VALUE!</v>
      </c>
      <c r="AZ45" t="e">
        <f>AND(Plan!AC109,"AAAAAC++3jM=")</f>
        <v>#VALUE!</v>
      </c>
      <c r="BA45" t="e">
        <f>AND(Plan!AD109,"AAAAAC++3jQ=")</f>
        <v>#VALUE!</v>
      </c>
      <c r="BB45" t="e">
        <f>AND(Plan!AE109,"AAAAAC++3jU=")</f>
        <v>#VALUE!</v>
      </c>
      <c r="BC45" t="e">
        <f>AND(Plan!AF109,"AAAAAC++3jY=")</f>
        <v>#VALUE!</v>
      </c>
      <c r="BD45" t="e">
        <f>AND(Plan!AG109,"AAAAAC++3jc=")</f>
        <v>#VALUE!</v>
      </c>
      <c r="BE45" t="e">
        <f>AND(Plan!AH109,"AAAAAC++3jg=")</f>
        <v>#VALUE!</v>
      </c>
      <c r="BF45" t="e">
        <f>AND(Plan!AI109,"AAAAAC++3jk=")</f>
        <v>#VALUE!</v>
      </c>
      <c r="BG45" t="e">
        <f>AND(Plan!AJ109,"AAAAAC++3jo=")</f>
        <v>#VALUE!</v>
      </c>
      <c r="BH45" t="e">
        <f>AND(Plan!AK109,"AAAAAC++3js=")</f>
        <v>#VALUE!</v>
      </c>
      <c r="BI45" t="e">
        <f>AND(Plan!AL109,"AAAAAC++3jw=")</f>
        <v>#VALUE!</v>
      </c>
      <c r="BJ45" t="e">
        <f>AND(Plan!AM109,"AAAAAC++3j0=")</f>
        <v>#VALUE!</v>
      </c>
      <c r="BK45" t="e">
        <f>AND(Plan!AN109,"AAAAAC++3j4=")</f>
        <v>#VALUE!</v>
      </c>
      <c r="BL45" t="e">
        <f>AND(Plan!AO109,"AAAAAC++3j8=")</f>
        <v>#VALUE!</v>
      </c>
      <c r="BM45" t="e">
        <f>AND(Plan!AP109,"AAAAAC++3kA=")</f>
        <v>#VALUE!</v>
      </c>
      <c r="BN45" t="e">
        <f>AND(Plan!AQ109,"AAAAAC++3kE=")</f>
        <v>#VALUE!</v>
      </c>
      <c r="BO45" t="e">
        <f>AND(Plan!AR109,"AAAAAC++3kI=")</f>
        <v>#VALUE!</v>
      </c>
      <c r="BP45" t="e">
        <f>AND(Plan!AS109,"AAAAAC++3kM=")</f>
        <v>#VALUE!</v>
      </c>
      <c r="BQ45" t="e">
        <f>AND(Plan!AT109,"AAAAAC++3kQ=")</f>
        <v>#VALUE!</v>
      </c>
      <c r="BR45" t="e">
        <f>AND(Plan!AU109,"AAAAAC++3kU=")</f>
        <v>#VALUE!</v>
      </c>
      <c r="BS45" t="e">
        <f>AND(Plan!AV109,"AAAAAC++3kY=")</f>
        <v>#VALUE!</v>
      </c>
      <c r="BT45" t="e">
        <f>AND(Plan!AW109,"AAAAAC++3kc=")</f>
        <v>#VALUE!</v>
      </c>
      <c r="BU45" t="e">
        <f>AND(Plan!AX109,"AAAAAC++3kg=")</f>
        <v>#VALUE!</v>
      </c>
      <c r="BV45" t="e">
        <f>AND(Plan!AY109,"AAAAAC++3kk=")</f>
        <v>#VALUE!</v>
      </c>
      <c r="BW45" t="e">
        <f>AND(Plan!AZ109,"AAAAAC++3ko=")</f>
        <v>#VALUE!</v>
      </c>
      <c r="BX45" t="e">
        <f>AND(Plan!BA109,"AAAAAC++3ks=")</f>
        <v>#VALUE!</v>
      </c>
      <c r="BY45" t="e">
        <f>AND(Plan!BB109,"AAAAAC++3kw=")</f>
        <v>#VALUE!</v>
      </c>
      <c r="BZ45" t="e">
        <f>AND(Plan!BC109,"AAAAAC++3k0=")</f>
        <v>#VALUE!</v>
      </c>
      <c r="CA45" t="e">
        <f>AND(Plan!BD109,"AAAAAC++3k4=")</f>
        <v>#VALUE!</v>
      </c>
      <c r="CB45" t="e">
        <f>AND(Plan!BE109,"AAAAAC++3k8=")</f>
        <v>#VALUE!</v>
      </c>
      <c r="CC45" t="e">
        <f>AND(Plan!BF109,"AAAAAC++3lA=")</f>
        <v>#VALUE!</v>
      </c>
      <c r="CD45" t="e">
        <f>AND(Plan!BG109,"AAAAAC++3lE=")</f>
        <v>#VALUE!</v>
      </c>
      <c r="CE45" t="e">
        <f>AND(Plan!BH109,"AAAAAC++3lI=")</f>
        <v>#VALUE!</v>
      </c>
      <c r="CF45" t="e">
        <f>AND(Plan!BI109,"AAAAAC++3lM=")</f>
        <v>#VALUE!</v>
      </c>
      <c r="CG45" t="e">
        <f>AND(Plan!BJ109,"AAAAAC++3lQ=")</f>
        <v>#VALUE!</v>
      </c>
      <c r="CH45" t="e">
        <f>AND(Plan!BK109,"AAAAAC++3lU=")</f>
        <v>#VALUE!</v>
      </c>
      <c r="CI45" t="e">
        <f>AND(Plan!BL109,"AAAAAC++3lY=")</f>
        <v>#VALUE!</v>
      </c>
      <c r="CJ45" t="e">
        <f>AND(Plan!BM109,"AAAAAC++3lc=")</f>
        <v>#VALUE!</v>
      </c>
      <c r="CK45" t="e">
        <f>AND(Plan!BN109,"AAAAAC++3lg=")</f>
        <v>#VALUE!</v>
      </c>
      <c r="CL45" t="e">
        <f>AND(Plan!BO109,"AAAAAC++3lk=")</f>
        <v>#VALUE!</v>
      </c>
      <c r="CM45" t="e">
        <f>AND(Plan!BP109,"AAAAAC++3lo=")</f>
        <v>#VALUE!</v>
      </c>
      <c r="CN45" t="e">
        <f>AND(Plan!BQ109,"AAAAAC++3ls=")</f>
        <v>#VALUE!</v>
      </c>
      <c r="CO45" t="e">
        <f>AND(Plan!BR109,"AAAAAC++3lw=")</f>
        <v>#VALUE!</v>
      </c>
      <c r="CP45" t="e">
        <f>AND(Plan!BS109,"AAAAAC++3l0=")</f>
        <v>#VALUE!</v>
      </c>
      <c r="CQ45" t="e">
        <f>AND(Plan!BT109,"AAAAAC++3l4=")</f>
        <v>#VALUE!</v>
      </c>
      <c r="CR45" t="e">
        <f>AND(Plan!BU109,"AAAAAC++3l8=")</f>
        <v>#VALUE!</v>
      </c>
      <c r="CS45" t="e">
        <f>AND(Plan!BV109,"AAAAAC++3mA=")</f>
        <v>#VALUE!</v>
      </c>
      <c r="CT45" t="e">
        <f>AND(Plan!BW109,"AAAAAC++3mE=")</f>
        <v>#VALUE!</v>
      </c>
      <c r="CU45" t="e">
        <f>AND(Plan!BX109,"AAAAAC++3mI=")</f>
        <v>#VALUE!</v>
      </c>
      <c r="CV45" t="e">
        <f>AND(Plan!BY109,"AAAAAC++3mM=")</f>
        <v>#VALUE!</v>
      </c>
      <c r="CW45" t="e">
        <f>AND(Plan!BZ109,"AAAAAC++3mQ=")</f>
        <v>#VALUE!</v>
      </c>
      <c r="CX45" t="e">
        <f>AND(Plan!CA109,"AAAAAC++3mU=")</f>
        <v>#VALUE!</v>
      </c>
      <c r="CY45" t="e">
        <f>AND(Plan!CB109,"AAAAAC++3mY=")</f>
        <v>#VALUE!</v>
      </c>
      <c r="CZ45" t="e">
        <f>AND(Plan!CC109,"AAAAAC++3mc=")</f>
        <v>#VALUE!</v>
      </c>
      <c r="DA45" t="e">
        <f>AND(Plan!CD109,"AAAAAC++3mg=")</f>
        <v>#VALUE!</v>
      </c>
      <c r="DB45" t="e">
        <f>AND(Plan!CE109,"AAAAAC++3mk=")</f>
        <v>#VALUE!</v>
      </c>
      <c r="DC45" t="e">
        <f>AND(Plan!CF109,"AAAAAC++3mo=")</f>
        <v>#VALUE!</v>
      </c>
      <c r="DD45" t="e">
        <f>AND(Plan!CG109,"AAAAAC++3ms=")</f>
        <v>#VALUE!</v>
      </c>
      <c r="DE45" t="e">
        <f>AND(Plan!CH109,"AAAAAC++3mw=")</f>
        <v>#VALUE!</v>
      </c>
      <c r="DF45" t="e">
        <f>AND(Plan!CI109,"AAAAAC++3m0=")</f>
        <v>#VALUE!</v>
      </c>
      <c r="DG45" t="e">
        <f>AND(Plan!CJ109,"AAAAAC++3m4=")</f>
        <v>#VALUE!</v>
      </c>
      <c r="DH45" t="e">
        <f>AND(Plan!CK109,"AAAAAC++3m8=")</f>
        <v>#VALUE!</v>
      </c>
      <c r="DI45" t="e">
        <f>AND(Plan!CL109,"AAAAAC++3nA=")</f>
        <v>#VALUE!</v>
      </c>
      <c r="DJ45" t="e">
        <f>AND(Plan!CM109,"AAAAAC++3nE=")</f>
        <v>#VALUE!</v>
      </c>
      <c r="DK45" t="e">
        <f>AND(Plan!CN109,"AAAAAC++3nI=")</f>
        <v>#VALUE!</v>
      </c>
      <c r="DL45" t="e">
        <f>AND(Plan!CO109,"AAAAAC++3nM=")</f>
        <v>#VALUE!</v>
      </c>
      <c r="DM45" t="e">
        <f>AND(Plan!CP109,"AAAAAC++3nQ=")</f>
        <v>#VALUE!</v>
      </c>
      <c r="DN45" t="e">
        <f>AND(Plan!CQ109,"AAAAAC++3nU=")</f>
        <v>#VALUE!</v>
      </c>
      <c r="DO45" t="e">
        <f>AND(Plan!CR109,"AAAAAC++3nY=")</f>
        <v>#VALUE!</v>
      </c>
      <c r="DP45" t="e">
        <f>AND(Plan!CS109,"AAAAAC++3nc=")</f>
        <v>#VALUE!</v>
      </c>
      <c r="DQ45" t="e">
        <f>AND(Plan!CT109,"AAAAAC++3ng=")</f>
        <v>#VALUE!</v>
      </c>
      <c r="DR45" t="e">
        <f>AND(Plan!CU109,"AAAAAC++3nk=")</f>
        <v>#VALUE!</v>
      </c>
      <c r="DS45" t="e">
        <f>AND(Plan!CV109,"AAAAAC++3no=")</f>
        <v>#VALUE!</v>
      </c>
      <c r="DT45" t="e">
        <f>AND(Plan!CW109,"AAAAAC++3ns=")</f>
        <v>#VALUE!</v>
      </c>
      <c r="DU45">
        <f>IF(Plan!110:110,"AAAAAC++3nw=",0)</f>
        <v>0</v>
      </c>
      <c r="DV45" t="e">
        <f>AND(Plan!A110,"AAAAAC++3n0=")</f>
        <v>#VALUE!</v>
      </c>
      <c r="DW45" t="e">
        <f>AND(Plan!B110,"AAAAAC++3n4=")</f>
        <v>#VALUE!</v>
      </c>
      <c r="DX45" t="e">
        <f>AND(Plan!C110,"AAAAAC++3n8=")</f>
        <v>#VALUE!</v>
      </c>
      <c r="DY45" t="e">
        <f>AND(Plan!D110,"AAAAAC++3oA=")</f>
        <v>#VALUE!</v>
      </c>
      <c r="DZ45" t="e">
        <f>AND(Plan!E110,"AAAAAC++3oE=")</f>
        <v>#VALUE!</v>
      </c>
      <c r="EA45" t="e">
        <f>AND(Plan!F110,"AAAAAC++3oI=")</f>
        <v>#VALUE!</v>
      </c>
      <c r="EB45" t="e">
        <f>AND(Plan!G110,"AAAAAC++3oM=")</f>
        <v>#VALUE!</v>
      </c>
      <c r="EC45" t="e">
        <f>AND(Plan!H110,"AAAAAC++3oQ=")</f>
        <v>#VALUE!</v>
      </c>
      <c r="ED45" t="e">
        <f>AND(Plan!I110,"AAAAAC++3oU=")</f>
        <v>#VALUE!</v>
      </c>
      <c r="EE45" t="e">
        <f>AND(Plan!J110,"AAAAAC++3oY=")</f>
        <v>#VALUE!</v>
      </c>
      <c r="EF45" t="e">
        <f>AND(Plan!K110,"AAAAAC++3oc=")</f>
        <v>#VALUE!</v>
      </c>
      <c r="EG45" t="e">
        <f>AND(Plan!L110,"AAAAAC++3og=")</f>
        <v>#VALUE!</v>
      </c>
      <c r="EH45" t="e">
        <f>AND(Plan!M110,"AAAAAC++3ok=")</f>
        <v>#VALUE!</v>
      </c>
      <c r="EI45" t="e">
        <f>AND(Plan!N110,"AAAAAC++3oo=")</f>
        <v>#VALUE!</v>
      </c>
      <c r="EJ45" t="e">
        <f>AND(Plan!O110,"AAAAAC++3os=")</f>
        <v>#VALUE!</v>
      </c>
      <c r="EK45" t="e">
        <f>AND(Plan!P110,"AAAAAC++3ow=")</f>
        <v>#VALUE!</v>
      </c>
      <c r="EL45" t="e">
        <f>AND(Plan!Q110,"AAAAAC++3o0=")</f>
        <v>#VALUE!</v>
      </c>
      <c r="EM45" t="e">
        <f>AND(Plan!R110,"AAAAAC++3o4=")</f>
        <v>#VALUE!</v>
      </c>
      <c r="EN45" t="e">
        <f>AND(Plan!S110,"AAAAAC++3o8=")</f>
        <v>#VALUE!</v>
      </c>
      <c r="EO45" t="e">
        <f>AND(Plan!T110,"AAAAAC++3pA=")</f>
        <v>#VALUE!</v>
      </c>
      <c r="EP45" t="e">
        <f>AND(Plan!U110,"AAAAAC++3pE=")</f>
        <v>#VALUE!</v>
      </c>
      <c r="EQ45" t="e">
        <f>AND(Plan!V110,"AAAAAC++3pI=")</f>
        <v>#VALUE!</v>
      </c>
      <c r="ER45" t="e">
        <f>AND(Plan!W110,"AAAAAC++3pM=")</f>
        <v>#VALUE!</v>
      </c>
      <c r="ES45" t="e">
        <f>AND(Plan!X110,"AAAAAC++3pQ=")</f>
        <v>#VALUE!</v>
      </c>
      <c r="ET45" t="e">
        <f>AND(Plan!Y110,"AAAAAC++3pU=")</f>
        <v>#VALUE!</v>
      </c>
      <c r="EU45" t="e">
        <f>AND(Plan!Z110,"AAAAAC++3pY=")</f>
        <v>#VALUE!</v>
      </c>
      <c r="EV45" t="e">
        <f>AND(Plan!AA110,"AAAAAC++3pc=")</f>
        <v>#VALUE!</v>
      </c>
      <c r="EW45" t="e">
        <f>AND(Plan!AB110,"AAAAAC++3pg=")</f>
        <v>#VALUE!</v>
      </c>
      <c r="EX45" t="e">
        <f>AND(Plan!AC110,"AAAAAC++3pk=")</f>
        <v>#VALUE!</v>
      </c>
      <c r="EY45" t="e">
        <f>AND(Plan!AD110,"AAAAAC++3po=")</f>
        <v>#VALUE!</v>
      </c>
      <c r="EZ45" t="e">
        <f>AND(Plan!AE110,"AAAAAC++3ps=")</f>
        <v>#VALUE!</v>
      </c>
      <c r="FA45" t="e">
        <f>AND(Plan!AF110,"AAAAAC++3pw=")</f>
        <v>#VALUE!</v>
      </c>
      <c r="FB45" t="e">
        <f>AND(Plan!AG110,"AAAAAC++3p0=")</f>
        <v>#VALUE!</v>
      </c>
      <c r="FC45" t="e">
        <f>AND(Plan!AH110,"AAAAAC++3p4=")</f>
        <v>#VALUE!</v>
      </c>
      <c r="FD45" t="e">
        <f>AND(Plan!AI110,"AAAAAC++3p8=")</f>
        <v>#VALUE!</v>
      </c>
      <c r="FE45" t="e">
        <f>AND(Plan!AJ110,"AAAAAC++3qA=")</f>
        <v>#VALUE!</v>
      </c>
      <c r="FF45" t="e">
        <f>AND(Plan!AK110,"AAAAAC++3qE=")</f>
        <v>#VALUE!</v>
      </c>
      <c r="FG45" t="e">
        <f>AND(Plan!AL110,"AAAAAC++3qI=")</f>
        <v>#VALUE!</v>
      </c>
      <c r="FH45" t="e">
        <f>AND(Plan!AM110,"AAAAAC++3qM=")</f>
        <v>#VALUE!</v>
      </c>
      <c r="FI45" t="e">
        <f>AND(Plan!AN110,"AAAAAC++3qQ=")</f>
        <v>#VALUE!</v>
      </c>
      <c r="FJ45" t="e">
        <f>AND(Plan!AO110,"AAAAAC++3qU=")</f>
        <v>#VALUE!</v>
      </c>
      <c r="FK45" t="e">
        <f>AND(Plan!AP110,"AAAAAC++3qY=")</f>
        <v>#VALUE!</v>
      </c>
      <c r="FL45" t="e">
        <f>AND(Plan!AQ110,"AAAAAC++3qc=")</f>
        <v>#VALUE!</v>
      </c>
      <c r="FM45" t="e">
        <f>AND(Plan!AR110,"AAAAAC++3qg=")</f>
        <v>#VALUE!</v>
      </c>
      <c r="FN45" t="e">
        <f>AND(Plan!AS110,"AAAAAC++3qk=")</f>
        <v>#VALUE!</v>
      </c>
      <c r="FO45" t="e">
        <f>AND(Plan!AT110,"AAAAAC++3qo=")</f>
        <v>#VALUE!</v>
      </c>
      <c r="FP45" t="e">
        <f>AND(Plan!AU110,"AAAAAC++3qs=")</f>
        <v>#VALUE!</v>
      </c>
      <c r="FQ45" t="e">
        <f>AND(Plan!AV110,"AAAAAC++3qw=")</f>
        <v>#VALUE!</v>
      </c>
      <c r="FR45" t="e">
        <f>AND(Plan!AW110,"AAAAAC++3q0=")</f>
        <v>#VALUE!</v>
      </c>
      <c r="FS45" t="e">
        <f>AND(Plan!AX110,"AAAAAC++3q4=")</f>
        <v>#VALUE!</v>
      </c>
      <c r="FT45" t="e">
        <f>AND(Plan!AY110,"AAAAAC++3q8=")</f>
        <v>#VALUE!</v>
      </c>
      <c r="FU45" t="e">
        <f>AND(Plan!AZ110,"AAAAAC++3rA=")</f>
        <v>#VALUE!</v>
      </c>
      <c r="FV45" t="e">
        <f>AND(Plan!BA110,"AAAAAC++3rE=")</f>
        <v>#VALUE!</v>
      </c>
      <c r="FW45" t="e">
        <f>AND(Plan!BB110,"AAAAAC++3rI=")</f>
        <v>#VALUE!</v>
      </c>
      <c r="FX45" t="e">
        <f>AND(Plan!BC110,"AAAAAC++3rM=")</f>
        <v>#VALUE!</v>
      </c>
      <c r="FY45" t="e">
        <f>AND(Plan!BD110,"AAAAAC++3rQ=")</f>
        <v>#VALUE!</v>
      </c>
      <c r="FZ45" t="e">
        <f>AND(Plan!BE110,"AAAAAC++3rU=")</f>
        <v>#VALUE!</v>
      </c>
      <c r="GA45" t="e">
        <f>AND(Plan!BF110,"AAAAAC++3rY=")</f>
        <v>#VALUE!</v>
      </c>
      <c r="GB45" t="e">
        <f>AND(Plan!BG110,"AAAAAC++3rc=")</f>
        <v>#VALUE!</v>
      </c>
      <c r="GC45" t="e">
        <f>AND(Plan!BH110,"AAAAAC++3rg=")</f>
        <v>#VALUE!</v>
      </c>
      <c r="GD45" t="e">
        <f>AND(Plan!BI110,"AAAAAC++3rk=")</f>
        <v>#VALUE!</v>
      </c>
      <c r="GE45" t="e">
        <f>AND(Plan!BJ110,"AAAAAC++3ro=")</f>
        <v>#VALUE!</v>
      </c>
      <c r="GF45" t="e">
        <f>AND(Plan!BK110,"AAAAAC++3rs=")</f>
        <v>#VALUE!</v>
      </c>
      <c r="GG45" t="e">
        <f>AND(Plan!BL110,"AAAAAC++3rw=")</f>
        <v>#VALUE!</v>
      </c>
      <c r="GH45" t="e">
        <f>AND(Plan!BM110,"AAAAAC++3r0=")</f>
        <v>#VALUE!</v>
      </c>
      <c r="GI45" t="e">
        <f>AND(Plan!BN110,"AAAAAC++3r4=")</f>
        <v>#VALUE!</v>
      </c>
      <c r="GJ45" t="e">
        <f>AND(Plan!BO110,"AAAAAC++3r8=")</f>
        <v>#VALUE!</v>
      </c>
      <c r="GK45" t="e">
        <f>AND(Plan!BP110,"AAAAAC++3sA=")</f>
        <v>#VALUE!</v>
      </c>
      <c r="GL45" t="e">
        <f>AND(Plan!BQ110,"AAAAAC++3sE=")</f>
        <v>#VALUE!</v>
      </c>
      <c r="GM45" t="e">
        <f>AND(Plan!BR110,"AAAAAC++3sI=")</f>
        <v>#VALUE!</v>
      </c>
      <c r="GN45" t="e">
        <f>AND(Plan!BS110,"AAAAAC++3sM=")</f>
        <v>#VALUE!</v>
      </c>
      <c r="GO45" t="e">
        <f>AND(Plan!BT110,"AAAAAC++3sQ=")</f>
        <v>#VALUE!</v>
      </c>
      <c r="GP45" t="e">
        <f>AND(Plan!BU110,"AAAAAC++3sU=")</f>
        <v>#VALUE!</v>
      </c>
      <c r="GQ45" t="e">
        <f>AND(Plan!BV110,"AAAAAC++3sY=")</f>
        <v>#VALUE!</v>
      </c>
      <c r="GR45" t="e">
        <f>AND(Plan!BW110,"AAAAAC++3sc=")</f>
        <v>#VALUE!</v>
      </c>
      <c r="GS45" t="e">
        <f>AND(Plan!BX110,"AAAAAC++3sg=")</f>
        <v>#VALUE!</v>
      </c>
      <c r="GT45" t="e">
        <f>AND(Plan!BY110,"AAAAAC++3sk=")</f>
        <v>#VALUE!</v>
      </c>
      <c r="GU45" t="e">
        <f>AND(Plan!BZ110,"AAAAAC++3so=")</f>
        <v>#VALUE!</v>
      </c>
      <c r="GV45" t="e">
        <f>AND(Plan!CA110,"AAAAAC++3ss=")</f>
        <v>#VALUE!</v>
      </c>
      <c r="GW45" t="e">
        <f>AND(Plan!CB110,"AAAAAC++3sw=")</f>
        <v>#VALUE!</v>
      </c>
      <c r="GX45" t="e">
        <f>AND(Plan!CC110,"AAAAAC++3s0=")</f>
        <v>#VALUE!</v>
      </c>
      <c r="GY45" t="e">
        <f>AND(Plan!CD110,"AAAAAC++3s4=")</f>
        <v>#VALUE!</v>
      </c>
      <c r="GZ45" t="e">
        <f>AND(Plan!CE110,"AAAAAC++3s8=")</f>
        <v>#VALUE!</v>
      </c>
      <c r="HA45" t="e">
        <f>AND(Plan!CF110,"AAAAAC++3tA=")</f>
        <v>#VALUE!</v>
      </c>
      <c r="HB45" t="e">
        <f>AND(Plan!CG110,"AAAAAC++3tE=")</f>
        <v>#VALUE!</v>
      </c>
      <c r="HC45" t="e">
        <f>AND(Plan!CH110,"AAAAAC++3tI=")</f>
        <v>#VALUE!</v>
      </c>
      <c r="HD45" t="e">
        <f>AND(Plan!CI110,"AAAAAC++3tM=")</f>
        <v>#VALUE!</v>
      </c>
      <c r="HE45" t="e">
        <f>AND(Plan!CJ110,"AAAAAC++3tQ=")</f>
        <v>#VALUE!</v>
      </c>
      <c r="HF45" t="e">
        <f>AND(Plan!CK110,"AAAAAC++3tU=")</f>
        <v>#VALUE!</v>
      </c>
      <c r="HG45" t="e">
        <f>AND(Plan!CL110,"AAAAAC++3tY=")</f>
        <v>#VALUE!</v>
      </c>
      <c r="HH45" t="e">
        <f>AND(Plan!CM110,"AAAAAC++3tc=")</f>
        <v>#VALUE!</v>
      </c>
      <c r="HI45" t="e">
        <f>AND(Plan!CN110,"AAAAAC++3tg=")</f>
        <v>#VALUE!</v>
      </c>
      <c r="HJ45" t="e">
        <f>AND(Plan!CO110,"AAAAAC++3tk=")</f>
        <v>#VALUE!</v>
      </c>
      <c r="HK45" t="e">
        <f>AND(Plan!CP110,"AAAAAC++3to=")</f>
        <v>#VALUE!</v>
      </c>
      <c r="HL45" t="e">
        <f>AND(Plan!CQ110,"AAAAAC++3ts=")</f>
        <v>#VALUE!</v>
      </c>
      <c r="HM45" t="e">
        <f>AND(Plan!CR110,"AAAAAC++3tw=")</f>
        <v>#VALUE!</v>
      </c>
      <c r="HN45" t="e">
        <f>AND(Plan!CS110,"AAAAAC++3t0=")</f>
        <v>#VALUE!</v>
      </c>
      <c r="HO45" t="e">
        <f>AND(Plan!CT110,"AAAAAC++3t4=")</f>
        <v>#VALUE!</v>
      </c>
      <c r="HP45" t="e">
        <f>AND(Plan!CU110,"AAAAAC++3t8=")</f>
        <v>#VALUE!</v>
      </c>
      <c r="HQ45" t="e">
        <f>AND(Plan!CV110,"AAAAAC++3uA=")</f>
        <v>#VALUE!</v>
      </c>
      <c r="HR45" t="e">
        <f>AND(Plan!CW110,"AAAAAC++3uE=")</f>
        <v>#VALUE!</v>
      </c>
      <c r="HS45">
        <f>IF(Plan!111:111,"AAAAAC++3uI=",0)</f>
        <v>0</v>
      </c>
      <c r="HT45" t="e">
        <f>AND(Plan!A111,"AAAAAC++3uM=")</f>
        <v>#VALUE!</v>
      </c>
      <c r="HU45" t="e">
        <f>AND(Plan!B111,"AAAAAC++3uQ=")</f>
        <v>#VALUE!</v>
      </c>
      <c r="HV45" t="e">
        <f>AND(Plan!C111,"AAAAAC++3uU=")</f>
        <v>#VALUE!</v>
      </c>
      <c r="HW45" t="e">
        <f>AND(Plan!D111,"AAAAAC++3uY=")</f>
        <v>#VALUE!</v>
      </c>
      <c r="HX45" t="e">
        <f>AND(Plan!E111,"AAAAAC++3uc=")</f>
        <v>#VALUE!</v>
      </c>
      <c r="HY45" t="e">
        <f>AND(Plan!F111,"AAAAAC++3ug=")</f>
        <v>#VALUE!</v>
      </c>
      <c r="HZ45" t="e">
        <f>AND(Plan!G111,"AAAAAC++3uk=")</f>
        <v>#VALUE!</v>
      </c>
      <c r="IA45" t="e">
        <f>AND(Plan!H111,"AAAAAC++3uo=")</f>
        <v>#VALUE!</v>
      </c>
      <c r="IB45" t="e">
        <f>AND(Plan!I111,"AAAAAC++3us=")</f>
        <v>#VALUE!</v>
      </c>
      <c r="IC45" t="e">
        <f>AND(Plan!J111,"AAAAAC++3uw=")</f>
        <v>#VALUE!</v>
      </c>
      <c r="ID45" t="e">
        <f>AND(Plan!K111,"AAAAAC++3u0=")</f>
        <v>#VALUE!</v>
      </c>
      <c r="IE45" t="e">
        <f>AND(Plan!L111,"AAAAAC++3u4=")</f>
        <v>#VALUE!</v>
      </c>
      <c r="IF45" t="e">
        <f>AND(Plan!M111,"AAAAAC++3u8=")</f>
        <v>#VALUE!</v>
      </c>
      <c r="IG45" t="e">
        <f>AND(Plan!N111,"AAAAAC++3vA=")</f>
        <v>#VALUE!</v>
      </c>
      <c r="IH45" t="e">
        <f>AND(Plan!O111,"AAAAAC++3vE=")</f>
        <v>#VALUE!</v>
      </c>
      <c r="II45" t="e">
        <f>AND(Plan!P111,"AAAAAC++3vI=")</f>
        <v>#VALUE!</v>
      </c>
      <c r="IJ45" t="e">
        <f>AND(Plan!Q111,"AAAAAC++3vM=")</f>
        <v>#VALUE!</v>
      </c>
      <c r="IK45" t="e">
        <f>AND(Plan!R111,"AAAAAC++3vQ=")</f>
        <v>#VALUE!</v>
      </c>
      <c r="IL45" t="e">
        <f>AND(Plan!S111,"AAAAAC++3vU=")</f>
        <v>#VALUE!</v>
      </c>
      <c r="IM45" t="e">
        <f>AND(Plan!T111,"AAAAAC++3vY=")</f>
        <v>#VALUE!</v>
      </c>
      <c r="IN45" t="e">
        <f>AND(Plan!U111,"AAAAAC++3vc=")</f>
        <v>#VALUE!</v>
      </c>
      <c r="IO45" t="e">
        <f>AND(Plan!V111,"AAAAAC++3vg=")</f>
        <v>#VALUE!</v>
      </c>
      <c r="IP45" t="e">
        <f>AND(Plan!W111,"AAAAAC++3vk=")</f>
        <v>#VALUE!</v>
      </c>
      <c r="IQ45" t="e">
        <f>AND(Plan!X111,"AAAAAC++3vo=")</f>
        <v>#VALUE!</v>
      </c>
      <c r="IR45" t="e">
        <f>AND(Plan!Y111,"AAAAAC++3vs=")</f>
        <v>#VALUE!</v>
      </c>
      <c r="IS45" t="e">
        <f>AND(Plan!Z111,"AAAAAC++3vw=")</f>
        <v>#VALUE!</v>
      </c>
      <c r="IT45" t="e">
        <f>AND(Plan!AA111,"AAAAAC++3v0=")</f>
        <v>#VALUE!</v>
      </c>
      <c r="IU45" t="e">
        <f>AND(Plan!AB111,"AAAAAC++3v4=")</f>
        <v>#VALUE!</v>
      </c>
      <c r="IV45" t="e">
        <f>AND(Plan!AC111,"AAAAAC++3v8=")</f>
        <v>#VALUE!</v>
      </c>
    </row>
    <row r="46" spans="1:256">
      <c r="A46" t="e">
        <f>AND(Plan!AD111,"AAAAAH+s/QA=")</f>
        <v>#VALUE!</v>
      </c>
      <c r="B46" t="e">
        <f>AND(Plan!AE111,"AAAAAH+s/QE=")</f>
        <v>#VALUE!</v>
      </c>
      <c r="C46" t="e">
        <f>AND(Plan!AF111,"AAAAAH+s/QI=")</f>
        <v>#VALUE!</v>
      </c>
      <c r="D46" t="e">
        <f>AND(Plan!AG111,"AAAAAH+s/QM=")</f>
        <v>#VALUE!</v>
      </c>
      <c r="E46" t="e">
        <f>AND(Plan!AH111,"AAAAAH+s/QQ=")</f>
        <v>#VALUE!</v>
      </c>
      <c r="F46" t="e">
        <f>AND(Plan!AI111,"AAAAAH+s/QU=")</f>
        <v>#VALUE!</v>
      </c>
      <c r="G46" t="e">
        <f>AND(Plan!AJ111,"AAAAAH+s/QY=")</f>
        <v>#VALUE!</v>
      </c>
      <c r="H46" t="e">
        <f>AND(Plan!AK111,"AAAAAH+s/Qc=")</f>
        <v>#VALUE!</v>
      </c>
      <c r="I46" t="e">
        <f>AND(Plan!AL111,"AAAAAH+s/Qg=")</f>
        <v>#VALUE!</v>
      </c>
      <c r="J46" t="e">
        <f>AND(Plan!AM111,"AAAAAH+s/Qk=")</f>
        <v>#VALUE!</v>
      </c>
      <c r="K46" t="e">
        <f>AND(Plan!AN111,"AAAAAH+s/Qo=")</f>
        <v>#VALUE!</v>
      </c>
      <c r="L46" t="e">
        <f>AND(Plan!AO111,"AAAAAH+s/Qs=")</f>
        <v>#VALUE!</v>
      </c>
      <c r="M46" t="e">
        <f>AND(Plan!AP111,"AAAAAH+s/Qw=")</f>
        <v>#VALUE!</v>
      </c>
      <c r="N46" t="e">
        <f>AND(Plan!AQ111,"AAAAAH+s/Q0=")</f>
        <v>#VALUE!</v>
      </c>
      <c r="O46" t="e">
        <f>AND(Plan!AR111,"AAAAAH+s/Q4=")</f>
        <v>#VALUE!</v>
      </c>
      <c r="P46" t="e">
        <f>AND(Plan!AS111,"AAAAAH+s/Q8=")</f>
        <v>#VALUE!</v>
      </c>
      <c r="Q46" t="e">
        <f>AND(Plan!AT111,"AAAAAH+s/RA=")</f>
        <v>#VALUE!</v>
      </c>
      <c r="R46" t="e">
        <f>AND(Plan!AU111,"AAAAAH+s/RE=")</f>
        <v>#VALUE!</v>
      </c>
      <c r="S46" t="e">
        <f>AND(Plan!AV111,"AAAAAH+s/RI=")</f>
        <v>#VALUE!</v>
      </c>
      <c r="T46" t="e">
        <f>AND(Plan!AW111,"AAAAAH+s/RM=")</f>
        <v>#VALUE!</v>
      </c>
      <c r="U46" t="e">
        <f>AND(Plan!AX111,"AAAAAH+s/RQ=")</f>
        <v>#VALUE!</v>
      </c>
      <c r="V46" t="e">
        <f>AND(Plan!AY111,"AAAAAH+s/RU=")</f>
        <v>#VALUE!</v>
      </c>
      <c r="W46" t="e">
        <f>AND(Plan!AZ111,"AAAAAH+s/RY=")</f>
        <v>#VALUE!</v>
      </c>
      <c r="X46" t="e">
        <f>AND(Plan!BA111,"AAAAAH+s/Rc=")</f>
        <v>#VALUE!</v>
      </c>
      <c r="Y46" t="e">
        <f>AND(Plan!BB111,"AAAAAH+s/Rg=")</f>
        <v>#VALUE!</v>
      </c>
      <c r="Z46" t="e">
        <f>AND(Plan!BC111,"AAAAAH+s/Rk=")</f>
        <v>#VALUE!</v>
      </c>
      <c r="AA46" t="e">
        <f>AND(Plan!BD111,"AAAAAH+s/Ro=")</f>
        <v>#VALUE!</v>
      </c>
      <c r="AB46" t="e">
        <f>AND(Plan!BE111,"AAAAAH+s/Rs=")</f>
        <v>#VALUE!</v>
      </c>
      <c r="AC46" t="e">
        <f>AND(Plan!BF111,"AAAAAH+s/Rw=")</f>
        <v>#VALUE!</v>
      </c>
      <c r="AD46" t="e">
        <f>AND(Plan!BG111,"AAAAAH+s/R0=")</f>
        <v>#VALUE!</v>
      </c>
      <c r="AE46" t="e">
        <f>AND(Plan!BH111,"AAAAAH+s/R4=")</f>
        <v>#VALUE!</v>
      </c>
      <c r="AF46" t="e">
        <f>AND(Plan!BI111,"AAAAAH+s/R8=")</f>
        <v>#VALUE!</v>
      </c>
      <c r="AG46" t="e">
        <f>AND(Plan!BJ111,"AAAAAH+s/SA=")</f>
        <v>#VALUE!</v>
      </c>
      <c r="AH46" t="e">
        <f>AND(Plan!BK111,"AAAAAH+s/SE=")</f>
        <v>#VALUE!</v>
      </c>
      <c r="AI46" t="e">
        <f>AND(Plan!BL111,"AAAAAH+s/SI=")</f>
        <v>#VALUE!</v>
      </c>
      <c r="AJ46" t="e">
        <f>AND(Plan!BM111,"AAAAAH+s/SM=")</f>
        <v>#VALUE!</v>
      </c>
      <c r="AK46" t="e">
        <f>AND(Plan!BN111,"AAAAAH+s/SQ=")</f>
        <v>#VALUE!</v>
      </c>
      <c r="AL46" t="e">
        <f>AND(Plan!BO111,"AAAAAH+s/SU=")</f>
        <v>#VALUE!</v>
      </c>
      <c r="AM46" t="e">
        <f>AND(Plan!BP111,"AAAAAH+s/SY=")</f>
        <v>#VALUE!</v>
      </c>
      <c r="AN46" t="e">
        <f>AND(Plan!BQ111,"AAAAAH+s/Sc=")</f>
        <v>#VALUE!</v>
      </c>
      <c r="AO46" t="e">
        <f>AND(Plan!BR111,"AAAAAH+s/Sg=")</f>
        <v>#VALUE!</v>
      </c>
      <c r="AP46" t="e">
        <f>AND(Plan!BS111,"AAAAAH+s/Sk=")</f>
        <v>#VALUE!</v>
      </c>
      <c r="AQ46" t="e">
        <f>AND(Plan!BT111,"AAAAAH+s/So=")</f>
        <v>#VALUE!</v>
      </c>
      <c r="AR46" t="e">
        <f>AND(Plan!BU111,"AAAAAH+s/Ss=")</f>
        <v>#VALUE!</v>
      </c>
      <c r="AS46" t="e">
        <f>AND(Plan!BV111,"AAAAAH+s/Sw=")</f>
        <v>#VALUE!</v>
      </c>
      <c r="AT46" t="e">
        <f>AND(Plan!BW111,"AAAAAH+s/S0=")</f>
        <v>#VALUE!</v>
      </c>
      <c r="AU46" t="e">
        <f>AND(Plan!BX111,"AAAAAH+s/S4=")</f>
        <v>#VALUE!</v>
      </c>
      <c r="AV46" t="e">
        <f>AND(Plan!BY111,"AAAAAH+s/S8=")</f>
        <v>#VALUE!</v>
      </c>
      <c r="AW46" t="e">
        <f>AND(Plan!BZ111,"AAAAAH+s/TA=")</f>
        <v>#VALUE!</v>
      </c>
      <c r="AX46" t="e">
        <f>AND(Plan!CA111,"AAAAAH+s/TE=")</f>
        <v>#VALUE!</v>
      </c>
      <c r="AY46" t="e">
        <f>AND(Plan!CB111,"AAAAAH+s/TI=")</f>
        <v>#VALUE!</v>
      </c>
      <c r="AZ46" t="e">
        <f>AND(Plan!CC111,"AAAAAH+s/TM=")</f>
        <v>#VALUE!</v>
      </c>
      <c r="BA46" t="e">
        <f>AND(Plan!CD111,"AAAAAH+s/TQ=")</f>
        <v>#VALUE!</v>
      </c>
      <c r="BB46" t="e">
        <f>AND(Plan!CE111,"AAAAAH+s/TU=")</f>
        <v>#VALUE!</v>
      </c>
      <c r="BC46" t="e">
        <f>AND(Plan!CF111,"AAAAAH+s/TY=")</f>
        <v>#VALUE!</v>
      </c>
      <c r="BD46" t="e">
        <f>AND(Plan!CG111,"AAAAAH+s/Tc=")</f>
        <v>#VALUE!</v>
      </c>
      <c r="BE46" t="e">
        <f>AND(Plan!CH111,"AAAAAH+s/Tg=")</f>
        <v>#VALUE!</v>
      </c>
      <c r="BF46" t="e">
        <f>AND(Plan!CI111,"AAAAAH+s/Tk=")</f>
        <v>#VALUE!</v>
      </c>
      <c r="BG46" t="e">
        <f>AND(Plan!CJ111,"AAAAAH+s/To=")</f>
        <v>#VALUE!</v>
      </c>
      <c r="BH46" t="e">
        <f>AND(Plan!CK111,"AAAAAH+s/Ts=")</f>
        <v>#VALUE!</v>
      </c>
      <c r="BI46" t="e">
        <f>AND(Plan!CL111,"AAAAAH+s/Tw=")</f>
        <v>#VALUE!</v>
      </c>
      <c r="BJ46" t="e">
        <f>AND(Plan!CM111,"AAAAAH+s/T0=")</f>
        <v>#VALUE!</v>
      </c>
      <c r="BK46" t="e">
        <f>AND(Plan!CN111,"AAAAAH+s/T4=")</f>
        <v>#VALUE!</v>
      </c>
      <c r="BL46" t="e">
        <f>AND(Plan!CO111,"AAAAAH+s/T8=")</f>
        <v>#VALUE!</v>
      </c>
      <c r="BM46" t="e">
        <f>AND(Plan!CP111,"AAAAAH+s/UA=")</f>
        <v>#VALUE!</v>
      </c>
      <c r="BN46" t="e">
        <f>AND(Plan!CQ111,"AAAAAH+s/UE=")</f>
        <v>#VALUE!</v>
      </c>
      <c r="BO46" t="e">
        <f>AND(Plan!CR111,"AAAAAH+s/UI=")</f>
        <v>#VALUE!</v>
      </c>
      <c r="BP46" t="e">
        <f>AND(Plan!CS111,"AAAAAH+s/UM=")</f>
        <v>#VALUE!</v>
      </c>
      <c r="BQ46" t="e">
        <f>AND(Plan!CT111,"AAAAAH+s/UQ=")</f>
        <v>#VALUE!</v>
      </c>
      <c r="BR46" t="e">
        <f>AND(Plan!CU111,"AAAAAH+s/UU=")</f>
        <v>#VALUE!</v>
      </c>
      <c r="BS46" t="e">
        <f>AND(Plan!CV111,"AAAAAH+s/UY=")</f>
        <v>#VALUE!</v>
      </c>
      <c r="BT46" t="e">
        <f>AND(Plan!CW111,"AAAAAH+s/Uc=")</f>
        <v>#VALUE!</v>
      </c>
      <c r="BU46">
        <f>IF(Plan!113:113,"AAAAAH+s/Ug=",0)</f>
        <v>0</v>
      </c>
      <c r="BV46" t="e">
        <f>AND(Plan!A113,"AAAAAH+s/Uk=")</f>
        <v>#VALUE!</v>
      </c>
      <c r="BW46" t="e">
        <f>AND(Plan!B113,"AAAAAH+s/Uo=")</f>
        <v>#VALUE!</v>
      </c>
      <c r="BX46" t="e">
        <f>AND(Plan!C113,"AAAAAH+s/Us=")</f>
        <v>#VALUE!</v>
      </c>
      <c r="BY46" t="e">
        <f>AND(Plan!D113,"AAAAAH+s/Uw=")</f>
        <v>#VALUE!</v>
      </c>
      <c r="BZ46" t="e">
        <f>AND(Plan!E113,"AAAAAH+s/U0=")</f>
        <v>#VALUE!</v>
      </c>
      <c r="CA46" t="e">
        <f>AND(Plan!F113,"AAAAAH+s/U4=")</f>
        <v>#VALUE!</v>
      </c>
      <c r="CB46" t="e">
        <f>AND(Plan!G113,"AAAAAH+s/U8=")</f>
        <v>#VALUE!</v>
      </c>
      <c r="CC46" t="e">
        <f>AND(Plan!H113,"AAAAAH+s/VA=")</f>
        <v>#VALUE!</v>
      </c>
      <c r="CD46" t="e">
        <f>AND(Plan!I113,"AAAAAH+s/VE=")</f>
        <v>#VALUE!</v>
      </c>
      <c r="CE46" t="e">
        <f>AND(Plan!J113,"AAAAAH+s/VI=")</f>
        <v>#VALUE!</v>
      </c>
      <c r="CF46" t="e">
        <f>AND(Plan!K113,"AAAAAH+s/VM=")</f>
        <v>#VALUE!</v>
      </c>
      <c r="CG46" t="e">
        <f>AND(Plan!L113,"AAAAAH+s/VQ=")</f>
        <v>#VALUE!</v>
      </c>
      <c r="CH46" t="e">
        <f>AND(Plan!M113,"AAAAAH+s/VU=")</f>
        <v>#VALUE!</v>
      </c>
      <c r="CI46" t="e">
        <f>AND(Plan!N113,"AAAAAH+s/VY=")</f>
        <v>#VALUE!</v>
      </c>
      <c r="CJ46" t="e">
        <f>AND(Plan!O113,"AAAAAH+s/Vc=")</f>
        <v>#VALUE!</v>
      </c>
      <c r="CK46" t="e">
        <f>AND(Plan!P113,"AAAAAH+s/Vg=")</f>
        <v>#VALUE!</v>
      </c>
      <c r="CL46" t="e">
        <f>AND(Plan!Q113,"AAAAAH+s/Vk=")</f>
        <v>#VALUE!</v>
      </c>
      <c r="CM46" t="e">
        <f>AND(Plan!R113,"AAAAAH+s/Vo=")</f>
        <v>#VALUE!</v>
      </c>
      <c r="CN46" t="e">
        <f>AND(Plan!S113,"AAAAAH+s/Vs=")</f>
        <v>#VALUE!</v>
      </c>
      <c r="CO46" t="e">
        <f>AND(Plan!T113,"AAAAAH+s/Vw=")</f>
        <v>#VALUE!</v>
      </c>
      <c r="CP46" t="e">
        <f>AND(Plan!U113,"AAAAAH+s/V0=")</f>
        <v>#VALUE!</v>
      </c>
      <c r="CQ46" t="e">
        <f>AND(Plan!V113,"AAAAAH+s/V4=")</f>
        <v>#VALUE!</v>
      </c>
      <c r="CR46" t="e">
        <f>AND(Plan!W113,"AAAAAH+s/V8=")</f>
        <v>#VALUE!</v>
      </c>
      <c r="CS46" t="e">
        <f>AND(Plan!X113,"AAAAAH+s/WA=")</f>
        <v>#VALUE!</v>
      </c>
      <c r="CT46" t="e">
        <f>AND(Plan!Y113,"AAAAAH+s/WE=")</f>
        <v>#VALUE!</v>
      </c>
      <c r="CU46" t="e">
        <f>AND(Plan!Z113,"AAAAAH+s/WI=")</f>
        <v>#VALUE!</v>
      </c>
      <c r="CV46" t="e">
        <f>AND(Plan!AA113,"AAAAAH+s/WM=")</f>
        <v>#VALUE!</v>
      </c>
      <c r="CW46" t="e">
        <f>AND(Plan!AB113,"AAAAAH+s/WQ=")</f>
        <v>#VALUE!</v>
      </c>
      <c r="CX46" t="e">
        <f>AND(Plan!AC113,"AAAAAH+s/WU=")</f>
        <v>#VALUE!</v>
      </c>
      <c r="CY46" t="e">
        <f>AND(Plan!AD113,"AAAAAH+s/WY=")</f>
        <v>#VALUE!</v>
      </c>
      <c r="CZ46" t="e">
        <f>AND(Plan!AE113,"AAAAAH+s/Wc=")</f>
        <v>#VALUE!</v>
      </c>
      <c r="DA46" t="e">
        <f>AND(Plan!AF113,"AAAAAH+s/Wg=")</f>
        <v>#VALUE!</v>
      </c>
      <c r="DB46" t="e">
        <f>AND(Plan!AG113,"AAAAAH+s/Wk=")</f>
        <v>#VALUE!</v>
      </c>
      <c r="DC46" t="e">
        <f>AND(Plan!AH113,"AAAAAH+s/Wo=")</f>
        <v>#VALUE!</v>
      </c>
      <c r="DD46" t="e">
        <f>AND(Plan!AI113,"AAAAAH+s/Ws=")</f>
        <v>#VALUE!</v>
      </c>
      <c r="DE46" t="e">
        <f>AND(Plan!AJ113,"AAAAAH+s/Ww=")</f>
        <v>#VALUE!</v>
      </c>
      <c r="DF46" t="e">
        <f>AND(Plan!AK113,"AAAAAH+s/W0=")</f>
        <v>#VALUE!</v>
      </c>
      <c r="DG46" t="e">
        <f>AND(Plan!AL113,"AAAAAH+s/W4=")</f>
        <v>#VALUE!</v>
      </c>
      <c r="DH46" t="e">
        <f>AND(Plan!AM113,"AAAAAH+s/W8=")</f>
        <v>#VALUE!</v>
      </c>
      <c r="DI46" t="e">
        <f>AND(Plan!AN113,"AAAAAH+s/XA=")</f>
        <v>#VALUE!</v>
      </c>
      <c r="DJ46" t="e">
        <f>AND(Plan!AO113,"AAAAAH+s/XE=")</f>
        <v>#VALUE!</v>
      </c>
      <c r="DK46" t="e">
        <f>AND(Plan!AP113,"AAAAAH+s/XI=")</f>
        <v>#VALUE!</v>
      </c>
      <c r="DL46" t="e">
        <f>AND(Plan!AQ113,"AAAAAH+s/XM=")</f>
        <v>#VALUE!</v>
      </c>
      <c r="DM46" t="e">
        <f>AND(Plan!AR113,"AAAAAH+s/XQ=")</f>
        <v>#VALUE!</v>
      </c>
      <c r="DN46" t="e">
        <f>AND(Plan!AS113,"AAAAAH+s/XU=")</f>
        <v>#VALUE!</v>
      </c>
      <c r="DO46" t="e">
        <f>AND(Plan!AT113,"AAAAAH+s/XY=")</f>
        <v>#VALUE!</v>
      </c>
      <c r="DP46" t="e">
        <f>AND(Plan!AU113,"AAAAAH+s/Xc=")</f>
        <v>#VALUE!</v>
      </c>
      <c r="DQ46" t="e">
        <f>AND(Plan!AV113,"AAAAAH+s/Xg=")</f>
        <v>#VALUE!</v>
      </c>
      <c r="DR46" t="e">
        <f>AND(Plan!AW113,"AAAAAH+s/Xk=")</f>
        <v>#VALUE!</v>
      </c>
      <c r="DS46" t="e">
        <f>AND(Plan!AX113,"AAAAAH+s/Xo=")</f>
        <v>#VALUE!</v>
      </c>
      <c r="DT46" t="e">
        <f>AND(Plan!AY113,"AAAAAH+s/Xs=")</f>
        <v>#VALUE!</v>
      </c>
      <c r="DU46" t="e">
        <f>AND(Plan!AZ113,"AAAAAH+s/Xw=")</f>
        <v>#VALUE!</v>
      </c>
      <c r="DV46" t="e">
        <f>AND(Plan!BA113,"AAAAAH+s/X0=")</f>
        <v>#VALUE!</v>
      </c>
      <c r="DW46" t="e">
        <f>AND(Plan!BB113,"AAAAAH+s/X4=")</f>
        <v>#VALUE!</v>
      </c>
      <c r="DX46" t="e">
        <f>AND(Plan!BC113,"AAAAAH+s/X8=")</f>
        <v>#VALUE!</v>
      </c>
      <c r="DY46" t="e">
        <f>AND(Plan!BD113,"AAAAAH+s/YA=")</f>
        <v>#VALUE!</v>
      </c>
      <c r="DZ46" t="e">
        <f>AND(Plan!BE113,"AAAAAH+s/YE=")</f>
        <v>#VALUE!</v>
      </c>
      <c r="EA46" t="e">
        <f>AND(Plan!BF113,"AAAAAH+s/YI=")</f>
        <v>#VALUE!</v>
      </c>
      <c r="EB46" t="e">
        <f>AND(Plan!BG113,"AAAAAH+s/YM=")</f>
        <v>#VALUE!</v>
      </c>
      <c r="EC46" t="e">
        <f>AND(Plan!BH113,"AAAAAH+s/YQ=")</f>
        <v>#VALUE!</v>
      </c>
      <c r="ED46">
        <f>IF(Plan!114:114,"AAAAAH+s/YU=",0)</f>
        <v>0</v>
      </c>
      <c r="EE46" t="e">
        <f>AND(Plan!A114,"AAAAAH+s/YY=")</f>
        <v>#VALUE!</v>
      </c>
      <c r="EF46" t="e">
        <f>AND(Plan!B114,"AAAAAH+s/Yc=")</f>
        <v>#VALUE!</v>
      </c>
      <c r="EG46" t="e">
        <f>AND(Plan!C114,"AAAAAH+s/Yg=")</f>
        <v>#VALUE!</v>
      </c>
      <c r="EH46" t="e">
        <f>AND(Plan!D114,"AAAAAH+s/Yk=")</f>
        <v>#VALUE!</v>
      </c>
      <c r="EI46" t="e">
        <f>AND(Plan!E114,"AAAAAH+s/Yo=")</f>
        <v>#VALUE!</v>
      </c>
      <c r="EJ46" t="e">
        <f>AND(Plan!F114,"AAAAAH+s/Ys=")</f>
        <v>#VALUE!</v>
      </c>
      <c r="EK46" t="e">
        <f>AND(Plan!G114,"AAAAAH+s/Yw=")</f>
        <v>#VALUE!</v>
      </c>
      <c r="EL46" t="e">
        <f>AND(Plan!H114,"AAAAAH+s/Y0=")</f>
        <v>#VALUE!</v>
      </c>
      <c r="EM46" t="e">
        <f>AND(Plan!I114,"AAAAAH+s/Y4=")</f>
        <v>#VALUE!</v>
      </c>
      <c r="EN46" t="e">
        <f>AND(Plan!J114,"AAAAAH+s/Y8=")</f>
        <v>#VALUE!</v>
      </c>
      <c r="EO46" t="e">
        <f>AND(Plan!K114,"AAAAAH+s/ZA=")</f>
        <v>#VALUE!</v>
      </c>
      <c r="EP46" t="e">
        <f>AND(Plan!L114,"AAAAAH+s/ZE=")</f>
        <v>#VALUE!</v>
      </c>
      <c r="EQ46" t="e">
        <f>AND(Plan!M114,"AAAAAH+s/ZI=")</f>
        <v>#VALUE!</v>
      </c>
      <c r="ER46" t="e">
        <f>AND(Plan!N114,"AAAAAH+s/ZM=")</f>
        <v>#VALUE!</v>
      </c>
      <c r="ES46" t="e">
        <f>AND(Plan!O114,"AAAAAH+s/ZQ=")</f>
        <v>#VALUE!</v>
      </c>
      <c r="ET46" t="e">
        <f>AND(Plan!P114,"AAAAAH+s/ZU=")</f>
        <v>#VALUE!</v>
      </c>
      <c r="EU46" t="e">
        <f>AND(Plan!Q114,"AAAAAH+s/ZY=")</f>
        <v>#VALUE!</v>
      </c>
      <c r="EV46" t="e">
        <f>AND(Plan!R114,"AAAAAH+s/Zc=")</f>
        <v>#VALUE!</v>
      </c>
      <c r="EW46" t="e">
        <f>AND(Plan!S114,"AAAAAH+s/Zg=")</f>
        <v>#VALUE!</v>
      </c>
      <c r="EX46" t="e">
        <f>AND(Plan!T114,"AAAAAH+s/Zk=")</f>
        <v>#VALUE!</v>
      </c>
      <c r="EY46" t="e">
        <f>AND(Plan!U114,"AAAAAH+s/Zo=")</f>
        <v>#VALUE!</v>
      </c>
      <c r="EZ46" t="e">
        <f>AND(Plan!V114,"AAAAAH+s/Zs=")</f>
        <v>#VALUE!</v>
      </c>
      <c r="FA46" t="e">
        <f>AND(Plan!W114,"AAAAAH+s/Zw=")</f>
        <v>#VALUE!</v>
      </c>
      <c r="FB46" t="e">
        <f>AND(Plan!X114,"AAAAAH+s/Z0=")</f>
        <v>#VALUE!</v>
      </c>
      <c r="FC46" t="e">
        <f>AND(Plan!Y114,"AAAAAH+s/Z4=")</f>
        <v>#VALUE!</v>
      </c>
      <c r="FD46" t="e">
        <f>AND(Plan!Z114,"AAAAAH+s/Z8=")</f>
        <v>#VALUE!</v>
      </c>
      <c r="FE46" t="e">
        <f>AND(Plan!AA114,"AAAAAH+s/aA=")</f>
        <v>#VALUE!</v>
      </c>
      <c r="FF46" t="e">
        <f>AND(Plan!AB114,"AAAAAH+s/aE=")</f>
        <v>#VALUE!</v>
      </c>
      <c r="FG46" t="e">
        <f>AND(Plan!AC114,"AAAAAH+s/aI=")</f>
        <v>#VALUE!</v>
      </c>
      <c r="FH46" t="e">
        <f>AND(Plan!AD114,"AAAAAH+s/aM=")</f>
        <v>#VALUE!</v>
      </c>
      <c r="FI46" t="e">
        <f>AND(Plan!AE114,"AAAAAH+s/aQ=")</f>
        <v>#VALUE!</v>
      </c>
      <c r="FJ46" t="e">
        <f>AND(Plan!AF114,"AAAAAH+s/aU=")</f>
        <v>#VALUE!</v>
      </c>
      <c r="FK46" t="e">
        <f>AND(Plan!AG114,"AAAAAH+s/aY=")</f>
        <v>#VALUE!</v>
      </c>
      <c r="FL46" t="e">
        <f>AND(Plan!AH114,"AAAAAH+s/ac=")</f>
        <v>#VALUE!</v>
      </c>
      <c r="FM46" t="e">
        <f>AND(Plan!AI114,"AAAAAH+s/ag=")</f>
        <v>#VALUE!</v>
      </c>
      <c r="FN46" t="e">
        <f>AND(Plan!AJ114,"AAAAAH+s/ak=")</f>
        <v>#VALUE!</v>
      </c>
      <c r="FO46" t="e">
        <f>AND(Plan!AK114,"AAAAAH+s/ao=")</f>
        <v>#VALUE!</v>
      </c>
      <c r="FP46" t="e">
        <f>AND(Plan!AL114,"AAAAAH+s/as=")</f>
        <v>#VALUE!</v>
      </c>
      <c r="FQ46" t="e">
        <f>AND(Plan!AM114,"AAAAAH+s/aw=")</f>
        <v>#VALUE!</v>
      </c>
      <c r="FR46" t="e">
        <f>AND(Plan!AN114,"AAAAAH+s/a0=")</f>
        <v>#VALUE!</v>
      </c>
      <c r="FS46" t="e">
        <f>AND(Plan!AO114,"AAAAAH+s/a4=")</f>
        <v>#VALUE!</v>
      </c>
      <c r="FT46" t="e">
        <f>AND(Plan!AP114,"AAAAAH+s/a8=")</f>
        <v>#VALUE!</v>
      </c>
      <c r="FU46" t="e">
        <f>AND(Plan!AQ114,"AAAAAH+s/bA=")</f>
        <v>#VALUE!</v>
      </c>
      <c r="FV46" t="e">
        <f>AND(Plan!AR114,"AAAAAH+s/bE=")</f>
        <v>#VALUE!</v>
      </c>
      <c r="FW46" t="e">
        <f>AND(Plan!AS114,"AAAAAH+s/bI=")</f>
        <v>#VALUE!</v>
      </c>
      <c r="FX46" t="e">
        <f>AND(Plan!AT114,"AAAAAH+s/bM=")</f>
        <v>#VALUE!</v>
      </c>
      <c r="FY46" t="e">
        <f>AND(Plan!AU114,"AAAAAH+s/bQ=")</f>
        <v>#VALUE!</v>
      </c>
      <c r="FZ46" t="e">
        <f>AND(Plan!AV114,"AAAAAH+s/bU=")</f>
        <v>#VALUE!</v>
      </c>
      <c r="GA46" t="e">
        <f>AND(Plan!AW114,"AAAAAH+s/bY=")</f>
        <v>#VALUE!</v>
      </c>
      <c r="GB46" t="e">
        <f>AND(Plan!AX114,"AAAAAH+s/bc=")</f>
        <v>#VALUE!</v>
      </c>
      <c r="GC46" t="e">
        <f>AND(Plan!AY114,"AAAAAH+s/bg=")</f>
        <v>#VALUE!</v>
      </c>
      <c r="GD46" t="e">
        <f>AND(Plan!AZ114,"AAAAAH+s/bk=")</f>
        <v>#VALUE!</v>
      </c>
      <c r="GE46" t="e">
        <f>AND(Plan!BA114,"AAAAAH+s/bo=")</f>
        <v>#VALUE!</v>
      </c>
      <c r="GF46" t="e">
        <f>AND(Plan!BB114,"AAAAAH+s/bs=")</f>
        <v>#VALUE!</v>
      </c>
      <c r="GG46" t="e">
        <f>AND(Plan!BC114,"AAAAAH+s/bw=")</f>
        <v>#VALUE!</v>
      </c>
      <c r="GH46" t="e">
        <f>AND(Plan!BD114,"AAAAAH+s/b0=")</f>
        <v>#VALUE!</v>
      </c>
      <c r="GI46" t="e">
        <f>AND(Plan!BE114,"AAAAAH+s/b4=")</f>
        <v>#VALUE!</v>
      </c>
      <c r="GJ46" t="e">
        <f>AND(Plan!BF114,"AAAAAH+s/b8=")</f>
        <v>#VALUE!</v>
      </c>
      <c r="GK46" t="e">
        <f>AND(Plan!BG114,"AAAAAH+s/cA=")</f>
        <v>#VALUE!</v>
      </c>
      <c r="GL46" t="e">
        <f>AND(Plan!BH114,"AAAAAH+s/cE=")</f>
        <v>#VALUE!</v>
      </c>
      <c r="GM46">
        <f>IF(Plan!115:115,"AAAAAH+s/cI=",0)</f>
        <v>0</v>
      </c>
      <c r="GN46" t="e">
        <f>AND(Plan!A115,"AAAAAH+s/cM=")</f>
        <v>#VALUE!</v>
      </c>
      <c r="GO46" t="e">
        <f>AND(Plan!B115,"AAAAAH+s/cQ=")</f>
        <v>#VALUE!</v>
      </c>
      <c r="GP46" t="e">
        <f>AND(Plan!C115,"AAAAAH+s/cU=")</f>
        <v>#VALUE!</v>
      </c>
      <c r="GQ46" t="e">
        <f>AND(Plan!D115,"AAAAAH+s/cY=")</f>
        <v>#VALUE!</v>
      </c>
      <c r="GR46" t="e">
        <f>AND(Plan!E115,"AAAAAH+s/cc=")</f>
        <v>#VALUE!</v>
      </c>
      <c r="GS46" t="e">
        <f>AND(Plan!F115,"AAAAAH+s/cg=")</f>
        <v>#VALUE!</v>
      </c>
      <c r="GT46" t="e">
        <f>AND(Plan!G115,"AAAAAH+s/ck=")</f>
        <v>#VALUE!</v>
      </c>
      <c r="GU46" t="e">
        <f>AND(Plan!H115,"AAAAAH+s/co=")</f>
        <v>#VALUE!</v>
      </c>
      <c r="GV46" t="e">
        <f>AND(Plan!I115,"AAAAAH+s/cs=")</f>
        <v>#VALUE!</v>
      </c>
      <c r="GW46" t="e">
        <f>AND(Plan!J115,"AAAAAH+s/cw=")</f>
        <v>#VALUE!</v>
      </c>
      <c r="GX46" t="e">
        <f>AND(Plan!K115,"AAAAAH+s/c0=")</f>
        <v>#VALUE!</v>
      </c>
      <c r="GY46" t="e">
        <f>AND(Plan!L115,"AAAAAH+s/c4=")</f>
        <v>#VALUE!</v>
      </c>
      <c r="GZ46" t="e">
        <f>AND(Plan!M115,"AAAAAH+s/c8=")</f>
        <v>#VALUE!</v>
      </c>
      <c r="HA46" t="e">
        <f>AND(Plan!N115,"AAAAAH+s/dA=")</f>
        <v>#VALUE!</v>
      </c>
      <c r="HB46" t="e">
        <f>AND(Plan!O115,"AAAAAH+s/dE=")</f>
        <v>#VALUE!</v>
      </c>
      <c r="HC46" t="e">
        <f>AND(Plan!P115,"AAAAAH+s/dI=")</f>
        <v>#VALUE!</v>
      </c>
      <c r="HD46" t="e">
        <f>AND(Plan!Q115,"AAAAAH+s/dM=")</f>
        <v>#VALUE!</v>
      </c>
      <c r="HE46" t="e">
        <f>AND(Plan!R115,"AAAAAH+s/dQ=")</f>
        <v>#VALUE!</v>
      </c>
      <c r="HF46" t="e">
        <f>AND(Plan!S115,"AAAAAH+s/dU=")</f>
        <v>#VALUE!</v>
      </c>
      <c r="HG46" t="e">
        <f>AND(Plan!T115,"AAAAAH+s/dY=")</f>
        <v>#VALUE!</v>
      </c>
      <c r="HH46" t="e">
        <f>AND(Plan!U115,"AAAAAH+s/dc=")</f>
        <v>#VALUE!</v>
      </c>
      <c r="HI46" t="e">
        <f>AND(Plan!V115,"AAAAAH+s/dg=")</f>
        <v>#VALUE!</v>
      </c>
      <c r="HJ46" t="e">
        <f>AND(Plan!W115,"AAAAAH+s/dk=")</f>
        <v>#VALUE!</v>
      </c>
      <c r="HK46" t="e">
        <f>AND(Plan!X115,"AAAAAH+s/do=")</f>
        <v>#VALUE!</v>
      </c>
      <c r="HL46" t="e">
        <f>AND(Plan!Y115,"AAAAAH+s/ds=")</f>
        <v>#VALUE!</v>
      </c>
      <c r="HM46" t="e">
        <f>AND(Plan!Z115,"AAAAAH+s/dw=")</f>
        <v>#VALUE!</v>
      </c>
      <c r="HN46" t="e">
        <f>AND(Plan!AA115,"AAAAAH+s/d0=")</f>
        <v>#VALUE!</v>
      </c>
      <c r="HO46" t="e">
        <f>AND(Plan!AB115,"AAAAAH+s/d4=")</f>
        <v>#VALUE!</v>
      </c>
      <c r="HP46" t="e">
        <f>AND(Plan!AC115,"AAAAAH+s/d8=")</f>
        <v>#VALUE!</v>
      </c>
      <c r="HQ46" t="e">
        <f>AND(Plan!AD115,"AAAAAH+s/eA=")</f>
        <v>#VALUE!</v>
      </c>
      <c r="HR46" t="e">
        <f>AND(Plan!AE115,"AAAAAH+s/eE=")</f>
        <v>#VALUE!</v>
      </c>
      <c r="HS46" t="e">
        <f>AND(Plan!AF115,"AAAAAH+s/eI=")</f>
        <v>#VALUE!</v>
      </c>
      <c r="HT46" t="e">
        <f>AND(Plan!AG115,"AAAAAH+s/eM=")</f>
        <v>#VALUE!</v>
      </c>
      <c r="HU46" t="e">
        <f>AND(Plan!AH115,"AAAAAH+s/eQ=")</f>
        <v>#VALUE!</v>
      </c>
      <c r="HV46" t="e">
        <f>AND(Plan!AI115,"AAAAAH+s/eU=")</f>
        <v>#VALUE!</v>
      </c>
      <c r="HW46" t="e">
        <f>AND(Plan!AJ115,"AAAAAH+s/eY=")</f>
        <v>#VALUE!</v>
      </c>
      <c r="HX46" t="e">
        <f>AND(Plan!AK115,"AAAAAH+s/ec=")</f>
        <v>#VALUE!</v>
      </c>
      <c r="HY46" t="e">
        <f>AND(Plan!AL115,"AAAAAH+s/eg=")</f>
        <v>#VALUE!</v>
      </c>
      <c r="HZ46" t="e">
        <f>AND(Plan!AM115,"AAAAAH+s/ek=")</f>
        <v>#VALUE!</v>
      </c>
      <c r="IA46" t="e">
        <f>AND(Plan!AN115,"AAAAAH+s/eo=")</f>
        <v>#VALUE!</v>
      </c>
      <c r="IB46" t="e">
        <f>AND(Plan!AO115,"AAAAAH+s/es=")</f>
        <v>#VALUE!</v>
      </c>
      <c r="IC46" t="e">
        <f>AND(Plan!AP115,"AAAAAH+s/ew=")</f>
        <v>#VALUE!</v>
      </c>
      <c r="ID46" t="e">
        <f>AND(Plan!AQ115,"AAAAAH+s/e0=")</f>
        <v>#VALUE!</v>
      </c>
      <c r="IE46" t="e">
        <f>AND(Plan!AR115,"AAAAAH+s/e4=")</f>
        <v>#VALUE!</v>
      </c>
      <c r="IF46" t="e">
        <f>AND(Plan!AS115,"AAAAAH+s/e8=")</f>
        <v>#VALUE!</v>
      </c>
      <c r="IG46" t="e">
        <f>AND(Plan!AT115,"AAAAAH+s/fA=")</f>
        <v>#VALUE!</v>
      </c>
      <c r="IH46" t="e">
        <f>AND(Plan!AU115,"AAAAAH+s/fE=")</f>
        <v>#VALUE!</v>
      </c>
      <c r="II46" t="e">
        <f>AND(Plan!AV115,"AAAAAH+s/fI=")</f>
        <v>#VALUE!</v>
      </c>
      <c r="IJ46" t="e">
        <f>AND(Plan!AW115,"AAAAAH+s/fM=")</f>
        <v>#VALUE!</v>
      </c>
      <c r="IK46" t="e">
        <f>AND(Plan!AX115,"AAAAAH+s/fQ=")</f>
        <v>#VALUE!</v>
      </c>
      <c r="IL46" t="e">
        <f>AND(Plan!AY115,"AAAAAH+s/fU=")</f>
        <v>#VALUE!</v>
      </c>
      <c r="IM46" t="e">
        <f>AND(Plan!AZ115,"AAAAAH+s/fY=")</f>
        <v>#VALUE!</v>
      </c>
      <c r="IN46" t="e">
        <f>AND(Plan!BA115,"AAAAAH+s/fc=")</f>
        <v>#VALUE!</v>
      </c>
      <c r="IO46" t="e">
        <f>AND(Plan!BB115,"AAAAAH+s/fg=")</f>
        <v>#VALUE!</v>
      </c>
      <c r="IP46" t="e">
        <f>AND(Plan!BC115,"AAAAAH+s/fk=")</f>
        <v>#VALUE!</v>
      </c>
      <c r="IQ46" t="e">
        <f>AND(Plan!BD115,"AAAAAH+s/fo=")</f>
        <v>#VALUE!</v>
      </c>
      <c r="IR46" t="e">
        <f>AND(Plan!BE115,"AAAAAH+s/fs=")</f>
        <v>#VALUE!</v>
      </c>
      <c r="IS46" t="e">
        <f>AND(Plan!BF115,"AAAAAH+s/fw=")</f>
        <v>#VALUE!</v>
      </c>
      <c r="IT46" t="e">
        <f>AND(Plan!BG115,"AAAAAH+s/f0=")</f>
        <v>#VALUE!</v>
      </c>
      <c r="IU46" t="e">
        <f>AND(Plan!BH115,"AAAAAH+s/f4=")</f>
        <v>#VALUE!</v>
      </c>
      <c r="IV46">
        <f>IF(Plan!116:116,"AAAAAH+s/f8=",0)</f>
        <v>0</v>
      </c>
    </row>
    <row r="47" spans="1:256">
      <c r="A47" t="e">
        <f>AND(Plan!A116,"AAAAAGV/8gA=")</f>
        <v>#VALUE!</v>
      </c>
      <c r="B47" t="e">
        <f>AND(Plan!B116,"AAAAAGV/8gE=")</f>
        <v>#VALUE!</v>
      </c>
      <c r="C47" t="e">
        <f>AND(Plan!C116,"AAAAAGV/8gI=")</f>
        <v>#VALUE!</v>
      </c>
      <c r="D47" t="e">
        <f>AND(Plan!D116,"AAAAAGV/8gM=")</f>
        <v>#VALUE!</v>
      </c>
      <c r="E47" t="e">
        <f>AND(Plan!E116,"AAAAAGV/8gQ=")</f>
        <v>#VALUE!</v>
      </c>
      <c r="F47" t="e">
        <f>AND(Plan!F116,"AAAAAGV/8gU=")</f>
        <v>#VALUE!</v>
      </c>
      <c r="G47" t="e">
        <f>AND(Plan!G116,"AAAAAGV/8gY=")</f>
        <v>#VALUE!</v>
      </c>
      <c r="H47" t="e">
        <f>AND(Plan!H116,"AAAAAGV/8gc=")</f>
        <v>#VALUE!</v>
      </c>
      <c r="I47" t="e">
        <f>AND(Plan!I116,"AAAAAGV/8gg=")</f>
        <v>#VALUE!</v>
      </c>
      <c r="J47" t="e">
        <f>AND(Plan!J116,"AAAAAGV/8gk=")</f>
        <v>#VALUE!</v>
      </c>
      <c r="K47" t="e">
        <f>AND(Plan!K116,"AAAAAGV/8go=")</f>
        <v>#VALUE!</v>
      </c>
      <c r="L47" t="e">
        <f>AND(Plan!L116,"AAAAAGV/8gs=")</f>
        <v>#VALUE!</v>
      </c>
      <c r="M47" t="e">
        <f>AND(Plan!M116,"AAAAAGV/8gw=")</f>
        <v>#VALUE!</v>
      </c>
      <c r="N47" t="e">
        <f>AND(Plan!N116,"AAAAAGV/8g0=")</f>
        <v>#VALUE!</v>
      </c>
      <c r="O47" t="e">
        <f>AND(Plan!O116,"AAAAAGV/8g4=")</f>
        <v>#VALUE!</v>
      </c>
      <c r="P47" t="e">
        <f>AND(Plan!P116,"AAAAAGV/8g8=")</f>
        <v>#VALUE!</v>
      </c>
      <c r="Q47" t="e">
        <f>AND(Plan!Q116,"AAAAAGV/8hA=")</f>
        <v>#VALUE!</v>
      </c>
      <c r="R47" t="e">
        <f>AND(Plan!R116,"AAAAAGV/8hE=")</f>
        <v>#VALUE!</v>
      </c>
      <c r="S47" t="e">
        <f>AND(Plan!S116,"AAAAAGV/8hI=")</f>
        <v>#VALUE!</v>
      </c>
      <c r="T47" t="e">
        <f>AND(Plan!T116,"AAAAAGV/8hM=")</f>
        <v>#VALUE!</v>
      </c>
      <c r="U47" t="e">
        <f>AND(Plan!U116,"AAAAAGV/8hQ=")</f>
        <v>#VALUE!</v>
      </c>
      <c r="V47" t="e">
        <f>AND(Plan!V116,"AAAAAGV/8hU=")</f>
        <v>#VALUE!</v>
      </c>
      <c r="W47" t="e">
        <f>AND(Plan!W116,"AAAAAGV/8hY=")</f>
        <v>#VALUE!</v>
      </c>
      <c r="X47" t="e">
        <f>AND(Plan!X116,"AAAAAGV/8hc=")</f>
        <v>#VALUE!</v>
      </c>
      <c r="Y47" t="e">
        <f>AND(Plan!Y116,"AAAAAGV/8hg=")</f>
        <v>#VALUE!</v>
      </c>
      <c r="Z47" t="e">
        <f>AND(Plan!Z116,"AAAAAGV/8hk=")</f>
        <v>#VALUE!</v>
      </c>
      <c r="AA47" t="e">
        <f>AND(Plan!AA116,"AAAAAGV/8ho=")</f>
        <v>#VALUE!</v>
      </c>
      <c r="AB47" t="e">
        <f>AND(Plan!AB116,"AAAAAGV/8hs=")</f>
        <v>#VALUE!</v>
      </c>
      <c r="AC47" t="e">
        <f>AND(Plan!AC116,"AAAAAGV/8hw=")</f>
        <v>#VALUE!</v>
      </c>
      <c r="AD47" t="e">
        <f>AND(Plan!AD116,"AAAAAGV/8h0=")</f>
        <v>#VALUE!</v>
      </c>
      <c r="AE47" t="e">
        <f>AND(Plan!AE116,"AAAAAGV/8h4=")</f>
        <v>#VALUE!</v>
      </c>
      <c r="AF47" t="e">
        <f>AND(Plan!AF116,"AAAAAGV/8h8=")</f>
        <v>#VALUE!</v>
      </c>
      <c r="AG47" t="e">
        <f>AND(Plan!AG116,"AAAAAGV/8iA=")</f>
        <v>#VALUE!</v>
      </c>
      <c r="AH47" t="e">
        <f>AND(Plan!AH116,"AAAAAGV/8iE=")</f>
        <v>#VALUE!</v>
      </c>
      <c r="AI47" t="e">
        <f>AND(Plan!AI116,"AAAAAGV/8iI=")</f>
        <v>#VALUE!</v>
      </c>
      <c r="AJ47" t="e">
        <f>AND(Plan!AJ116,"AAAAAGV/8iM=")</f>
        <v>#VALUE!</v>
      </c>
      <c r="AK47" t="e">
        <f>AND(Plan!AK116,"AAAAAGV/8iQ=")</f>
        <v>#VALUE!</v>
      </c>
      <c r="AL47" t="e">
        <f>AND(Plan!AL116,"AAAAAGV/8iU=")</f>
        <v>#VALUE!</v>
      </c>
      <c r="AM47" t="e">
        <f>AND(Plan!AM116,"AAAAAGV/8iY=")</f>
        <v>#VALUE!</v>
      </c>
      <c r="AN47" t="e">
        <f>AND(Plan!AN116,"AAAAAGV/8ic=")</f>
        <v>#VALUE!</v>
      </c>
      <c r="AO47" t="e">
        <f>AND(Plan!AO116,"AAAAAGV/8ig=")</f>
        <v>#VALUE!</v>
      </c>
      <c r="AP47" t="e">
        <f>AND(Plan!AP116,"AAAAAGV/8ik=")</f>
        <v>#VALUE!</v>
      </c>
      <c r="AQ47" t="e">
        <f>AND(Plan!AQ116,"AAAAAGV/8io=")</f>
        <v>#VALUE!</v>
      </c>
      <c r="AR47" t="e">
        <f>AND(Plan!AR116,"AAAAAGV/8is=")</f>
        <v>#VALUE!</v>
      </c>
      <c r="AS47" t="e">
        <f>AND(Plan!AS116,"AAAAAGV/8iw=")</f>
        <v>#VALUE!</v>
      </c>
      <c r="AT47" t="e">
        <f>AND(Plan!AT116,"AAAAAGV/8i0=")</f>
        <v>#VALUE!</v>
      </c>
      <c r="AU47" t="e">
        <f>AND(Plan!AU116,"AAAAAGV/8i4=")</f>
        <v>#VALUE!</v>
      </c>
      <c r="AV47" t="e">
        <f>AND(Plan!AV116,"AAAAAGV/8i8=")</f>
        <v>#VALUE!</v>
      </c>
      <c r="AW47" t="e">
        <f>AND(Plan!AW116,"AAAAAGV/8jA=")</f>
        <v>#VALUE!</v>
      </c>
      <c r="AX47" t="e">
        <f>AND(Plan!AX116,"AAAAAGV/8jE=")</f>
        <v>#VALUE!</v>
      </c>
      <c r="AY47" t="e">
        <f>AND(Plan!AY116,"AAAAAGV/8jI=")</f>
        <v>#VALUE!</v>
      </c>
      <c r="AZ47" t="e">
        <f>AND(Plan!AZ116,"AAAAAGV/8jM=")</f>
        <v>#VALUE!</v>
      </c>
      <c r="BA47" t="e">
        <f>AND(Plan!BA116,"AAAAAGV/8jQ=")</f>
        <v>#VALUE!</v>
      </c>
      <c r="BB47" t="e">
        <f>AND(Plan!BB116,"AAAAAGV/8jU=")</f>
        <v>#VALUE!</v>
      </c>
      <c r="BC47" t="e">
        <f>AND(Plan!BC116,"AAAAAGV/8jY=")</f>
        <v>#VALUE!</v>
      </c>
      <c r="BD47" t="e">
        <f>AND(Plan!BD116,"AAAAAGV/8jc=")</f>
        <v>#VALUE!</v>
      </c>
      <c r="BE47" t="e">
        <f>AND(Plan!BE116,"AAAAAGV/8jg=")</f>
        <v>#VALUE!</v>
      </c>
      <c r="BF47" t="e">
        <f>AND(Plan!BF116,"AAAAAGV/8jk=")</f>
        <v>#VALUE!</v>
      </c>
      <c r="BG47" t="e">
        <f>AND(Plan!BG116,"AAAAAGV/8jo=")</f>
        <v>#VALUE!</v>
      </c>
      <c r="BH47" t="e">
        <f>AND(Plan!BH116,"AAAAAGV/8js=")</f>
        <v>#VALUE!</v>
      </c>
      <c r="BI47">
        <f>IF(Plan!120:120,"AAAAAGV/8jw=",0)</f>
        <v>0</v>
      </c>
      <c r="BJ47" t="e">
        <f>AND(Plan!A120,"AAAAAGV/8j0=")</f>
        <v>#VALUE!</v>
      </c>
      <c r="BK47" t="e">
        <f>AND(Plan!B120,"AAAAAGV/8j4=")</f>
        <v>#VALUE!</v>
      </c>
      <c r="BL47" t="e">
        <f>AND(Plan!C120,"AAAAAGV/8j8=")</f>
        <v>#VALUE!</v>
      </c>
      <c r="BM47" t="e">
        <f>AND(Plan!D120,"AAAAAGV/8kA=")</f>
        <v>#VALUE!</v>
      </c>
      <c r="BN47" t="e">
        <f>AND(Plan!E120,"AAAAAGV/8kE=")</f>
        <v>#VALUE!</v>
      </c>
      <c r="BO47" t="e">
        <f>AND(Plan!F120,"AAAAAGV/8kI=")</f>
        <v>#VALUE!</v>
      </c>
      <c r="BP47" t="e">
        <f>AND(Plan!G120,"AAAAAGV/8kM=")</f>
        <v>#VALUE!</v>
      </c>
      <c r="BQ47" t="e">
        <f>AND(Plan!H120,"AAAAAGV/8kQ=")</f>
        <v>#VALUE!</v>
      </c>
      <c r="BR47" t="e">
        <f>AND(Plan!I120,"AAAAAGV/8kU=")</f>
        <v>#VALUE!</v>
      </c>
      <c r="BS47" t="e">
        <f>AND(Plan!J120,"AAAAAGV/8kY=")</f>
        <v>#VALUE!</v>
      </c>
      <c r="BT47" t="e">
        <f>AND(Plan!K120,"AAAAAGV/8kc=")</f>
        <v>#VALUE!</v>
      </c>
      <c r="BU47" t="e">
        <f>AND(Plan!L120,"AAAAAGV/8kg=")</f>
        <v>#VALUE!</v>
      </c>
      <c r="BV47" t="e">
        <f>AND(Plan!M120,"AAAAAGV/8kk=")</f>
        <v>#VALUE!</v>
      </c>
      <c r="BW47" t="e">
        <f>AND(Plan!N120,"AAAAAGV/8ko=")</f>
        <v>#VALUE!</v>
      </c>
      <c r="BX47" t="e">
        <f>AND(Plan!O120,"AAAAAGV/8ks=")</f>
        <v>#VALUE!</v>
      </c>
      <c r="BY47" t="e">
        <f>AND(Plan!P120,"AAAAAGV/8kw=")</f>
        <v>#VALUE!</v>
      </c>
      <c r="BZ47" t="e">
        <f>AND(Plan!Q120,"AAAAAGV/8k0=")</f>
        <v>#VALUE!</v>
      </c>
      <c r="CA47" t="e">
        <f>AND(Plan!R120,"AAAAAGV/8k4=")</f>
        <v>#VALUE!</v>
      </c>
      <c r="CB47" t="e">
        <f>AND(Plan!S120,"AAAAAGV/8k8=")</f>
        <v>#VALUE!</v>
      </c>
      <c r="CC47" t="e">
        <f>AND(Plan!T120,"AAAAAGV/8lA=")</f>
        <v>#VALUE!</v>
      </c>
      <c r="CD47" t="e">
        <f>AND(Plan!U120,"AAAAAGV/8lE=")</f>
        <v>#VALUE!</v>
      </c>
      <c r="CE47" t="e">
        <f>AND(Plan!V120,"AAAAAGV/8lI=")</f>
        <v>#VALUE!</v>
      </c>
      <c r="CF47" t="e">
        <f>AND(Plan!W120,"AAAAAGV/8lM=")</f>
        <v>#VALUE!</v>
      </c>
      <c r="CG47" t="e">
        <f>AND(Plan!X120,"AAAAAGV/8lQ=")</f>
        <v>#VALUE!</v>
      </c>
      <c r="CH47" t="e">
        <f>AND(Plan!Y120,"AAAAAGV/8lU=")</f>
        <v>#VALUE!</v>
      </c>
      <c r="CI47" t="e">
        <f>AND(Plan!Z120,"AAAAAGV/8lY=")</f>
        <v>#VALUE!</v>
      </c>
      <c r="CJ47" t="e">
        <f>AND(Plan!AA120,"AAAAAGV/8lc=")</f>
        <v>#VALUE!</v>
      </c>
      <c r="CK47" t="e">
        <f>AND(Plan!AB120,"AAAAAGV/8lg=")</f>
        <v>#VALUE!</v>
      </c>
      <c r="CL47" t="e">
        <f>AND(Plan!AC120,"AAAAAGV/8lk=")</f>
        <v>#VALUE!</v>
      </c>
      <c r="CM47" t="e">
        <f>AND(Plan!AD120,"AAAAAGV/8lo=")</f>
        <v>#VALUE!</v>
      </c>
      <c r="CN47" t="e">
        <f>AND(Plan!AE120,"AAAAAGV/8ls=")</f>
        <v>#VALUE!</v>
      </c>
      <c r="CO47" t="e">
        <f>AND(Plan!AF120,"AAAAAGV/8lw=")</f>
        <v>#VALUE!</v>
      </c>
      <c r="CP47" t="e">
        <f>AND(Plan!AG120,"AAAAAGV/8l0=")</f>
        <v>#VALUE!</v>
      </c>
      <c r="CQ47" t="e">
        <f>AND(Plan!AH120,"AAAAAGV/8l4=")</f>
        <v>#VALUE!</v>
      </c>
      <c r="CR47" t="e">
        <f>AND(Plan!AI120,"AAAAAGV/8l8=")</f>
        <v>#VALUE!</v>
      </c>
      <c r="CS47" t="e">
        <f>AND(Plan!AJ120,"AAAAAGV/8mA=")</f>
        <v>#VALUE!</v>
      </c>
      <c r="CT47" t="e">
        <f>AND(Plan!AK120,"AAAAAGV/8mE=")</f>
        <v>#VALUE!</v>
      </c>
      <c r="CU47" t="e">
        <f>AND(Plan!AL120,"AAAAAGV/8mI=")</f>
        <v>#VALUE!</v>
      </c>
      <c r="CV47" t="e">
        <f>AND(Plan!AM120,"AAAAAGV/8mM=")</f>
        <v>#VALUE!</v>
      </c>
      <c r="CW47" t="e">
        <f>AND(Plan!AN120,"AAAAAGV/8mQ=")</f>
        <v>#VALUE!</v>
      </c>
      <c r="CX47" t="e">
        <f>AND(Plan!AO120,"AAAAAGV/8mU=")</f>
        <v>#VALUE!</v>
      </c>
      <c r="CY47" t="e">
        <f>AND(Plan!AP120,"AAAAAGV/8mY=")</f>
        <v>#VALUE!</v>
      </c>
      <c r="CZ47" t="e">
        <f>AND(Plan!AQ120,"AAAAAGV/8mc=")</f>
        <v>#VALUE!</v>
      </c>
      <c r="DA47" t="e">
        <f>AND(Plan!AR120,"AAAAAGV/8mg=")</f>
        <v>#VALUE!</v>
      </c>
      <c r="DB47" t="e">
        <f>AND(Plan!AS120,"AAAAAGV/8mk=")</f>
        <v>#VALUE!</v>
      </c>
      <c r="DC47" t="e">
        <f>AND(Plan!AT120,"AAAAAGV/8mo=")</f>
        <v>#VALUE!</v>
      </c>
      <c r="DD47" t="e">
        <f>AND(Plan!AU120,"AAAAAGV/8ms=")</f>
        <v>#VALUE!</v>
      </c>
      <c r="DE47" t="e">
        <f>AND(Plan!AV120,"AAAAAGV/8mw=")</f>
        <v>#VALUE!</v>
      </c>
      <c r="DF47" t="e">
        <f>AND(Plan!AW120,"AAAAAGV/8m0=")</f>
        <v>#VALUE!</v>
      </c>
      <c r="DG47" t="e">
        <f>AND(Plan!AX120,"AAAAAGV/8m4=")</f>
        <v>#VALUE!</v>
      </c>
      <c r="DH47" t="e">
        <f>AND(Plan!AY120,"AAAAAGV/8m8=")</f>
        <v>#VALUE!</v>
      </c>
      <c r="DI47" t="e">
        <f>AND(Plan!AZ120,"AAAAAGV/8nA=")</f>
        <v>#VALUE!</v>
      </c>
      <c r="DJ47" t="e">
        <f>AND(Plan!BA120,"AAAAAGV/8nE=")</f>
        <v>#VALUE!</v>
      </c>
      <c r="DK47" t="e">
        <f>AND(Plan!BB120,"AAAAAGV/8nI=")</f>
        <v>#VALUE!</v>
      </c>
      <c r="DL47" t="e">
        <f>AND(Plan!BC120,"AAAAAGV/8nM=")</f>
        <v>#VALUE!</v>
      </c>
      <c r="DM47" t="e">
        <f>AND(Plan!BD120,"AAAAAGV/8nQ=")</f>
        <v>#VALUE!</v>
      </c>
      <c r="DN47" t="e">
        <f>AND(Plan!BE120,"AAAAAGV/8nU=")</f>
        <v>#VALUE!</v>
      </c>
      <c r="DO47" t="e">
        <f>AND(Plan!BF120,"AAAAAGV/8nY=")</f>
        <v>#VALUE!</v>
      </c>
      <c r="DP47" t="e">
        <f>AND(Plan!BG120,"AAAAAGV/8nc=")</f>
        <v>#VALUE!</v>
      </c>
      <c r="DQ47" t="e">
        <f>AND(Plan!BH120,"AAAAAGV/8ng=")</f>
        <v>#VALUE!</v>
      </c>
      <c r="DR47">
        <f>IF(Plan!A:A,"AAAAAGV/8nk=",0)</f>
        <v>0</v>
      </c>
      <c r="DS47">
        <f>IF(Plan!B:B,"AAAAAGV/8no=",0)</f>
        <v>0</v>
      </c>
      <c r="DT47" t="e">
        <f>IF(Plan!C:C,"AAAAAGV/8ns=",0)</f>
        <v>#VALUE!</v>
      </c>
      <c r="DU47" t="e">
        <f>IF(Plan!D:D,"AAAAAGV/8nw=",0)</f>
        <v>#VALUE!</v>
      </c>
      <c r="DV47" t="str">
        <f>IF(Plan!E:E,"AAAAAGV/8n0=",0)</f>
        <v>AAAAAGV/8n0=</v>
      </c>
      <c r="DW47">
        <f>IF(Plan!F:F,"AAAAAGV/8n4=",0)</f>
        <v>0</v>
      </c>
      <c r="DX47">
        <f>IF(Plan!G:G,"AAAAAGV/8n8=",0)</f>
        <v>0</v>
      </c>
      <c r="DY47">
        <f>IF(Plan!H:H,"AAAAAGV/8oA=",0)</f>
        <v>0</v>
      </c>
      <c r="DZ47">
        <f>IF(Plan!I:I,"AAAAAGV/8oE=",0)</f>
        <v>0</v>
      </c>
      <c r="EA47">
        <f>IF(Plan!J:J,"AAAAAGV/8oI=",0)</f>
        <v>0</v>
      </c>
      <c r="EB47">
        <f>IF(Plan!K:K,"AAAAAGV/8oM=",0)</f>
        <v>0</v>
      </c>
      <c r="EC47" t="e">
        <f>IF(Plan!L:L,"AAAAAGV/8oQ=",0)</f>
        <v>#VALUE!</v>
      </c>
      <c r="ED47">
        <f>IF(Plan!M:M,"AAAAAGV/8oU=",0)</f>
        <v>0</v>
      </c>
      <c r="EE47">
        <f>IF(Plan!N:N,"AAAAAGV/8oY=",0)</f>
        <v>0</v>
      </c>
      <c r="EF47">
        <f>IF(Plan!O:O,"AAAAAGV/8oc=",0)</f>
        <v>0</v>
      </c>
      <c r="EG47">
        <f>IF(Plan!P:P,"AAAAAGV/8og=",0)</f>
        <v>0</v>
      </c>
      <c r="EH47">
        <f>IF(Plan!Q:Q,"AAAAAGV/8ok=",0)</f>
        <v>0</v>
      </c>
      <c r="EI47">
        <f>IF(Plan!R:R,"AAAAAGV/8oo=",0)</f>
        <v>0</v>
      </c>
      <c r="EJ47">
        <f>IF(Plan!S:S,"AAAAAGV/8os=",0)</f>
        <v>0</v>
      </c>
      <c r="EK47">
        <f>IF(Plan!T:T,"AAAAAGV/8ow=",0)</f>
        <v>0</v>
      </c>
      <c r="EL47">
        <f>IF(Plan!U:U,"AAAAAGV/8o0=",0)</f>
        <v>0</v>
      </c>
      <c r="EM47">
        <f>IF(Plan!V:V,"AAAAAGV/8o4=",0)</f>
        <v>0</v>
      </c>
      <c r="EN47">
        <f>IF(Plan!W:W,"AAAAAGV/8o8=",0)</f>
        <v>0</v>
      </c>
      <c r="EO47">
        <f>IF(Plan!X:X,"AAAAAGV/8pA=",0)</f>
        <v>0</v>
      </c>
      <c r="EP47">
        <f>IF(Plan!Y:Y,"AAAAAGV/8pE=",0)</f>
        <v>0</v>
      </c>
      <c r="EQ47">
        <f>IF(Plan!Z:Z,"AAAAAGV/8pI=",0)</f>
        <v>0</v>
      </c>
      <c r="ER47">
        <f>IF(Plan!AA:AA,"AAAAAGV/8pM=",0)</f>
        <v>0</v>
      </c>
      <c r="ES47">
        <f>IF(Plan!AB:AB,"AAAAAGV/8pQ=",0)</f>
        <v>0</v>
      </c>
      <c r="ET47">
        <f>IF(Plan!AC:AC,"AAAAAGV/8pU=",0)</f>
        <v>0</v>
      </c>
      <c r="EU47">
        <f>IF(Plan!AD:AD,"AAAAAGV/8pY=",0)</f>
        <v>0</v>
      </c>
      <c r="EV47">
        <f>IF(Plan!AE:AE,"AAAAAGV/8pc=",0)</f>
        <v>0</v>
      </c>
      <c r="EW47">
        <f>IF(Plan!AF:AF,"AAAAAGV/8pg=",0)</f>
        <v>0</v>
      </c>
      <c r="EX47">
        <f>IF(Plan!AG:AG,"AAAAAGV/8pk=",0)</f>
        <v>0</v>
      </c>
      <c r="EY47">
        <f>IF(Plan!AH:AH,"AAAAAGV/8po=",0)</f>
        <v>0</v>
      </c>
      <c r="EZ47">
        <f>IF(Plan!AI:AI,"AAAAAGV/8ps=",0)</f>
        <v>0</v>
      </c>
      <c r="FA47">
        <f>IF(Plan!AJ:AJ,"AAAAAGV/8pw=",0)</f>
        <v>0</v>
      </c>
      <c r="FB47">
        <f>IF(Plan!AK:AK,"AAAAAGV/8p0=",0)</f>
        <v>0</v>
      </c>
      <c r="FC47">
        <f>IF(Plan!AL:AL,"AAAAAGV/8p4=",0)</f>
        <v>0</v>
      </c>
      <c r="FD47">
        <f>IF(Plan!AM:AM,"AAAAAGV/8p8=",0)</f>
        <v>0</v>
      </c>
      <c r="FE47">
        <f>IF(Plan!AN:AN,"AAAAAGV/8qA=",0)</f>
        <v>0</v>
      </c>
      <c r="FF47">
        <f>IF(Plan!AO:AO,"AAAAAGV/8qE=",0)</f>
        <v>0</v>
      </c>
      <c r="FG47">
        <f>IF(Plan!AP:AP,"AAAAAGV/8qI=",0)</f>
        <v>0</v>
      </c>
      <c r="FH47">
        <f>IF(Plan!AQ:AQ,"AAAAAGV/8qM=",0)</f>
        <v>0</v>
      </c>
      <c r="FI47">
        <f>IF(Plan!AR:AR,"AAAAAGV/8qQ=",0)</f>
        <v>0</v>
      </c>
      <c r="FJ47">
        <f>IF(Plan!AS:AS,"AAAAAGV/8qU=",0)</f>
        <v>0</v>
      </c>
      <c r="FK47">
        <f>IF(Plan!AT:AT,"AAAAAGV/8qY=",0)</f>
        <v>0</v>
      </c>
      <c r="FL47">
        <f>IF(Plan!AU:AU,"AAAAAGV/8qc=",0)</f>
        <v>0</v>
      </c>
      <c r="FM47">
        <f>IF(Plan!AV:AV,"AAAAAGV/8qg=",0)</f>
        <v>0</v>
      </c>
      <c r="FN47">
        <f>IF(Plan!AW:AW,"AAAAAGV/8qk=",0)</f>
        <v>0</v>
      </c>
      <c r="FO47">
        <f>IF(Plan!AX:AX,"AAAAAGV/8qo=",0)</f>
        <v>0</v>
      </c>
      <c r="FP47">
        <f>IF(Plan!AY:AY,"AAAAAGV/8qs=",0)</f>
        <v>0</v>
      </c>
      <c r="FQ47">
        <f>IF(Plan!AZ:AZ,"AAAAAGV/8qw=",0)</f>
        <v>0</v>
      </c>
      <c r="FR47">
        <f>IF(Plan!BA:BA,"AAAAAGV/8q0=",0)</f>
        <v>0</v>
      </c>
      <c r="FS47">
        <f>IF(Plan!BB:BB,"AAAAAGV/8q4=",0)</f>
        <v>0</v>
      </c>
      <c r="FT47">
        <f>IF(Plan!BC:BC,"AAAAAGV/8q8=",0)</f>
        <v>0</v>
      </c>
      <c r="FU47">
        <f>IF(Plan!BD:BD,"AAAAAGV/8rA=",0)</f>
        <v>0</v>
      </c>
      <c r="FV47">
        <f>IF(Plan!BE:BE,"AAAAAGV/8rE=",0)</f>
        <v>0</v>
      </c>
      <c r="FW47">
        <f>IF(Plan!BF:BF,"AAAAAGV/8rI=",0)</f>
        <v>0</v>
      </c>
      <c r="FX47">
        <f>IF(Plan!BG:BG,"AAAAAGV/8rM=",0)</f>
        <v>0</v>
      </c>
      <c r="FY47">
        <f>IF(Plan!BH:BH,"AAAAAGV/8rQ=",0)</f>
        <v>0</v>
      </c>
      <c r="FZ47">
        <f>IF(Plan!BI:BI,"AAAAAGV/8rU=",0)</f>
        <v>0</v>
      </c>
      <c r="GA47">
        <f>IF(Plan!BJ:BJ,"AAAAAGV/8rY=",0)</f>
        <v>0</v>
      </c>
      <c r="GB47">
        <f>IF(Plan!BK:BK,"AAAAAGV/8rc=",0)</f>
        <v>0</v>
      </c>
      <c r="GC47">
        <f>IF(Plan!BL:BL,"AAAAAGV/8rg=",0)</f>
        <v>0</v>
      </c>
      <c r="GD47">
        <f>IF(Plan!BM:BM,"AAAAAGV/8rk=",0)</f>
        <v>0</v>
      </c>
      <c r="GE47">
        <f>IF(Plan!BN:BN,"AAAAAGV/8ro=",0)</f>
        <v>0</v>
      </c>
      <c r="GF47">
        <f>IF(Plan!BO:BO,"AAAAAGV/8rs=",0)</f>
        <v>0</v>
      </c>
      <c r="GG47">
        <f>IF(Plan!BP:BP,"AAAAAGV/8rw=",0)</f>
        <v>0</v>
      </c>
      <c r="GH47">
        <f>IF(Plan!BQ:BQ,"AAAAAGV/8r0=",0)</f>
        <v>0</v>
      </c>
      <c r="GI47">
        <f>IF(Plan!BR:BR,"AAAAAGV/8r4=",0)</f>
        <v>0</v>
      </c>
      <c r="GJ47">
        <f>IF(Plan!BS:BS,"AAAAAGV/8r8=",0)</f>
        <v>0</v>
      </c>
      <c r="GK47">
        <f>IF(Plan!BT:BT,"AAAAAGV/8sA=",0)</f>
        <v>0</v>
      </c>
      <c r="GL47">
        <f>IF(Plan!BU:BU,"AAAAAGV/8sE=",0)</f>
        <v>0</v>
      </c>
      <c r="GM47">
        <f>IF(Plan!BV:BV,"AAAAAGV/8sI=",0)</f>
        <v>0</v>
      </c>
      <c r="GN47">
        <f>IF(Plan!BW:BW,"AAAAAGV/8sM=",0)</f>
        <v>0</v>
      </c>
      <c r="GO47">
        <f>IF(Plan!BX:BX,"AAAAAGV/8sQ=",0)</f>
        <v>0</v>
      </c>
      <c r="GP47">
        <f>IF(Plan!BY:BY,"AAAAAGV/8sU=",0)</f>
        <v>0</v>
      </c>
      <c r="GQ47">
        <f>IF(Plan!BZ:BZ,"AAAAAGV/8sY=",0)</f>
        <v>0</v>
      </c>
      <c r="GR47">
        <f>IF(Plan!CA:CA,"AAAAAGV/8sc=",0)</f>
        <v>0</v>
      </c>
      <c r="GS47">
        <f>IF(Plan!CB:CB,"AAAAAGV/8sg=",0)</f>
        <v>0</v>
      </c>
      <c r="GT47">
        <f>IF(Plan!CC:CC,"AAAAAGV/8sk=",0)</f>
        <v>0</v>
      </c>
      <c r="GU47">
        <f>IF(Plan!CD:CD,"AAAAAGV/8so=",0)</f>
        <v>0</v>
      </c>
      <c r="GV47">
        <f>IF(Plan!CE:CE,"AAAAAGV/8ss=",0)</f>
        <v>0</v>
      </c>
      <c r="GW47">
        <f>IF(Plan!CF:CF,"AAAAAGV/8sw=",0)</f>
        <v>0</v>
      </c>
      <c r="GX47">
        <f>IF(Plan!CG:CG,"AAAAAGV/8s0=",0)</f>
        <v>0</v>
      </c>
      <c r="GY47">
        <f>IF(Plan!CH:CH,"AAAAAGV/8s4=",0)</f>
        <v>0</v>
      </c>
      <c r="GZ47">
        <f>IF(Plan!CI:CI,"AAAAAGV/8s8=",0)</f>
        <v>0</v>
      </c>
      <c r="HA47">
        <f>IF(Plan!CJ:CJ,"AAAAAGV/8tA=",0)</f>
        <v>0</v>
      </c>
      <c r="HB47">
        <f>IF(Plan!CK:CK,"AAAAAGV/8tE=",0)</f>
        <v>0</v>
      </c>
      <c r="HC47">
        <f>IF(Plan!CL:CL,"AAAAAGV/8tI=",0)</f>
        <v>0</v>
      </c>
      <c r="HD47">
        <f>IF(Plan!CM:CM,"AAAAAGV/8tM=",0)</f>
        <v>0</v>
      </c>
      <c r="HE47">
        <f>IF(Plan!CN:CN,"AAAAAGV/8tQ=",0)</f>
        <v>0</v>
      </c>
      <c r="HF47">
        <f>IF(Plan!CO:CO,"AAAAAGV/8tU=",0)</f>
        <v>0</v>
      </c>
      <c r="HG47">
        <f>IF(Plan!CP:CP,"AAAAAGV/8tY=",0)</f>
        <v>0</v>
      </c>
      <c r="HH47">
        <f>IF(Plan!CQ:CQ,"AAAAAGV/8tc=",0)</f>
        <v>0</v>
      </c>
      <c r="HI47">
        <f>IF(Plan!CR:CR,"AAAAAGV/8tg=",0)</f>
        <v>0</v>
      </c>
      <c r="HJ47">
        <f>IF(Plan!CS:CS,"AAAAAGV/8tk=",0)</f>
        <v>0</v>
      </c>
      <c r="HK47">
        <f>IF(Plan!CT:CT,"AAAAAGV/8to=",0)</f>
        <v>0</v>
      </c>
      <c r="HL47">
        <f>IF(Plan!CU:CU,"AAAAAGV/8ts=",0)</f>
        <v>0</v>
      </c>
      <c r="HM47">
        <f>IF(Plan!CV:CV,"AAAAAGV/8tw=",0)</f>
        <v>0</v>
      </c>
      <c r="HN47">
        <f>IF(Plan!CW:CW,"AAAAAGV/8t0=",0)</f>
        <v>0</v>
      </c>
      <c r="HO47">
        <f>IF(Data!1:1,"AAAAAGV/8t4=",0)</f>
        <v>0</v>
      </c>
      <c r="HP47" t="e">
        <f>AND(Data!A1,"AAAAAGV/8t8=")</f>
        <v>#VALUE!</v>
      </c>
      <c r="HQ47">
        <f>IF(Data!A:A,"AAAAAGV/8uA=",0)</f>
        <v>0</v>
      </c>
      <c r="HR47" t="s">
        <v>153</v>
      </c>
      <c r="HS47" t="e">
        <f>IF("N",Plan!_xlnm._FilterDatabase,"AAAAAGV/8uI=")</f>
        <v>#VALUE!</v>
      </c>
      <c r="HT47" t="e">
        <f>IF("N",members,"AAAAAGV/8uM=")</f>
        <v>#VALUE!</v>
      </c>
    </row>
    <row r="48" spans="1:256">
      <c r="A48" t="e">
        <f>AND(Plan!C98,"AAAAAH1q/QA=")</f>
        <v>#VALUE!</v>
      </c>
    </row>
    <row r="49" spans="1:256">
      <c r="A49" t="e">
        <f>AND(Plan!D62,"AAAAADP+9gA=")</f>
        <v>#VALUE!</v>
      </c>
      <c r="B49" t="e">
        <f>AND(Plan!E62,"AAAAADP+9gE=")</f>
        <v>#VALUE!</v>
      </c>
      <c r="C49" t="e">
        <f>AND(Plan!F62,"AAAAADP+9gI=")</f>
        <v>#VALUE!</v>
      </c>
      <c r="D49" t="e">
        <f>AND(Plan!G62,"AAAAADP+9gM=")</f>
        <v>#VALUE!</v>
      </c>
      <c r="E49" t="e">
        <f>AND(Plan!D63,"AAAAADP+9gQ=")</f>
        <v>#VALUE!</v>
      </c>
      <c r="F49" t="e">
        <f>AND(Plan!E63,"AAAAADP+9gU=")</f>
        <v>#VALUE!</v>
      </c>
      <c r="G49" t="e">
        <f>AND(Plan!F63,"AAAAADP+9gY=")</f>
        <v>#VALUE!</v>
      </c>
      <c r="H49" t="e">
        <f>AND(Plan!G63,"AAAAADP+9gc=")</f>
        <v>#VALUE!</v>
      </c>
      <c r="I49" t="e">
        <f>AND(Plan!D64,"AAAAADP+9gg=")</f>
        <v>#VALUE!</v>
      </c>
      <c r="J49" t="e">
        <f>AND(Plan!E64,"AAAAADP+9gk=")</f>
        <v>#VALUE!</v>
      </c>
      <c r="K49" t="e">
        <f>AND(Plan!F64,"AAAAADP+9go=")</f>
        <v>#VALUE!</v>
      </c>
      <c r="L49" t="e">
        <f>AND(Plan!G64,"AAAAADP+9gs=")</f>
        <v>#VALUE!</v>
      </c>
      <c r="M49" t="e">
        <f>AND(Plan!#REF!,"AAAAADP+9gw=")</f>
        <v>#REF!</v>
      </c>
      <c r="N49" t="e">
        <f>AND(Plan!#REF!,"AAAAADP+9g0=")</f>
        <v>#REF!</v>
      </c>
      <c r="O49" t="e">
        <f>AND(Plan!#REF!,"AAAAADP+9g4=")</f>
        <v>#REF!</v>
      </c>
      <c r="P49">
        <f>IF(Plan!99:99,"AAAAADP+9g8=",0)</f>
        <v>0</v>
      </c>
      <c r="Q49" t="e">
        <f>AND(Plan!A99,"AAAAADP+9hA=")</f>
        <v>#VALUE!</v>
      </c>
      <c r="R49" t="e">
        <f>AND(Plan!B99,"AAAAADP+9hE=")</f>
        <v>#VALUE!</v>
      </c>
      <c r="S49" t="e">
        <f>AND(Plan!C99,"AAAAADP+9hI=")</f>
        <v>#VALUE!</v>
      </c>
      <c r="T49" t="e">
        <f>AND(Plan!D99,"AAAAADP+9hM=")</f>
        <v>#VALUE!</v>
      </c>
      <c r="U49" t="e">
        <f>AND(Plan!E99,"AAAAADP+9hQ=")</f>
        <v>#VALUE!</v>
      </c>
      <c r="V49" t="e">
        <f>AND(Plan!F99,"AAAAADP+9hU=")</f>
        <v>#VALUE!</v>
      </c>
      <c r="W49" t="e">
        <f>AND(Plan!G99,"AAAAADP+9hY=")</f>
        <v>#VALUE!</v>
      </c>
      <c r="X49" t="e">
        <f>AND(Plan!H99,"AAAAADP+9hc=")</f>
        <v>#VALUE!</v>
      </c>
      <c r="Y49" t="e">
        <f>AND(Plan!I99,"AAAAADP+9hg=")</f>
        <v>#VALUE!</v>
      </c>
      <c r="Z49" t="e">
        <f>AND(Plan!J99,"AAAAADP+9hk=")</f>
        <v>#VALUE!</v>
      </c>
      <c r="AA49" t="e">
        <f>AND(Plan!K99,"AAAAADP+9ho=")</f>
        <v>#VALUE!</v>
      </c>
      <c r="AB49" t="e">
        <f>AND(Plan!L99,"AAAAADP+9hs=")</f>
        <v>#VALUE!</v>
      </c>
      <c r="AC49" t="e">
        <f>AND(Plan!M99,"AAAAADP+9hw=")</f>
        <v>#VALUE!</v>
      </c>
      <c r="AD49" t="e">
        <f>AND(Plan!N99,"AAAAADP+9h0=")</f>
        <v>#VALUE!</v>
      </c>
      <c r="AE49" t="e">
        <f>AND(Plan!O99,"AAAAADP+9h4=")</f>
        <v>#VALUE!</v>
      </c>
      <c r="AF49" t="e">
        <f>AND(Plan!P99,"AAAAADP+9h8=")</f>
        <v>#VALUE!</v>
      </c>
      <c r="AG49" t="e">
        <f>AND(Plan!Q99,"AAAAADP+9iA=")</f>
        <v>#VALUE!</v>
      </c>
      <c r="AH49" t="e">
        <f>AND(Plan!R99,"AAAAADP+9iE=")</f>
        <v>#VALUE!</v>
      </c>
      <c r="AI49" t="e">
        <f>AND(Plan!S99,"AAAAADP+9iI=")</f>
        <v>#VALUE!</v>
      </c>
      <c r="AJ49" t="e">
        <f>AND(Plan!T99,"AAAAADP+9iM=")</f>
        <v>#VALUE!</v>
      </c>
      <c r="AK49" t="e">
        <f>AND(Plan!U99,"AAAAADP+9iQ=")</f>
        <v>#VALUE!</v>
      </c>
      <c r="AL49" t="e">
        <f>AND(Plan!V99,"AAAAADP+9iU=")</f>
        <v>#VALUE!</v>
      </c>
      <c r="AM49" t="e">
        <f>AND(Plan!W99,"AAAAADP+9iY=")</f>
        <v>#VALUE!</v>
      </c>
      <c r="AN49" t="e">
        <f>AND(Plan!X99,"AAAAADP+9ic=")</f>
        <v>#VALUE!</v>
      </c>
      <c r="AO49" t="e">
        <f>AND(Plan!Y99,"AAAAADP+9ig=")</f>
        <v>#VALUE!</v>
      </c>
      <c r="AP49" t="e">
        <f>AND(Plan!Z99,"AAAAADP+9ik=")</f>
        <v>#VALUE!</v>
      </c>
      <c r="AQ49" t="e">
        <f>AND(Plan!AA99,"AAAAADP+9io=")</f>
        <v>#VALUE!</v>
      </c>
      <c r="AR49" t="e">
        <f>AND(Plan!AB99,"AAAAADP+9is=")</f>
        <v>#VALUE!</v>
      </c>
      <c r="AS49" t="e">
        <f>AND(Plan!AC99,"AAAAADP+9iw=")</f>
        <v>#VALUE!</v>
      </c>
      <c r="AT49" t="e">
        <f>AND(Plan!AD99,"AAAAADP+9i0=")</f>
        <v>#VALUE!</v>
      </c>
      <c r="AU49" t="e">
        <f>AND(Plan!AE99,"AAAAADP+9i4=")</f>
        <v>#VALUE!</v>
      </c>
      <c r="AV49" t="e">
        <f>AND(Plan!AF99,"AAAAADP+9i8=")</f>
        <v>#VALUE!</v>
      </c>
      <c r="AW49" t="e">
        <f>AND(Plan!AG99,"AAAAADP+9jA=")</f>
        <v>#VALUE!</v>
      </c>
      <c r="AX49" t="e">
        <f>AND(Plan!AH99,"AAAAADP+9jE=")</f>
        <v>#VALUE!</v>
      </c>
      <c r="AY49" t="e">
        <f>AND(Plan!AI99,"AAAAADP+9jI=")</f>
        <v>#VALUE!</v>
      </c>
      <c r="AZ49" t="e">
        <f>AND(Plan!AJ99,"AAAAADP+9jM=")</f>
        <v>#VALUE!</v>
      </c>
      <c r="BA49" t="e">
        <f>AND(Plan!AK99,"AAAAADP+9jQ=")</f>
        <v>#VALUE!</v>
      </c>
      <c r="BB49" t="e">
        <f>AND(Plan!AL99,"AAAAADP+9jU=")</f>
        <v>#VALUE!</v>
      </c>
      <c r="BC49" t="e">
        <f>AND(Plan!AM99,"AAAAADP+9jY=")</f>
        <v>#VALUE!</v>
      </c>
      <c r="BD49" t="e">
        <f>AND(Plan!AN99,"AAAAADP+9jc=")</f>
        <v>#VALUE!</v>
      </c>
      <c r="BE49" t="e">
        <f>AND(Plan!AO99,"AAAAADP+9jg=")</f>
        <v>#VALUE!</v>
      </c>
      <c r="BF49" t="e">
        <f>AND(Plan!AP99,"AAAAADP+9jk=")</f>
        <v>#VALUE!</v>
      </c>
      <c r="BG49" t="e">
        <f>AND(Plan!AQ99,"AAAAADP+9jo=")</f>
        <v>#VALUE!</v>
      </c>
      <c r="BH49" t="e">
        <f>AND(Plan!AR99,"AAAAADP+9js=")</f>
        <v>#VALUE!</v>
      </c>
      <c r="BI49" t="e">
        <f>AND(Plan!AS99,"AAAAADP+9jw=")</f>
        <v>#VALUE!</v>
      </c>
      <c r="BJ49" t="e">
        <f>AND(Plan!AT99,"AAAAADP+9j0=")</f>
        <v>#VALUE!</v>
      </c>
      <c r="BK49" t="e">
        <f>AND(Plan!AU99,"AAAAADP+9j4=")</f>
        <v>#VALUE!</v>
      </c>
      <c r="BL49" t="e">
        <f>AND(Plan!AV99,"AAAAADP+9j8=")</f>
        <v>#VALUE!</v>
      </c>
      <c r="BM49" t="e">
        <f>AND(Plan!AW99,"AAAAADP+9kA=")</f>
        <v>#VALUE!</v>
      </c>
      <c r="BN49" t="e">
        <f>AND(Plan!AX99,"AAAAADP+9kE=")</f>
        <v>#VALUE!</v>
      </c>
      <c r="BO49" t="e">
        <f>AND(Plan!AY99,"AAAAADP+9kI=")</f>
        <v>#VALUE!</v>
      </c>
      <c r="BP49" t="e">
        <f>AND(Plan!AZ99,"AAAAADP+9kM=")</f>
        <v>#VALUE!</v>
      </c>
      <c r="BQ49" t="e">
        <f>AND(Plan!BA99,"AAAAADP+9kQ=")</f>
        <v>#VALUE!</v>
      </c>
      <c r="BR49" t="e">
        <f>AND(Plan!BB99,"AAAAADP+9kU=")</f>
        <v>#VALUE!</v>
      </c>
      <c r="BS49" t="e">
        <f>AND(Plan!BC99,"AAAAADP+9kY=")</f>
        <v>#VALUE!</v>
      </c>
      <c r="BT49" t="e">
        <f>AND(Plan!BD99,"AAAAADP+9kc=")</f>
        <v>#VALUE!</v>
      </c>
      <c r="BU49" t="e">
        <f>AND(Plan!BE99,"AAAAADP+9kg=")</f>
        <v>#VALUE!</v>
      </c>
      <c r="BV49" t="e">
        <f>AND(Plan!BF99,"AAAAADP+9kk=")</f>
        <v>#VALUE!</v>
      </c>
      <c r="BW49" t="e">
        <f>AND(Plan!BG99,"AAAAADP+9ko=")</f>
        <v>#VALUE!</v>
      </c>
      <c r="BX49" t="e">
        <f>AND(Plan!BH99,"AAAAADP+9ks=")</f>
        <v>#VALUE!</v>
      </c>
      <c r="BY49" t="e">
        <f>AND(Plan!BI99,"AAAAADP+9kw=")</f>
        <v>#VALUE!</v>
      </c>
      <c r="BZ49" t="e">
        <f>AND(Plan!BJ99,"AAAAADP+9k0=")</f>
        <v>#VALUE!</v>
      </c>
      <c r="CA49" t="e">
        <f>AND(Plan!BK99,"AAAAADP+9k4=")</f>
        <v>#VALUE!</v>
      </c>
      <c r="CB49" t="e">
        <f>AND(Plan!BL99,"AAAAADP+9k8=")</f>
        <v>#VALUE!</v>
      </c>
      <c r="CC49" t="e">
        <f>AND(Plan!BM99,"AAAAADP+9lA=")</f>
        <v>#VALUE!</v>
      </c>
      <c r="CD49" t="e">
        <f>AND(Plan!BN99,"AAAAADP+9lE=")</f>
        <v>#VALUE!</v>
      </c>
      <c r="CE49" t="e">
        <f>AND(Plan!BO99,"AAAAADP+9lI=")</f>
        <v>#VALUE!</v>
      </c>
      <c r="CF49" t="e">
        <f>AND(Plan!BP99,"AAAAADP+9lM=")</f>
        <v>#VALUE!</v>
      </c>
      <c r="CG49" t="e">
        <f>AND(Plan!BQ99,"AAAAADP+9lQ=")</f>
        <v>#VALUE!</v>
      </c>
      <c r="CH49" t="e">
        <f>AND(Plan!BR99,"AAAAADP+9lU=")</f>
        <v>#VALUE!</v>
      </c>
      <c r="CI49" t="e">
        <f>AND(Plan!BS99,"AAAAADP+9lY=")</f>
        <v>#VALUE!</v>
      </c>
      <c r="CJ49" t="e">
        <f>AND(Plan!BT99,"AAAAADP+9lc=")</f>
        <v>#VALUE!</v>
      </c>
      <c r="CK49" t="e">
        <f>AND(Plan!BU99,"AAAAADP+9lg=")</f>
        <v>#VALUE!</v>
      </c>
      <c r="CL49" t="e">
        <f>AND(Plan!BV99,"AAAAADP+9lk=")</f>
        <v>#VALUE!</v>
      </c>
      <c r="CM49" t="e">
        <f>AND(Plan!BW99,"AAAAADP+9lo=")</f>
        <v>#VALUE!</v>
      </c>
      <c r="CN49" t="e">
        <f>AND(Plan!BX99,"AAAAADP+9ls=")</f>
        <v>#VALUE!</v>
      </c>
      <c r="CO49" t="e">
        <f>AND(Plan!BY99,"AAAAADP+9lw=")</f>
        <v>#VALUE!</v>
      </c>
      <c r="CP49" t="e">
        <f>AND(Plan!BZ99,"AAAAADP+9l0=")</f>
        <v>#VALUE!</v>
      </c>
      <c r="CQ49" t="e">
        <f>AND(Plan!CA99,"AAAAADP+9l4=")</f>
        <v>#VALUE!</v>
      </c>
      <c r="CR49" t="e">
        <f>AND(Plan!CB99,"AAAAADP+9l8=")</f>
        <v>#VALUE!</v>
      </c>
      <c r="CS49" t="e">
        <f>AND(Plan!CC99,"AAAAADP+9mA=")</f>
        <v>#VALUE!</v>
      </c>
      <c r="CT49" t="e">
        <f>AND(Plan!CD99,"AAAAADP+9mE=")</f>
        <v>#VALUE!</v>
      </c>
      <c r="CU49" t="e">
        <f>AND(Plan!CE99,"AAAAADP+9mI=")</f>
        <v>#VALUE!</v>
      </c>
      <c r="CV49" t="e">
        <f>AND(Plan!CF99,"AAAAADP+9mM=")</f>
        <v>#VALUE!</v>
      </c>
      <c r="CW49" t="e">
        <f>AND(Plan!CG99,"AAAAADP+9mQ=")</f>
        <v>#VALUE!</v>
      </c>
      <c r="CX49" t="e">
        <f>AND(Plan!CH99,"AAAAADP+9mU=")</f>
        <v>#VALUE!</v>
      </c>
      <c r="CY49" t="e">
        <f>AND(Plan!CI99,"AAAAADP+9mY=")</f>
        <v>#VALUE!</v>
      </c>
      <c r="CZ49" t="e">
        <f>AND(Plan!CJ99,"AAAAADP+9mc=")</f>
        <v>#VALUE!</v>
      </c>
      <c r="DA49" t="e">
        <f>AND(Plan!CK99,"AAAAADP+9mg=")</f>
        <v>#VALUE!</v>
      </c>
      <c r="DB49" t="e">
        <f>AND(Plan!CL99,"AAAAADP+9mk=")</f>
        <v>#VALUE!</v>
      </c>
      <c r="DC49" t="e">
        <f>AND(Plan!CM99,"AAAAADP+9mo=")</f>
        <v>#VALUE!</v>
      </c>
      <c r="DD49" t="e">
        <f>AND(Plan!CN99,"AAAAADP+9ms=")</f>
        <v>#VALUE!</v>
      </c>
      <c r="DE49" t="e">
        <f>AND(Plan!CO99,"AAAAADP+9mw=")</f>
        <v>#VALUE!</v>
      </c>
      <c r="DF49" t="e">
        <f>AND(Plan!CP99,"AAAAADP+9m0=")</f>
        <v>#VALUE!</v>
      </c>
      <c r="DG49" t="e">
        <f>AND(Plan!CQ99,"AAAAADP+9m4=")</f>
        <v>#VALUE!</v>
      </c>
      <c r="DH49" t="e">
        <f>AND(Plan!CR99,"AAAAADP+9m8=")</f>
        <v>#VALUE!</v>
      </c>
      <c r="DI49" t="e">
        <f>AND(Plan!CS99,"AAAAADP+9nA=")</f>
        <v>#VALUE!</v>
      </c>
      <c r="DJ49" t="e">
        <f>AND(Plan!CT99,"AAAAADP+9nE=")</f>
        <v>#VALUE!</v>
      </c>
      <c r="DK49" t="e">
        <f>AND(Plan!CU99,"AAAAADP+9nI=")</f>
        <v>#VALUE!</v>
      </c>
      <c r="DL49" t="e">
        <f>AND(Plan!CV99,"AAAAADP+9nM=")</f>
        <v>#VALUE!</v>
      </c>
      <c r="DM49" t="e">
        <f>AND(Plan!CW99,"AAAAADP+9nQ=")</f>
        <v>#VALUE!</v>
      </c>
      <c r="DN49">
        <f>IF(Plan!100:100,"AAAAADP+9nU=",0)</f>
        <v>0</v>
      </c>
      <c r="DO49" t="e">
        <f>AND(Plan!A100,"AAAAADP+9nY=")</f>
        <v>#VALUE!</v>
      </c>
      <c r="DP49" t="e">
        <f>AND(Plan!B100,"AAAAADP+9nc=")</f>
        <v>#VALUE!</v>
      </c>
      <c r="DQ49" t="e">
        <f>AND(Plan!C100,"AAAAADP+9ng=")</f>
        <v>#VALUE!</v>
      </c>
      <c r="DR49" t="e">
        <f>AND(Plan!D100,"AAAAADP+9nk=")</f>
        <v>#VALUE!</v>
      </c>
      <c r="DS49" t="e">
        <f>AND(Plan!E100,"AAAAADP+9no=")</f>
        <v>#VALUE!</v>
      </c>
      <c r="DT49" t="e">
        <f>AND(Plan!F100,"AAAAADP+9ns=")</f>
        <v>#VALUE!</v>
      </c>
      <c r="DU49" t="e">
        <f>AND(Plan!G100,"AAAAADP+9nw=")</f>
        <v>#VALUE!</v>
      </c>
      <c r="DV49" t="e">
        <f>AND(Plan!H100,"AAAAADP+9n0=")</f>
        <v>#VALUE!</v>
      </c>
      <c r="DW49" t="e">
        <f>AND(Plan!I100,"AAAAADP+9n4=")</f>
        <v>#VALUE!</v>
      </c>
      <c r="DX49" t="e">
        <f>AND(Plan!J100,"AAAAADP+9n8=")</f>
        <v>#VALUE!</v>
      </c>
      <c r="DY49" t="e">
        <f>AND(Plan!K100,"AAAAADP+9oA=")</f>
        <v>#VALUE!</v>
      </c>
      <c r="DZ49" t="e">
        <f>AND(Plan!L100,"AAAAADP+9oE=")</f>
        <v>#VALUE!</v>
      </c>
      <c r="EA49" t="e">
        <f>AND(Plan!M100,"AAAAADP+9oI=")</f>
        <v>#VALUE!</v>
      </c>
      <c r="EB49" t="e">
        <f>AND(Plan!N100,"AAAAADP+9oM=")</f>
        <v>#VALUE!</v>
      </c>
      <c r="EC49" t="e">
        <f>AND(Plan!O100,"AAAAADP+9oQ=")</f>
        <v>#VALUE!</v>
      </c>
      <c r="ED49" t="e">
        <f>AND(Plan!P100,"AAAAADP+9oU=")</f>
        <v>#VALUE!</v>
      </c>
      <c r="EE49" t="e">
        <f>AND(Plan!Q100,"AAAAADP+9oY=")</f>
        <v>#VALUE!</v>
      </c>
      <c r="EF49" t="e">
        <f>AND(Plan!R100,"AAAAADP+9oc=")</f>
        <v>#VALUE!</v>
      </c>
      <c r="EG49" t="e">
        <f>AND(Plan!S100,"AAAAADP+9og=")</f>
        <v>#VALUE!</v>
      </c>
      <c r="EH49" t="e">
        <f>AND(Plan!T100,"AAAAADP+9ok=")</f>
        <v>#VALUE!</v>
      </c>
      <c r="EI49" t="e">
        <f>AND(Plan!U100,"AAAAADP+9oo=")</f>
        <v>#VALUE!</v>
      </c>
      <c r="EJ49" t="e">
        <f>AND(Plan!V100,"AAAAADP+9os=")</f>
        <v>#VALUE!</v>
      </c>
      <c r="EK49" t="e">
        <f>AND(Plan!W100,"AAAAADP+9ow=")</f>
        <v>#VALUE!</v>
      </c>
      <c r="EL49" t="e">
        <f>AND(Plan!X100,"AAAAADP+9o0=")</f>
        <v>#VALUE!</v>
      </c>
      <c r="EM49" t="e">
        <f>AND(Plan!Y100,"AAAAADP+9o4=")</f>
        <v>#VALUE!</v>
      </c>
      <c r="EN49" t="e">
        <f>AND(Plan!Z100,"AAAAADP+9o8=")</f>
        <v>#VALUE!</v>
      </c>
      <c r="EO49" t="e">
        <f>AND(Plan!AA100,"AAAAADP+9pA=")</f>
        <v>#VALUE!</v>
      </c>
      <c r="EP49" t="e">
        <f>AND(Plan!AB100,"AAAAADP+9pE=")</f>
        <v>#VALUE!</v>
      </c>
      <c r="EQ49" t="e">
        <f>AND(Plan!AC100,"AAAAADP+9pI=")</f>
        <v>#VALUE!</v>
      </c>
      <c r="ER49" t="e">
        <f>AND(Plan!AD100,"AAAAADP+9pM=")</f>
        <v>#VALUE!</v>
      </c>
      <c r="ES49" t="e">
        <f>AND(Plan!AE100,"AAAAADP+9pQ=")</f>
        <v>#VALUE!</v>
      </c>
      <c r="ET49" t="e">
        <f>AND(Plan!AF100,"AAAAADP+9pU=")</f>
        <v>#VALUE!</v>
      </c>
      <c r="EU49" t="e">
        <f>AND(Plan!AG100,"AAAAADP+9pY=")</f>
        <v>#VALUE!</v>
      </c>
      <c r="EV49" t="e">
        <f>AND(Plan!AH100,"AAAAADP+9pc=")</f>
        <v>#VALUE!</v>
      </c>
      <c r="EW49" t="e">
        <f>AND(Plan!AI100,"AAAAADP+9pg=")</f>
        <v>#VALUE!</v>
      </c>
      <c r="EX49" t="e">
        <f>AND(Plan!AJ100,"AAAAADP+9pk=")</f>
        <v>#VALUE!</v>
      </c>
      <c r="EY49" t="e">
        <f>AND(Plan!AK100,"AAAAADP+9po=")</f>
        <v>#VALUE!</v>
      </c>
      <c r="EZ49" t="e">
        <f>AND(Plan!AL100,"AAAAADP+9ps=")</f>
        <v>#VALUE!</v>
      </c>
      <c r="FA49" t="e">
        <f>AND(Plan!AM100,"AAAAADP+9pw=")</f>
        <v>#VALUE!</v>
      </c>
      <c r="FB49" t="e">
        <f>AND(Plan!AN100,"AAAAADP+9p0=")</f>
        <v>#VALUE!</v>
      </c>
      <c r="FC49" t="e">
        <f>AND(Plan!AO100,"AAAAADP+9p4=")</f>
        <v>#VALUE!</v>
      </c>
      <c r="FD49" t="e">
        <f>AND(Plan!AP100,"AAAAADP+9p8=")</f>
        <v>#VALUE!</v>
      </c>
      <c r="FE49" t="e">
        <f>AND(Plan!AQ100,"AAAAADP+9qA=")</f>
        <v>#VALUE!</v>
      </c>
      <c r="FF49" t="e">
        <f>AND(Plan!AR100,"AAAAADP+9qE=")</f>
        <v>#VALUE!</v>
      </c>
      <c r="FG49" t="e">
        <f>AND(Plan!AS100,"AAAAADP+9qI=")</f>
        <v>#VALUE!</v>
      </c>
      <c r="FH49" t="e">
        <f>AND(Plan!AT100,"AAAAADP+9qM=")</f>
        <v>#VALUE!</v>
      </c>
      <c r="FI49" t="e">
        <f>AND(Plan!AU100,"AAAAADP+9qQ=")</f>
        <v>#VALUE!</v>
      </c>
      <c r="FJ49" t="e">
        <f>AND(Plan!AV100,"AAAAADP+9qU=")</f>
        <v>#VALUE!</v>
      </c>
      <c r="FK49" t="e">
        <f>AND(Plan!AW100,"AAAAADP+9qY=")</f>
        <v>#VALUE!</v>
      </c>
      <c r="FL49" t="e">
        <f>AND(Plan!AX100,"AAAAADP+9qc=")</f>
        <v>#VALUE!</v>
      </c>
      <c r="FM49" t="e">
        <f>AND(Plan!AY100,"AAAAADP+9qg=")</f>
        <v>#VALUE!</v>
      </c>
      <c r="FN49" t="e">
        <f>AND(Plan!AZ100,"AAAAADP+9qk=")</f>
        <v>#VALUE!</v>
      </c>
      <c r="FO49" t="e">
        <f>AND(Plan!BA100,"AAAAADP+9qo=")</f>
        <v>#VALUE!</v>
      </c>
      <c r="FP49" t="e">
        <f>AND(Plan!BB100,"AAAAADP+9qs=")</f>
        <v>#VALUE!</v>
      </c>
      <c r="FQ49" t="e">
        <f>AND(Plan!BC100,"AAAAADP+9qw=")</f>
        <v>#VALUE!</v>
      </c>
      <c r="FR49" t="e">
        <f>AND(Plan!BD100,"AAAAADP+9q0=")</f>
        <v>#VALUE!</v>
      </c>
      <c r="FS49" t="e">
        <f>AND(Plan!BE100,"AAAAADP+9q4=")</f>
        <v>#VALUE!</v>
      </c>
      <c r="FT49" t="e">
        <f>AND(Plan!BF100,"AAAAADP+9q8=")</f>
        <v>#VALUE!</v>
      </c>
      <c r="FU49" t="e">
        <f>AND(Plan!BG100,"AAAAADP+9rA=")</f>
        <v>#VALUE!</v>
      </c>
      <c r="FV49" t="e">
        <f>AND(Plan!BH100,"AAAAADP+9rE=")</f>
        <v>#VALUE!</v>
      </c>
      <c r="FW49" t="e">
        <f>AND(Plan!BI100,"AAAAADP+9rI=")</f>
        <v>#VALUE!</v>
      </c>
      <c r="FX49" t="e">
        <f>AND(Plan!BJ100,"AAAAADP+9rM=")</f>
        <v>#VALUE!</v>
      </c>
      <c r="FY49" t="e">
        <f>AND(Plan!BK100,"AAAAADP+9rQ=")</f>
        <v>#VALUE!</v>
      </c>
      <c r="FZ49" t="e">
        <f>AND(Plan!BL100,"AAAAADP+9rU=")</f>
        <v>#VALUE!</v>
      </c>
      <c r="GA49" t="e">
        <f>AND(Plan!BM100,"AAAAADP+9rY=")</f>
        <v>#VALUE!</v>
      </c>
      <c r="GB49" t="e">
        <f>AND(Plan!BN100,"AAAAADP+9rc=")</f>
        <v>#VALUE!</v>
      </c>
      <c r="GC49" t="e">
        <f>AND(Plan!BO100,"AAAAADP+9rg=")</f>
        <v>#VALUE!</v>
      </c>
      <c r="GD49" t="e">
        <f>AND(Plan!BP100,"AAAAADP+9rk=")</f>
        <v>#VALUE!</v>
      </c>
      <c r="GE49" t="e">
        <f>AND(Plan!BQ100,"AAAAADP+9ro=")</f>
        <v>#VALUE!</v>
      </c>
      <c r="GF49" t="e">
        <f>AND(Plan!BR100,"AAAAADP+9rs=")</f>
        <v>#VALUE!</v>
      </c>
      <c r="GG49" t="e">
        <f>AND(Plan!BS100,"AAAAADP+9rw=")</f>
        <v>#VALUE!</v>
      </c>
      <c r="GH49" t="e">
        <f>AND(Plan!BT100,"AAAAADP+9r0=")</f>
        <v>#VALUE!</v>
      </c>
      <c r="GI49" t="e">
        <f>AND(Plan!BU100,"AAAAADP+9r4=")</f>
        <v>#VALUE!</v>
      </c>
      <c r="GJ49" t="e">
        <f>AND(Plan!BV100,"AAAAADP+9r8=")</f>
        <v>#VALUE!</v>
      </c>
      <c r="GK49" t="e">
        <f>AND(Plan!BW100,"AAAAADP+9sA=")</f>
        <v>#VALUE!</v>
      </c>
      <c r="GL49" t="e">
        <f>AND(Plan!BX100,"AAAAADP+9sE=")</f>
        <v>#VALUE!</v>
      </c>
      <c r="GM49" t="e">
        <f>AND(Plan!BY100,"AAAAADP+9sI=")</f>
        <v>#VALUE!</v>
      </c>
      <c r="GN49" t="e">
        <f>AND(Plan!BZ100,"AAAAADP+9sM=")</f>
        <v>#VALUE!</v>
      </c>
      <c r="GO49" t="e">
        <f>AND(Plan!CA100,"AAAAADP+9sQ=")</f>
        <v>#VALUE!</v>
      </c>
      <c r="GP49" t="e">
        <f>AND(Plan!CB100,"AAAAADP+9sU=")</f>
        <v>#VALUE!</v>
      </c>
      <c r="GQ49" t="e">
        <f>AND(Plan!CC100,"AAAAADP+9sY=")</f>
        <v>#VALUE!</v>
      </c>
      <c r="GR49" t="e">
        <f>AND(Plan!CD100,"AAAAADP+9sc=")</f>
        <v>#VALUE!</v>
      </c>
      <c r="GS49" t="e">
        <f>AND(Plan!CE100,"AAAAADP+9sg=")</f>
        <v>#VALUE!</v>
      </c>
      <c r="GT49" t="e">
        <f>AND(Plan!CF100,"AAAAADP+9sk=")</f>
        <v>#VALUE!</v>
      </c>
      <c r="GU49" t="e">
        <f>AND(Plan!CG100,"AAAAADP+9so=")</f>
        <v>#VALUE!</v>
      </c>
      <c r="GV49" t="e">
        <f>AND(Plan!CH100,"AAAAADP+9ss=")</f>
        <v>#VALUE!</v>
      </c>
      <c r="GW49" t="e">
        <f>AND(Plan!CI100,"AAAAADP+9sw=")</f>
        <v>#VALUE!</v>
      </c>
      <c r="GX49" t="e">
        <f>AND(Plan!CJ100,"AAAAADP+9s0=")</f>
        <v>#VALUE!</v>
      </c>
      <c r="GY49" t="e">
        <f>AND(Plan!CK100,"AAAAADP+9s4=")</f>
        <v>#VALUE!</v>
      </c>
      <c r="GZ49" t="e">
        <f>AND(Plan!CL100,"AAAAADP+9s8=")</f>
        <v>#VALUE!</v>
      </c>
      <c r="HA49" t="e">
        <f>AND(Plan!CM100,"AAAAADP+9tA=")</f>
        <v>#VALUE!</v>
      </c>
      <c r="HB49" t="e">
        <f>AND(Plan!CN100,"AAAAADP+9tE=")</f>
        <v>#VALUE!</v>
      </c>
      <c r="HC49" t="e">
        <f>AND(Plan!CO100,"AAAAADP+9tI=")</f>
        <v>#VALUE!</v>
      </c>
      <c r="HD49" t="e">
        <f>AND(Plan!CP100,"AAAAADP+9tM=")</f>
        <v>#VALUE!</v>
      </c>
      <c r="HE49" t="e">
        <f>AND(Plan!CQ100,"AAAAADP+9tQ=")</f>
        <v>#VALUE!</v>
      </c>
      <c r="HF49" t="e">
        <f>AND(Plan!CR100,"AAAAADP+9tU=")</f>
        <v>#VALUE!</v>
      </c>
      <c r="HG49" t="e">
        <f>AND(Plan!CS100,"AAAAADP+9tY=")</f>
        <v>#VALUE!</v>
      </c>
      <c r="HH49" t="e">
        <f>AND(Plan!CT100,"AAAAADP+9tc=")</f>
        <v>#VALUE!</v>
      </c>
      <c r="HI49" t="e">
        <f>AND(Plan!CU100,"AAAAADP+9tg=")</f>
        <v>#VALUE!</v>
      </c>
      <c r="HJ49" t="e">
        <f>AND(Plan!CV100,"AAAAADP+9tk=")</f>
        <v>#VALUE!</v>
      </c>
      <c r="HK49" t="e">
        <f>AND(Plan!CW100,"AAAAADP+9to=")</f>
        <v>#VALUE!</v>
      </c>
      <c r="HL49">
        <f>IF(Plan!101:101,"AAAAADP+9ts=",0)</f>
        <v>0</v>
      </c>
      <c r="HM49" t="e">
        <f>AND(Plan!A101,"AAAAADP+9tw=")</f>
        <v>#VALUE!</v>
      </c>
      <c r="HN49" t="e">
        <f>AND(Plan!B101,"AAAAADP+9t0=")</f>
        <v>#VALUE!</v>
      </c>
      <c r="HO49" t="e">
        <f>AND(Plan!C101,"AAAAADP+9t4=")</f>
        <v>#VALUE!</v>
      </c>
      <c r="HP49" t="e">
        <f>AND(Plan!D101,"AAAAADP+9t8=")</f>
        <v>#VALUE!</v>
      </c>
      <c r="HQ49" t="e">
        <f>AND(Plan!E101,"AAAAADP+9uA=")</f>
        <v>#VALUE!</v>
      </c>
      <c r="HR49" t="e">
        <f>AND(Plan!F101,"AAAAADP+9uE=")</f>
        <v>#VALUE!</v>
      </c>
      <c r="HS49" t="e">
        <f>AND(Plan!G101,"AAAAADP+9uI=")</f>
        <v>#VALUE!</v>
      </c>
      <c r="HT49" t="e">
        <f>AND(Plan!H101,"AAAAADP+9uM=")</f>
        <v>#VALUE!</v>
      </c>
      <c r="HU49" t="e">
        <f>AND(Plan!I101,"AAAAADP+9uQ=")</f>
        <v>#VALUE!</v>
      </c>
      <c r="HV49" t="e">
        <f>AND(Plan!J101,"AAAAADP+9uU=")</f>
        <v>#VALUE!</v>
      </c>
      <c r="HW49" t="e">
        <f>AND(Plan!K101,"AAAAADP+9uY=")</f>
        <v>#VALUE!</v>
      </c>
      <c r="HX49" t="e">
        <f>AND(Plan!L101,"AAAAADP+9uc=")</f>
        <v>#VALUE!</v>
      </c>
      <c r="HY49" t="e">
        <f>AND(Plan!M101,"AAAAADP+9ug=")</f>
        <v>#VALUE!</v>
      </c>
      <c r="HZ49" t="e">
        <f>AND(Plan!N101,"AAAAADP+9uk=")</f>
        <v>#VALUE!</v>
      </c>
      <c r="IA49" t="e">
        <f>AND(Plan!O101,"AAAAADP+9uo=")</f>
        <v>#VALUE!</v>
      </c>
      <c r="IB49" t="e">
        <f>AND(Plan!P101,"AAAAADP+9us=")</f>
        <v>#VALUE!</v>
      </c>
      <c r="IC49" t="e">
        <f>AND(Plan!Q101,"AAAAADP+9uw=")</f>
        <v>#VALUE!</v>
      </c>
      <c r="ID49" t="e">
        <f>AND(Plan!R101,"AAAAADP+9u0=")</f>
        <v>#VALUE!</v>
      </c>
      <c r="IE49" t="e">
        <f>AND(Plan!S101,"AAAAADP+9u4=")</f>
        <v>#VALUE!</v>
      </c>
      <c r="IF49" t="e">
        <f>AND(Plan!T101,"AAAAADP+9u8=")</f>
        <v>#VALUE!</v>
      </c>
      <c r="IG49" t="e">
        <f>AND(Plan!U101,"AAAAADP+9vA=")</f>
        <v>#VALUE!</v>
      </c>
      <c r="IH49" t="e">
        <f>AND(Plan!V101,"AAAAADP+9vE=")</f>
        <v>#VALUE!</v>
      </c>
      <c r="II49" t="e">
        <f>AND(Plan!W101,"AAAAADP+9vI=")</f>
        <v>#VALUE!</v>
      </c>
      <c r="IJ49" t="e">
        <f>AND(Plan!X101,"AAAAADP+9vM=")</f>
        <v>#VALUE!</v>
      </c>
      <c r="IK49" t="e">
        <f>AND(Plan!Y101,"AAAAADP+9vQ=")</f>
        <v>#VALUE!</v>
      </c>
      <c r="IL49" t="e">
        <f>AND(Plan!Z101,"AAAAADP+9vU=")</f>
        <v>#VALUE!</v>
      </c>
      <c r="IM49" t="e">
        <f>AND(Plan!AA101,"AAAAADP+9vY=")</f>
        <v>#VALUE!</v>
      </c>
      <c r="IN49" t="e">
        <f>AND(Plan!AB101,"AAAAADP+9vc=")</f>
        <v>#VALUE!</v>
      </c>
      <c r="IO49" t="e">
        <f>AND(Plan!AC101,"AAAAADP+9vg=")</f>
        <v>#VALUE!</v>
      </c>
      <c r="IP49" t="e">
        <f>AND(Plan!AD101,"AAAAADP+9vk=")</f>
        <v>#VALUE!</v>
      </c>
      <c r="IQ49" t="e">
        <f>AND(Plan!AE101,"AAAAADP+9vo=")</f>
        <v>#VALUE!</v>
      </c>
      <c r="IR49" t="e">
        <f>AND(Plan!AF101,"AAAAADP+9vs=")</f>
        <v>#VALUE!</v>
      </c>
      <c r="IS49" t="e">
        <f>AND(Plan!AG101,"AAAAADP+9vw=")</f>
        <v>#VALUE!</v>
      </c>
      <c r="IT49" t="e">
        <f>AND(Plan!AH101,"AAAAADP+9v0=")</f>
        <v>#VALUE!</v>
      </c>
      <c r="IU49" t="e">
        <f>AND(Plan!AI101,"AAAAADP+9v4=")</f>
        <v>#VALUE!</v>
      </c>
      <c r="IV49" t="e">
        <f>AND(Plan!AJ101,"AAAAADP+9v8=")</f>
        <v>#VALUE!</v>
      </c>
    </row>
    <row r="50" spans="1:256">
      <c r="A50" t="e">
        <f>AND(Plan!AK101,"AAAAAHv/rwA=")</f>
        <v>#VALUE!</v>
      </c>
      <c r="B50" t="e">
        <f>AND(Plan!AL101,"AAAAAHv/rwE=")</f>
        <v>#VALUE!</v>
      </c>
      <c r="C50" t="e">
        <f>AND(Plan!AM101,"AAAAAHv/rwI=")</f>
        <v>#VALUE!</v>
      </c>
      <c r="D50" t="e">
        <f>AND(Plan!AN101,"AAAAAHv/rwM=")</f>
        <v>#VALUE!</v>
      </c>
      <c r="E50" t="e">
        <f>AND(Plan!AO101,"AAAAAHv/rwQ=")</f>
        <v>#VALUE!</v>
      </c>
      <c r="F50" t="e">
        <f>AND(Plan!AP101,"AAAAAHv/rwU=")</f>
        <v>#VALUE!</v>
      </c>
      <c r="G50" t="e">
        <f>AND(Plan!AQ101,"AAAAAHv/rwY=")</f>
        <v>#VALUE!</v>
      </c>
      <c r="H50" t="e">
        <f>AND(Plan!AR101,"AAAAAHv/rwc=")</f>
        <v>#VALUE!</v>
      </c>
      <c r="I50" t="e">
        <f>AND(Plan!AS101,"AAAAAHv/rwg=")</f>
        <v>#VALUE!</v>
      </c>
      <c r="J50" t="e">
        <f>AND(Plan!AT101,"AAAAAHv/rwk=")</f>
        <v>#VALUE!</v>
      </c>
      <c r="K50" t="e">
        <f>AND(Plan!AU101,"AAAAAHv/rwo=")</f>
        <v>#VALUE!</v>
      </c>
      <c r="L50" t="e">
        <f>AND(Plan!AV101,"AAAAAHv/rws=")</f>
        <v>#VALUE!</v>
      </c>
      <c r="M50" t="e">
        <f>AND(Plan!AW101,"AAAAAHv/rww=")</f>
        <v>#VALUE!</v>
      </c>
      <c r="N50" t="e">
        <f>AND(Plan!AX101,"AAAAAHv/rw0=")</f>
        <v>#VALUE!</v>
      </c>
      <c r="O50" t="e">
        <f>AND(Plan!AY101,"AAAAAHv/rw4=")</f>
        <v>#VALUE!</v>
      </c>
      <c r="P50" t="e">
        <f>AND(Plan!AZ101,"AAAAAHv/rw8=")</f>
        <v>#VALUE!</v>
      </c>
      <c r="Q50" t="e">
        <f>AND(Plan!BA101,"AAAAAHv/rxA=")</f>
        <v>#VALUE!</v>
      </c>
      <c r="R50" t="e">
        <f>AND(Plan!BB101,"AAAAAHv/rxE=")</f>
        <v>#VALUE!</v>
      </c>
      <c r="S50" t="e">
        <f>AND(Plan!BC101,"AAAAAHv/rxI=")</f>
        <v>#VALUE!</v>
      </c>
      <c r="T50" t="e">
        <f>AND(Plan!BD101,"AAAAAHv/rxM=")</f>
        <v>#VALUE!</v>
      </c>
      <c r="U50" t="e">
        <f>AND(Plan!BE101,"AAAAAHv/rxQ=")</f>
        <v>#VALUE!</v>
      </c>
      <c r="V50" t="e">
        <f>AND(Plan!BF101,"AAAAAHv/rxU=")</f>
        <v>#VALUE!</v>
      </c>
      <c r="W50" t="e">
        <f>AND(Plan!BG101,"AAAAAHv/rxY=")</f>
        <v>#VALUE!</v>
      </c>
      <c r="X50" t="e">
        <f>AND(Plan!BH101,"AAAAAHv/rxc=")</f>
        <v>#VALUE!</v>
      </c>
      <c r="Y50" t="e">
        <f>AND(Plan!BI101,"AAAAAHv/rxg=")</f>
        <v>#VALUE!</v>
      </c>
      <c r="Z50" t="e">
        <f>AND(Plan!BJ101,"AAAAAHv/rxk=")</f>
        <v>#VALUE!</v>
      </c>
      <c r="AA50" t="e">
        <f>AND(Plan!BK101,"AAAAAHv/rxo=")</f>
        <v>#VALUE!</v>
      </c>
      <c r="AB50" t="e">
        <f>AND(Plan!BL101,"AAAAAHv/rxs=")</f>
        <v>#VALUE!</v>
      </c>
      <c r="AC50" t="e">
        <f>AND(Plan!BM101,"AAAAAHv/rxw=")</f>
        <v>#VALUE!</v>
      </c>
      <c r="AD50" t="e">
        <f>AND(Plan!BN101,"AAAAAHv/rx0=")</f>
        <v>#VALUE!</v>
      </c>
      <c r="AE50" t="e">
        <f>AND(Plan!BO101,"AAAAAHv/rx4=")</f>
        <v>#VALUE!</v>
      </c>
      <c r="AF50" t="e">
        <f>AND(Plan!BP101,"AAAAAHv/rx8=")</f>
        <v>#VALUE!</v>
      </c>
      <c r="AG50" t="e">
        <f>AND(Plan!BQ101,"AAAAAHv/ryA=")</f>
        <v>#VALUE!</v>
      </c>
      <c r="AH50" t="e">
        <f>AND(Plan!BR101,"AAAAAHv/ryE=")</f>
        <v>#VALUE!</v>
      </c>
      <c r="AI50" t="e">
        <f>AND(Plan!BS101,"AAAAAHv/ryI=")</f>
        <v>#VALUE!</v>
      </c>
      <c r="AJ50" t="e">
        <f>AND(Plan!BT101,"AAAAAHv/ryM=")</f>
        <v>#VALUE!</v>
      </c>
      <c r="AK50" t="e">
        <f>AND(Plan!BU101,"AAAAAHv/ryQ=")</f>
        <v>#VALUE!</v>
      </c>
      <c r="AL50" t="e">
        <f>AND(Plan!BV101,"AAAAAHv/ryU=")</f>
        <v>#VALUE!</v>
      </c>
      <c r="AM50" t="e">
        <f>AND(Plan!BW101,"AAAAAHv/ryY=")</f>
        <v>#VALUE!</v>
      </c>
      <c r="AN50" t="e">
        <f>AND(Plan!BX101,"AAAAAHv/ryc=")</f>
        <v>#VALUE!</v>
      </c>
      <c r="AO50" t="e">
        <f>AND(Plan!BY101,"AAAAAHv/ryg=")</f>
        <v>#VALUE!</v>
      </c>
      <c r="AP50" t="e">
        <f>AND(Plan!BZ101,"AAAAAHv/ryk=")</f>
        <v>#VALUE!</v>
      </c>
      <c r="AQ50" t="e">
        <f>AND(Plan!CA101,"AAAAAHv/ryo=")</f>
        <v>#VALUE!</v>
      </c>
      <c r="AR50" t="e">
        <f>AND(Plan!CB101,"AAAAAHv/rys=")</f>
        <v>#VALUE!</v>
      </c>
      <c r="AS50" t="e">
        <f>AND(Plan!CC101,"AAAAAHv/ryw=")</f>
        <v>#VALUE!</v>
      </c>
      <c r="AT50" t="e">
        <f>AND(Plan!CD101,"AAAAAHv/ry0=")</f>
        <v>#VALUE!</v>
      </c>
      <c r="AU50" t="e">
        <f>AND(Plan!CE101,"AAAAAHv/ry4=")</f>
        <v>#VALUE!</v>
      </c>
      <c r="AV50" t="e">
        <f>AND(Plan!CF101,"AAAAAHv/ry8=")</f>
        <v>#VALUE!</v>
      </c>
      <c r="AW50" t="e">
        <f>AND(Plan!CG101,"AAAAAHv/rzA=")</f>
        <v>#VALUE!</v>
      </c>
      <c r="AX50" t="e">
        <f>AND(Plan!CH101,"AAAAAHv/rzE=")</f>
        <v>#VALUE!</v>
      </c>
      <c r="AY50" t="e">
        <f>AND(Plan!CI101,"AAAAAHv/rzI=")</f>
        <v>#VALUE!</v>
      </c>
      <c r="AZ50" t="e">
        <f>AND(Plan!CJ101,"AAAAAHv/rzM=")</f>
        <v>#VALUE!</v>
      </c>
      <c r="BA50" t="e">
        <f>AND(Plan!CK101,"AAAAAHv/rzQ=")</f>
        <v>#VALUE!</v>
      </c>
      <c r="BB50" t="e">
        <f>AND(Plan!CL101,"AAAAAHv/rzU=")</f>
        <v>#VALUE!</v>
      </c>
      <c r="BC50" t="e">
        <f>AND(Plan!CM101,"AAAAAHv/rzY=")</f>
        <v>#VALUE!</v>
      </c>
      <c r="BD50" t="e">
        <f>AND(Plan!CN101,"AAAAAHv/rzc=")</f>
        <v>#VALUE!</v>
      </c>
      <c r="BE50" t="e">
        <f>AND(Plan!CO101,"AAAAAHv/rzg=")</f>
        <v>#VALUE!</v>
      </c>
      <c r="BF50" t="e">
        <f>AND(Plan!CP101,"AAAAAHv/rzk=")</f>
        <v>#VALUE!</v>
      </c>
      <c r="BG50" t="e">
        <f>AND(Plan!CQ101,"AAAAAHv/rzo=")</f>
        <v>#VALUE!</v>
      </c>
      <c r="BH50" t="e">
        <f>AND(Plan!CR101,"AAAAAHv/rzs=")</f>
        <v>#VALUE!</v>
      </c>
      <c r="BI50" t="e">
        <f>AND(Plan!CS101,"AAAAAHv/rzw=")</f>
        <v>#VALUE!</v>
      </c>
      <c r="BJ50" t="e">
        <f>AND(Plan!CT101,"AAAAAHv/rz0=")</f>
        <v>#VALUE!</v>
      </c>
      <c r="BK50" t="e">
        <f>AND(Plan!CU101,"AAAAAHv/rz4=")</f>
        <v>#VALUE!</v>
      </c>
      <c r="BL50" t="e">
        <f>AND(Plan!CV101,"AAAAAHv/rz8=")</f>
        <v>#VALUE!</v>
      </c>
      <c r="BM50" t="e">
        <f>AND(Plan!CW101,"AAAAAHv/r0A=")</f>
        <v>#VALUE!</v>
      </c>
    </row>
    <row r="51" spans="1:256">
      <c r="A51" t="e">
        <f>AND(Plan!C79,"AAAAAFundwA=")</f>
        <v>#VALUE!</v>
      </c>
      <c r="B51" t="e">
        <f>AND(Plan!D79,"AAAAAFundwE=")</f>
        <v>#VALUE!</v>
      </c>
      <c r="C51" t="e">
        <f>AND(Plan!E79,"AAAAAFundwI=")</f>
        <v>#VALUE!</v>
      </c>
      <c r="D51" t="e">
        <f>AND(Plan!F79,"AAAAAFundwM=")</f>
        <v>#VALUE!</v>
      </c>
      <c r="E51" t="e">
        <f>AND(Plan!G79,"AAAAAFundwQ=")</f>
        <v>#VALUE!</v>
      </c>
    </row>
    <row r="52" spans="1:256">
      <c r="A52" t="e">
        <f>AND(Plan!I1,"AAAAAHfvvwA=")</f>
        <v>#VALUE!</v>
      </c>
      <c r="B52" t="e">
        <f>AND(Plan!J2,"AAAAAHfvvwE=")</f>
        <v>#VALUE!</v>
      </c>
      <c r="C52" t="e">
        <f>AND(Plan!J3,"AAAAAHfvvwI=")</f>
        <v>#VALUE!</v>
      </c>
      <c r="D52" t="e">
        <f>AND(Plan!J4,"AAAAAHfvvwM=")</f>
        <v>#VALUE!</v>
      </c>
      <c r="E52" t="e">
        <f>AND(Plan!J5,"AAAAAHfvvwQ=")</f>
        <v>#VALUE!</v>
      </c>
      <c r="F52" t="e">
        <f>AND(Plan!J6,"AAAAAHfvvwU=")</f>
        <v>#VALUE!</v>
      </c>
      <c r="G52" t="e">
        <f>AND(Plan!J7,"AAAAAHfvvwY=")</f>
        <v>#VALUE!</v>
      </c>
      <c r="H52" t="e">
        <f>AND(Plan!J8,"AAAAAHfvvwc=")</f>
        <v>#VALUE!</v>
      </c>
      <c r="I52" t="e">
        <f>AND(Plan!J9,"AAAAAHfvvwg=")</f>
        <v>#VALUE!</v>
      </c>
      <c r="J52" t="e">
        <f>AND(Plan!J10,"AAAAAHfvvwk=")</f>
        <v>#VALUE!</v>
      </c>
      <c r="K52" t="e">
        <f>AND(Plan!J11,"AAAAAHfvvwo=")</f>
        <v>#VALUE!</v>
      </c>
      <c r="L52" t="e">
        <f>AND(Plan!G12,"AAAAAHfvvws=")</f>
        <v>#VALUE!</v>
      </c>
      <c r="M52" t="e">
        <f>AND(Plan!H12,"AAAAAHfvvww=")</f>
        <v>#VALUE!</v>
      </c>
      <c r="N52" t="e">
        <f>AND(Plan!I12,"AAAAAHfvvw0=")</f>
        <v>#VALUE!</v>
      </c>
      <c r="O52" t="e">
        <f>AND(Plan!J12,"AAAAAHfvvw4=")</f>
        <v>#VALUE!</v>
      </c>
      <c r="P52">
        <f>IF(Plan!15:15,"AAAAAHfvvw8=",0)</f>
        <v>0</v>
      </c>
      <c r="Q52" t="e">
        <f>AND(Plan!A15,"AAAAAHfvvxA=")</f>
        <v>#VALUE!</v>
      </c>
      <c r="R52" t="e">
        <f>AND(Plan!L15,"AAAAAHfvvxE=")</f>
        <v>#VALUE!</v>
      </c>
      <c r="S52" t="e">
        <f>AND(Plan!C15,"AAAAAHfvvxI=")</f>
        <v>#VALUE!</v>
      </c>
      <c r="T52" t="e">
        <f>AND(Plan!D15,"AAAAAHfvvxM=")</f>
        <v>#VALUE!</v>
      </c>
      <c r="U52" t="e">
        <f>AND(Plan!E15,"AAAAAHfvvxQ=")</f>
        <v>#VALUE!</v>
      </c>
      <c r="V52" t="e">
        <f>AND(Plan!#REF!,"AAAAAHfvvxU=")</f>
        <v>#REF!</v>
      </c>
      <c r="W52" t="e">
        <f>AND(Plan!G15,"AAAAAHfvvxY=")</f>
        <v>#VALUE!</v>
      </c>
      <c r="X52" t="e">
        <f>AND(Plan!H15,"AAAAAHfvvxc=")</f>
        <v>#VALUE!</v>
      </c>
      <c r="Y52" t="e">
        <f>AND(Plan!I15,"AAAAAHfvvxg=")</f>
        <v>#VALUE!</v>
      </c>
      <c r="Z52" t="e">
        <f>AND(Plan!J15,"AAAAAHfvvxk=")</f>
        <v>#VALUE!</v>
      </c>
      <c r="AA52" t="e">
        <f>AND(Plan!K15,"AAAAAHfvvxo=")</f>
        <v>#VALUE!</v>
      </c>
      <c r="AB52" t="e">
        <f>AND(Plan!B15,"AAAAAHfvvxs=")</f>
        <v>#VALUE!</v>
      </c>
      <c r="AC52" t="e">
        <f>AND(Plan!#REF!,"AAAAAHfvvxw=")</f>
        <v>#REF!</v>
      </c>
      <c r="AD52" t="e">
        <f>AND(Plan!N15,"AAAAAHfvvx0=")</f>
        <v>#VALUE!</v>
      </c>
      <c r="AE52" t="e">
        <f>AND(Plan!O15,"AAAAAHfvvx4=")</f>
        <v>#VALUE!</v>
      </c>
      <c r="AF52" t="e">
        <f>AND(Plan!P15,"AAAAAHfvvx8=")</f>
        <v>#VALUE!</v>
      </c>
      <c r="AG52" t="e">
        <f>AND(Plan!Q15,"AAAAAHfvvyA=")</f>
        <v>#VALUE!</v>
      </c>
      <c r="AH52" t="e">
        <f>AND(Plan!R15,"AAAAAHfvvyE=")</f>
        <v>#VALUE!</v>
      </c>
      <c r="AI52" t="e">
        <f>AND(Plan!S15,"AAAAAHfvvyI=")</f>
        <v>#VALUE!</v>
      </c>
      <c r="AJ52" t="e">
        <f>AND(Plan!T15,"AAAAAHfvvyM=")</f>
        <v>#VALUE!</v>
      </c>
      <c r="AK52" t="e">
        <f>AND(Plan!U15,"AAAAAHfvvyQ=")</f>
        <v>#VALUE!</v>
      </c>
      <c r="AL52" t="e">
        <f>AND(Plan!V15,"AAAAAHfvvyU=")</f>
        <v>#VALUE!</v>
      </c>
      <c r="AM52" t="e">
        <f>AND(Plan!W15,"AAAAAHfvvyY=")</f>
        <v>#VALUE!</v>
      </c>
      <c r="AN52" t="e">
        <f>AND(Plan!X15,"AAAAAHfvvyc=")</f>
        <v>#VALUE!</v>
      </c>
      <c r="AO52" t="e">
        <f>AND(Plan!Y15,"AAAAAHfvvyg=")</f>
        <v>#VALUE!</v>
      </c>
      <c r="AP52" t="e">
        <f>AND(Plan!Z15,"AAAAAHfvvyk=")</f>
        <v>#VALUE!</v>
      </c>
      <c r="AQ52" t="e">
        <f>AND(Plan!AA15,"AAAAAHfvvyo=")</f>
        <v>#VALUE!</v>
      </c>
      <c r="AR52" t="e">
        <f>AND(Plan!AB15,"AAAAAHfvvys=")</f>
        <v>#VALUE!</v>
      </c>
      <c r="AS52" t="e">
        <f>AND(Plan!AC15,"AAAAAHfvvyw=")</f>
        <v>#VALUE!</v>
      </c>
      <c r="AT52" t="e">
        <f>AND(Plan!AD15,"AAAAAHfvvy0=")</f>
        <v>#VALUE!</v>
      </c>
      <c r="AU52" t="e">
        <f>AND(Plan!AE15,"AAAAAHfvvy4=")</f>
        <v>#VALUE!</v>
      </c>
      <c r="AV52" t="e">
        <f>AND(Plan!AF15,"AAAAAHfvvy8=")</f>
        <v>#VALUE!</v>
      </c>
      <c r="AW52" t="e">
        <f>AND(Plan!AG15,"AAAAAHfvvzA=")</f>
        <v>#VALUE!</v>
      </c>
      <c r="AX52" t="e">
        <f>AND(Plan!AH15,"AAAAAHfvvzE=")</f>
        <v>#VALUE!</v>
      </c>
      <c r="AY52" t="e">
        <f>AND(Plan!AI15,"AAAAAHfvvzI=")</f>
        <v>#VALUE!</v>
      </c>
      <c r="AZ52" t="e">
        <f>AND(Plan!AJ15,"AAAAAHfvvzM=")</f>
        <v>#VALUE!</v>
      </c>
      <c r="BA52" t="e">
        <f>AND(Plan!AK15,"AAAAAHfvvzQ=")</f>
        <v>#VALUE!</v>
      </c>
      <c r="BB52" t="e">
        <f>AND(Plan!AL15,"AAAAAHfvvzU=")</f>
        <v>#VALUE!</v>
      </c>
      <c r="BC52" t="e">
        <f>AND(Plan!AM15,"AAAAAHfvvzY=")</f>
        <v>#VALUE!</v>
      </c>
      <c r="BD52" t="e">
        <f>AND(Plan!AN15,"AAAAAHfvvzc=")</f>
        <v>#VALUE!</v>
      </c>
      <c r="BE52" t="e">
        <f>AND(Plan!AO15,"AAAAAHfvvzg=")</f>
        <v>#VALUE!</v>
      </c>
      <c r="BF52" t="e">
        <f>AND(Plan!AP15,"AAAAAHfvvzk=")</f>
        <v>#VALUE!</v>
      </c>
      <c r="BG52" t="e">
        <f>AND(Plan!AQ15,"AAAAAHfvvzo=")</f>
        <v>#VALUE!</v>
      </c>
      <c r="BH52" t="e">
        <f>AND(Plan!AR15,"AAAAAHfvvzs=")</f>
        <v>#VALUE!</v>
      </c>
      <c r="BI52" t="e">
        <f>AND(Plan!AS15,"AAAAAHfvvzw=")</f>
        <v>#VALUE!</v>
      </c>
      <c r="BJ52" t="e">
        <f>AND(Plan!AT15,"AAAAAHfvvz0=")</f>
        <v>#VALUE!</v>
      </c>
      <c r="BK52" t="e">
        <f>AND(Plan!AU15,"AAAAAHfvvz4=")</f>
        <v>#VALUE!</v>
      </c>
      <c r="BL52" t="e">
        <f>AND(Plan!AV15,"AAAAAHfvvz8=")</f>
        <v>#VALUE!</v>
      </c>
      <c r="BM52" t="e">
        <f>AND(Plan!AW15,"AAAAAHfvv0A=")</f>
        <v>#VALUE!</v>
      </c>
      <c r="BN52" t="e">
        <f>AND(Plan!AX15,"AAAAAHfvv0E=")</f>
        <v>#VALUE!</v>
      </c>
      <c r="BO52" t="e">
        <f>AND(Plan!AY15,"AAAAAHfvv0I=")</f>
        <v>#VALUE!</v>
      </c>
      <c r="BP52" t="e">
        <f>AND(Plan!AZ15,"AAAAAHfvv0M=")</f>
        <v>#VALUE!</v>
      </c>
      <c r="BQ52" t="e">
        <f>AND(Plan!BA15,"AAAAAHfvv0Q=")</f>
        <v>#VALUE!</v>
      </c>
      <c r="BR52" t="e">
        <f>AND(Plan!BB15,"AAAAAHfvv0U=")</f>
        <v>#VALUE!</v>
      </c>
      <c r="BS52" t="e">
        <f>AND(Plan!BC15,"AAAAAHfvv0Y=")</f>
        <v>#VALUE!</v>
      </c>
      <c r="BT52" t="e">
        <f>AND(Plan!BD15,"AAAAAHfvv0c=")</f>
        <v>#VALUE!</v>
      </c>
      <c r="BU52" t="e">
        <f>AND(Plan!BE15,"AAAAAHfvv0g=")</f>
        <v>#VALUE!</v>
      </c>
      <c r="BV52" t="e">
        <f>AND(Plan!BF15,"AAAAAHfvv0k=")</f>
        <v>#VALUE!</v>
      </c>
      <c r="BW52" t="e">
        <f>AND(Plan!BG15,"AAAAAHfvv0o=")</f>
        <v>#VALUE!</v>
      </c>
      <c r="BX52" t="e">
        <f>AND(Plan!BH15,"AAAAAHfvv0s=")</f>
        <v>#VALUE!</v>
      </c>
      <c r="BY52" t="e">
        <f>AND(Plan!BI15,"AAAAAHfvv0w=")</f>
        <v>#VALUE!</v>
      </c>
      <c r="BZ52" t="e">
        <f>AND(Plan!BJ15,"AAAAAHfvv00=")</f>
        <v>#VALUE!</v>
      </c>
      <c r="CA52" t="e">
        <f>AND(Plan!BK15,"AAAAAHfvv04=")</f>
        <v>#VALUE!</v>
      </c>
      <c r="CB52" t="e">
        <f>AND(Plan!BL15,"AAAAAHfvv08=")</f>
        <v>#VALUE!</v>
      </c>
      <c r="CC52" t="e">
        <f>AND(Plan!BM15,"AAAAAHfvv1A=")</f>
        <v>#VALUE!</v>
      </c>
      <c r="CD52" t="e">
        <f>AND(Plan!BN15,"AAAAAHfvv1E=")</f>
        <v>#VALUE!</v>
      </c>
      <c r="CE52" t="e">
        <f>AND(Plan!BO15,"AAAAAHfvv1I=")</f>
        <v>#VALUE!</v>
      </c>
      <c r="CF52" t="e">
        <f>AND(Plan!BP15,"AAAAAHfvv1M=")</f>
        <v>#VALUE!</v>
      </c>
      <c r="CG52" t="e">
        <f>AND(Plan!BQ15,"AAAAAHfvv1Q=")</f>
        <v>#VALUE!</v>
      </c>
      <c r="CH52" t="e">
        <f>AND(Plan!BR15,"AAAAAHfvv1U=")</f>
        <v>#VALUE!</v>
      </c>
      <c r="CI52" t="e">
        <f>AND(Plan!BS15,"AAAAAHfvv1Y=")</f>
        <v>#VALUE!</v>
      </c>
      <c r="CJ52" t="e">
        <f>AND(Plan!BT15,"AAAAAHfvv1c=")</f>
        <v>#VALUE!</v>
      </c>
      <c r="CK52" t="e">
        <f>AND(Plan!BU15,"AAAAAHfvv1g=")</f>
        <v>#VALUE!</v>
      </c>
      <c r="CL52" t="e">
        <f>AND(Plan!BV15,"AAAAAHfvv1k=")</f>
        <v>#VALUE!</v>
      </c>
      <c r="CM52" t="e">
        <f>AND(Plan!BW15,"AAAAAHfvv1o=")</f>
        <v>#VALUE!</v>
      </c>
      <c r="CN52" t="e">
        <f>AND(Plan!BX15,"AAAAAHfvv1s=")</f>
        <v>#VALUE!</v>
      </c>
      <c r="CO52" t="e">
        <f>AND(Plan!BY15,"AAAAAHfvv1w=")</f>
        <v>#VALUE!</v>
      </c>
      <c r="CP52" t="e">
        <f>AND(Plan!BZ15,"AAAAAHfvv10=")</f>
        <v>#VALUE!</v>
      </c>
      <c r="CQ52" t="e">
        <f>AND(Plan!CA15,"AAAAAHfvv14=")</f>
        <v>#VALUE!</v>
      </c>
      <c r="CR52" t="e">
        <f>AND(Plan!CB15,"AAAAAHfvv18=")</f>
        <v>#VALUE!</v>
      </c>
      <c r="CS52" t="e">
        <f>AND(Plan!CC15,"AAAAAHfvv2A=")</f>
        <v>#VALUE!</v>
      </c>
      <c r="CT52" t="e">
        <f>AND(Plan!CD15,"AAAAAHfvv2E=")</f>
        <v>#VALUE!</v>
      </c>
      <c r="CU52" t="e">
        <f>AND(Plan!CE15,"AAAAAHfvv2I=")</f>
        <v>#VALUE!</v>
      </c>
      <c r="CV52" t="e">
        <f>AND(Plan!CF15,"AAAAAHfvv2M=")</f>
        <v>#VALUE!</v>
      </c>
      <c r="CW52" t="e">
        <f>AND(Plan!CG15,"AAAAAHfvv2Q=")</f>
        <v>#VALUE!</v>
      </c>
      <c r="CX52" t="e">
        <f>AND(Plan!CH15,"AAAAAHfvv2U=")</f>
        <v>#VALUE!</v>
      </c>
      <c r="CY52" t="e">
        <f>AND(Plan!CI15,"AAAAAHfvv2Y=")</f>
        <v>#VALUE!</v>
      </c>
      <c r="CZ52" t="e">
        <f>AND(Plan!CJ15,"AAAAAHfvv2c=")</f>
        <v>#VALUE!</v>
      </c>
      <c r="DA52" t="e">
        <f>AND(Plan!CK15,"AAAAAHfvv2g=")</f>
        <v>#VALUE!</v>
      </c>
      <c r="DB52" t="e">
        <f>AND(Plan!CL15,"AAAAAHfvv2k=")</f>
        <v>#VALUE!</v>
      </c>
      <c r="DC52" t="e">
        <f>AND(Plan!CM15,"AAAAAHfvv2o=")</f>
        <v>#VALUE!</v>
      </c>
      <c r="DD52" t="e">
        <f>AND(Plan!CN15,"AAAAAHfvv2s=")</f>
        <v>#VALUE!</v>
      </c>
      <c r="DE52" t="e">
        <f>AND(Plan!CO15,"AAAAAHfvv2w=")</f>
        <v>#VALUE!</v>
      </c>
      <c r="DF52" t="e">
        <f>AND(Plan!CP15,"AAAAAHfvv20=")</f>
        <v>#VALUE!</v>
      </c>
      <c r="DG52" t="e">
        <f>AND(Plan!CQ15,"AAAAAHfvv24=")</f>
        <v>#VALUE!</v>
      </c>
      <c r="DH52" t="e">
        <f>AND(Plan!CR15,"AAAAAHfvv28=")</f>
        <v>#VALUE!</v>
      </c>
      <c r="DI52" t="e">
        <f>AND(Plan!CS15,"AAAAAHfvv3A=")</f>
        <v>#VALUE!</v>
      </c>
      <c r="DJ52" t="e">
        <f>AND(Plan!CT15,"AAAAAHfvv3E=")</f>
        <v>#VALUE!</v>
      </c>
      <c r="DK52" t="e">
        <f>AND(Plan!CU15,"AAAAAHfvv3I=")</f>
        <v>#VALUE!</v>
      </c>
      <c r="DL52" t="e">
        <f>AND(Plan!CV15,"AAAAAHfvv3M=")</f>
        <v>#VALUE!</v>
      </c>
      <c r="DM52" t="e">
        <f>AND(Plan!CW15,"AAAAAHfvv3Q=")</f>
        <v>#VALUE!</v>
      </c>
      <c r="DN52" s="42" t="s">
        <v>183</v>
      </c>
      <c r="DO52" s="46" t="s">
        <v>184</v>
      </c>
    </row>
    <row r="53" spans="1:256">
      <c r="A53" t="e">
        <f>AND(Plan!#REF!,"AAAAACv8MgA=")</f>
        <v>#REF!</v>
      </c>
      <c r="B53" t="e">
        <f>AND(Plan!#REF!,"AAAAACv8MgE=")</f>
        <v>#REF!</v>
      </c>
      <c r="C53" t="e">
        <f>AND(Plan!#REF!,"AAAAACv8MgI=")</f>
        <v>#REF!</v>
      </c>
      <c r="D53" t="e">
        <f>AND(Plan!#REF!,"AAAAACv8MgM=")</f>
        <v>#REF!</v>
      </c>
      <c r="E53" t="e">
        <f>AND(Plan!#REF!,"AAAAACv8MgQ=")</f>
        <v>#REF!</v>
      </c>
      <c r="F53" t="e">
        <f>AND(Plan!#REF!,"AAAAACv8MgU=")</f>
        <v>#REF!</v>
      </c>
      <c r="G53" t="e">
        <f>AND(Plan!#REF!,"AAAAACv8MgY=")</f>
        <v>#REF!</v>
      </c>
      <c r="H53" t="e">
        <f>AND(Plan!#REF!,"AAAAACv8Mgc=")</f>
        <v>#REF!</v>
      </c>
      <c r="I53" t="e">
        <f>AND(Plan!#REF!,"AAAAACv8Mgg=")</f>
        <v>#REF!</v>
      </c>
      <c r="J53" t="e">
        <f>AND(Plan!#REF!,"AAAAACv8Mgk=")</f>
        <v>#REF!</v>
      </c>
      <c r="K53" t="e">
        <f>AND(Plan!G11,"AAAAACv8Mgo=")</f>
        <v>#VALUE!</v>
      </c>
      <c r="L53" t="e">
        <f>AND(Plan!H11,"AAAAACv8Mgs=")</f>
        <v>#VALUE!</v>
      </c>
      <c r="M53" t="e">
        <f>AND(Plan!I11,"AAAAACv8Mgw=")</f>
        <v>#VALUE!</v>
      </c>
      <c r="N53" t="e">
        <f>AND(Plan!#REF!,"AAAAACv8Mg0=")</f>
        <v>#REF!</v>
      </c>
      <c r="O53" t="e">
        <f>AND(Plan!#REF!,"AAAAACv8Mg4=")</f>
        <v>#REF!</v>
      </c>
      <c r="P53" t="e">
        <f>AND(Plan!#REF!,"AAAAACv8Mg8=")</f>
        <v>#REF!</v>
      </c>
      <c r="Q53" t="e">
        <f>AND(Plan!#REF!,"AAAAACv8MhA=")</f>
        <v>#REF!</v>
      </c>
      <c r="R53" t="e">
        <f>AND(Plan!#REF!,"AAAAACv8MhE=")</f>
        <v>#REF!</v>
      </c>
      <c r="S53">
        <f>IF(Plan!112:112,"AAAAACv8MhI=",0)</f>
        <v>0</v>
      </c>
      <c r="T53" t="e">
        <f>AND(Plan!A112,"AAAAACv8MhM=")</f>
        <v>#VALUE!</v>
      </c>
      <c r="U53" t="e">
        <f>AND(Plan!B112,"AAAAACv8MhQ=")</f>
        <v>#VALUE!</v>
      </c>
      <c r="V53" t="e">
        <f>AND(Plan!C112,"AAAAACv8MhU=")</f>
        <v>#VALUE!</v>
      </c>
      <c r="W53" t="e">
        <f>AND(Plan!D112,"AAAAACv8MhY=")</f>
        <v>#VALUE!</v>
      </c>
      <c r="X53" t="e">
        <f>AND(Plan!E112,"AAAAACv8Mhc=")</f>
        <v>#VALUE!</v>
      </c>
      <c r="Y53" t="e">
        <f>AND(Plan!F112,"AAAAACv8Mhg=")</f>
        <v>#VALUE!</v>
      </c>
      <c r="Z53" t="e">
        <f>AND(Plan!G112,"AAAAACv8Mhk=")</f>
        <v>#VALUE!</v>
      </c>
      <c r="AA53" t="e">
        <f>AND(Plan!H112,"AAAAACv8Mho=")</f>
        <v>#VALUE!</v>
      </c>
      <c r="AB53" t="e">
        <f>AND(Plan!I112,"AAAAACv8Mhs=")</f>
        <v>#VALUE!</v>
      </c>
      <c r="AC53" t="e">
        <f>AND(Plan!J112,"AAAAACv8Mhw=")</f>
        <v>#VALUE!</v>
      </c>
      <c r="AD53" t="e">
        <f>AND(Plan!K112,"AAAAACv8Mh0=")</f>
        <v>#VALUE!</v>
      </c>
      <c r="AE53" t="e">
        <f>AND(Plan!L112,"AAAAACv8Mh4=")</f>
        <v>#VALUE!</v>
      </c>
      <c r="AF53" t="e">
        <f>AND(Plan!M112,"AAAAACv8Mh8=")</f>
        <v>#VALUE!</v>
      </c>
      <c r="AG53" t="e">
        <f>AND(Plan!N112,"AAAAACv8MiA=")</f>
        <v>#VALUE!</v>
      </c>
      <c r="AH53" t="e">
        <f>AND(Plan!O112,"AAAAACv8MiE=")</f>
        <v>#VALUE!</v>
      </c>
      <c r="AI53" t="e">
        <f>AND(Plan!P112,"AAAAACv8MiI=")</f>
        <v>#VALUE!</v>
      </c>
      <c r="AJ53" t="e">
        <f>AND(Plan!Q112,"AAAAACv8MiM=")</f>
        <v>#VALUE!</v>
      </c>
      <c r="AK53" t="e">
        <f>AND(Plan!R112,"AAAAACv8MiQ=")</f>
        <v>#VALUE!</v>
      </c>
      <c r="AL53" t="e">
        <f>AND(Plan!S112,"AAAAACv8MiU=")</f>
        <v>#VALUE!</v>
      </c>
      <c r="AM53" t="e">
        <f>AND(Plan!T112,"AAAAACv8MiY=")</f>
        <v>#VALUE!</v>
      </c>
      <c r="AN53" t="e">
        <f>AND(Plan!U112,"AAAAACv8Mic=")</f>
        <v>#VALUE!</v>
      </c>
      <c r="AO53" t="e">
        <f>AND(Plan!V112,"AAAAACv8Mig=")</f>
        <v>#VALUE!</v>
      </c>
      <c r="AP53" t="e">
        <f>AND(Plan!W112,"AAAAACv8Mik=")</f>
        <v>#VALUE!</v>
      </c>
      <c r="AQ53" t="e">
        <f>AND(Plan!X112,"AAAAACv8Mio=")</f>
        <v>#VALUE!</v>
      </c>
      <c r="AR53" t="e">
        <f>AND(Plan!Y112,"AAAAACv8Mis=")</f>
        <v>#VALUE!</v>
      </c>
      <c r="AS53" t="e">
        <f>AND(Plan!Z112,"AAAAACv8Miw=")</f>
        <v>#VALUE!</v>
      </c>
      <c r="AT53" t="e">
        <f>AND(Plan!AA112,"AAAAACv8Mi0=")</f>
        <v>#VALUE!</v>
      </c>
      <c r="AU53" t="e">
        <f>AND(Plan!AB112,"AAAAACv8Mi4=")</f>
        <v>#VALUE!</v>
      </c>
      <c r="AV53" t="e">
        <f>AND(Plan!AC112,"AAAAACv8Mi8=")</f>
        <v>#VALUE!</v>
      </c>
      <c r="AW53" t="e">
        <f>AND(Plan!AD112,"AAAAACv8MjA=")</f>
        <v>#VALUE!</v>
      </c>
      <c r="AX53" t="e">
        <f>AND(Plan!AE112,"AAAAACv8MjE=")</f>
        <v>#VALUE!</v>
      </c>
      <c r="AY53" t="e">
        <f>AND(Plan!AF112,"AAAAACv8MjI=")</f>
        <v>#VALUE!</v>
      </c>
      <c r="AZ53" t="e">
        <f>AND(Plan!AG112,"AAAAACv8MjM=")</f>
        <v>#VALUE!</v>
      </c>
      <c r="BA53" t="e">
        <f>AND(Plan!AH112,"AAAAACv8MjQ=")</f>
        <v>#VALUE!</v>
      </c>
      <c r="BB53" t="e">
        <f>AND(Plan!AI112,"AAAAACv8MjU=")</f>
        <v>#VALUE!</v>
      </c>
      <c r="BC53" t="e">
        <f>AND(Plan!AJ112,"AAAAACv8MjY=")</f>
        <v>#VALUE!</v>
      </c>
      <c r="BD53" t="e">
        <f>AND(Plan!AK112,"AAAAACv8Mjc=")</f>
        <v>#VALUE!</v>
      </c>
      <c r="BE53" t="e">
        <f>AND(Plan!AL112,"AAAAACv8Mjg=")</f>
        <v>#VALUE!</v>
      </c>
      <c r="BF53" t="e">
        <f>AND(Plan!AM112,"AAAAACv8Mjk=")</f>
        <v>#VALUE!</v>
      </c>
      <c r="BG53" t="e">
        <f>AND(Plan!AN112,"AAAAACv8Mjo=")</f>
        <v>#VALUE!</v>
      </c>
      <c r="BH53" t="e">
        <f>AND(Plan!AO112,"AAAAACv8Mjs=")</f>
        <v>#VALUE!</v>
      </c>
      <c r="BI53" t="e">
        <f>AND(Plan!AP112,"AAAAACv8Mjw=")</f>
        <v>#VALUE!</v>
      </c>
      <c r="BJ53" t="e">
        <f>AND(Plan!AQ112,"AAAAACv8Mj0=")</f>
        <v>#VALUE!</v>
      </c>
      <c r="BK53" t="e">
        <f>AND(Plan!AR112,"AAAAACv8Mj4=")</f>
        <v>#VALUE!</v>
      </c>
      <c r="BL53" t="e">
        <f>AND(Plan!AS112,"AAAAACv8Mj8=")</f>
        <v>#VALUE!</v>
      </c>
      <c r="BM53" t="e">
        <f>AND(Plan!AT112,"AAAAACv8MkA=")</f>
        <v>#VALUE!</v>
      </c>
      <c r="BN53" t="e">
        <f>AND(Plan!AU112,"AAAAACv8MkE=")</f>
        <v>#VALUE!</v>
      </c>
      <c r="BO53" t="e">
        <f>AND(Plan!AV112,"AAAAACv8MkI=")</f>
        <v>#VALUE!</v>
      </c>
      <c r="BP53" t="e">
        <f>AND(Plan!AW112,"AAAAACv8MkM=")</f>
        <v>#VALUE!</v>
      </c>
      <c r="BQ53" t="e">
        <f>AND(Plan!AX112,"AAAAACv8MkQ=")</f>
        <v>#VALUE!</v>
      </c>
      <c r="BR53" t="e">
        <f>AND(Plan!AY112,"AAAAACv8MkU=")</f>
        <v>#VALUE!</v>
      </c>
      <c r="BS53" t="e">
        <f>AND(Plan!AZ112,"AAAAACv8MkY=")</f>
        <v>#VALUE!</v>
      </c>
      <c r="BT53" t="e">
        <f>AND(Plan!BA112,"AAAAACv8Mkc=")</f>
        <v>#VALUE!</v>
      </c>
      <c r="BU53" t="e">
        <f>AND(Plan!BB112,"AAAAACv8Mkg=")</f>
        <v>#VALUE!</v>
      </c>
      <c r="BV53" t="e">
        <f>AND(Plan!BC112,"AAAAACv8Mkk=")</f>
        <v>#VALUE!</v>
      </c>
      <c r="BW53" t="e">
        <f>AND(Plan!BD112,"AAAAACv8Mko=")</f>
        <v>#VALUE!</v>
      </c>
      <c r="BX53" t="e">
        <f>AND(Plan!BE112,"AAAAACv8Mks=")</f>
        <v>#VALUE!</v>
      </c>
      <c r="BY53" t="e">
        <f>AND(Plan!BF112,"AAAAACv8Mkw=")</f>
        <v>#VALUE!</v>
      </c>
      <c r="BZ53" t="e">
        <f>AND(Plan!BG112,"AAAAACv8Mk0=")</f>
        <v>#VALUE!</v>
      </c>
      <c r="CA53" t="e">
        <f>AND(Plan!BH112,"AAAAACv8Mk4=")</f>
        <v>#VALUE!</v>
      </c>
    </row>
    <row r="54" spans="1:256">
      <c r="A54">
        <f>IF(Plan!117:117,"AAAAAGe2+wA=",0)</f>
        <v>0</v>
      </c>
      <c r="B54" t="e">
        <f>AND(Plan!A117,"AAAAAGe2+wE=")</f>
        <v>#VALUE!</v>
      </c>
      <c r="C54" t="e">
        <f>AND(Plan!B117,"AAAAAGe2+wI=")</f>
        <v>#VALUE!</v>
      </c>
      <c r="D54" t="e">
        <f>AND(Plan!C117,"AAAAAGe2+wM=")</f>
        <v>#VALUE!</v>
      </c>
      <c r="E54" t="e">
        <f>AND(Plan!D117,"AAAAAGe2+wQ=")</f>
        <v>#VALUE!</v>
      </c>
      <c r="F54" t="e">
        <f>AND(Plan!E117,"AAAAAGe2+wU=")</f>
        <v>#VALUE!</v>
      </c>
      <c r="G54" t="e">
        <f>AND(Plan!F117,"AAAAAGe2+wY=")</f>
        <v>#VALUE!</v>
      </c>
      <c r="H54" t="e">
        <f>AND(Plan!G117,"AAAAAGe2+wc=")</f>
        <v>#VALUE!</v>
      </c>
      <c r="I54" t="e">
        <f>AND(Plan!H117,"AAAAAGe2+wg=")</f>
        <v>#VALUE!</v>
      </c>
      <c r="J54" t="e">
        <f>AND(Plan!I117,"AAAAAGe2+wk=")</f>
        <v>#VALUE!</v>
      </c>
      <c r="K54" t="e">
        <f>AND(Plan!J117,"AAAAAGe2+wo=")</f>
        <v>#VALUE!</v>
      </c>
      <c r="L54" t="e">
        <f>AND(Plan!K117,"AAAAAGe2+ws=")</f>
        <v>#VALUE!</v>
      </c>
      <c r="M54" t="e">
        <f>AND(Plan!L117,"AAAAAGe2+ww=")</f>
        <v>#VALUE!</v>
      </c>
      <c r="N54" t="e">
        <f>AND(Plan!M117,"AAAAAGe2+w0=")</f>
        <v>#VALUE!</v>
      </c>
      <c r="O54" t="e">
        <f>AND(Plan!N117,"AAAAAGe2+w4=")</f>
        <v>#VALUE!</v>
      </c>
      <c r="P54" t="e">
        <f>AND(Plan!O117,"AAAAAGe2+w8=")</f>
        <v>#VALUE!</v>
      </c>
      <c r="Q54" t="e">
        <f>AND(Plan!P117,"AAAAAGe2+xA=")</f>
        <v>#VALUE!</v>
      </c>
      <c r="R54" t="e">
        <f>AND(Plan!Q117,"AAAAAGe2+xE=")</f>
        <v>#VALUE!</v>
      </c>
      <c r="S54" t="e">
        <f>AND(Plan!R117,"AAAAAGe2+xI=")</f>
        <v>#VALUE!</v>
      </c>
      <c r="T54" t="e">
        <f>AND(Plan!S117,"AAAAAGe2+xM=")</f>
        <v>#VALUE!</v>
      </c>
      <c r="U54" t="e">
        <f>AND(Plan!T117,"AAAAAGe2+xQ=")</f>
        <v>#VALUE!</v>
      </c>
      <c r="V54" t="e">
        <f>AND(Plan!U117,"AAAAAGe2+xU=")</f>
        <v>#VALUE!</v>
      </c>
      <c r="W54" t="e">
        <f>AND(Plan!V117,"AAAAAGe2+xY=")</f>
        <v>#VALUE!</v>
      </c>
      <c r="X54" t="e">
        <f>AND(Plan!W117,"AAAAAGe2+xc=")</f>
        <v>#VALUE!</v>
      </c>
      <c r="Y54" t="e">
        <f>AND(Plan!X117,"AAAAAGe2+xg=")</f>
        <v>#VALUE!</v>
      </c>
      <c r="Z54" t="e">
        <f>AND(Plan!Y117,"AAAAAGe2+xk=")</f>
        <v>#VALUE!</v>
      </c>
      <c r="AA54" t="e">
        <f>AND(Plan!Z117,"AAAAAGe2+xo=")</f>
        <v>#VALUE!</v>
      </c>
      <c r="AB54" t="e">
        <f>AND(Plan!AA117,"AAAAAGe2+xs=")</f>
        <v>#VALUE!</v>
      </c>
      <c r="AC54" t="e">
        <f>AND(Plan!AB117,"AAAAAGe2+xw=")</f>
        <v>#VALUE!</v>
      </c>
      <c r="AD54" t="e">
        <f>AND(Plan!AC117,"AAAAAGe2+x0=")</f>
        <v>#VALUE!</v>
      </c>
      <c r="AE54" t="e">
        <f>AND(Plan!AD117,"AAAAAGe2+x4=")</f>
        <v>#VALUE!</v>
      </c>
      <c r="AF54" t="e">
        <f>AND(Plan!AE117,"AAAAAGe2+x8=")</f>
        <v>#VALUE!</v>
      </c>
      <c r="AG54" t="e">
        <f>AND(Plan!AF117,"AAAAAGe2+yA=")</f>
        <v>#VALUE!</v>
      </c>
      <c r="AH54" t="e">
        <f>AND(Plan!AG117,"AAAAAGe2+yE=")</f>
        <v>#VALUE!</v>
      </c>
      <c r="AI54" t="e">
        <f>AND(Plan!AH117,"AAAAAGe2+yI=")</f>
        <v>#VALUE!</v>
      </c>
      <c r="AJ54" t="e">
        <f>AND(Plan!AI117,"AAAAAGe2+yM=")</f>
        <v>#VALUE!</v>
      </c>
      <c r="AK54" t="e">
        <f>AND(Plan!AJ117,"AAAAAGe2+yQ=")</f>
        <v>#VALUE!</v>
      </c>
      <c r="AL54" t="e">
        <f>AND(Plan!AK117,"AAAAAGe2+yU=")</f>
        <v>#VALUE!</v>
      </c>
      <c r="AM54" t="e">
        <f>AND(Plan!AL117,"AAAAAGe2+yY=")</f>
        <v>#VALUE!</v>
      </c>
      <c r="AN54" t="e">
        <f>AND(Plan!AM117,"AAAAAGe2+yc=")</f>
        <v>#VALUE!</v>
      </c>
      <c r="AO54" t="e">
        <f>AND(Plan!AN117,"AAAAAGe2+yg=")</f>
        <v>#VALUE!</v>
      </c>
      <c r="AP54" t="e">
        <f>AND(Plan!AO117,"AAAAAGe2+yk=")</f>
        <v>#VALUE!</v>
      </c>
      <c r="AQ54" t="e">
        <f>AND(Plan!AP117,"AAAAAGe2+yo=")</f>
        <v>#VALUE!</v>
      </c>
      <c r="AR54" t="e">
        <f>AND(Plan!AQ117,"AAAAAGe2+ys=")</f>
        <v>#VALUE!</v>
      </c>
      <c r="AS54" t="e">
        <f>AND(Plan!AR117,"AAAAAGe2+yw=")</f>
        <v>#VALUE!</v>
      </c>
      <c r="AT54" t="e">
        <f>AND(Plan!AS117,"AAAAAGe2+y0=")</f>
        <v>#VALUE!</v>
      </c>
      <c r="AU54" t="e">
        <f>AND(Plan!AT117,"AAAAAGe2+y4=")</f>
        <v>#VALUE!</v>
      </c>
      <c r="AV54" t="e">
        <f>AND(Plan!AU117,"AAAAAGe2+y8=")</f>
        <v>#VALUE!</v>
      </c>
      <c r="AW54" t="e">
        <f>AND(Plan!AV117,"AAAAAGe2+zA=")</f>
        <v>#VALUE!</v>
      </c>
      <c r="AX54" t="e">
        <f>AND(Plan!AW117,"AAAAAGe2+zE=")</f>
        <v>#VALUE!</v>
      </c>
      <c r="AY54" t="e">
        <f>AND(Plan!AX117,"AAAAAGe2+zI=")</f>
        <v>#VALUE!</v>
      </c>
      <c r="AZ54" t="e">
        <f>AND(Plan!AY117,"AAAAAGe2+zM=")</f>
        <v>#VALUE!</v>
      </c>
      <c r="BA54" t="e">
        <f>AND(Plan!AZ117,"AAAAAGe2+zQ=")</f>
        <v>#VALUE!</v>
      </c>
      <c r="BB54" t="e">
        <f>AND(Plan!BA117,"AAAAAGe2+zU=")</f>
        <v>#VALUE!</v>
      </c>
      <c r="BC54" t="e">
        <f>AND(Plan!BB117,"AAAAAGe2+zY=")</f>
        <v>#VALUE!</v>
      </c>
      <c r="BD54" t="e">
        <f>AND(Plan!BC117,"AAAAAGe2+zc=")</f>
        <v>#VALUE!</v>
      </c>
      <c r="BE54" t="e">
        <f>AND(Plan!BD117,"AAAAAGe2+zg=")</f>
        <v>#VALUE!</v>
      </c>
      <c r="BF54" t="e">
        <f>AND(Plan!BE117,"AAAAAGe2+zk=")</f>
        <v>#VALUE!</v>
      </c>
      <c r="BG54" t="e">
        <f>AND(Plan!BF117,"AAAAAGe2+zo=")</f>
        <v>#VALUE!</v>
      </c>
      <c r="BH54" t="e">
        <f>AND(Plan!BG117,"AAAAAGe2+zs=")</f>
        <v>#VALUE!</v>
      </c>
      <c r="BI54" t="e">
        <f>AND(Plan!BH117,"AAAAAGe2+zw=")</f>
        <v>#VALUE!</v>
      </c>
      <c r="BJ54">
        <f>IF(Plan!118:118,"AAAAAGe2+z0=",0)</f>
        <v>0</v>
      </c>
      <c r="BK54" t="e">
        <f>AND(Plan!A118,"AAAAAGe2+z4=")</f>
        <v>#VALUE!</v>
      </c>
      <c r="BL54" t="e">
        <f>AND(Plan!B118,"AAAAAGe2+z8=")</f>
        <v>#VALUE!</v>
      </c>
      <c r="BM54" t="e">
        <f>AND(Plan!C118,"AAAAAGe2+0A=")</f>
        <v>#VALUE!</v>
      </c>
      <c r="BN54" t="e">
        <f>AND(Plan!D118,"AAAAAGe2+0E=")</f>
        <v>#VALUE!</v>
      </c>
      <c r="BO54" t="e">
        <f>AND(Plan!E118,"AAAAAGe2+0I=")</f>
        <v>#VALUE!</v>
      </c>
      <c r="BP54" t="e">
        <f>AND(Plan!F118,"AAAAAGe2+0M=")</f>
        <v>#VALUE!</v>
      </c>
      <c r="BQ54" t="e">
        <f>AND(Plan!G118,"AAAAAGe2+0Q=")</f>
        <v>#VALUE!</v>
      </c>
      <c r="BR54" t="e">
        <f>AND(Plan!H118,"AAAAAGe2+0U=")</f>
        <v>#VALUE!</v>
      </c>
      <c r="BS54" t="e">
        <f>AND(Plan!I118,"AAAAAGe2+0Y=")</f>
        <v>#VALUE!</v>
      </c>
      <c r="BT54" t="e">
        <f>AND(Plan!J118,"AAAAAGe2+0c=")</f>
        <v>#VALUE!</v>
      </c>
      <c r="BU54" t="e">
        <f>AND(Plan!K118,"AAAAAGe2+0g=")</f>
        <v>#VALUE!</v>
      </c>
      <c r="BV54" t="e">
        <f>AND(Plan!L118,"AAAAAGe2+0k=")</f>
        <v>#VALUE!</v>
      </c>
      <c r="BW54" t="e">
        <f>AND(Plan!M118,"AAAAAGe2+0o=")</f>
        <v>#VALUE!</v>
      </c>
      <c r="BX54" t="e">
        <f>AND(Plan!N118,"AAAAAGe2+0s=")</f>
        <v>#VALUE!</v>
      </c>
      <c r="BY54" t="e">
        <f>AND(Plan!O118,"AAAAAGe2+0w=")</f>
        <v>#VALUE!</v>
      </c>
      <c r="BZ54" t="e">
        <f>AND(Plan!P118,"AAAAAGe2+00=")</f>
        <v>#VALUE!</v>
      </c>
      <c r="CA54" t="e">
        <f>AND(Plan!Q118,"AAAAAGe2+04=")</f>
        <v>#VALUE!</v>
      </c>
      <c r="CB54" t="e">
        <f>AND(Plan!R118,"AAAAAGe2+08=")</f>
        <v>#VALUE!</v>
      </c>
      <c r="CC54" t="e">
        <f>AND(Plan!S118,"AAAAAGe2+1A=")</f>
        <v>#VALUE!</v>
      </c>
      <c r="CD54" t="e">
        <f>AND(Plan!T118,"AAAAAGe2+1E=")</f>
        <v>#VALUE!</v>
      </c>
      <c r="CE54" t="e">
        <f>AND(Plan!U118,"AAAAAGe2+1I=")</f>
        <v>#VALUE!</v>
      </c>
      <c r="CF54" t="e">
        <f>AND(Plan!V118,"AAAAAGe2+1M=")</f>
        <v>#VALUE!</v>
      </c>
      <c r="CG54" t="e">
        <f>AND(Plan!W118,"AAAAAGe2+1Q=")</f>
        <v>#VALUE!</v>
      </c>
      <c r="CH54" t="e">
        <f>AND(Plan!X118,"AAAAAGe2+1U=")</f>
        <v>#VALUE!</v>
      </c>
      <c r="CI54" t="e">
        <f>AND(Plan!Y118,"AAAAAGe2+1Y=")</f>
        <v>#VALUE!</v>
      </c>
      <c r="CJ54" t="e">
        <f>AND(Plan!Z118,"AAAAAGe2+1c=")</f>
        <v>#VALUE!</v>
      </c>
      <c r="CK54" t="e">
        <f>AND(Plan!AA118,"AAAAAGe2+1g=")</f>
        <v>#VALUE!</v>
      </c>
      <c r="CL54" t="e">
        <f>AND(Plan!AB118,"AAAAAGe2+1k=")</f>
        <v>#VALUE!</v>
      </c>
      <c r="CM54" t="e">
        <f>AND(Plan!AC118,"AAAAAGe2+1o=")</f>
        <v>#VALUE!</v>
      </c>
      <c r="CN54" t="e">
        <f>AND(Plan!AD118,"AAAAAGe2+1s=")</f>
        <v>#VALUE!</v>
      </c>
      <c r="CO54" t="e">
        <f>AND(Plan!AE118,"AAAAAGe2+1w=")</f>
        <v>#VALUE!</v>
      </c>
      <c r="CP54" t="e">
        <f>AND(Plan!AF118,"AAAAAGe2+10=")</f>
        <v>#VALUE!</v>
      </c>
      <c r="CQ54" t="e">
        <f>AND(Plan!AG118,"AAAAAGe2+14=")</f>
        <v>#VALUE!</v>
      </c>
      <c r="CR54" t="e">
        <f>AND(Plan!AH118,"AAAAAGe2+18=")</f>
        <v>#VALUE!</v>
      </c>
      <c r="CS54" t="e">
        <f>AND(Plan!AI118,"AAAAAGe2+2A=")</f>
        <v>#VALUE!</v>
      </c>
      <c r="CT54" t="e">
        <f>AND(Plan!AJ118,"AAAAAGe2+2E=")</f>
        <v>#VALUE!</v>
      </c>
      <c r="CU54" t="e">
        <f>AND(Plan!AK118,"AAAAAGe2+2I=")</f>
        <v>#VALUE!</v>
      </c>
      <c r="CV54" t="e">
        <f>AND(Plan!AL118,"AAAAAGe2+2M=")</f>
        <v>#VALUE!</v>
      </c>
      <c r="CW54" t="e">
        <f>AND(Plan!AM118,"AAAAAGe2+2Q=")</f>
        <v>#VALUE!</v>
      </c>
      <c r="CX54" t="e">
        <f>AND(Plan!AN118,"AAAAAGe2+2U=")</f>
        <v>#VALUE!</v>
      </c>
      <c r="CY54" t="e">
        <f>AND(Plan!AO118,"AAAAAGe2+2Y=")</f>
        <v>#VALUE!</v>
      </c>
      <c r="CZ54" t="e">
        <f>AND(Plan!AP118,"AAAAAGe2+2c=")</f>
        <v>#VALUE!</v>
      </c>
      <c r="DA54" t="e">
        <f>AND(Plan!AQ118,"AAAAAGe2+2g=")</f>
        <v>#VALUE!</v>
      </c>
      <c r="DB54" t="e">
        <f>AND(Plan!AR118,"AAAAAGe2+2k=")</f>
        <v>#VALUE!</v>
      </c>
      <c r="DC54" t="e">
        <f>AND(Plan!AS118,"AAAAAGe2+2o=")</f>
        <v>#VALUE!</v>
      </c>
      <c r="DD54" t="e">
        <f>AND(Plan!AT118,"AAAAAGe2+2s=")</f>
        <v>#VALUE!</v>
      </c>
      <c r="DE54" t="e">
        <f>AND(Plan!AU118,"AAAAAGe2+2w=")</f>
        <v>#VALUE!</v>
      </c>
      <c r="DF54" t="e">
        <f>AND(Plan!AV118,"AAAAAGe2+20=")</f>
        <v>#VALUE!</v>
      </c>
      <c r="DG54" t="e">
        <f>AND(Plan!AW118,"AAAAAGe2+24=")</f>
        <v>#VALUE!</v>
      </c>
      <c r="DH54" t="e">
        <f>AND(Plan!AX118,"AAAAAGe2+28=")</f>
        <v>#VALUE!</v>
      </c>
      <c r="DI54" t="e">
        <f>AND(Plan!AY118,"AAAAAGe2+3A=")</f>
        <v>#VALUE!</v>
      </c>
      <c r="DJ54" t="e">
        <f>AND(Plan!AZ118,"AAAAAGe2+3E=")</f>
        <v>#VALUE!</v>
      </c>
      <c r="DK54" t="e">
        <f>AND(Plan!BA118,"AAAAAGe2+3I=")</f>
        <v>#VALUE!</v>
      </c>
      <c r="DL54" t="e">
        <f>AND(Plan!BB118,"AAAAAGe2+3M=")</f>
        <v>#VALUE!</v>
      </c>
      <c r="DM54" t="e">
        <f>AND(Plan!BC118,"AAAAAGe2+3Q=")</f>
        <v>#VALUE!</v>
      </c>
      <c r="DN54" t="e">
        <f>AND(Plan!BD118,"AAAAAGe2+3U=")</f>
        <v>#VALUE!</v>
      </c>
      <c r="DO54" t="e">
        <f>AND(Plan!BE118,"AAAAAGe2+3Y=")</f>
        <v>#VALUE!</v>
      </c>
      <c r="DP54" t="e">
        <f>AND(Plan!BF118,"AAAAAGe2+3c=")</f>
        <v>#VALUE!</v>
      </c>
      <c r="DQ54" t="e">
        <f>AND(Plan!BG118,"AAAAAGe2+3g=")</f>
        <v>#VALUE!</v>
      </c>
      <c r="DR54" t="e">
        <f>AND(Plan!BH118,"AAAAAGe2+3k=")</f>
        <v>#VALUE!</v>
      </c>
      <c r="DS54">
        <f>IF(Plan!119:119,"AAAAAGe2+3o=",0)</f>
        <v>0</v>
      </c>
      <c r="DT54" t="e">
        <f>AND(Plan!A119,"AAAAAGe2+3s=")</f>
        <v>#VALUE!</v>
      </c>
      <c r="DU54" t="e">
        <f>AND(Plan!B119,"AAAAAGe2+3w=")</f>
        <v>#VALUE!</v>
      </c>
      <c r="DV54" t="e">
        <f>AND(Plan!C119,"AAAAAGe2+30=")</f>
        <v>#VALUE!</v>
      </c>
      <c r="DW54" t="e">
        <f>AND(Plan!D119,"AAAAAGe2+34=")</f>
        <v>#VALUE!</v>
      </c>
      <c r="DX54" t="e">
        <f>AND(Plan!E119,"AAAAAGe2+38=")</f>
        <v>#VALUE!</v>
      </c>
      <c r="DY54" t="e">
        <f>AND(Plan!F119,"AAAAAGe2+4A=")</f>
        <v>#VALUE!</v>
      </c>
      <c r="DZ54" t="e">
        <f>AND(Plan!G119,"AAAAAGe2+4E=")</f>
        <v>#VALUE!</v>
      </c>
      <c r="EA54" t="e">
        <f>AND(Plan!H119,"AAAAAGe2+4I=")</f>
        <v>#VALUE!</v>
      </c>
      <c r="EB54" t="e">
        <f>AND(Plan!I119,"AAAAAGe2+4M=")</f>
        <v>#VALUE!</v>
      </c>
      <c r="EC54" t="e">
        <f>AND(Plan!J119,"AAAAAGe2+4Q=")</f>
        <v>#VALUE!</v>
      </c>
      <c r="ED54" t="e">
        <f>AND(Plan!K119,"AAAAAGe2+4U=")</f>
        <v>#VALUE!</v>
      </c>
      <c r="EE54" t="e">
        <f>AND(Plan!L119,"AAAAAGe2+4Y=")</f>
        <v>#VALUE!</v>
      </c>
      <c r="EF54" t="e">
        <f>AND(Plan!M119,"AAAAAGe2+4c=")</f>
        <v>#VALUE!</v>
      </c>
      <c r="EG54" t="e">
        <f>AND(Plan!N119,"AAAAAGe2+4g=")</f>
        <v>#VALUE!</v>
      </c>
      <c r="EH54" t="e">
        <f>AND(Plan!O119,"AAAAAGe2+4k=")</f>
        <v>#VALUE!</v>
      </c>
      <c r="EI54" t="e">
        <f>AND(Plan!P119,"AAAAAGe2+4o=")</f>
        <v>#VALUE!</v>
      </c>
      <c r="EJ54" t="e">
        <f>AND(Plan!Q119,"AAAAAGe2+4s=")</f>
        <v>#VALUE!</v>
      </c>
      <c r="EK54" t="e">
        <f>AND(Plan!R119,"AAAAAGe2+4w=")</f>
        <v>#VALUE!</v>
      </c>
      <c r="EL54" t="e">
        <f>AND(Plan!S119,"AAAAAGe2+40=")</f>
        <v>#VALUE!</v>
      </c>
      <c r="EM54" t="e">
        <f>AND(Plan!T119,"AAAAAGe2+44=")</f>
        <v>#VALUE!</v>
      </c>
      <c r="EN54" t="e">
        <f>AND(Plan!U119,"AAAAAGe2+48=")</f>
        <v>#VALUE!</v>
      </c>
      <c r="EO54" t="e">
        <f>AND(Plan!V119,"AAAAAGe2+5A=")</f>
        <v>#VALUE!</v>
      </c>
      <c r="EP54" t="e">
        <f>AND(Plan!W119,"AAAAAGe2+5E=")</f>
        <v>#VALUE!</v>
      </c>
      <c r="EQ54" t="e">
        <f>AND(Plan!X119,"AAAAAGe2+5I=")</f>
        <v>#VALUE!</v>
      </c>
      <c r="ER54" t="e">
        <f>AND(Plan!Y119,"AAAAAGe2+5M=")</f>
        <v>#VALUE!</v>
      </c>
      <c r="ES54" t="e">
        <f>AND(Plan!Z119,"AAAAAGe2+5Q=")</f>
        <v>#VALUE!</v>
      </c>
      <c r="ET54" t="e">
        <f>AND(Plan!AA119,"AAAAAGe2+5U=")</f>
        <v>#VALUE!</v>
      </c>
      <c r="EU54" t="e">
        <f>AND(Plan!AB119,"AAAAAGe2+5Y=")</f>
        <v>#VALUE!</v>
      </c>
      <c r="EV54" t="e">
        <f>AND(Plan!AC119,"AAAAAGe2+5c=")</f>
        <v>#VALUE!</v>
      </c>
      <c r="EW54" t="e">
        <f>AND(Plan!AD119,"AAAAAGe2+5g=")</f>
        <v>#VALUE!</v>
      </c>
      <c r="EX54" t="e">
        <f>AND(Plan!AE119,"AAAAAGe2+5k=")</f>
        <v>#VALUE!</v>
      </c>
      <c r="EY54" t="e">
        <f>AND(Plan!AF119,"AAAAAGe2+5o=")</f>
        <v>#VALUE!</v>
      </c>
      <c r="EZ54" t="e">
        <f>AND(Plan!AG119,"AAAAAGe2+5s=")</f>
        <v>#VALUE!</v>
      </c>
      <c r="FA54" t="e">
        <f>AND(Plan!AH119,"AAAAAGe2+5w=")</f>
        <v>#VALUE!</v>
      </c>
      <c r="FB54" t="e">
        <f>AND(Plan!AI119,"AAAAAGe2+50=")</f>
        <v>#VALUE!</v>
      </c>
      <c r="FC54" t="e">
        <f>AND(Plan!AJ119,"AAAAAGe2+54=")</f>
        <v>#VALUE!</v>
      </c>
      <c r="FD54" t="e">
        <f>AND(Plan!AK119,"AAAAAGe2+58=")</f>
        <v>#VALUE!</v>
      </c>
      <c r="FE54" t="e">
        <f>AND(Plan!AL119,"AAAAAGe2+6A=")</f>
        <v>#VALUE!</v>
      </c>
      <c r="FF54" t="e">
        <f>AND(Plan!AM119,"AAAAAGe2+6E=")</f>
        <v>#VALUE!</v>
      </c>
      <c r="FG54" t="e">
        <f>AND(Plan!AN119,"AAAAAGe2+6I=")</f>
        <v>#VALUE!</v>
      </c>
      <c r="FH54" t="e">
        <f>AND(Plan!AO119,"AAAAAGe2+6M=")</f>
        <v>#VALUE!</v>
      </c>
      <c r="FI54" t="e">
        <f>AND(Plan!AP119,"AAAAAGe2+6Q=")</f>
        <v>#VALUE!</v>
      </c>
      <c r="FJ54" t="e">
        <f>AND(Plan!AQ119,"AAAAAGe2+6U=")</f>
        <v>#VALUE!</v>
      </c>
      <c r="FK54" t="e">
        <f>AND(Plan!AR119,"AAAAAGe2+6Y=")</f>
        <v>#VALUE!</v>
      </c>
      <c r="FL54" t="e">
        <f>AND(Plan!AS119,"AAAAAGe2+6c=")</f>
        <v>#VALUE!</v>
      </c>
      <c r="FM54" t="e">
        <f>AND(Plan!AT119,"AAAAAGe2+6g=")</f>
        <v>#VALUE!</v>
      </c>
      <c r="FN54" t="e">
        <f>AND(Plan!AU119,"AAAAAGe2+6k=")</f>
        <v>#VALUE!</v>
      </c>
      <c r="FO54" t="e">
        <f>AND(Plan!AV119,"AAAAAGe2+6o=")</f>
        <v>#VALUE!</v>
      </c>
      <c r="FP54" t="e">
        <f>AND(Plan!AW119,"AAAAAGe2+6s=")</f>
        <v>#VALUE!</v>
      </c>
      <c r="FQ54" t="e">
        <f>AND(Plan!AX119,"AAAAAGe2+6w=")</f>
        <v>#VALUE!</v>
      </c>
      <c r="FR54" t="e">
        <f>AND(Plan!AY119,"AAAAAGe2+60=")</f>
        <v>#VALUE!</v>
      </c>
      <c r="FS54" t="e">
        <f>AND(Plan!AZ119,"AAAAAGe2+64=")</f>
        <v>#VALUE!</v>
      </c>
      <c r="FT54" t="e">
        <f>AND(Plan!BA119,"AAAAAGe2+68=")</f>
        <v>#VALUE!</v>
      </c>
      <c r="FU54" t="e">
        <f>AND(Plan!BB119,"AAAAAGe2+7A=")</f>
        <v>#VALUE!</v>
      </c>
      <c r="FV54" t="e">
        <f>AND(Plan!BC119,"AAAAAGe2+7E=")</f>
        <v>#VALUE!</v>
      </c>
      <c r="FW54" t="e">
        <f>AND(Plan!BD119,"AAAAAGe2+7I=")</f>
        <v>#VALUE!</v>
      </c>
      <c r="FX54" t="e">
        <f>AND(Plan!BE119,"AAAAAGe2+7M=")</f>
        <v>#VALUE!</v>
      </c>
      <c r="FY54" t="e">
        <f>AND(Plan!BF119,"AAAAAGe2+7Q=")</f>
        <v>#VALUE!</v>
      </c>
      <c r="FZ54" t="e">
        <f>AND(Plan!BG119,"AAAAAGe2+7U=")</f>
        <v>#VALUE!</v>
      </c>
      <c r="GA54" t="e">
        <f>AND(Plan!BH119,"AAAAAGe2+7Y=")</f>
        <v>#VALUE!</v>
      </c>
    </row>
    <row r="55" spans="1:256">
      <c r="A55" t="e">
        <f>AND(Plan!F1,"AAAAAH6XDwA=")</f>
        <v>#VALUE!</v>
      </c>
      <c r="B55" t="e">
        <f>AND(Plan!F2,"AAAAAH6XDwE=")</f>
        <v>#VALUE!</v>
      </c>
      <c r="C55" t="e">
        <f>AND(Plan!F3,"AAAAAH6XDwI=")</f>
        <v>#VALUE!</v>
      </c>
      <c r="D55" t="e">
        <f>AND(Plan!F4,"AAAAAH6XDwM=")</f>
        <v>#VALUE!</v>
      </c>
      <c r="E55" t="e">
        <f>AND(Plan!F5,"AAAAAH6XDwQ=")</f>
        <v>#VALUE!</v>
      </c>
      <c r="F55" t="e">
        <f>AND(Plan!F6,"AAAAAH6XDwU=")</f>
        <v>#VALUE!</v>
      </c>
      <c r="G55" t="e">
        <f>AND(Plan!F7,"AAAAAH6XDwY=")</f>
        <v>#VALUE!</v>
      </c>
      <c r="H55" t="e">
        <f>AND(Plan!B7,"AAAAAH6XDwc=")</f>
        <v>#VALUE!</v>
      </c>
      <c r="I55" t="e">
        <f>AND(Plan!F8,"AAAAAH6XDwg=")</f>
        <v>#VALUE!</v>
      </c>
      <c r="J55" t="e">
        <f>AND(Plan!F9,"AAAAAH6XDwk=")</f>
        <v>#VALUE!</v>
      </c>
      <c r="K55" t="e">
        <f>AND(Plan!F10,"AAAAAH6XDwo=")</f>
        <v>#VALUE!</v>
      </c>
      <c r="L55" t="e">
        <f>AND(Plan!F11,"AAAAAH6XDws=")</f>
        <v>#VALUE!</v>
      </c>
      <c r="M55" t="e">
        <f>AND(Plan!F12,"AAAAAH6XDww=")</f>
        <v>#VALUE!</v>
      </c>
      <c r="N55" t="e">
        <f>AND(Plan!F13,"AAAAAH6XDw0=")</f>
        <v>#VALUE!</v>
      </c>
      <c r="O55" t="e">
        <f>AND(Plan!F14,"AAAAAH6XDw4=")</f>
        <v>#VALUE!</v>
      </c>
      <c r="P55" t="e">
        <f>AND(Plan!F15,"AAAAAH6XDw8=")</f>
        <v>#VALUE!</v>
      </c>
      <c r="Q55" t="e">
        <f>AND(Plan!F17,"AAAAAH6XDxA=")</f>
        <v>#VALUE!</v>
      </c>
    </row>
    <row r="56" spans="1:256">
      <c r="A56" t="e">
        <f>AND(Plan!M1,"AAAAAFfJ8wA=")</f>
        <v>#VALUE!</v>
      </c>
      <c r="B56" t="e">
        <f>AND(Plan!M2,"AAAAAFfJ8wE=")</f>
        <v>#VALUE!</v>
      </c>
      <c r="C56" t="e">
        <f>AND(Plan!M3,"AAAAAFfJ8wI=")</f>
        <v>#VALUE!</v>
      </c>
      <c r="D56" t="e">
        <f>AND(Plan!M4,"AAAAAFfJ8wM=")</f>
        <v>#VALUE!</v>
      </c>
      <c r="E56" t="e">
        <f>AND(Plan!M5,"AAAAAFfJ8wQ=")</f>
        <v>#VALUE!</v>
      </c>
      <c r="F56" t="e">
        <f>AND(Plan!M6,"AAAAAFfJ8wU=")</f>
        <v>#VALUE!</v>
      </c>
      <c r="G56" t="e">
        <f>AND(Plan!M7,"AAAAAFfJ8wY=")</f>
        <v>#VALUE!</v>
      </c>
      <c r="H56" t="e">
        <f>AND(Plan!M8,"AAAAAFfJ8wc=")</f>
        <v>#VALUE!</v>
      </c>
      <c r="I56" t="e">
        <f>AND(Plan!M9,"AAAAAFfJ8wg=")</f>
        <v>#VALUE!</v>
      </c>
      <c r="J56" t="e">
        <f>AND(Plan!M10,"AAAAAFfJ8wk=")</f>
        <v>#VALUE!</v>
      </c>
      <c r="K56" t="e">
        <f>AND(Plan!M11,"AAAAAFfJ8wo=")</f>
        <v>#VALUE!</v>
      </c>
      <c r="L56" t="e">
        <f>AND(Plan!M12,"AAAAAFfJ8ws=")</f>
        <v>#VALUE!</v>
      </c>
      <c r="M56" t="e">
        <f>AND(Plan!M13,"AAAAAFfJ8ww=")</f>
        <v>#VALUE!</v>
      </c>
      <c r="N56" t="e">
        <f>AND(Plan!M14,"AAAAAFfJ8w0=")</f>
        <v>#VALUE!</v>
      </c>
      <c r="O56" t="e">
        <f>AND(Plan!M15,"AAAAAFfJ8w4=")</f>
        <v>#VALUE!</v>
      </c>
      <c r="P56" t="e">
        <f>AND(Plan!M17,"AAAAAFfJ8w8=")</f>
        <v>#VALUE!</v>
      </c>
    </row>
    <row r="57" spans="1:256">
      <c r="A57">
        <f>IF(Plan!16:16,"AAAAAEN7XwA=",0)</f>
        <v>0</v>
      </c>
      <c r="B57" t="e">
        <f>AND(Plan!A16,"AAAAAEN7XwE=")</f>
        <v>#VALUE!</v>
      </c>
      <c r="C57" t="e">
        <f>AND(Plan!B16,"AAAAAEN7XwI=")</f>
        <v>#VALUE!</v>
      </c>
      <c r="D57" t="e">
        <f>AND(Plan!C16,"AAAAAEN7XwM=")</f>
        <v>#VALUE!</v>
      </c>
      <c r="E57" t="e">
        <f>AND(Plan!D16,"AAAAAEN7XwQ=")</f>
        <v>#VALUE!</v>
      </c>
      <c r="F57" t="e">
        <f>AND(Plan!E16,"AAAAAEN7XwU=")</f>
        <v>#VALUE!</v>
      </c>
      <c r="G57" t="e">
        <f>AND(Plan!F16,"AAAAAEN7XwY=")</f>
        <v>#VALUE!</v>
      </c>
      <c r="H57" t="e">
        <f>AND(Plan!G16,"AAAAAEN7Xwc=")</f>
        <v>#VALUE!</v>
      </c>
      <c r="I57" t="e">
        <f>AND(Plan!H16,"AAAAAEN7Xwg=")</f>
        <v>#VALUE!</v>
      </c>
      <c r="J57" t="e">
        <f>AND(Plan!I16,"AAAAAEN7Xwk=")</f>
        <v>#VALUE!</v>
      </c>
      <c r="K57" t="e">
        <f>AND(Plan!J16,"AAAAAEN7Xwo=")</f>
        <v>#VALUE!</v>
      </c>
      <c r="L57" t="e">
        <f>AND(Plan!K16,"AAAAAEN7Xws=")</f>
        <v>#VALUE!</v>
      </c>
      <c r="M57" t="e">
        <f>AND(Plan!L16,"AAAAAEN7Xww=")</f>
        <v>#VALUE!</v>
      </c>
      <c r="N57" t="e">
        <f>AND(Plan!M16,"AAAAAEN7Xw0=")</f>
        <v>#VALUE!</v>
      </c>
      <c r="O57" t="e">
        <f>AND(Plan!N16,"AAAAAEN7Xw4=")</f>
        <v>#VALUE!</v>
      </c>
      <c r="P57" t="e">
        <f>AND(Plan!O16,"AAAAAEN7Xw8=")</f>
        <v>#VALUE!</v>
      </c>
      <c r="Q57" t="e">
        <f>AND(Plan!P16,"AAAAAEN7XxA=")</f>
        <v>#VALUE!</v>
      </c>
      <c r="R57" t="e">
        <f>AND(Plan!Q16,"AAAAAEN7XxE=")</f>
        <v>#VALUE!</v>
      </c>
      <c r="S57" t="e">
        <f>AND(Plan!R16,"AAAAAEN7XxI=")</f>
        <v>#VALUE!</v>
      </c>
      <c r="T57" t="e">
        <f>AND(Plan!S16,"AAAAAEN7XxM=")</f>
        <v>#VALUE!</v>
      </c>
      <c r="U57" t="e">
        <f>AND(Plan!T16,"AAAAAEN7XxQ=")</f>
        <v>#VALUE!</v>
      </c>
      <c r="V57" t="e">
        <f>AND(Plan!U16,"AAAAAEN7XxU=")</f>
        <v>#VALUE!</v>
      </c>
      <c r="W57" t="e">
        <f>AND(Plan!V16,"AAAAAEN7XxY=")</f>
        <v>#VALUE!</v>
      </c>
      <c r="X57" t="e">
        <f>AND(Plan!W16,"AAAAAEN7Xxc=")</f>
        <v>#VALUE!</v>
      </c>
      <c r="Y57" t="e">
        <f>AND(Plan!X16,"AAAAAEN7Xxg=")</f>
        <v>#VALUE!</v>
      </c>
      <c r="Z57" t="e">
        <f>AND(Plan!Y16,"AAAAAEN7Xxk=")</f>
        <v>#VALUE!</v>
      </c>
      <c r="AA57" t="e">
        <f>AND(Plan!Z16,"AAAAAEN7Xxo=")</f>
        <v>#VALUE!</v>
      </c>
      <c r="AB57" t="e">
        <f>AND(Plan!AA16,"AAAAAEN7Xxs=")</f>
        <v>#VALUE!</v>
      </c>
      <c r="AC57" t="e">
        <f>AND(Plan!AB16,"AAAAAEN7Xxw=")</f>
        <v>#VALUE!</v>
      </c>
      <c r="AD57" t="e">
        <f>AND(Plan!AC16,"AAAAAEN7Xx0=")</f>
        <v>#VALUE!</v>
      </c>
      <c r="AE57" t="e">
        <f>AND(Plan!AD16,"AAAAAEN7Xx4=")</f>
        <v>#VALUE!</v>
      </c>
      <c r="AF57" t="e">
        <f>AND(Plan!AE16,"AAAAAEN7Xx8=")</f>
        <v>#VALUE!</v>
      </c>
      <c r="AG57" t="e">
        <f>AND(Plan!AF16,"AAAAAEN7XyA=")</f>
        <v>#VALUE!</v>
      </c>
      <c r="AH57" t="e">
        <f>AND(Plan!AG16,"AAAAAEN7XyE=")</f>
        <v>#VALUE!</v>
      </c>
      <c r="AI57" t="e">
        <f>AND(Plan!AH16,"AAAAAEN7XyI=")</f>
        <v>#VALUE!</v>
      </c>
      <c r="AJ57" t="e">
        <f>AND(Plan!AI16,"AAAAAEN7XyM=")</f>
        <v>#VALUE!</v>
      </c>
      <c r="AK57" t="e">
        <f>AND(Plan!AJ16,"AAAAAEN7XyQ=")</f>
        <v>#VALUE!</v>
      </c>
      <c r="AL57" t="e">
        <f>AND(Plan!AK16,"AAAAAEN7XyU=")</f>
        <v>#VALUE!</v>
      </c>
      <c r="AM57" t="e">
        <f>AND(Plan!AL16,"AAAAAEN7XyY=")</f>
        <v>#VALUE!</v>
      </c>
      <c r="AN57" t="e">
        <f>AND(Plan!AM16,"AAAAAEN7Xyc=")</f>
        <v>#VALUE!</v>
      </c>
      <c r="AO57" t="e">
        <f>AND(Plan!AN16,"AAAAAEN7Xyg=")</f>
        <v>#VALUE!</v>
      </c>
      <c r="AP57" t="e">
        <f>AND(Plan!AO16,"AAAAAEN7Xyk=")</f>
        <v>#VALUE!</v>
      </c>
      <c r="AQ57" t="e">
        <f>AND(Plan!AP16,"AAAAAEN7Xyo=")</f>
        <v>#VALUE!</v>
      </c>
      <c r="AR57" t="e">
        <f>AND(Plan!AQ16,"AAAAAEN7Xys=")</f>
        <v>#VALUE!</v>
      </c>
      <c r="AS57" t="e">
        <f>AND(Plan!AR16,"AAAAAEN7Xyw=")</f>
        <v>#VALUE!</v>
      </c>
      <c r="AT57" t="e">
        <f>AND(Plan!AS16,"AAAAAEN7Xy0=")</f>
        <v>#VALUE!</v>
      </c>
      <c r="AU57" t="e">
        <f>AND(Plan!AT16,"AAAAAEN7Xy4=")</f>
        <v>#VALUE!</v>
      </c>
      <c r="AV57" t="e">
        <f>AND(Plan!AU16,"AAAAAEN7Xy8=")</f>
        <v>#VALUE!</v>
      </c>
      <c r="AW57" t="e">
        <f>AND(Plan!AV16,"AAAAAEN7XzA=")</f>
        <v>#VALUE!</v>
      </c>
      <c r="AX57" t="e">
        <f>AND(Plan!AW16,"AAAAAEN7XzE=")</f>
        <v>#VALUE!</v>
      </c>
      <c r="AY57" t="e">
        <f>AND(Plan!AX16,"AAAAAEN7XzI=")</f>
        <v>#VALUE!</v>
      </c>
      <c r="AZ57" t="e">
        <f>AND(Plan!AY16,"AAAAAEN7XzM=")</f>
        <v>#VALUE!</v>
      </c>
      <c r="BA57" t="e">
        <f>AND(Plan!AZ16,"AAAAAEN7XzQ=")</f>
        <v>#VALUE!</v>
      </c>
      <c r="BB57" t="e">
        <f>AND(Plan!BA16,"AAAAAEN7XzU=")</f>
        <v>#VALUE!</v>
      </c>
      <c r="BC57" t="e">
        <f>AND(Plan!BB16,"AAAAAEN7XzY=")</f>
        <v>#VALUE!</v>
      </c>
      <c r="BD57" t="e">
        <f>AND(Plan!BC16,"AAAAAEN7Xzc=")</f>
        <v>#VALUE!</v>
      </c>
      <c r="BE57" t="e">
        <f>AND(Plan!BD16,"AAAAAEN7Xzg=")</f>
        <v>#VALUE!</v>
      </c>
      <c r="BF57" t="e">
        <f>AND(Plan!BE16,"AAAAAEN7Xzk=")</f>
        <v>#VALUE!</v>
      </c>
      <c r="BG57" t="e">
        <f>AND(Plan!BF16,"AAAAAEN7Xzo=")</f>
        <v>#VALUE!</v>
      </c>
      <c r="BH57" t="e">
        <f>AND(Plan!BG16,"AAAAAEN7Xzs=")</f>
        <v>#VALUE!</v>
      </c>
      <c r="BI57" t="e">
        <f>AND(Plan!BH16,"AAAAAEN7Xzw=")</f>
        <v>#VALUE!</v>
      </c>
      <c r="BJ57" t="e">
        <f>AND(Plan!BI16,"AAAAAEN7Xz0=")</f>
        <v>#VALUE!</v>
      </c>
      <c r="BK57" t="e">
        <f>AND(Plan!BJ16,"AAAAAEN7Xz4=")</f>
        <v>#VALUE!</v>
      </c>
      <c r="BL57" t="e">
        <f>AND(Plan!BK16,"AAAAAEN7Xz8=")</f>
        <v>#VALUE!</v>
      </c>
      <c r="BM57" t="e">
        <f>AND(Plan!BL16,"AAAAAEN7X0A=")</f>
        <v>#VALUE!</v>
      </c>
      <c r="BN57" t="e">
        <f>AND(Plan!BM16,"AAAAAEN7X0E=")</f>
        <v>#VALUE!</v>
      </c>
      <c r="BO57" t="e">
        <f>AND(Plan!BN16,"AAAAAEN7X0I=")</f>
        <v>#VALUE!</v>
      </c>
      <c r="BP57" t="e">
        <f>AND(Plan!BO16,"AAAAAEN7X0M=")</f>
        <v>#VALUE!</v>
      </c>
      <c r="BQ57" t="e">
        <f>AND(Plan!BP16,"AAAAAEN7X0Q=")</f>
        <v>#VALUE!</v>
      </c>
      <c r="BR57" t="e">
        <f>AND(Plan!BQ16,"AAAAAEN7X0U=")</f>
        <v>#VALUE!</v>
      </c>
      <c r="BS57" t="e">
        <f>AND(Plan!BR16,"AAAAAEN7X0Y=")</f>
        <v>#VALUE!</v>
      </c>
      <c r="BT57" t="e">
        <f>AND(Plan!BS16,"AAAAAEN7X0c=")</f>
        <v>#VALUE!</v>
      </c>
      <c r="BU57" t="e">
        <f>AND(Plan!BT16,"AAAAAEN7X0g=")</f>
        <v>#VALUE!</v>
      </c>
      <c r="BV57" t="e">
        <f>AND(Plan!BU16,"AAAAAEN7X0k=")</f>
        <v>#VALUE!</v>
      </c>
      <c r="BW57" t="e">
        <f>AND(Plan!BV16,"AAAAAEN7X0o=")</f>
        <v>#VALUE!</v>
      </c>
      <c r="BX57" t="e">
        <f>AND(Plan!BW16,"AAAAAEN7X0s=")</f>
        <v>#VALUE!</v>
      </c>
      <c r="BY57" t="e">
        <f>AND(Plan!BX16,"AAAAAEN7X0w=")</f>
        <v>#VALUE!</v>
      </c>
      <c r="BZ57" t="e">
        <f>AND(Plan!BY16,"AAAAAEN7X00=")</f>
        <v>#VALUE!</v>
      </c>
      <c r="CA57" t="e">
        <f>AND(Plan!BZ16,"AAAAAEN7X04=")</f>
        <v>#VALUE!</v>
      </c>
      <c r="CB57" t="e">
        <f>AND(Plan!CA16,"AAAAAEN7X08=")</f>
        <v>#VALUE!</v>
      </c>
      <c r="CC57" t="e">
        <f>AND(Plan!CB16,"AAAAAEN7X1A=")</f>
        <v>#VALUE!</v>
      </c>
      <c r="CD57" t="e">
        <f>AND(Plan!CC16,"AAAAAEN7X1E=")</f>
        <v>#VALUE!</v>
      </c>
      <c r="CE57" t="e">
        <f>AND(Plan!CD16,"AAAAAEN7X1I=")</f>
        <v>#VALUE!</v>
      </c>
      <c r="CF57" t="e">
        <f>AND(Plan!CE16,"AAAAAEN7X1M=")</f>
        <v>#VALUE!</v>
      </c>
      <c r="CG57" t="e">
        <f>AND(Plan!CF16,"AAAAAEN7X1Q=")</f>
        <v>#VALUE!</v>
      </c>
      <c r="CH57" t="e">
        <f>AND(Plan!CG16,"AAAAAEN7X1U=")</f>
        <v>#VALUE!</v>
      </c>
      <c r="CI57" t="e">
        <f>AND(Plan!CH16,"AAAAAEN7X1Y=")</f>
        <v>#VALUE!</v>
      </c>
      <c r="CJ57" t="e">
        <f>AND(Plan!CI16,"AAAAAEN7X1c=")</f>
        <v>#VALUE!</v>
      </c>
      <c r="CK57" t="e">
        <f>AND(Plan!CJ16,"AAAAAEN7X1g=")</f>
        <v>#VALUE!</v>
      </c>
      <c r="CL57" t="e">
        <f>AND(Plan!CK16,"AAAAAEN7X1k=")</f>
        <v>#VALUE!</v>
      </c>
      <c r="CM57" t="e">
        <f>AND(Plan!CL16,"AAAAAEN7X1o=")</f>
        <v>#VALUE!</v>
      </c>
      <c r="CN57" t="e">
        <f>AND(Plan!CM16,"AAAAAEN7X1s=")</f>
        <v>#VALUE!</v>
      </c>
      <c r="CO57" t="e">
        <f>AND(Plan!CN16,"AAAAAEN7X1w=")</f>
        <v>#VALUE!</v>
      </c>
      <c r="CP57" t="e">
        <f>AND(Plan!CO16,"AAAAAEN7X10=")</f>
        <v>#VALUE!</v>
      </c>
      <c r="CQ57" t="e">
        <f>AND(Plan!CP16,"AAAAAEN7X14=")</f>
        <v>#VALUE!</v>
      </c>
      <c r="CR57" t="e">
        <f>AND(Plan!CQ16,"AAAAAEN7X18=")</f>
        <v>#VALUE!</v>
      </c>
      <c r="CS57" t="e">
        <f>AND(Plan!CR16,"AAAAAEN7X2A=")</f>
        <v>#VALUE!</v>
      </c>
      <c r="CT57" t="e">
        <f>AND(Plan!CS16,"AAAAAEN7X2E=")</f>
        <v>#VALUE!</v>
      </c>
      <c r="CU57" t="e">
        <f>AND(Plan!CT16,"AAAAAEN7X2I=")</f>
        <v>#VALUE!</v>
      </c>
      <c r="CV57" t="e">
        <f>AND(Plan!CU16,"AAAAAEN7X2M=")</f>
        <v>#VALUE!</v>
      </c>
      <c r="CW57" t="e">
        <f>AND(Plan!CV16,"AAAAAEN7X2Q=")</f>
        <v>#VALUE!</v>
      </c>
      <c r="CX57" t="e">
        <f>AND(Plan!CW16,"AAAAAEN7X2U=")</f>
        <v>#VALUE!</v>
      </c>
      <c r="CY57" t="e">
        <f>IF(Plan!#REF!,"AAAAAEN7X2Y=",0)</f>
        <v>#REF!</v>
      </c>
      <c r="CZ57" t="e">
        <f>AND(Plan!#REF!,"AAAAAEN7X2c=")</f>
        <v>#REF!</v>
      </c>
      <c r="DA57" t="e">
        <f>AND(Plan!#REF!,"AAAAAEN7X2g=")</f>
        <v>#REF!</v>
      </c>
      <c r="DB57" t="e">
        <f>AND(Plan!#REF!,"AAAAAEN7X2k=")</f>
        <v>#REF!</v>
      </c>
      <c r="DC57" t="e">
        <f>AND(Plan!#REF!,"AAAAAEN7X2o=")</f>
        <v>#REF!</v>
      </c>
      <c r="DD57" t="e">
        <f>AND(Plan!#REF!,"AAAAAEN7X2s=")</f>
        <v>#REF!</v>
      </c>
      <c r="DE57" t="e">
        <f>AND(Plan!#REF!,"AAAAAEN7X2w=")</f>
        <v>#REF!</v>
      </c>
      <c r="DF57" t="e">
        <f>AND(Plan!#REF!,"AAAAAEN7X20=")</f>
        <v>#REF!</v>
      </c>
      <c r="DG57" t="e">
        <f>AND(Plan!#REF!,"AAAAAEN7X24=")</f>
        <v>#REF!</v>
      </c>
      <c r="DH57" t="e">
        <f>AND(Plan!#REF!,"AAAAAEN7X28=")</f>
        <v>#REF!</v>
      </c>
      <c r="DI57" t="e">
        <f>AND(Plan!#REF!,"AAAAAEN7X3A=")</f>
        <v>#REF!</v>
      </c>
      <c r="DJ57" t="e">
        <f>AND(Plan!#REF!,"AAAAAEN7X3E=")</f>
        <v>#REF!</v>
      </c>
      <c r="DK57" t="e">
        <f>AND(Plan!#REF!,"AAAAAEN7X3I=")</f>
        <v>#REF!</v>
      </c>
      <c r="DL57" t="e">
        <f>AND(Plan!#REF!,"AAAAAEN7X3M=")</f>
        <v>#REF!</v>
      </c>
      <c r="DM57" t="e">
        <f>AND(Plan!#REF!,"AAAAAEN7X3Q=")</f>
        <v>#REF!</v>
      </c>
      <c r="DN57" t="e">
        <f>AND(Plan!#REF!,"AAAAAEN7X3U=")</f>
        <v>#REF!</v>
      </c>
      <c r="DO57" t="e">
        <f>AND(Plan!#REF!,"AAAAAEN7X3Y=")</f>
        <v>#REF!</v>
      </c>
      <c r="DP57" t="e">
        <f>AND(Plan!#REF!,"AAAAAEN7X3c=")</f>
        <v>#REF!</v>
      </c>
      <c r="DQ57" t="e">
        <f>AND(Plan!#REF!,"AAAAAEN7X3g=")</f>
        <v>#REF!</v>
      </c>
      <c r="DR57" t="e">
        <f>AND(Plan!#REF!,"AAAAAEN7X3k=")</f>
        <v>#REF!</v>
      </c>
      <c r="DS57" t="e">
        <f>AND(Plan!#REF!,"AAAAAEN7X3o=")</f>
        <v>#REF!</v>
      </c>
      <c r="DT57" t="e">
        <f>AND(Plan!#REF!,"AAAAAEN7X3s=")</f>
        <v>#REF!</v>
      </c>
      <c r="DU57" t="e">
        <f>AND(Plan!#REF!,"AAAAAEN7X3w=")</f>
        <v>#REF!</v>
      </c>
      <c r="DV57" t="e">
        <f>AND(Plan!#REF!,"AAAAAEN7X30=")</f>
        <v>#REF!</v>
      </c>
      <c r="DW57" t="e">
        <f>AND(Plan!#REF!,"AAAAAEN7X34=")</f>
        <v>#REF!</v>
      </c>
      <c r="DX57" t="e">
        <f>AND(Plan!#REF!,"AAAAAEN7X38=")</f>
        <v>#REF!</v>
      </c>
      <c r="DY57" t="e">
        <f>AND(Plan!#REF!,"AAAAAEN7X4A=")</f>
        <v>#REF!</v>
      </c>
      <c r="DZ57" t="e">
        <f>AND(Plan!#REF!,"AAAAAEN7X4E=")</f>
        <v>#REF!</v>
      </c>
      <c r="EA57" t="e">
        <f>AND(Plan!#REF!,"AAAAAEN7X4I=")</f>
        <v>#REF!</v>
      </c>
      <c r="EB57" t="e">
        <f>AND(Plan!#REF!,"AAAAAEN7X4M=")</f>
        <v>#REF!</v>
      </c>
      <c r="EC57" t="e">
        <f>AND(Plan!#REF!,"AAAAAEN7X4Q=")</f>
        <v>#REF!</v>
      </c>
      <c r="ED57" t="e">
        <f>AND(Plan!#REF!,"AAAAAEN7X4U=")</f>
        <v>#REF!</v>
      </c>
      <c r="EE57" t="e">
        <f>AND(Plan!#REF!,"AAAAAEN7X4Y=")</f>
        <v>#REF!</v>
      </c>
      <c r="EF57" t="e">
        <f>AND(Plan!#REF!,"AAAAAEN7X4c=")</f>
        <v>#REF!</v>
      </c>
      <c r="EG57" t="e">
        <f>AND(Plan!#REF!,"AAAAAEN7X4g=")</f>
        <v>#REF!</v>
      </c>
      <c r="EH57" t="e">
        <f>AND(Plan!#REF!,"AAAAAEN7X4k=")</f>
        <v>#REF!</v>
      </c>
      <c r="EI57" t="e">
        <f>AND(Plan!#REF!,"AAAAAEN7X4o=")</f>
        <v>#REF!</v>
      </c>
      <c r="EJ57" t="e">
        <f>AND(Plan!#REF!,"AAAAAEN7X4s=")</f>
        <v>#REF!</v>
      </c>
      <c r="EK57" t="e">
        <f>AND(Plan!#REF!,"AAAAAEN7X4w=")</f>
        <v>#REF!</v>
      </c>
      <c r="EL57" t="e">
        <f>AND(Plan!#REF!,"AAAAAEN7X40=")</f>
        <v>#REF!</v>
      </c>
      <c r="EM57" t="e">
        <f>AND(Plan!#REF!,"AAAAAEN7X44=")</f>
        <v>#REF!</v>
      </c>
      <c r="EN57" t="e">
        <f>AND(Plan!#REF!,"AAAAAEN7X48=")</f>
        <v>#REF!</v>
      </c>
      <c r="EO57" t="e">
        <f>AND(Plan!#REF!,"AAAAAEN7X5A=")</f>
        <v>#REF!</v>
      </c>
      <c r="EP57" t="e">
        <f>AND(Plan!#REF!,"AAAAAEN7X5E=")</f>
        <v>#REF!</v>
      </c>
      <c r="EQ57" t="e">
        <f>AND(Plan!#REF!,"AAAAAEN7X5I=")</f>
        <v>#REF!</v>
      </c>
      <c r="ER57" t="e">
        <f>AND(Plan!#REF!,"AAAAAEN7X5M=")</f>
        <v>#REF!</v>
      </c>
      <c r="ES57" t="e">
        <f>AND(Plan!#REF!,"AAAAAEN7X5Q=")</f>
        <v>#REF!</v>
      </c>
      <c r="ET57" t="e">
        <f>AND(Plan!#REF!,"AAAAAEN7X5U=")</f>
        <v>#REF!</v>
      </c>
      <c r="EU57" t="e">
        <f>AND(Plan!#REF!,"AAAAAEN7X5Y=")</f>
        <v>#REF!</v>
      </c>
      <c r="EV57" t="e">
        <f>AND(Plan!#REF!,"AAAAAEN7X5c=")</f>
        <v>#REF!</v>
      </c>
      <c r="EW57" t="e">
        <f>AND(Plan!#REF!,"AAAAAEN7X5g=")</f>
        <v>#REF!</v>
      </c>
      <c r="EX57" t="e">
        <f>AND(Plan!#REF!,"AAAAAEN7X5k=")</f>
        <v>#REF!</v>
      </c>
      <c r="EY57" t="e">
        <f>AND(Plan!#REF!,"AAAAAEN7X5o=")</f>
        <v>#REF!</v>
      </c>
      <c r="EZ57" t="e">
        <f>AND(Plan!#REF!,"AAAAAEN7X5s=")</f>
        <v>#REF!</v>
      </c>
      <c r="FA57" t="e">
        <f>AND(Plan!#REF!,"AAAAAEN7X5w=")</f>
        <v>#REF!</v>
      </c>
      <c r="FB57" t="e">
        <f>AND(Plan!#REF!,"AAAAAEN7X50=")</f>
        <v>#REF!</v>
      </c>
      <c r="FC57" t="e">
        <f>AND(Plan!#REF!,"AAAAAEN7X54=")</f>
        <v>#REF!</v>
      </c>
      <c r="FD57" t="e">
        <f>AND(Plan!#REF!,"AAAAAEN7X58=")</f>
        <v>#REF!</v>
      </c>
      <c r="FE57" t="e">
        <f>AND(Plan!#REF!,"AAAAAEN7X6A=")</f>
        <v>#REF!</v>
      </c>
      <c r="FF57" t="e">
        <f>AND(Plan!#REF!,"AAAAAEN7X6E=")</f>
        <v>#REF!</v>
      </c>
      <c r="FG57" t="e">
        <f>AND(Plan!#REF!,"AAAAAEN7X6I=")</f>
        <v>#REF!</v>
      </c>
      <c r="FH57" t="e">
        <f>AND(Plan!#REF!,"AAAAAEN7X6M=")</f>
        <v>#REF!</v>
      </c>
      <c r="FI57" t="e">
        <f>AND(Plan!#REF!,"AAAAAEN7X6Q=")</f>
        <v>#REF!</v>
      </c>
      <c r="FJ57" t="e">
        <f>AND(Plan!#REF!,"AAAAAEN7X6U=")</f>
        <v>#REF!</v>
      </c>
      <c r="FK57" t="e">
        <f>AND(Plan!#REF!,"AAAAAEN7X6Y=")</f>
        <v>#REF!</v>
      </c>
      <c r="FL57" t="e">
        <f>AND(Plan!#REF!,"AAAAAEN7X6c=")</f>
        <v>#REF!</v>
      </c>
      <c r="FM57" t="e">
        <f>AND(Plan!#REF!,"AAAAAEN7X6g=")</f>
        <v>#REF!</v>
      </c>
      <c r="FN57" t="e">
        <f>AND(Plan!#REF!,"AAAAAEN7X6k=")</f>
        <v>#REF!</v>
      </c>
      <c r="FO57" t="e">
        <f>AND(Plan!#REF!,"AAAAAEN7X6o=")</f>
        <v>#REF!</v>
      </c>
      <c r="FP57" t="e">
        <f>AND(Plan!#REF!,"AAAAAEN7X6s=")</f>
        <v>#REF!</v>
      </c>
      <c r="FQ57" t="e">
        <f>AND(Plan!#REF!,"AAAAAEN7X6w=")</f>
        <v>#REF!</v>
      </c>
      <c r="FR57" t="e">
        <f>AND(Plan!#REF!,"AAAAAEN7X60=")</f>
        <v>#REF!</v>
      </c>
      <c r="FS57" t="e">
        <f>AND(Plan!#REF!,"AAAAAEN7X64=")</f>
        <v>#REF!</v>
      </c>
      <c r="FT57" t="e">
        <f>AND(Plan!#REF!,"AAAAAEN7X68=")</f>
        <v>#REF!</v>
      </c>
      <c r="FU57" t="e">
        <f>AND(Plan!#REF!,"AAAAAEN7X7A=")</f>
        <v>#REF!</v>
      </c>
      <c r="FV57" t="e">
        <f>AND(Plan!#REF!,"AAAAAEN7X7E=")</f>
        <v>#REF!</v>
      </c>
      <c r="FW57" t="e">
        <f>AND(Plan!#REF!,"AAAAAEN7X7I=")</f>
        <v>#REF!</v>
      </c>
      <c r="FX57" t="e">
        <f>AND(Plan!#REF!,"AAAAAEN7X7M=")</f>
        <v>#REF!</v>
      </c>
      <c r="FY57" t="e">
        <f>AND(Plan!#REF!,"AAAAAEN7X7Q=")</f>
        <v>#REF!</v>
      </c>
      <c r="FZ57" t="e">
        <f>AND(Plan!#REF!,"AAAAAEN7X7U=")</f>
        <v>#REF!</v>
      </c>
      <c r="GA57" t="e">
        <f>AND(Plan!#REF!,"AAAAAEN7X7Y=")</f>
        <v>#REF!</v>
      </c>
      <c r="GB57" t="e">
        <f>AND(Plan!#REF!,"AAAAAEN7X7c=")</f>
        <v>#REF!</v>
      </c>
      <c r="GC57" t="e">
        <f>AND(Plan!#REF!,"AAAAAEN7X7g=")</f>
        <v>#REF!</v>
      </c>
      <c r="GD57" t="e">
        <f>AND(Plan!#REF!,"AAAAAEN7X7k=")</f>
        <v>#REF!</v>
      </c>
      <c r="GE57" t="e">
        <f>AND(Plan!#REF!,"AAAAAEN7X7o=")</f>
        <v>#REF!</v>
      </c>
      <c r="GF57" t="e">
        <f>AND(Plan!#REF!,"AAAAAEN7X7s=")</f>
        <v>#REF!</v>
      </c>
      <c r="GG57" t="e">
        <f>AND(Plan!#REF!,"AAAAAEN7X7w=")</f>
        <v>#REF!</v>
      </c>
      <c r="GH57" t="e">
        <f>AND(Plan!#REF!,"AAAAAEN7X70=")</f>
        <v>#REF!</v>
      </c>
      <c r="GI57" t="e">
        <f>AND(Plan!#REF!,"AAAAAEN7X74=")</f>
        <v>#REF!</v>
      </c>
      <c r="GJ57" t="e">
        <f>AND(Plan!#REF!,"AAAAAEN7X78=")</f>
        <v>#REF!</v>
      </c>
      <c r="GK57" t="e">
        <f>AND(Plan!#REF!,"AAAAAEN7X8A=")</f>
        <v>#REF!</v>
      </c>
      <c r="GL57" t="e">
        <f>AND(Plan!#REF!,"AAAAAEN7X8E=")</f>
        <v>#REF!</v>
      </c>
      <c r="GM57" t="e">
        <f>AND(Plan!#REF!,"AAAAAEN7X8I=")</f>
        <v>#REF!</v>
      </c>
      <c r="GN57" t="e">
        <f>AND(Plan!#REF!,"AAAAAEN7X8M=")</f>
        <v>#REF!</v>
      </c>
      <c r="GO57" t="e">
        <f>AND(Plan!#REF!,"AAAAAEN7X8Q=")</f>
        <v>#REF!</v>
      </c>
      <c r="GP57" t="e">
        <f>AND(Plan!#REF!,"AAAAAEN7X8U=")</f>
        <v>#REF!</v>
      </c>
      <c r="GQ57" t="e">
        <f>AND(Plan!#REF!,"AAAAAEN7X8Y=")</f>
        <v>#REF!</v>
      </c>
      <c r="GR57" t="e">
        <f>AND(Plan!#REF!,"AAAAAEN7X8c=")</f>
        <v>#REF!</v>
      </c>
      <c r="GS57" t="e">
        <f>AND(Plan!#REF!,"AAAAAEN7X8g=")</f>
        <v>#REF!</v>
      </c>
      <c r="GT57" t="e">
        <f>AND(Plan!#REF!,"AAAAAEN7X8k=")</f>
        <v>#REF!</v>
      </c>
      <c r="GU57" t="e">
        <f>AND(Plan!#REF!,"AAAAAEN7X8o=")</f>
        <v>#REF!</v>
      </c>
      <c r="GV57" t="e">
        <f>AND(Plan!#REF!,"AAAAAEN7X8s=")</f>
        <v>#REF!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2013-01-23T11:22:34Z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1_rhQwk6UpF6UCrHmBjcR9W84dMvS4wD-pD_SCdRtMXI</vt:lpwstr>
  </property>
  <property fmtid="{D5CDD505-2E9C-101B-9397-08002B2CF9AE}" pid="4" name="Google.Documents.RevisionId">
    <vt:lpwstr>12986704347785680493</vt:lpwstr>
  </property>
  <property fmtid="{D5CDD505-2E9C-101B-9397-08002B2CF9AE}" pid="5" name="Google.Documents.PreviousRevisionId">
    <vt:lpwstr>11611756790831012665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