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Đức Trọng\5 Kiều\Bảng Kê Vận Chuyển\2024\"/>
    </mc:Choice>
  </mc:AlternateContent>
  <bookViews>
    <workbookView xWindow="0" yWindow="0" windowWidth="20496" windowHeight="7656" firstSheet="1" activeTab="7"/>
  </bookViews>
  <sheets>
    <sheet name="HIEU" sheetId="7" r:id="rId1"/>
    <sheet name="NAM" sheetId="4" r:id="rId2"/>
    <sheet name="TU" sheetId="3" r:id="rId3"/>
    <sheet name="HOANG" sheetId="5" r:id="rId4"/>
    <sheet name="TUAN" sheetId="2" r:id="rId5"/>
    <sheet name="TRON" sheetId="1" r:id="rId6"/>
    <sheet name="HUU" sheetId="6" r:id="rId7"/>
    <sheet name="TH" sheetId="8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I36" i="2"/>
  <c r="I9" i="6" l="1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8" i="6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8" i="2"/>
  <c r="I42" i="3"/>
  <c r="I43" i="3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8" i="5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8" i="4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8" i="7"/>
  <c r="C8" i="8" l="1"/>
  <c r="C7" i="8"/>
  <c r="C6" i="8"/>
  <c r="C5" i="8"/>
  <c r="C4" i="8"/>
  <c r="C3" i="8"/>
  <c r="C2" i="8"/>
  <c r="D2" i="8" s="1"/>
  <c r="G63" i="6"/>
  <c r="R57" i="6"/>
  <c r="S57" i="6" s="1"/>
  <c r="L57" i="6"/>
  <c r="Q56" i="6"/>
  <c r="T50" i="6"/>
  <c r="P50" i="6"/>
  <c r="O50" i="6"/>
  <c r="N50" i="6"/>
  <c r="R55" i="6" s="1"/>
  <c r="M50" i="6"/>
  <c r="R54" i="6" s="1"/>
  <c r="L50" i="6"/>
  <c r="K50" i="6"/>
  <c r="R48" i="6"/>
  <c r="R47" i="6"/>
  <c r="R46" i="6"/>
  <c r="Q45" i="6"/>
  <c r="R45" i="6" s="1"/>
  <c r="R43" i="6"/>
  <c r="J43" i="6"/>
  <c r="H43" i="6"/>
  <c r="R42" i="6"/>
  <c r="Q41" i="6"/>
  <c r="Q50" i="6" s="1"/>
  <c r="R56" i="6" s="1"/>
  <c r="S56" i="6" s="1"/>
  <c r="R40" i="6"/>
  <c r="J40" i="6"/>
  <c r="H40" i="6"/>
  <c r="R38" i="6"/>
  <c r="Q38" i="6"/>
  <c r="Q36" i="6"/>
  <c r="R36" i="6" s="1"/>
  <c r="R35" i="6"/>
  <c r="R33" i="6"/>
  <c r="G32" i="6"/>
  <c r="G50" i="6" s="1"/>
  <c r="R30" i="6"/>
  <c r="R27" i="6"/>
  <c r="R26" i="6"/>
  <c r="R25" i="6"/>
  <c r="R24" i="6"/>
  <c r="R23" i="6"/>
  <c r="R21" i="6"/>
  <c r="R20" i="6"/>
  <c r="R19" i="6"/>
  <c r="R18" i="6"/>
  <c r="J18" i="6"/>
  <c r="H18" i="6"/>
  <c r="R16" i="6"/>
  <c r="L16" i="6"/>
  <c r="P15" i="6"/>
  <c r="R15" i="6" s="1"/>
  <c r="R14" i="6"/>
  <c r="J13" i="6"/>
  <c r="H13" i="6"/>
  <c r="R12" i="6"/>
  <c r="R10" i="6"/>
  <c r="J10" i="6"/>
  <c r="H10" i="6"/>
  <c r="R8" i="6"/>
  <c r="J8" i="6"/>
  <c r="J50" i="6" s="1"/>
  <c r="J55" i="6" s="1"/>
  <c r="H8" i="6"/>
  <c r="H50" i="6" s="1"/>
  <c r="A3" i="6"/>
  <c r="A1" i="6"/>
  <c r="G60" i="1"/>
  <c r="S54" i="1"/>
  <c r="R54" i="1"/>
  <c r="L54" i="1"/>
  <c r="R53" i="1"/>
  <c r="R52" i="1"/>
  <c r="Q47" i="1"/>
  <c r="P47" i="1"/>
  <c r="O47" i="1"/>
  <c r="N47" i="1"/>
  <c r="M47" i="1"/>
  <c r="R51" i="1" s="1"/>
  <c r="L47" i="1"/>
  <c r="K47" i="1"/>
  <c r="K53" i="1" s="1"/>
  <c r="J47" i="1"/>
  <c r="J52" i="1" s="1"/>
  <c r="R46" i="1"/>
  <c r="R45" i="1"/>
  <c r="R44" i="1"/>
  <c r="G44" i="1"/>
  <c r="R43" i="1"/>
  <c r="R42" i="1"/>
  <c r="R41" i="1"/>
  <c r="R40" i="1"/>
  <c r="R39" i="1"/>
  <c r="R38" i="1"/>
  <c r="R37" i="1"/>
  <c r="R35" i="1"/>
  <c r="R34" i="1"/>
  <c r="H34" i="1"/>
  <c r="H47" i="1" s="1"/>
  <c r="R33" i="1"/>
  <c r="G33" i="1"/>
  <c r="G47" i="1" s="1"/>
  <c r="R32" i="1"/>
  <c r="R31" i="1"/>
  <c r="G31" i="1"/>
  <c r="R30" i="1"/>
  <c r="R29" i="1"/>
  <c r="R28" i="1"/>
  <c r="R27" i="1"/>
  <c r="J27" i="1"/>
  <c r="H2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47" i="1" s="1"/>
  <c r="R48" i="1" s="1"/>
  <c r="R49" i="1" s="1"/>
  <c r="A3" i="1"/>
  <c r="A1" i="1"/>
  <c r="G66" i="2"/>
  <c r="R58" i="2"/>
  <c r="L58" i="2"/>
  <c r="T54" i="2"/>
  <c r="O54" i="2"/>
  <c r="O69" i="2" s="1"/>
  <c r="N54" i="2"/>
  <c r="M54" i="2"/>
  <c r="M69" i="2" s="1"/>
  <c r="M70" i="2" s="1"/>
  <c r="L54" i="2"/>
  <c r="K54" i="2"/>
  <c r="Q60" i="2" s="1"/>
  <c r="G54" i="2"/>
  <c r="G58" i="2" s="1"/>
  <c r="R52" i="2"/>
  <c r="R51" i="2"/>
  <c r="J50" i="2"/>
  <c r="H50" i="2"/>
  <c r="R49" i="2"/>
  <c r="R48" i="2"/>
  <c r="P48" i="2"/>
  <c r="R47" i="2"/>
  <c r="R45" i="2"/>
  <c r="R44" i="2"/>
  <c r="R43" i="2"/>
  <c r="P41" i="2"/>
  <c r="R40" i="2" s="1"/>
  <c r="R38" i="2"/>
  <c r="R36" i="2"/>
  <c r="R35" i="2"/>
  <c r="R34" i="2"/>
  <c r="Q34" i="2"/>
  <c r="R32" i="2"/>
  <c r="P31" i="2"/>
  <c r="R29" i="2"/>
  <c r="R28" i="2"/>
  <c r="R27" i="2"/>
  <c r="R24" i="2"/>
  <c r="R23" i="2"/>
  <c r="Q23" i="2"/>
  <c r="R22" i="2"/>
  <c r="G22" i="2"/>
  <c r="P21" i="2"/>
  <c r="R21" i="2" s="1"/>
  <c r="J21" i="2"/>
  <c r="J54" i="2" s="1"/>
  <c r="J59" i="2" s="1"/>
  <c r="H21" i="2"/>
  <c r="H54" i="2" s="1"/>
  <c r="R20" i="2"/>
  <c r="Q20" i="2"/>
  <c r="Q54" i="2" s="1"/>
  <c r="R19" i="2"/>
  <c r="R18" i="2"/>
  <c r="J17" i="2"/>
  <c r="H17" i="2"/>
  <c r="P16" i="2"/>
  <c r="R16" i="2" s="1"/>
  <c r="R13" i="2"/>
  <c r="R10" i="2"/>
  <c r="R8" i="2"/>
  <c r="A3" i="2"/>
  <c r="A1" i="2"/>
  <c r="G61" i="5"/>
  <c r="S56" i="5"/>
  <c r="R56" i="5"/>
  <c r="Q56" i="5"/>
  <c r="L54" i="5"/>
  <c r="G54" i="5"/>
  <c r="T50" i="5"/>
  <c r="Q50" i="5"/>
  <c r="P50" i="5"/>
  <c r="O50" i="5"/>
  <c r="N50" i="5"/>
  <c r="R55" i="5" s="1"/>
  <c r="M50" i="5"/>
  <c r="R54" i="5" s="1"/>
  <c r="L50" i="5"/>
  <c r="K50" i="5"/>
  <c r="G50" i="5"/>
  <c r="R48" i="5"/>
  <c r="J48" i="5"/>
  <c r="H48" i="5"/>
  <c r="R47" i="5"/>
  <c r="R46" i="5"/>
  <c r="R44" i="5"/>
  <c r="R43" i="5"/>
  <c r="R42" i="5"/>
  <c r="R41" i="5"/>
  <c r="R39" i="5"/>
  <c r="R37" i="5"/>
  <c r="R35" i="5"/>
  <c r="J35" i="5"/>
  <c r="H35" i="5"/>
  <c r="P34" i="5"/>
  <c r="R34" i="5" s="1"/>
  <c r="R32" i="5"/>
  <c r="R31" i="5"/>
  <c r="R29" i="5"/>
  <c r="R27" i="5"/>
  <c r="R24" i="5"/>
  <c r="R23" i="5"/>
  <c r="R22" i="5"/>
  <c r="R20" i="5"/>
  <c r="R19" i="5"/>
  <c r="J19" i="5"/>
  <c r="H19" i="5"/>
  <c r="H50" i="5" s="1"/>
  <c r="R18" i="5"/>
  <c r="R16" i="5"/>
  <c r="J15" i="5"/>
  <c r="J50" i="5" s="1"/>
  <c r="J55" i="5" s="1"/>
  <c r="R13" i="5"/>
  <c r="R11" i="5"/>
  <c r="R9" i="5"/>
  <c r="P8" i="5"/>
  <c r="R8" i="5" s="1"/>
  <c r="R50" i="5" s="1"/>
  <c r="A3" i="5"/>
  <c r="A1" i="5"/>
  <c r="G55" i="3"/>
  <c r="P49" i="3"/>
  <c r="R43" i="3"/>
  <c r="O43" i="3"/>
  <c r="M43" i="3"/>
  <c r="L43" i="3"/>
  <c r="K43" i="3"/>
  <c r="P47" i="3" s="1"/>
  <c r="J43" i="3"/>
  <c r="I48" i="3"/>
  <c r="G43" i="3"/>
  <c r="P41" i="3"/>
  <c r="P40" i="3"/>
  <c r="P38" i="3"/>
  <c r="I37" i="3"/>
  <c r="H37" i="3"/>
  <c r="P36" i="3"/>
  <c r="P34" i="3"/>
  <c r="P33" i="3"/>
  <c r="I33" i="3"/>
  <c r="H33" i="3"/>
  <c r="P32" i="3"/>
  <c r="I32" i="3"/>
  <c r="H32" i="3"/>
  <c r="P31" i="3"/>
  <c r="P30" i="3"/>
  <c r="I30" i="3"/>
  <c r="H30" i="3"/>
  <c r="P29" i="3"/>
  <c r="P28" i="3"/>
  <c r="P27" i="3"/>
  <c r="I27" i="3"/>
  <c r="H27" i="3"/>
  <c r="P26" i="3"/>
  <c r="P25" i="3"/>
  <c r="P24" i="3"/>
  <c r="H24" i="3"/>
  <c r="P23" i="3"/>
  <c r="I23" i="3"/>
  <c r="H23" i="3"/>
  <c r="P22" i="3"/>
  <c r="N22" i="3"/>
  <c r="N43" i="3" s="1"/>
  <c r="I22" i="3"/>
  <c r="H22" i="3"/>
  <c r="P20" i="3"/>
  <c r="I20" i="3"/>
  <c r="H20" i="3"/>
  <c r="P19" i="3"/>
  <c r="I19" i="3"/>
  <c r="P18" i="3"/>
  <c r="P16" i="3"/>
  <c r="P13" i="3"/>
  <c r="P12" i="3"/>
  <c r="P11" i="3"/>
  <c r="I11" i="3"/>
  <c r="H11" i="3"/>
  <c r="H43" i="3" s="1"/>
  <c r="P10" i="3"/>
  <c r="P9" i="3"/>
  <c r="P43" i="3" s="1"/>
  <c r="I9" i="3"/>
  <c r="H9" i="3"/>
  <c r="P8" i="3"/>
  <c r="A3" i="3"/>
  <c r="A1" i="3"/>
  <c r="G62" i="4"/>
  <c r="Q56" i="4"/>
  <c r="R56" i="4" s="1"/>
  <c r="P56" i="4"/>
  <c r="Q55" i="4"/>
  <c r="Q54" i="4"/>
  <c r="P50" i="4"/>
  <c r="O50" i="4"/>
  <c r="N50" i="4"/>
  <c r="M50" i="4"/>
  <c r="L50" i="4"/>
  <c r="K50" i="4"/>
  <c r="G50" i="4"/>
  <c r="K54" i="4" s="1"/>
  <c r="Q49" i="4"/>
  <c r="J49" i="4"/>
  <c r="H49" i="4"/>
  <c r="Q48" i="4"/>
  <c r="Q47" i="4"/>
  <c r="Q46" i="4"/>
  <c r="Q44" i="4"/>
  <c r="Q41" i="4"/>
  <c r="Q39" i="4"/>
  <c r="J39" i="4"/>
  <c r="H39" i="4"/>
  <c r="Q38" i="4"/>
  <c r="Q37" i="4"/>
  <c r="J37" i="4"/>
  <c r="H37" i="4"/>
  <c r="Q36" i="4"/>
  <c r="J35" i="4"/>
  <c r="H35" i="4"/>
  <c r="Q32" i="4"/>
  <c r="Q31" i="4"/>
  <c r="Q30" i="4"/>
  <c r="Q29" i="4"/>
  <c r="Q28" i="4"/>
  <c r="Q27" i="4"/>
  <c r="J27" i="4"/>
  <c r="H27" i="4"/>
  <c r="Q26" i="4"/>
  <c r="Q25" i="4"/>
  <c r="Q23" i="4"/>
  <c r="Q22" i="4"/>
  <c r="Q19" i="4"/>
  <c r="Q18" i="4"/>
  <c r="J18" i="4"/>
  <c r="J50" i="4" s="1"/>
  <c r="J55" i="4" s="1"/>
  <c r="H18" i="4"/>
  <c r="H50" i="4" s="1"/>
  <c r="Q15" i="4"/>
  <c r="Q14" i="4"/>
  <c r="J14" i="4"/>
  <c r="H14" i="4"/>
  <c r="Q13" i="4"/>
  <c r="Q12" i="4"/>
  <c r="J12" i="4"/>
  <c r="H12" i="4"/>
  <c r="Q11" i="4"/>
  <c r="Q10" i="4"/>
  <c r="Q9" i="4"/>
  <c r="Q8" i="4"/>
  <c r="Q50" i="4" s="1"/>
  <c r="A3" i="4"/>
  <c r="A1" i="4"/>
  <c r="R70" i="7"/>
  <c r="G67" i="7"/>
  <c r="S55" i="7"/>
  <c r="P55" i="7"/>
  <c r="Q61" i="7" s="1"/>
  <c r="O55" i="7"/>
  <c r="N55" i="7"/>
  <c r="Q59" i="7" s="1"/>
  <c r="M55" i="7"/>
  <c r="Q60" i="7" s="1"/>
  <c r="R60" i="7" s="1"/>
  <c r="L55" i="7"/>
  <c r="K55" i="7"/>
  <c r="Q51" i="7"/>
  <c r="J50" i="7"/>
  <c r="H50" i="7"/>
  <c r="Q49" i="7"/>
  <c r="Q48" i="7"/>
  <c r="H47" i="7"/>
  <c r="Q46" i="7"/>
  <c r="Q44" i="7"/>
  <c r="Q41" i="7"/>
  <c r="Q38" i="7"/>
  <c r="Q37" i="7"/>
  <c r="Q36" i="7"/>
  <c r="J36" i="7"/>
  <c r="H36" i="7"/>
  <c r="Q35" i="7"/>
  <c r="J35" i="7"/>
  <c r="H35" i="7"/>
  <c r="Q34" i="7"/>
  <c r="Q33" i="7"/>
  <c r="Q31" i="7"/>
  <c r="Q30" i="7"/>
  <c r="J30" i="7"/>
  <c r="H30" i="7"/>
  <c r="Q26" i="7"/>
  <c r="Q25" i="7"/>
  <c r="Q55" i="7" s="1"/>
  <c r="Q56" i="7" s="1"/>
  <c r="Q57" i="7" s="1"/>
  <c r="Q24" i="7"/>
  <c r="Q23" i="7"/>
  <c r="J22" i="7"/>
  <c r="H22" i="7"/>
  <c r="Q21" i="7"/>
  <c r="Q20" i="7"/>
  <c r="J20" i="7"/>
  <c r="H20" i="7"/>
  <c r="Q19" i="7"/>
  <c r="Q16" i="7"/>
  <c r="Q13" i="7"/>
  <c r="Q12" i="7"/>
  <c r="G12" i="7"/>
  <c r="G55" i="7" s="1"/>
  <c r="Q11" i="7"/>
  <c r="J11" i="7"/>
  <c r="J55" i="7" s="1"/>
  <c r="J60" i="7" s="1"/>
  <c r="H11" i="7"/>
  <c r="H55" i="7" s="1"/>
  <c r="Q8" i="7"/>
  <c r="A3" i="7"/>
  <c r="A1" i="7"/>
  <c r="J47" i="3" l="1"/>
  <c r="R51" i="5"/>
  <c r="R52" i="5" s="1"/>
  <c r="S64" i="5"/>
  <c r="L54" i="6"/>
  <c r="G54" i="6"/>
  <c r="S55" i="5"/>
  <c r="R55" i="4"/>
  <c r="K59" i="7"/>
  <c r="G59" i="7"/>
  <c r="P48" i="3"/>
  <c r="S52" i="1"/>
  <c r="Q69" i="2"/>
  <c r="R60" i="2"/>
  <c r="S60" i="2" s="1"/>
  <c r="T56" i="5"/>
  <c r="S54" i="5"/>
  <c r="P44" i="3"/>
  <c r="P45" i="3" s="1"/>
  <c r="Q58" i="3"/>
  <c r="R54" i="4"/>
  <c r="S61" i="7"/>
  <c r="S60" i="7"/>
  <c r="R59" i="7"/>
  <c r="T56" i="6"/>
  <c r="S54" i="6"/>
  <c r="Q51" i="4"/>
  <c r="Q52" i="4" s="1"/>
  <c r="R65" i="4"/>
  <c r="R49" i="3"/>
  <c r="R48" i="3"/>
  <c r="T57" i="6"/>
  <c r="S55" i="6"/>
  <c r="L51" i="1"/>
  <c r="G51" i="1"/>
  <c r="S51" i="1" s="1"/>
  <c r="R54" i="2"/>
  <c r="T60" i="2"/>
  <c r="R50" i="6"/>
  <c r="R41" i="6"/>
  <c r="S58" i="2"/>
  <c r="Q53" i="1"/>
  <c r="S53" i="1" s="1"/>
  <c r="P54" i="2"/>
  <c r="R59" i="2" s="1"/>
  <c r="S59" i="2" s="1"/>
  <c r="G47" i="3"/>
  <c r="G54" i="4"/>
  <c r="K59" i="2"/>
  <c r="D4" i="8"/>
  <c r="E2" i="8"/>
  <c r="D7" i="8"/>
  <c r="E7" i="8" s="1"/>
  <c r="D3" i="8"/>
  <c r="R51" i="6" l="1"/>
  <c r="R52" i="6" s="1"/>
  <c r="N58" i="6"/>
  <c r="R69" i="2"/>
  <c r="R55" i="2"/>
  <c r="R56" i="2" s="1"/>
  <c r="D8" i="8"/>
  <c r="E8" i="8" s="1"/>
  <c r="D6" i="8"/>
  <c r="E6" i="8" s="1"/>
  <c r="E3" i="8"/>
  <c r="E4" i="8"/>
  <c r="D5" i="8"/>
  <c r="C9" i="8" l="1"/>
  <c r="D9" i="8"/>
  <c r="E5" i="8"/>
  <c r="E9" i="8" s="1"/>
</calcChain>
</file>

<file path=xl/comments1.xml><?xml version="1.0" encoding="utf-8"?>
<comments xmlns="http://schemas.openxmlformats.org/spreadsheetml/2006/main">
  <authors>
    <author>Author</author>
  </authors>
  <commentList>
    <comment ref="J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XEM LAI SO KG?</t>
        </r>
      </text>
    </comment>
  </commentList>
</comments>
</file>

<file path=xl/sharedStrings.xml><?xml version="1.0" encoding="utf-8"?>
<sst xmlns="http://schemas.openxmlformats.org/spreadsheetml/2006/main" count="1251" uniqueCount="395">
  <si>
    <t>CHI PHÍ VẬN CHUYỂN HÀNG NỘI ĐỊA</t>
  </si>
  <si>
    <t>NCC: ANH  TRỌN - 10T</t>
  </si>
  <si>
    <t xml:space="preserve">STT
次序 </t>
  </si>
  <si>
    <t>Ngày xuất 
hàng 日期</t>
  </si>
  <si>
    <t>Đơn xuất 
hàng 销货单</t>
  </si>
  <si>
    <t xml:space="preserve">Khách hàng
客户 </t>
  </si>
  <si>
    <t>Địa chỉ 
KH 送货地址</t>
  </si>
  <si>
    <t>SỐ LƯỢNG
重量 NET WEIGHT</t>
  </si>
  <si>
    <t>SỐ LƯỢNG
重量 (kg)
GROSS WEIGHT</t>
  </si>
  <si>
    <t>PHÍ VẬN CHUYỂN
路运费</t>
  </si>
  <si>
    <t>CHI PHÍ KHÁC
(LẤY HÀNG VỀ/GIAO MẪU…)</t>
  </si>
  <si>
    <t>CHỞ PHẾ</t>
  </si>
  <si>
    <t>THÀNH TIỀN
合计</t>
  </si>
  <si>
    <t>GHI CHÚ</t>
  </si>
  <si>
    <t>NỘI THÀNH</t>
  </si>
  <si>
    <t>NGOẠI THÀNH</t>
  </si>
  <si>
    <t>MÀNG NHỰA</t>
  </si>
  <si>
    <t>ĐỊNH HÌNH</t>
  </si>
  <si>
    <t>PHẾ LIỆU</t>
  </si>
  <si>
    <t>KG</t>
  </si>
  <si>
    <t>PCS</t>
  </si>
  <si>
    <t>X2</t>
  </si>
  <si>
    <t>TỔNG CỘNG</t>
  </si>
  <si>
    <t>THUẾ VAT 8%</t>
  </si>
  <si>
    <t>TỔNG TIỀN ĐÃ BAO GỒM THUẾ</t>
  </si>
  <si>
    <t>PHÍ VẬN CHUYỂN HÀNG MÀNG NHỰA:</t>
  </si>
  <si>
    <t>PHÍ VẬN CHUYỂN HÀNG ĐỊNH HÌNH:</t>
  </si>
  <si>
    <t>PHÍ VẬN CHUYỂN LIỆU + PHẾ LIỆU</t>
  </si>
  <si>
    <t>PHÍ VẬN CHUYỂN HÀNG CHUYỂN KHO</t>
  </si>
  <si>
    <t>核准  Phê duyệt</t>
  </si>
  <si>
    <t>製表 Lập phiếu</t>
  </si>
  <si>
    <t>Trịnh Văn Hoàng</t>
  </si>
  <si>
    <t>NCC: ANH TÚ - 2.5T</t>
  </si>
  <si>
    <t>NCC: NGỌC DIỄM - 2.5T</t>
  </si>
  <si>
    <t>NGỌC DIỄM</t>
  </si>
  <si>
    <t>NCC: TRỊNH VĂN HOÀNG - 4T</t>
  </si>
  <si>
    <t>TRỊNH VĂN HOÀNG</t>
  </si>
  <si>
    <t>NCC: NGUYỄN TRỌNG HỮU - 8T</t>
  </si>
  <si>
    <t>NGUYỄN TRỌNG HỮU</t>
  </si>
  <si>
    <t>NCC: TRỊNH MINH HIẾU</t>
  </si>
  <si>
    <t>PHI CHANH</t>
  </si>
  <si>
    <t>TỔNG CỘNG:</t>
  </si>
  <si>
    <t>TRỊNH MINH HIẾU</t>
  </si>
  <si>
    <t>BIEN HOA</t>
  </si>
  <si>
    <t xml:space="preserve">COLGATE </t>
    <phoneticPr fontId="3" type="noConversion"/>
  </si>
  <si>
    <t>LẤY PHẾ NIDEC VN</t>
  </si>
  <si>
    <t>TRON</t>
  </si>
  <si>
    <t>PHUONG</t>
  </si>
  <si>
    <t>HOANG ANH</t>
    <phoneticPr fontId="3" type="noConversion"/>
  </si>
  <si>
    <t>BINH CHANH</t>
    <phoneticPr fontId="3" type="noConversion"/>
  </si>
  <si>
    <t>RVC</t>
    <phoneticPr fontId="3" type="noConversion"/>
  </si>
  <si>
    <t>THUAN AN</t>
    <phoneticPr fontId="3" type="noConversion"/>
  </si>
  <si>
    <t xml:space="preserve">CAN GIUOC </t>
    <phoneticPr fontId="3" type="noConversion"/>
  </si>
  <si>
    <t>TDM</t>
    <phoneticPr fontId="3" type="noConversion"/>
  </si>
  <si>
    <t>TAN UYEN</t>
  </si>
  <si>
    <t>VSIP 2</t>
    <phoneticPr fontId="3" type="noConversion"/>
  </si>
  <si>
    <t xml:space="preserve">VUNG TAU </t>
    <phoneticPr fontId="3" type="noConversion"/>
  </si>
  <si>
    <t>STARPRINT</t>
    <phoneticPr fontId="3" type="noConversion"/>
  </si>
  <si>
    <t>NAM</t>
  </si>
  <si>
    <t>TÚ</t>
  </si>
  <si>
    <t>HOÀNG</t>
  </si>
  <si>
    <t>TRỌN</t>
  </si>
  <si>
    <t>HỮU</t>
  </si>
  <si>
    <t>STT</t>
  </si>
  <si>
    <t>XE</t>
  </si>
  <si>
    <t>PHÍ VC CHƯA VAT</t>
  </si>
  <si>
    <t>VAT 8%</t>
  </si>
  <si>
    <t>THÀNH TIỀN</t>
  </si>
  <si>
    <t>TỔNG</t>
  </si>
  <si>
    <t>TAN PHU</t>
    <phoneticPr fontId="3" type="noConversion"/>
  </si>
  <si>
    <t xml:space="preserve">LIEN HUNG </t>
    <phoneticPr fontId="3" type="noConversion"/>
  </si>
  <si>
    <t>17+18</t>
    <phoneticPr fontId="3" type="noConversion"/>
  </si>
  <si>
    <t>23+24</t>
    <phoneticPr fontId="3" type="noConversion"/>
  </si>
  <si>
    <t xml:space="preserve">QUANG DUNG </t>
    <phoneticPr fontId="3" type="noConversion"/>
  </si>
  <si>
    <t>HIEP PHONG</t>
    <phoneticPr fontId="3" type="noConversion"/>
  </si>
  <si>
    <t>Q6</t>
    <phoneticPr fontId="3" type="noConversion"/>
  </si>
  <si>
    <t>PHU HOI</t>
    <phoneticPr fontId="3" type="noConversion"/>
  </si>
  <si>
    <t>GIA MINH</t>
    <phoneticPr fontId="3" type="noConversion"/>
  </si>
  <si>
    <t>HOC MON</t>
    <phoneticPr fontId="3" type="noConversion"/>
  </si>
  <si>
    <t>GIAO TOI, X2</t>
  </si>
  <si>
    <t>Xác nhận</t>
    <phoneticPr fontId="7" type="noConversion"/>
  </si>
  <si>
    <t>Q9</t>
  </si>
  <si>
    <t>10+11</t>
    <phoneticPr fontId="3" type="noConversion"/>
  </si>
  <si>
    <t xml:space="preserve">BINH CHANH </t>
    <phoneticPr fontId="3" type="noConversion"/>
  </si>
  <si>
    <t>THUAN THANH</t>
    <phoneticPr fontId="3" type="noConversion"/>
  </si>
  <si>
    <t>LONG PHAT</t>
    <phoneticPr fontId="3" type="noConversion"/>
  </si>
  <si>
    <t xml:space="preserve">CHAU </t>
    <phoneticPr fontId="3" type="noConversion"/>
  </si>
  <si>
    <t>15+16</t>
  </si>
  <si>
    <t>X2, PHI CHANH</t>
  </si>
  <si>
    <t xml:space="preserve">THE KY XANH </t>
    <phoneticPr fontId="3" type="noConversion"/>
  </si>
  <si>
    <t xml:space="preserve">TAN PHU </t>
    <phoneticPr fontId="3" type="noConversion"/>
  </si>
  <si>
    <t>14+15</t>
    <phoneticPr fontId="3" type="noConversion"/>
  </si>
  <si>
    <t>MP2</t>
    <phoneticPr fontId="3" type="noConversion"/>
  </si>
  <si>
    <t>DONG BAC VINA</t>
    <phoneticPr fontId="3" type="noConversion"/>
  </si>
  <si>
    <t xml:space="preserve">KIEN XUONG </t>
    <phoneticPr fontId="3" type="noConversion"/>
  </si>
  <si>
    <t>MINH PHUONG</t>
    <phoneticPr fontId="3" type="noConversion"/>
  </si>
  <si>
    <t xml:space="preserve">THIEN LONG </t>
    <phoneticPr fontId="3" type="noConversion"/>
  </si>
  <si>
    <t>LONG THANH</t>
    <phoneticPr fontId="3" type="noConversion"/>
  </si>
  <si>
    <t>CAN GIUOC</t>
    <phoneticPr fontId="3" type="noConversion"/>
  </si>
  <si>
    <t xml:space="preserve">MINH PHUONG </t>
    <phoneticPr fontId="3" type="noConversion"/>
  </si>
  <si>
    <t xml:space="preserve">TAN BAC HAI </t>
    <phoneticPr fontId="3" type="noConversion"/>
  </si>
  <si>
    <t xml:space="preserve">K.C </t>
    <phoneticPr fontId="3" type="noConversion"/>
  </si>
  <si>
    <t>LẤY PHẾ NIDEC INS</t>
  </si>
  <si>
    <t>NCC: ANH TUẤN - 7T</t>
  </si>
  <si>
    <t>TAN VIET PHAT</t>
    <phoneticPr fontId="3" type="noConversion"/>
  </si>
  <si>
    <t>BIEN HOA</t>
    <phoneticPr fontId="3" type="noConversion"/>
  </si>
  <si>
    <t xml:space="preserve">TAN UYEN </t>
    <phoneticPr fontId="3" type="noConversion"/>
  </si>
  <si>
    <t>TAO LUC</t>
    <phoneticPr fontId="3" type="noConversion"/>
  </si>
  <si>
    <t>COLGATE</t>
    <phoneticPr fontId="3" type="noConversion"/>
  </si>
  <si>
    <t>NHUA VN</t>
    <phoneticPr fontId="3" type="noConversion"/>
  </si>
  <si>
    <t>SONG THAN 3</t>
    <phoneticPr fontId="3" type="noConversion"/>
  </si>
  <si>
    <t xml:space="preserve">FOSTER </t>
    <phoneticPr fontId="3" type="noConversion"/>
  </si>
  <si>
    <t xml:space="preserve">HIEP HUNG </t>
    <phoneticPr fontId="3" type="noConversion"/>
  </si>
  <si>
    <t>12P</t>
  </si>
  <si>
    <t xml:space="preserve">LONG PHAT </t>
    <phoneticPr fontId="3" type="noConversion"/>
  </si>
  <si>
    <t>DOBLA ASIA</t>
    <phoneticPr fontId="3" type="noConversion"/>
  </si>
  <si>
    <t xml:space="preserve">DAI TIEN </t>
    <phoneticPr fontId="3" type="noConversion"/>
  </si>
  <si>
    <t>HIẾU</t>
  </si>
  <si>
    <t>TUẤN</t>
  </si>
  <si>
    <t>26/3/2024</t>
  </si>
  <si>
    <t xml:space="preserve">TRUNG TIEN </t>
    <phoneticPr fontId="3" type="noConversion"/>
  </si>
  <si>
    <t xml:space="preserve">GO VAP </t>
    <phoneticPr fontId="3" type="noConversion"/>
  </si>
  <si>
    <t xml:space="preserve">BINH TAN </t>
    <phoneticPr fontId="3" type="noConversion"/>
  </si>
  <si>
    <t xml:space="preserve">GIA MINH </t>
    <phoneticPr fontId="3" type="noConversion"/>
  </si>
  <si>
    <t>Q8</t>
    <phoneticPr fontId="3" type="noConversion"/>
  </si>
  <si>
    <t>27/3/2024</t>
  </si>
  <si>
    <t>6+5</t>
    <phoneticPr fontId="3" type="noConversion"/>
  </si>
  <si>
    <t xml:space="preserve">THU DUC </t>
    <phoneticPr fontId="3" type="noConversion"/>
  </si>
  <si>
    <t xml:space="preserve">TUAN TRANG </t>
    <phoneticPr fontId="3" type="noConversion"/>
  </si>
  <si>
    <t>28/3/2024</t>
  </si>
  <si>
    <t>Q9</t>
    <phoneticPr fontId="3" type="noConversion"/>
  </si>
  <si>
    <t>HANA</t>
    <phoneticPr fontId="3" type="noConversion"/>
  </si>
  <si>
    <t xml:space="preserve">TAN BINH </t>
    <phoneticPr fontId="3" type="noConversion"/>
  </si>
  <si>
    <t>29/3/2024</t>
  </si>
  <si>
    <t>CHỞ HÀNG KC VỀ 33 BỊCH</t>
  </si>
  <si>
    <t>30/3/2024</t>
  </si>
  <si>
    <t xml:space="preserve">TIEN PHÁT </t>
    <phoneticPr fontId="3" type="noConversion"/>
  </si>
  <si>
    <t>01/4/2024</t>
  </si>
  <si>
    <t>5+6</t>
    <phoneticPr fontId="3" type="noConversion"/>
  </si>
  <si>
    <t>X2, CHO HANG CT HƯƠNG MY (BT) VỀ 1200KG</t>
  </si>
  <si>
    <t>02/04/2024</t>
  </si>
  <si>
    <t>8+25</t>
    <phoneticPr fontId="3" type="noConversion"/>
  </si>
  <si>
    <t>03/4/2024</t>
  </si>
  <si>
    <t xml:space="preserve">MINH KHANG </t>
    <phoneticPr fontId="3" type="noConversion"/>
  </si>
  <si>
    <t>Q12</t>
    <phoneticPr fontId="3" type="noConversion"/>
  </si>
  <si>
    <t>04/4/2024</t>
  </si>
  <si>
    <t>BA MOI</t>
    <phoneticPr fontId="3" type="noConversion"/>
  </si>
  <si>
    <t>GA SONG THAN</t>
    <phoneticPr fontId="3" type="noConversion"/>
  </si>
  <si>
    <t>06/4/2024</t>
  </si>
  <si>
    <t>X2, LẤY HÀNG CÔNG VỤ</t>
  </si>
  <si>
    <t>08/4/2024</t>
  </si>
  <si>
    <t xml:space="preserve">RVC </t>
    <phoneticPr fontId="3" type="noConversion"/>
  </si>
  <si>
    <t>THU DUC</t>
    <phoneticPr fontId="3" type="noConversion"/>
  </si>
  <si>
    <t xml:space="preserve">QUANG NINH </t>
    <phoneticPr fontId="3" type="noConversion"/>
  </si>
  <si>
    <t>GA VAP</t>
    <phoneticPr fontId="3" type="noConversion"/>
  </si>
  <si>
    <t>TH FARM</t>
    <phoneticPr fontId="3" type="noConversion"/>
  </si>
  <si>
    <t xml:space="preserve">PHU HOI </t>
    <phoneticPr fontId="3" type="noConversion"/>
  </si>
  <si>
    <t>09/04/2024</t>
  </si>
  <si>
    <t>15+16</t>
    <phoneticPr fontId="3" type="noConversion"/>
  </si>
  <si>
    <t>X2, LẤY HÀNG LP VỀ 1020KG</t>
  </si>
  <si>
    <t>10/04/2024</t>
  </si>
  <si>
    <t>11/04/2024</t>
  </si>
  <si>
    <t>GIAO MẪU EPE</t>
    <phoneticPr fontId="3" type="noConversion"/>
  </si>
  <si>
    <t>12/04/2024</t>
  </si>
  <si>
    <t>13/04/2024</t>
  </si>
  <si>
    <t>12+13</t>
  </si>
  <si>
    <t xml:space="preserve">HOANG ANH </t>
  </si>
  <si>
    <t>Q8</t>
  </si>
  <si>
    <t>15/04/2024</t>
  </si>
  <si>
    <t>20+21</t>
    <phoneticPr fontId="3" type="noConversion"/>
  </si>
  <si>
    <t>16/04/2024</t>
  </si>
  <si>
    <t>X2, LẤY VỀ 10 THÙNG HÀNG</t>
  </si>
  <si>
    <t>17/04/2024</t>
  </si>
  <si>
    <t>HANH MINH KHOI</t>
    <phoneticPr fontId="3" type="noConversion"/>
  </si>
  <si>
    <t xml:space="preserve">NAM  PHẠM </t>
    <phoneticPr fontId="3" type="noConversion"/>
  </si>
  <si>
    <t>BINH TAN</t>
    <phoneticPr fontId="3" type="noConversion"/>
  </si>
  <si>
    <t>18/04/2024</t>
  </si>
  <si>
    <t xml:space="preserve">CHI YEN </t>
    <phoneticPr fontId="3" type="noConversion"/>
  </si>
  <si>
    <t>THIEN MOC</t>
    <phoneticPr fontId="3" type="noConversion"/>
  </si>
  <si>
    <t>19/04/2024</t>
  </si>
  <si>
    <t>GIAO MẪU FUHAO</t>
  </si>
  <si>
    <t>20/04/2024</t>
  </si>
  <si>
    <t xml:space="preserve">HIEP PHONG </t>
    <phoneticPr fontId="3" type="noConversion"/>
  </si>
  <si>
    <t>4+13</t>
    <phoneticPr fontId="3" type="noConversion"/>
  </si>
  <si>
    <t>2 DIEM , X2</t>
  </si>
  <si>
    <t>22/4/2024</t>
  </si>
  <si>
    <t>23/4/2024</t>
  </si>
  <si>
    <t xml:space="preserve">ZHI XIN </t>
    <phoneticPr fontId="3" type="noConversion"/>
  </si>
  <si>
    <t xml:space="preserve">THUAN AN </t>
    <phoneticPr fontId="3" type="noConversion"/>
  </si>
  <si>
    <t>6+21</t>
    <phoneticPr fontId="3" type="noConversion"/>
  </si>
  <si>
    <t>25/4/2024</t>
  </si>
  <si>
    <t>BIOVEGI</t>
    <phoneticPr fontId="3" type="noConversion"/>
  </si>
  <si>
    <t xml:space="preserve">THIEN MOC </t>
    <phoneticPr fontId="3" type="noConversion"/>
  </si>
  <si>
    <t>LIEM TAM KHOA</t>
    <phoneticPr fontId="3" type="noConversion"/>
  </si>
  <si>
    <t xml:space="preserve">ANH LAC </t>
    <phoneticPr fontId="3" type="noConversion"/>
  </si>
  <si>
    <t>NHON TRACH</t>
  </si>
  <si>
    <t>28+29</t>
    <phoneticPr fontId="3" type="noConversion"/>
  </si>
  <si>
    <t xml:space="preserve">HOANG ANH </t>
    <phoneticPr fontId="3" type="noConversion"/>
  </si>
  <si>
    <t>Q5</t>
    <phoneticPr fontId="3" type="noConversion"/>
  </si>
  <si>
    <t>33+34</t>
    <phoneticPr fontId="3" type="noConversion"/>
  </si>
  <si>
    <t>Q1</t>
    <phoneticPr fontId="3" type="noConversion"/>
  </si>
  <si>
    <t>23+11</t>
    <phoneticPr fontId="3" type="noConversion"/>
  </si>
  <si>
    <t>02/4/2024</t>
  </si>
  <si>
    <t>9+20</t>
    <phoneticPr fontId="3" type="noConversion"/>
  </si>
  <si>
    <t xml:space="preserve">ECO TRAY </t>
    <phoneticPr fontId="3" type="noConversion"/>
  </si>
  <si>
    <t>GIAO MẪU P&amp;G, X2</t>
  </si>
  <si>
    <t>05/4/2024</t>
  </si>
  <si>
    <t>GIAO MAU CH 64</t>
  </si>
  <si>
    <t>CHAN KHANG</t>
    <phoneticPr fontId="3" type="noConversion"/>
  </si>
  <si>
    <t>10/4/2024</t>
  </si>
  <si>
    <t>11/4/2024</t>
  </si>
  <si>
    <t>X2, GIAO DEM</t>
  </si>
  <si>
    <t>12/4/2024</t>
  </si>
  <si>
    <t>X2, LAY NUM HUT- TAN BINH</t>
  </si>
  <si>
    <t>13/4/2024</t>
  </si>
  <si>
    <t>15/4/2024</t>
  </si>
  <si>
    <t>LY NGOC THO</t>
    <phoneticPr fontId="3" type="noConversion"/>
  </si>
  <si>
    <t>18+19</t>
    <phoneticPr fontId="3" type="noConversion"/>
  </si>
  <si>
    <t>16/4/2024</t>
  </si>
  <si>
    <t xml:space="preserve">LONG PHÁT </t>
    <phoneticPr fontId="3" type="noConversion"/>
  </si>
  <si>
    <r>
      <t>TRẢ V</t>
    </r>
    <r>
      <rPr>
        <sz val="11"/>
        <rFont val="細明體"/>
        <family val="3"/>
        <charset val="136"/>
      </rPr>
      <t>Ề</t>
    </r>
    <r>
      <rPr>
        <sz val="11"/>
        <rFont val="Times New Roman"/>
        <family val="1"/>
      </rPr>
      <t xml:space="preserve"> 100B (LP) 100 THÙNG, X2</t>
    </r>
  </si>
  <si>
    <t>17/4/2024</t>
  </si>
  <si>
    <t>18/4/2024</t>
  </si>
  <si>
    <t>19/4/2024</t>
  </si>
  <si>
    <t>20+12</t>
    <phoneticPr fontId="3" type="noConversion"/>
  </si>
  <si>
    <t>20/4/2024</t>
  </si>
  <si>
    <t>TAHUFA</t>
    <phoneticPr fontId="3" type="noConversion"/>
  </si>
  <si>
    <t>ZHI XIN</t>
    <phoneticPr fontId="3" type="noConversion"/>
  </si>
  <si>
    <t>24/4/2024</t>
  </si>
  <si>
    <t>DUK</t>
    <phoneticPr fontId="3" type="noConversion"/>
  </si>
  <si>
    <t>32+33</t>
    <phoneticPr fontId="3" type="noConversion"/>
  </si>
  <si>
    <t>23+33</t>
    <phoneticPr fontId="3" type="noConversion"/>
  </si>
  <si>
    <t>NAM PHAT</t>
    <phoneticPr fontId="3" type="noConversion"/>
  </si>
  <si>
    <t>0'1/4/2024</t>
  </si>
  <si>
    <t>TIEN PHAT</t>
    <phoneticPr fontId="3" type="noConversion"/>
  </si>
  <si>
    <t>GIAO TÔI, X2</t>
  </si>
  <si>
    <t>27+28</t>
    <phoneticPr fontId="3" type="noConversion"/>
  </si>
  <si>
    <t>4+3+13</t>
    <phoneticPr fontId="3" type="noConversion"/>
  </si>
  <si>
    <t>13+15</t>
    <phoneticPr fontId="3" type="noConversion"/>
  </si>
  <si>
    <t>TAN UYEN</t>
    <phoneticPr fontId="3" type="noConversion"/>
  </si>
  <si>
    <t>LÂY THÙNG NHƯA VN , 
lấy mẫu cty TÂY XUYÊN</t>
  </si>
  <si>
    <t>13+14</t>
    <phoneticPr fontId="3" type="noConversion"/>
  </si>
  <si>
    <t>GIAO MẪU EPE, X2</t>
  </si>
  <si>
    <t>3+4</t>
    <phoneticPr fontId="3" type="noConversion"/>
  </si>
  <si>
    <t>MINH KHANG</t>
    <phoneticPr fontId="3" type="noConversion"/>
  </si>
  <si>
    <t>17+16</t>
    <phoneticPr fontId="3" type="noConversion"/>
  </si>
  <si>
    <t>PLASACO</t>
    <phoneticPr fontId="3" type="noConversion"/>
  </si>
  <si>
    <r>
      <t>TRUNG TI</t>
    </r>
    <r>
      <rPr>
        <sz val="11"/>
        <rFont val="細明體"/>
        <family val="3"/>
        <charset val="136"/>
      </rPr>
      <t>Ế</t>
    </r>
    <r>
      <rPr>
        <sz val="11"/>
        <rFont val="Times New Roman"/>
        <family val="1"/>
      </rPr>
      <t>N</t>
    </r>
  </si>
  <si>
    <t xml:space="preserve">CHAN KHANG </t>
    <phoneticPr fontId="3" type="noConversion"/>
  </si>
  <si>
    <t>A&amp;C</t>
    <phoneticPr fontId="3" type="noConversion"/>
  </si>
  <si>
    <t xml:space="preserve">HOC MON </t>
    <phoneticPr fontId="3" type="noConversion"/>
  </si>
  <si>
    <t>13+14+16</t>
    <phoneticPr fontId="3" type="noConversion"/>
  </si>
  <si>
    <t xml:space="preserve">VAN - BT </t>
    <phoneticPr fontId="3" type="noConversion"/>
  </si>
  <si>
    <t>31+27</t>
    <phoneticPr fontId="3" type="noConversion"/>
  </si>
  <si>
    <t>WAHL</t>
    <phoneticPr fontId="3" type="noConversion"/>
  </si>
  <si>
    <t>LẤY 369 THÙNG KO WAHL VỀ</t>
  </si>
  <si>
    <t xml:space="preserve">TAN DAI LONG </t>
    <phoneticPr fontId="3" type="noConversion"/>
  </si>
  <si>
    <t>DONG MINH PHU</t>
    <phoneticPr fontId="3" type="noConversion"/>
  </si>
  <si>
    <t>ĐMP TRẢ VỀ 13 CUỘN HÀNG: 1200KG</t>
  </si>
  <si>
    <t xml:space="preserve">DONG BAC VINA </t>
    <phoneticPr fontId="3" type="noConversion"/>
  </si>
  <si>
    <t>35+36</t>
    <phoneticPr fontId="3" type="noConversion"/>
  </si>
  <si>
    <t xml:space="preserve">ANH HUNG </t>
    <phoneticPr fontId="3" type="noConversion"/>
  </si>
  <si>
    <t>JUMBO</t>
    <phoneticPr fontId="3" type="noConversion"/>
  </si>
  <si>
    <t>LONG THANH</t>
  </si>
  <si>
    <t>7+21</t>
    <phoneticPr fontId="3" type="noConversion"/>
  </si>
  <si>
    <t xml:space="preserve"> tinh phí 2.4t</t>
    <phoneticPr fontId="3" type="noConversion"/>
  </si>
  <si>
    <t xml:space="preserve">PHONG THUY </t>
    <phoneticPr fontId="3" type="noConversion"/>
  </si>
  <si>
    <t>FU HAO</t>
    <phoneticPr fontId="3" type="noConversion"/>
  </si>
  <si>
    <t xml:space="preserve">NIDEC VN </t>
    <phoneticPr fontId="3" type="noConversion"/>
  </si>
  <si>
    <t>X2, GIAO MẪU AVP</t>
  </si>
  <si>
    <t>TEXCHEM</t>
    <phoneticPr fontId="3" type="noConversion"/>
  </si>
  <si>
    <t>09/4/2024</t>
  </si>
  <si>
    <t>LUCKY VINA</t>
    <phoneticPr fontId="3" type="noConversion"/>
  </si>
  <si>
    <t>8+11</t>
    <phoneticPr fontId="3" type="noConversion"/>
  </si>
  <si>
    <t>ECO TRAY</t>
    <phoneticPr fontId="3" type="noConversion"/>
  </si>
  <si>
    <t>40+41</t>
  </si>
  <si>
    <t>KO YO</t>
    <phoneticPr fontId="3" type="noConversion"/>
  </si>
  <si>
    <t>MP3</t>
    <phoneticPr fontId="3" type="noConversion"/>
  </si>
  <si>
    <t>ANH TU</t>
    <phoneticPr fontId="3" type="noConversion"/>
  </si>
  <si>
    <t>TINH PHI 2.5T, LẤY THÙNG KO WAHL 171PCS</t>
  </si>
  <si>
    <t>11+10</t>
  </si>
  <si>
    <t>QUANG DUNG</t>
  </si>
  <si>
    <t>LẤY HÀNG LỘC PHÁT VỀ 1028KG, X2</t>
  </si>
  <si>
    <t>AMIBA</t>
  </si>
  <si>
    <t xml:space="preserve">TAN UYEN </t>
  </si>
  <si>
    <t>GHÉP MÀNG PE</t>
  </si>
  <si>
    <t xml:space="preserve">CU CHI </t>
    <phoneticPr fontId="3" type="noConversion"/>
  </si>
  <si>
    <t>KI WORKS</t>
    <phoneticPr fontId="3" type="noConversion"/>
  </si>
  <si>
    <t>KOYO</t>
    <phoneticPr fontId="3" type="noConversion"/>
  </si>
  <si>
    <t>JUMO</t>
    <phoneticPr fontId="3" type="noConversion"/>
  </si>
  <si>
    <t>28+16</t>
    <phoneticPr fontId="3" type="noConversion"/>
  </si>
  <si>
    <t xml:space="preserve">ANH TÚ </t>
    <phoneticPr fontId="3" type="noConversion"/>
  </si>
  <si>
    <t>AN VIET PHAT</t>
    <phoneticPr fontId="3" type="noConversion"/>
  </si>
  <si>
    <t>P&amp;G</t>
    <phoneticPr fontId="3" type="noConversion"/>
  </si>
  <si>
    <t>VSIP2 A</t>
    <phoneticPr fontId="3" type="noConversion"/>
  </si>
  <si>
    <t>CHỞ HÀNG P&amp;G KIỂM HÓA Ở SÓNG THẦN 50 KG</t>
  </si>
  <si>
    <t>LẤY 250 THÙNG KO VỀ</t>
  </si>
  <si>
    <t>NIDEC VN</t>
    <phoneticPr fontId="3" type="noConversion"/>
  </si>
  <si>
    <t>8+9+14</t>
    <phoneticPr fontId="3" type="noConversion"/>
  </si>
  <si>
    <t>LẤY VỀ 88 THÙNG KO</t>
  </si>
  <si>
    <t>22+14</t>
    <phoneticPr fontId="3" type="noConversion"/>
  </si>
  <si>
    <t>YONG BO</t>
    <phoneticPr fontId="3" type="noConversion"/>
  </si>
  <si>
    <t>BEN CAT</t>
    <phoneticPr fontId="3" type="noConversion"/>
  </si>
  <si>
    <t>NIDEC INS</t>
  </si>
  <si>
    <t xml:space="preserve">PHI 3.5T </t>
    <phoneticPr fontId="3" type="noConversion"/>
  </si>
  <si>
    <t xml:space="preserve">TU PHUONG </t>
    <phoneticPr fontId="3" type="noConversion"/>
  </si>
  <si>
    <t xml:space="preserve">WAHL </t>
    <phoneticPr fontId="3" type="noConversion"/>
  </si>
  <si>
    <t>WAHL TRẢ 153 THUNG KHONG</t>
  </si>
  <si>
    <t>FOSTER</t>
    <phoneticPr fontId="3" type="noConversion"/>
  </si>
  <si>
    <t xml:space="preserve">6 PALLET </t>
    <phoneticPr fontId="3" type="noConversion"/>
  </si>
  <si>
    <t>NOA</t>
    <phoneticPr fontId="3" type="noConversion"/>
  </si>
  <si>
    <t>18+17</t>
    <phoneticPr fontId="3" type="noConversion"/>
  </si>
  <si>
    <t xml:space="preserve">NHUA VN </t>
    <phoneticPr fontId="3" type="noConversion"/>
  </si>
  <si>
    <t>ZHI XIN</t>
  </si>
  <si>
    <t>THUAN AN</t>
  </si>
  <si>
    <t>GIAO CHU NHAT</t>
  </si>
  <si>
    <t>MINH PHUONG</t>
  </si>
  <si>
    <t>BINH CHANH</t>
  </si>
  <si>
    <t>GIAO MẪU KHUÔN CNC-BC</t>
  </si>
  <si>
    <t>WAHL TRẢ 121 THUNG KHONG</t>
  </si>
  <si>
    <t>TAN DAI LONG</t>
    <phoneticPr fontId="3" type="noConversion"/>
  </si>
  <si>
    <t>BEN HOA</t>
    <phoneticPr fontId="3" type="noConversion"/>
  </si>
  <si>
    <t>6 PALLET</t>
    <phoneticPr fontId="3" type="noConversion"/>
  </si>
  <si>
    <t>LẤY VỀ 125 THÙNG KO</t>
  </si>
  <si>
    <t>4+19+16</t>
    <phoneticPr fontId="3" type="noConversion"/>
  </si>
  <si>
    <t>DUC HOA</t>
    <phoneticPr fontId="3" type="noConversion"/>
  </si>
  <si>
    <t>TU PHUONG</t>
    <phoneticPr fontId="3" type="noConversion"/>
  </si>
  <si>
    <t>VSIP2</t>
    <phoneticPr fontId="3" type="noConversion"/>
  </si>
  <si>
    <t xml:space="preserve">UY KIET </t>
    <phoneticPr fontId="3" type="noConversion"/>
  </si>
  <si>
    <t>1+2</t>
    <phoneticPr fontId="3" type="noConversion"/>
  </si>
  <si>
    <t>2+4</t>
    <phoneticPr fontId="3" type="noConversion"/>
  </si>
  <si>
    <t>AN THAI</t>
    <phoneticPr fontId="3" type="noConversion"/>
  </si>
  <si>
    <t>GO PAK</t>
    <phoneticPr fontId="3" type="noConversion"/>
  </si>
  <si>
    <t>LỘC PHÁT</t>
  </si>
  <si>
    <t>CHỞ ĐẦU KHUÔN QUA LP GC</t>
  </si>
  <si>
    <t>03/04/2024</t>
  </si>
  <si>
    <t>CHỞ VỀ HD 5513KG MC</t>
  </si>
  <si>
    <t>ECO TRAY</t>
  </si>
  <si>
    <t>40+42+41</t>
    <phoneticPr fontId="3" type="noConversion"/>
  </si>
  <si>
    <t>LẤY HÀNG DANH ÍCH VỀ 360KG</t>
  </si>
  <si>
    <t>21+22</t>
    <phoneticPr fontId="3" type="noConversion"/>
  </si>
  <si>
    <t>12+14</t>
  </si>
  <si>
    <t xml:space="preserve">HIEP HUNG </t>
  </si>
  <si>
    <t xml:space="preserve">CU CHI </t>
  </si>
  <si>
    <t>14+15</t>
  </si>
  <si>
    <t>AN THAI</t>
  </si>
  <si>
    <t>DUC HOA</t>
  </si>
  <si>
    <t xml:space="preserve">UY KIET </t>
  </si>
  <si>
    <t xml:space="preserve">LOC PHAT </t>
    <phoneticPr fontId="3" type="noConversion"/>
  </si>
  <si>
    <t xml:space="preserve">VSIP 2 </t>
    <phoneticPr fontId="3" type="noConversion"/>
  </si>
  <si>
    <r>
      <t>LẤY HÀNG LP V</t>
    </r>
    <r>
      <rPr>
        <b/>
        <sz val="11"/>
        <rFont val="細明體"/>
        <family val="3"/>
        <charset val="136"/>
      </rPr>
      <t>Ề</t>
    </r>
    <r>
      <rPr>
        <b/>
        <sz val="11"/>
        <rFont val="Times New Roman"/>
        <family val="1"/>
      </rPr>
      <t xml:space="preserve"> DH </t>
    </r>
  </si>
  <si>
    <t>28+8</t>
    <phoneticPr fontId="3" type="noConversion"/>
  </si>
  <si>
    <t>HUNUFA</t>
    <phoneticPr fontId="3" type="noConversion"/>
  </si>
  <si>
    <t xml:space="preserve">KUNG TAY </t>
    <phoneticPr fontId="3" type="noConversion"/>
  </si>
  <si>
    <t>18+4</t>
    <phoneticPr fontId="3" type="noConversion"/>
  </si>
  <si>
    <t>BINH TÂN</t>
    <phoneticPr fontId="3" type="noConversion"/>
  </si>
  <si>
    <t>X2, PHI BAI XE</t>
  </si>
  <si>
    <t>X2, HÀNG VỀ 160 THÙNG, PHÍ BÃI XE</t>
  </si>
  <si>
    <t>OVAL</t>
    <phoneticPr fontId="3" type="noConversion"/>
  </si>
  <si>
    <t>SONG THAN1</t>
    <phoneticPr fontId="3" type="noConversion"/>
  </si>
  <si>
    <t>27+24</t>
    <phoneticPr fontId="3" type="noConversion"/>
  </si>
  <si>
    <t>29+30</t>
    <phoneticPr fontId="3" type="noConversion"/>
  </si>
  <si>
    <t>TINH PHÍ 5T, X2</t>
  </si>
  <si>
    <t>14PL</t>
  </si>
  <si>
    <t>VINH TRUONG PHAT</t>
    <phoneticPr fontId="3" type="noConversion"/>
  </si>
  <si>
    <t>TINH PHÍ 5T</t>
  </si>
  <si>
    <t>PHI 6T</t>
  </si>
  <si>
    <t>LOC PHAT</t>
  </si>
  <si>
    <t>CHỞ ĐẦU KHUÔN PET TRONG</t>
  </si>
  <si>
    <t>GIAO MAU QUOC THANG</t>
    <phoneticPr fontId="3" type="noConversion"/>
  </si>
  <si>
    <t>1+18</t>
    <phoneticPr fontId="3" type="noConversion"/>
  </si>
  <si>
    <t>TINH PHI 6T</t>
  </si>
  <si>
    <t>21+22</t>
  </si>
  <si>
    <t>NIDEC VN</t>
  </si>
  <si>
    <t>COLGATE</t>
  </si>
  <si>
    <t>MY PHUOC 3</t>
  </si>
  <si>
    <t>IN AN THAI</t>
  </si>
  <si>
    <t>TRANG BOM</t>
  </si>
  <si>
    <t>QUA LP LẤY 500KG ĐI GIAO KH</t>
  </si>
  <si>
    <t>LONG PHAT</t>
  </si>
  <si>
    <t>BINH CANH</t>
  </si>
  <si>
    <t>PHI 6T, LẤY PHẾ NIDEC INS</t>
  </si>
  <si>
    <t>22/4/2025</t>
  </si>
  <si>
    <t>3+18</t>
    <phoneticPr fontId="3" type="noConversion"/>
  </si>
  <si>
    <t>22/4/2027</t>
  </si>
  <si>
    <t>22+23+24</t>
    <phoneticPr fontId="3" type="noConversion"/>
  </si>
  <si>
    <t>X2, LẤY PHẾ NIDEC VN</t>
  </si>
  <si>
    <t>24/4/2028</t>
  </si>
  <si>
    <t xml:space="preserve"> </t>
  </si>
  <si>
    <t>25/4/2029</t>
  </si>
  <si>
    <t>32+26</t>
    <phoneticPr fontId="3" type="noConversion"/>
  </si>
  <si>
    <t>25/4/2030</t>
  </si>
  <si>
    <t>33+32</t>
    <phoneticPr fontId="3" type="noConversion"/>
  </si>
  <si>
    <t xml:space="preserve">MASAN </t>
    <phoneticPr fontId="3" type="noConversion"/>
  </si>
  <si>
    <t xml:space="preserve">DI AN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</si>
</sst>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* #,##0.00_-;\-* #,##0.00_-;_-* &quot;-&quot;??_-;_-@_-"/>
    <numFmt numFmtId="167" formatCode="_(* #,##0.0_);_(* \(#,##0.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1"/>
      <charset val="136"/>
      <scheme val="minor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8"/>
      <name val="Times New Roman"/>
      <family val="1"/>
    </font>
    <font>
      <sz val="11"/>
      <name val="細明體"/>
      <family val="3"/>
      <charset val="136"/>
    </font>
    <font>
      <b/>
      <sz val="11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5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vertical="center"/>
    </xf>
    <xf numFmtId="165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164" fontId="3" fillId="2" borderId="2" xfId="1" quotePrefix="1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vertical="center"/>
    </xf>
    <xf numFmtId="164" fontId="7" fillId="2" borderId="2" xfId="1" applyNumberFormat="1" applyFont="1" applyFill="1" applyBorder="1" applyAlignment="1">
      <alignment vertical="center"/>
    </xf>
    <xf numFmtId="16" fontId="3" fillId="2" borderId="2" xfId="0" quotePrefix="1" applyNumberFormat="1" applyFont="1" applyFill="1" applyBorder="1" applyAlignment="1"/>
    <xf numFmtId="164" fontId="3" fillId="2" borderId="2" xfId="1" quotePrefix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/>
    <xf numFmtId="164" fontId="7" fillId="2" borderId="2" xfId="1" applyNumberFormat="1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164" fontId="3" fillId="2" borderId="2" xfId="1" applyNumberFormat="1" applyFont="1" applyFill="1" applyBorder="1" applyAlignment="1">
      <alignment horizontal="center"/>
    </xf>
    <xf numFmtId="164" fontId="3" fillId="2" borderId="2" xfId="1" quotePrefix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right"/>
    </xf>
    <xf numFmtId="3" fontId="3" fillId="2" borderId="2" xfId="1" applyNumberFormat="1" applyFont="1" applyFill="1" applyBorder="1" applyAlignment="1">
      <alignment horizontal="right" vertical="center"/>
    </xf>
    <xf numFmtId="164" fontId="2" fillId="4" borderId="2" xfId="1" applyNumberFormat="1" applyFont="1" applyFill="1" applyBorder="1" applyAlignment="1"/>
    <xf numFmtId="0" fontId="3" fillId="4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/>
    <xf numFmtId="0" fontId="3" fillId="4" borderId="2" xfId="0" applyFont="1" applyFill="1" applyBorder="1" applyAlignment="1"/>
    <xf numFmtId="0" fontId="10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/>
    <xf numFmtId="164" fontId="3" fillId="2" borderId="0" xfId="1" applyNumberFormat="1" applyFont="1" applyFill="1" applyBorder="1" applyAlignment="1"/>
    <xf numFmtId="0" fontId="2" fillId="2" borderId="0" xfId="0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/>
    <xf numFmtId="164" fontId="11" fillId="2" borderId="2" xfId="1" applyNumberFormat="1" applyFont="1" applyFill="1" applyBorder="1" applyAlignment="1"/>
    <xf numFmtId="43" fontId="12" fillId="2" borderId="2" xfId="0" applyNumberFormat="1" applyFont="1" applyFill="1" applyBorder="1" applyAlignment="1">
      <alignment vertical="center"/>
    </xf>
    <xf numFmtId="43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1" applyNumberFormat="1" applyFont="1" applyFill="1" applyAlignment="1">
      <alignment horizontal="left"/>
    </xf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/>
    <xf numFmtId="41" fontId="3" fillId="2" borderId="0" xfId="1" applyNumberFormat="1" applyFont="1" applyFill="1" applyAlignment="1"/>
    <xf numFmtId="4" fontId="3" fillId="2" borderId="0" xfId="0" applyNumberFormat="1" applyFont="1" applyFill="1" applyAlignment="1">
      <alignment horizontal="left"/>
    </xf>
    <xf numFmtId="164" fontId="3" fillId="2" borderId="0" xfId="1" applyNumberFormat="1" applyFont="1" applyFill="1"/>
    <xf numFmtId="164" fontId="3" fillId="2" borderId="0" xfId="0" applyNumberFormat="1" applyFont="1" applyFill="1" applyAlignment="1">
      <alignment vertical="center"/>
    </xf>
    <xf numFmtId="12" fontId="3" fillId="2" borderId="0" xfId="0" applyNumberFormat="1" applyFont="1" applyFill="1" applyAlignment="1">
      <alignment horizontal="center" vertical="center"/>
    </xf>
    <xf numFmtId="166" fontId="3" fillId="2" borderId="0" xfId="1" applyNumberFormat="1" applyFont="1" applyFill="1" applyAlignment="1">
      <alignment horizontal="left"/>
    </xf>
    <xf numFmtId="166" fontId="3" fillId="2" borderId="0" xfId="1" applyNumberFormat="1" applyFont="1" applyFill="1" applyAlignment="1">
      <alignment horizontal="left" vertical="center"/>
    </xf>
    <xf numFmtId="165" fontId="3" fillId="2" borderId="0" xfId="1" applyNumberFormat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left" wrapText="1"/>
    </xf>
    <xf numFmtId="164" fontId="3" fillId="0" borderId="0" xfId="2" applyNumberFormat="1" applyFont="1" applyFill="1" applyAlignment="1">
      <alignment horizontal="center" vertical="center"/>
    </xf>
    <xf numFmtId="165" fontId="3" fillId="2" borderId="0" xfId="1" applyNumberFormat="1" applyFont="1" applyFill="1" applyAlignment="1"/>
    <xf numFmtId="164" fontId="3" fillId="2" borderId="12" xfId="1" applyNumberFormat="1" applyFont="1" applyFill="1" applyBorder="1" applyAlignment="1">
      <alignment horizontal="right" vertical="center"/>
    </xf>
    <xf numFmtId="16" fontId="3" fillId="2" borderId="2" xfId="0" quotePrefix="1" applyNumberFormat="1" applyFont="1" applyFill="1" applyBorder="1" applyAlignment="1">
      <alignment horizontal="left"/>
    </xf>
    <xf numFmtId="164" fontId="3" fillId="2" borderId="0" xfId="1" applyNumberFormat="1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14" fontId="3" fillId="2" borderId="2" xfId="0" quotePrefix="1" applyNumberFormat="1" applyFont="1" applyFill="1" applyBorder="1" applyAlignment="1">
      <alignment horizontal="center" vertical="center"/>
    </xf>
    <xf numFmtId="14" fontId="9" fillId="2" borderId="2" xfId="0" quotePrefix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16" fontId="7" fillId="2" borderId="2" xfId="0" quotePrefix="1" applyNumberFormat="1" applyFont="1" applyFill="1" applyBorder="1" applyAlignment="1"/>
    <xf numFmtId="164" fontId="13" fillId="5" borderId="2" xfId="1" applyNumberFormat="1" applyFont="1" applyFill="1" applyBorder="1" applyAlignment="1"/>
    <xf numFmtId="164" fontId="2" fillId="6" borderId="2" xfId="1" applyNumberFormat="1" applyFont="1" applyFill="1" applyBorder="1" applyAlignment="1"/>
    <xf numFmtId="43" fontId="2" fillId="6" borderId="2" xfId="1" applyNumberFormat="1" applyFont="1" applyFill="1" applyBorder="1" applyAlignment="1"/>
    <xf numFmtId="164" fontId="13" fillId="6" borderId="2" xfId="1" applyNumberFormat="1" applyFont="1" applyFill="1" applyBorder="1" applyAlignment="1"/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164" fontId="13" fillId="4" borderId="2" xfId="1" applyNumberFormat="1" applyFont="1" applyFill="1" applyBorder="1" applyAlignment="1"/>
    <xf numFmtId="164" fontId="13" fillId="2" borderId="0" xfId="1" applyNumberFormat="1" applyFont="1" applyFill="1" applyBorder="1" applyAlignment="1"/>
    <xf numFmtId="164" fontId="13" fillId="2" borderId="2" xfId="1" applyNumberFormat="1" applyFont="1" applyFill="1" applyBorder="1" applyAlignment="1"/>
    <xf numFmtId="164" fontId="9" fillId="2" borderId="0" xfId="1" applyNumberFormat="1" applyFont="1" applyFill="1" applyAlignment="1">
      <alignment horizontal="left"/>
    </xf>
    <xf numFmtId="164" fontId="9" fillId="2" borderId="0" xfId="1" applyNumberFormat="1" applyFont="1" applyFill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167" fontId="2" fillId="2" borderId="2" xfId="1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7" fontId="2" fillId="4" borderId="2" xfId="1" applyNumberFormat="1" applyFont="1" applyFill="1" applyBorder="1" applyAlignment="1"/>
    <xf numFmtId="0" fontId="3" fillId="4" borderId="2" xfId="0" applyFont="1" applyFill="1" applyBorder="1" applyAlignment="1">
      <alignment horizontal="left" vertical="center"/>
    </xf>
    <xf numFmtId="164" fontId="3" fillId="4" borderId="2" xfId="1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67" fontId="2" fillId="2" borderId="0" xfId="1" applyNumberFormat="1" applyFont="1" applyFill="1" applyBorder="1" applyAlignment="1"/>
    <xf numFmtId="167" fontId="2" fillId="2" borderId="2" xfId="1" applyNumberFormat="1" applyFont="1" applyFill="1" applyBorder="1" applyAlignment="1"/>
    <xf numFmtId="43" fontId="12" fillId="2" borderId="2" xfId="0" applyNumberFormat="1" applyFont="1" applyFill="1" applyBorder="1" applyAlignment="1">
      <alignment horizontal="left" vertical="center"/>
    </xf>
    <xf numFmtId="167" fontId="3" fillId="2" borderId="0" xfId="1" applyNumberFormat="1" applyFont="1" applyFill="1" applyAlignment="1"/>
    <xf numFmtId="167" fontId="3" fillId="2" borderId="0" xfId="1" applyNumberFormat="1" applyFont="1" applyFill="1" applyAlignment="1">
      <alignment horizontal="left"/>
    </xf>
    <xf numFmtId="167" fontId="3" fillId="2" borderId="0" xfId="1" applyNumberFormat="1" applyFont="1" applyFill="1" applyAlignment="1">
      <alignment vertical="center"/>
    </xf>
    <xf numFmtId="167" fontId="3" fillId="2" borderId="0" xfId="1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164" fontId="15" fillId="4" borderId="2" xfId="1" applyNumberFormat="1" applyFont="1" applyFill="1" applyBorder="1" applyAlignment="1"/>
    <xf numFmtId="0" fontId="8" fillId="2" borderId="12" xfId="0" applyFont="1" applyFill="1" applyBorder="1" applyAlignment="1">
      <alignment horizontal="left" vertical="center"/>
    </xf>
    <xf numFmtId="164" fontId="7" fillId="2" borderId="2" xfId="1" applyNumberFormat="1" applyFont="1" applyFill="1" applyBorder="1" applyAlignment="1"/>
    <xf numFmtId="16" fontId="7" fillId="2" borderId="2" xfId="0" quotePrefix="1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164" fontId="3" fillId="6" borderId="2" xfId="1" applyNumberFormat="1" applyFont="1" applyFill="1" applyBorder="1" applyAlignment="1">
      <alignment horizontal="left"/>
    </xf>
    <xf numFmtId="43" fontId="3" fillId="2" borderId="2" xfId="0" applyNumberFormat="1" applyFont="1" applyFill="1" applyBorder="1" applyAlignment="1">
      <alignment horizontal="left" vertical="center"/>
    </xf>
    <xf numFmtId="164" fontId="9" fillId="2" borderId="2" xfId="1" quotePrefix="1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 vertical="center"/>
    </xf>
    <xf numFmtId="3" fontId="3" fillId="2" borderId="12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0" applyBorder="1" applyAlignment="1"/>
    <xf numFmtId="164" fontId="16" fillId="0" borderId="2" xfId="0" applyNumberFormat="1" applyFont="1" applyBorder="1" applyAlignment="1"/>
    <xf numFmtId="0" fontId="16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/>
    <xf numFmtId="0" fontId="9" fillId="2" borderId="2" xfId="0" applyFont="1" applyFill="1" applyBorder="1" applyAlignment="1">
      <alignment vertical="center"/>
    </xf>
    <xf numFmtId="164" fontId="15" fillId="4" borderId="2" xfId="1" applyNumberFormat="1" applyFont="1" applyFill="1" applyBorder="1" applyAlignment="1">
      <alignment horizontal="center" vertical="center"/>
    </xf>
    <xf numFmtId="164" fontId="2" fillId="6" borderId="2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/>
    <xf numFmtId="164" fontId="6" fillId="2" borderId="2" xfId="1" applyNumberFormat="1" applyFont="1" applyFill="1" applyBorder="1" applyAlignment="1">
      <alignment horizontal="right"/>
    </xf>
    <xf numFmtId="164" fontId="6" fillId="2" borderId="2" xfId="1" quotePrefix="1" applyNumberFormat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/>
    </xf>
    <xf numFmtId="164" fontId="14" fillId="2" borderId="2" xfId="1" applyNumberFormat="1" applyFont="1" applyFill="1" applyBorder="1" applyAlignment="1">
      <alignment vertical="center"/>
    </xf>
    <xf numFmtId="164" fontId="6" fillId="2" borderId="2" xfId="1" quotePrefix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horizontal="right" vertical="center"/>
    </xf>
    <xf numFmtId="164" fontId="6" fillId="2" borderId="2" xfId="1" quotePrefix="1" applyNumberFormat="1" applyFont="1" applyFill="1" applyBorder="1" applyAlignment="1"/>
    <xf numFmtId="0" fontId="14" fillId="2" borderId="12" xfId="0" applyFont="1" applyFill="1" applyBorder="1" applyAlignment="1">
      <alignment vertical="center"/>
    </xf>
    <xf numFmtId="0" fontId="3" fillId="2" borderId="2" xfId="0" applyFont="1" applyFill="1" applyBorder="1" applyAlignment="1"/>
    <xf numFmtId="0" fontId="3" fillId="7" borderId="0" xfId="0" applyFont="1" applyFill="1" applyBorder="1" applyAlignment="1">
      <alignment horizontal="center" vertical="center"/>
    </xf>
    <xf numFmtId="3" fontId="9" fillId="2" borderId="2" xfId="1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2" fontId="9" fillId="2" borderId="0" xfId="0" applyNumberFormat="1" applyFont="1" applyFill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9" fillId="7" borderId="0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" fontId="3" fillId="2" borderId="12" xfId="0" quotePrefix="1" applyNumberFormat="1" applyFont="1" applyFill="1" applyBorder="1" applyAlignment="1"/>
    <xf numFmtId="164" fontId="14" fillId="2" borderId="2" xfId="1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quotePrefix="1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164" fontId="1" fillId="0" borderId="2" xfId="1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2" borderId="12" xfId="0" quotePrefix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9" fillId="0" borderId="12" xfId="0" quotePrefix="1" applyFont="1" applyBorder="1" applyAlignment="1">
      <alignment horizontal="center" vertical="center"/>
    </xf>
    <xf numFmtId="14" fontId="9" fillId="2" borderId="12" xfId="0" quotePrefix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64" fontId="14" fillId="2" borderId="1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2" borderId="12" xfId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164" fontId="3" fillId="2" borderId="2" xfId="1" quotePrefix="1" applyNumberFormat="1" applyFont="1" applyFill="1" applyBorder="1" applyAlignment="1"/>
    <xf numFmtId="164" fontId="9" fillId="2" borderId="2" xfId="1" quotePrefix="1" applyNumberFormat="1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16" fontId="9" fillId="2" borderId="2" xfId="0" quotePrefix="1" applyNumberFormat="1" applyFont="1" applyFill="1" applyBorder="1" applyAlignment="1"/>
    <xf numFmtId="0" fontId="7" fillId="2" borderId="0" xfId="0" applyFont="1" applyFill="1" applyBorder="1" applyAlignment="1">
      <alignment horizontal="left" vertical="center"/>
    </xf>
    <xf numFmtId="164" fontId="3" fillId="4" borderId="2" xfId="0" applyNumberFormat="1" applyFont="1" applyFill="1" applyBorder="1" applyAlignment="1"/>
    <xf numFmtId="164" fontId="3" fillId="6" borderId="2" xfId="1" applyNumberFormat="1" applyFont="1" applyFill="1" applyBorder="1" applyAlignment="1"/>
    <xf numFmtId="43" fontId="2" fillId="2" borderId="0" xfId="0" applyNumberFormat="1" applyFont="1" applyFill="1" applyBorder="1" applyAlignment="1">
      <alignment horizontal="left" vertical="center"/>
    </xf>
    <xf numFmtId="43" fontId="3" fillId="2" borderId="2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0" fontId="9" fillId="2" borderId="2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12" xfId="0" applyFont="1" applyFill="1" applyBorder="1" applyAlignment="1"/>
    <xf numFmtId="0" fontId="3" fillId="3" borderId="12" xfId="0" quotePrefix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16" fontId="6" fillId="2" borderId="2" xfId="0" quotePrefix="1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3" fontId="3" fillId="2" borderId="12" xfId="1" applyNumberFormat="1" applyFont="1" applyFill="1" applyBorder="1" applyAlignment="1">
      <alignment horizontal="right" vertical="center"/>
    </xf>
    <xf numFmtId="16" fontId="6" fillId="2" borderId="12" xfId="0" quotePrefix="1" applyNumberFormat="1" applyFont="1" applyFill="1" applyBorder="1" applyAlignment="1">
      <alignment horizontal="left"/>
    </xf>
    <xf numFmtId="14" fontId="3" fillId="3" borderId="2" xfId="0" quotePrefix="1" applyNumberFormat="1" applyFont="1" applyFill="1" applyBorder="1" applyAlignment="1">
      <alignment horizontal="center" vertical="center"/>
    </xf>
    <xf numFmtId="14" fontId="3" fillId="3" borderId="12" xfId="0" quotePrefix="1" applyNumberFormat="1" applyFont="1" applyFill="1" applyBorder="1" applyAlignment="1">
      <alignment horizontal="center" vertical="center"/>
    </xf>
    <xf numFmtId="164" fontId="9" fillId="2" borderId="2" xfId="1" quotePrefix="1" applyNumberFormat="1" applyFont="1" applyFill="1" applyBorder="1" applyAlignment="1">
      <alignment horizontal="center" vertical="center"/>
    </xf>
    <xf numFmtId="18" fontId="6" fillId="2" borderId="12" xfId="0" applyNumberFormat="1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right" vertical="center"/>
    </xf>
    <xf numFmtId="164" fontId="3" fillId="3" borderId="12" xfId="1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4" fontId="3" fillId="8" borderId="2" xfId="0" quotePrefix="1" applyNumberFormat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right" vertical="center"/>
    </xf>
    <xf numFmtId="164" fontId="3" fillId="8" borderId="2" xfId="1" quotePrefix="1" applyNumberFormat="1" applyFont="1" applyFill="1" applyBorder="1" applyAlignment="1">
      <alignment vertical="center"/>
    </xf>
    <xf numFmtId="164" fontId="3" fillId="8" borderId="2" xfId="1" quotePrefix="1" applyNumberFormat="1" applyFont="1" applyFill="1" applyBorder="1" applyAlignment="1">
      <alignment horizontal="center"/>
    </xf>
    <xf numFmtId="164" fontId="3" fillId="8" borderId="2" xfId="1" applyNumberFormat="1" applyFont="1" applyFill="1" applyBorder="1" applyAlignment="1">
      <alignment vertical="center"/>
    </xf>
    <xf numFmtId="164" fontId="7" fillId="8" borderId="2" xfId="1" applyNumberFormat="1" applyFont="1" applyFill="1" applyBorder="1" applyAlignment="1">
      <alignment vertical="center"/>
    </xf>
    <xf numFmtId="16" fontId="3" fillId="8" borderId="12" xfId="0" quotePrefix="1" applyNumberFormat="1" applyFont="1" applyFill="1" applyBorder="1" applyAlignment="1"/>
    <xf numFmtId="164" fontId="3" fillId="8" borderId="2" xfId="1" applyNumberFormat="1" applyFont="1" applyFill="1" applyBorder="1" applyAlignment="1">
      <alignment horizontal="center" vertical="center"/>
    </xf>
    <xf numFmtId="164" fontId="6" fillId="8" borderId="2" xfId="1" applyNumberFormat="1" applyFont="1" applyFill="1" applyBorder="1" applyAlignment="1">
      <alignment vertical="center"/>
    </xf>
    <xf numFmtId="164" fontId="6" fillId="8" borderId="2" xfId="1" applyNumberFormat="1" applyFont="1" applyFill="1" applyBorder="1" applyAlignment="1">
      <alignment horizontal="center"/>
    </xf>
    <xf numFmtId="164" fontId="14" fillId="8" borderId="2" xfId="1" applyNumberFormat="1" applyFont="1" applyFill="1" applyBorder="1" applyAlignment="1">
      <alignment vertical="center" wrapText="1"/>
    </xf>
    <xf numFmtId="0" fontId="3" fillId="8" borderId="12" xfId="0" quotePrefix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center" vertical="center" wrapText="1"/>
    </xf>
    <xf numFmtId="164" fontId="2" fillId="2" borderId="1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11" xfId="0" quotePrefix="1" applyFont="1" applyBorder="1" applyAlignment="1">
      <alignment horizontal="center" vertical="center"/>
    </xf>
    <xf numFmtId="0" fontId="9" fillId="0" borderId="12" xfId="0" quotePrefix="1" applyFont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1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2" borderId="10" xfId="1" applyNumberFormat="1" applyFont="1" applyFill="1" applyBorder="1" applyAlignment="1">
      <alignment horizontal="center" vertical="center" wrapText="1"/>
    </xf>
    <xf numFmtId="14" fontId="3" fillId="2" borderId="8" xfId="0" quotePrefix="1" applyNumberFormat="1" applyFont="1" applyFill="1" applyBorder="1" applyAlignment="1">
      <alignment horizontal="center" vertical="center"/>
    </xf>
    <xf numFmtId="14" fontId="3" fillId="2" borderId="11" xfId="0" quotePrefix="1" applyNumberFormat="1" applyFont="1" applyFill="1" applyBorder="1" applyAlignment="1">
      <alignment horizontal="center" vertical="center"/>
    </xf>
    <xf numFmtId="14" fontId="3" fillId="2" borderId="12" xfId="0" quotePrefix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0" fontId="9" fillId="3" borderId="8" xfId="0" quotePrefix="1" applyFont="1" applyFill="1" applyBorder="1" applyAlignment="1">
      <alignment horizontal="center" vertical="center"/>
    </xf>
    <xf numFmtId="0" fontId="9" fillId="3" borderId="12" xfId="0" quotePrefix="1" applyFont="1" applyFill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9" fillId="3" borderId="11" xfId="0" quotePrefix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4" fontId="9" fillId="2" borderId="8" xfId="0" quotePrefix="1" applyNumberFormat="1" applyFont="1" applyFill="1" applyBorder="1" applyAlignment="1">
      <alignment horizontal="center" vertical="center"/>
    </xf>
    <xf numFmtId="14" fontId="9" fillId="2" borderId="12" xfId="0" quotePrefix="1" applyNumberFormat="1" applyFont="1" applyFill="1" applyBorder="1" applyAlignment="1">
      <alignment horizontal="center" vertical="center"/>
    </xf>
    <xf numFmtId="14" fontId="9" fillId="2" borderId="11" xfId="0" quotePrefix="1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1" fontId="2" fillId="2" borderId="3" xfId="0" applyNumberFormat="1" applyFont="1" applyFill="1" applyBorder="1" applyAlignment="1">
      <alignment horizontal="center" vertical="center" wrapText="1"/>
    </xf>
    <xf numFmtId="41" fontId="2" fillId="2" borderId="5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1" fontId="2" fillId="2" borderId="4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4" xfId="1" applyNumberFormat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center" vertical="center" wrapText="1"/>
    </xf>
    <xf numFmtId="0" fontId="3" fillId="3" borderId="8" xfId="0" quotePrefix="1" applyFont="1" applyFill="1" applyBorder="1" applyAlignment="1">
      <alignment horizontal="center" vertical="center"/>
    </xf>
    <xf numFmtId="0" fontId="3" fillId="3" borderId="12" xfId="0" quotePrefix="1" applyFont="1" applyFill="1" applyBorder="1" applyAlignment="1">
      <alignment horizontal="center" vertical="center"/>
    </xf>
    <xf numFmtId="164" fontId="3" fillId="2" borderId="8" xfId="1" quotePrefix="1" applyNumberFormat="1" applyFont="1" applyFill="1" applyBorder="1" applyAlignment="1">
      <alignment horizontal="center" vertical="center"/>
    </xf>
    <xf numFmtId="164" fontId="3" fillId="2" borderId="11" xfId="1" quotePrefix="1" applyNumberFormat="1" applyFont="1" applyFill="1" applyBorder="1" applyAlignment="1">
      <alignment horizontal="center" vertical="center"/>
    </xf>
    <xf numFmtId="164" fontId="3" fillId="2" borderId="12" xfId="1" quotePrefix="1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14" fillId="2" borderId="8" xfId="1" applyNumberFormat="1" applyFont="1" applyFill="1" applyBorder="1" applyAlignment="1">
      <alignment horizontal="center" vertical="center"/>
    </xf>
    <xf numFmtId="164" fontId="14" fillId="2" borderId="12" xfId="1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164" fontId="14" fillId="2" borderId="11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4" fontId="6" fillId="2" borderId="8" xfId="1" quotePrefix="1" applyNumberFormat="1" applyFont="1" applyFill="1" applyBorder="1" applyAlignment="1">
      <alignment horizontal="center" vertical="center"/>
    </xf>
    <xf numFmtId="164" fontId="6" fillId="2" borderId="12" xfId="1" quotePrefix="1" applyNumberFormat="1" applyFont="1" applyFill="1" applyBorder="1" applyAlignment="1">
      <alignment horizontal="center" vertical="center"/>
    </xf>
    <xf numFmtId="14" fontId="6" fillId="2" borderId="8" xfId="0" quotePrefix="1" applyNumberFormat="1" applyFont="1" applyFill="1" applyBorder="1" applyAlignment="1">
      <alignment horizontal="center" vertical="center"/>
    </xf>
    <xf numFmtId="14" fontId="6" fillId="2" borderId="12" xfId="0" quotePrefix="1" applyNumberFormat="1" applyFont="1" applyFill="1" applyBorder="1" applyAlignment="1">
      <alignment horizontal="center" vertical="center"/>
    </xf>
    <xf numFmtId="14" fontId="3" fillId="3" borderId="8" xfId="0" quotePrefix="1" applyNumberFormat="1" applyFont="1" applyFill="1" applyBorder="1" applyAlignment="1">
      <alignment horizontal="center" vertical="center"/>
    </xf>
    <xf numFmtId="14" fontId="3" fillId="3" borderId="12" xfId="0" quotePrefix="1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 wrapText="1"/>
    </xf>
    <xf numFmtId="164" fontId="7" fillId="2" borderId="12" xfId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64" fontId="9" fillId="2" borderId="8" xfId="1" applyNumberFormat="1" applyFont="1" applyFill="1" applyBorder="1" applyAlignment="1">
      <alignment horizontal="center" vertical="center"/>
    </xf>
    <xf numFmtId="164" fontId="9" fillId="2" borderId="11" xfId="1" applyNumberFormat="1" applyFont="1" applyFill="1" applyBorder="1" applyAlignment="1">
      <alignment horizontal="center" vertical="center"/>
    </xf>
    <xf numFmtId="164" fontId="9" fillId="2" borderId="12" xfId="1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167" fontId="2" fillId="2" borderId="5" xfId="1" applyNumberFormat="1" applyFont="1" applyFill="1" applyBorder="1" applyAlignment="1">
      <alignment horizontal="center" vertical="center" wrapText="1"/>
    </xf>
    <xf numFmtId="164" fontId="14" fillId="2" borderId="8" xfId="1" applyNumberFormat="1" applyFont="1" applyFill="1" applyBorder="1" applyAlignment="1">
      <alignment horizontal="center" vertical="center" wrapText="1"/>
    </xf>
    <xf numFmtId="164" fontId="14" fillId="2" borderId="12" xfId="1" applyNumberFormat="1" applyFont="1" applyFill="1" applyBorder="1" applyAlignment="1">
      <alignment horizontal="center" vertical="center" wrapText="1"/>
    </xf>
    <xf numFmtId="164" fontId="14" fillId="2" borderId="11" xfId="1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</cellXfs>
  <cellStyles count="4">
    <cellStyle name="Comma" xfId="1" builtinId="3"/>
    <cellStyle name="Comma 4 2" xfId="2"/>
    <cellStyle name="Comma 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N-TM%2012.2023/3.%20DIEU%20XE/2.%20PH&#205;%20VC/PHI%20VAN%20CHUYEN%20T4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 NGUYEN (2)"/>
      <sheetName val="TH"/>
      <sheetName val="A VIEN"/>
      <sheetName val="A HIEU"/>
      <sheetName val="A VINH"/>
      <sheetName val="NGOC DIEM"/>
      <sheetName val="A DUNG"/>
      <sheetName val="A TU"/>
      <sheetName val="CHU SANG"/>
      <sheetName val="CHU HOANG"/>
      <sheetName val="A HUU"/>
      <sheetName val="A TRON"/>
      <sheetName val="A TUẤN"/>
      <sheetName val="A THANH"/>
      <sheetName val="MANG NHUA"/>
      <sheetName val="TMC "/>
      <sheetName val="A HA"/>
      <sheetName val="A CAM"/>
      <sheetName val="TH 2022"/>
      <sheetName val="AN NGUYEN (PHE LIEU )"/>
      <sheetName val="QUY CACH THUNG XE"/>
      <sheetName val="DIA CHI "/>
    </sheetNames>
    <sheetDataSet>
      <sheetData sheetId="0"/>
      <sheetData sheetId="1"/>
      <sheetData sheetId="2">
        <row r="1">
          <cell r="A1" t="str">
            <v xml:space="preserve">2024年04销路运费 </v>
          </cell>
        </row>
        <row r="3">
          <cell r="A3" t="str">
            <v xml:space="preserve"> THÁNG 04 NĂM 2024</v>
          </cell>
        </row>
        <row r="55">
          <cell r="G55" t="str">
            <v>Đặng Thị Mỹ Tin</v>
          </cell>
        </row>
      </sheetData>
      <sheetData sheetId="3"/>
      <sheetData sheetId="4"/>
      <sheetData sheetId="5"/>
      <sheetData sheetId="6"/>
      <sheetData sheetId="7">
        <row r="43">
          <cell r="K43">
            <v>0</v>
          </cell>
          <cell r="O43">
            <v>0</v>
          </cell>
          <cell r="P43">
            <v>31910000</v>
          </cell>
        </row>
      </sheetData>
      <sheetData sheetId="8"/>
      <sheetData sheetId="9">
        <row r="65">
          <cell r="L65">
            <v>8242200</v>
          </cell>
          <cell r="N65">
            <v>730000</v>
          </cell>
          <cell r="P65">
            <v>0</v>
          </cell>
          <cell r="Q65">
            <v>38632200</v>
          </cell>
        </row>
      </sheetData>
      <sheetData sheetId="10"/>
      <sheetData sheetId="11">
        <row r="47">
          <cell r="L47">
            <v>34900000</v>
          </cell>
          <cell r="N47">
            <v>100000</v>
          </cell>
          <cell r="P47">
            <v>1600000</v>
          </cell>
          <cell r="Q47">
            <v>43900000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B2" zoomScale="90" zoomScaleNormal="90" workbookViewId="0">
      <selection activeCell="B51" sqref="B8:B54"/>
    </sheetView>
  </sheetViews>
  <sheetFormatPr defaultColWidth="9.109375" defaultRowHeight="13.8"/>
  <cols>
    <col min="1" max="1" width="10" style="1" hidden="1" customWidth="1"/>
    <col min="2" max="2" width="15.21875" style="50" customWidth="1"/>
    <col min="3" max="3" width="14.88671875" style="3" hidden="1" customWidth="1"/>
    <col min="4" max="4" width="21" style="3" hidden="1" customWidth="1"/>
    <col min="5" max="5" width="17.109375" style="51" customWidth="1"/>
    <col min="6" max="6" width="14.33203125" style="52" hidden="1" customWidth="1"/>
    <col min="7" max="7" width="14.44140625" style="45" hidden="1" customWidth="1"/>
    <col min="8" max="8" width="17.44140625" style="45" hidden="1" customWidth="1"/>
    <col min="9" max="9" width="17.44140625" style="45" customWidth="1"/>
    <col min="10" max="10" width="15.44140625" style="44" hidden="1" customWidth="1"/>
    <col min="11" max="11" width="18.44140625" style="7" hidden="1" customWidth="1"/>
    <col min="12" max="13" width="16.88671875" style="7" hidden="1" customWidth="1"/>
    <col min="14" max="15" width="14.6640625" style="7" hidden="1" customWidth="1"/>
    <col min="16" max="16" width="15.33203125" style="7" hidden="1" customWidth="1"/>
    <col min="17" max="17" width="17.109375" style="7" customWidth="1"/>
    <col min="18" max="18" width="38.21875" style="3" hidden="1" customWidth="1"/>
    <col min="19" max="19" width="16.44140625" style="1" customWidth="1"/>
    <col min="20" max="16384" width="9.109375" style="1"/>
  </cols>
  <sheetData>
    <row r="1" spans="1:19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</row>
    <row r="2" spans="1:19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9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</row>
    <row r="4" spans="1:19">
      <c r="A4" s="252" t="s">
        <v>39</v>
      </c>
      <c r="B4" s="252"/>
      <c r="C4" s="252"/>
      <c r="D4" s="252"/>
      <c r="E4" s="3"/>
      <c r="F4" s="3"/>
      <c r="G4" s="4"/>
      <c r="H4" s="4"/>
      <c r="I4" s="4"/>
      <c r="J4" s="4"/>
    </row>
    <row r="5" spans="1:19" s="9" customFormat="1" ht="29.25" customHeight="1">
      <c r="A5" s="239" t="s">
        <v>2</v>
      </c>
      <c r="B5" s="239" t="s">
        <v>3</v>
      </c>
      <c r="C5" s="239" t="s">
        <v>4</v>
      </c>
      <c r="D5" s="239" t="s">
        <v>5</v>
      </c>
      <c r="E5" s="239" t="s">
        <v>6</v>
      </c>
      <c r="F5" s="239"/>
      <c r="G5" s="253" t="s">
        <v>7</v>
      </c>
      <c r="H5" s="253"/>
      <c r="I5" s="253"/>
      <c r="J5" s="253"/>
      <c r="K5" s="254" t="s">
        <v>8</v>
      </c>
      <c r="L5" s="255" t="s">
        <v>9</v>
      </c>
      <c r="M5" s="256"/>
      <c r="N5" s="235" t="s">
        <v>10</v>
      </c>
      <c r="O5" s="235"/>
      <c r="P5" s="236" t="s">
        <v>11</v>
      </c>
      <c r="Q5" s="235" t="s">
        <v>12</v>
      </c>
      <c r="R5" s="249" t="s">
        <v>13</v>
      </c>
    </row>
    <row r="6" spans="1:19" s="9" customFormat="1" ht="23.25" customHeight="1">
      <c r="A6" s="239"/>
      <c r="B6" s="239"/>
      <c r="C6" s="239"/>
      <c r="D6" s="239"/>
      <c r="E6" s="239" t="s">
        <v>14</v>
      </c>
      <c r="F6" s="239" t="s">
        <v>15</v>
      </c>
      <c r="G6" s="176" t="s">
        <v>16</v>
      </c>
      <c r="H6" s="235" t="s">
        <v>17</v>
      </c>
      <c r="I6" s="235"/>
      <c r="J6" s="235"/>
      <c r="K6" s="254"/>
      <c r="L6" s="257"/>
      <c r="M6" s="258"/>
      <c r="N6" s="235"/>
      <c r="O6" s="235"/>
      <c r="P6" s="237"/>
      <c r="Q6" s="235"/>
      <c r="R6" s="249"/>
    </row>
    <row r="7" spans="1:19" s="9" customFormat="1" ht="22.5" customHeight="1">
      <c r="A7" s="239"/>
      <c r="B7" s="239"/>
      <c r="C7" s="239"/>
      <c r="D7" s="239"/>
      <c r="E7" s="239"/>
      <c r="F7" s="239"/>
      <c r="G7" s="176" t="s">
        <v>19</v>
      </c>
      <c r="H7" s="176" t="s">
        <v>20</v>
      </c>
      <c r="I7" s="185"/>
      <c r="J7" s="176" t="s">
        <v>19</v>
      </c>
      <c r="K7" s="254"/>
      <c r="L7" s="176" t="s">
        <v>16</v>
      </c>
      <c r="M7" s="10" t="s">
        <v>17</v>
      </c>
      <c r="N7" s="176" t="s">
        <v>16</v>
      </c>
      <c r="O7" s="129" t="s">
        <v>17</v>
      </c>
      <c r="P7" s="238"/>
      <c r="Q7" s="235"/>
      <c r="R7" s="249"/>
    </row>
    <row r="8" spans="1:19" s="9" customFormat="1" ht="23.4" customHeight="1">
      <c r="A8" s="240">
        <v>1</v>
      </c>
      <c r="B8" s="265" t="s">
        <v>119</v>
      </c>
      <c r="C8" s="166">
        <v>23</v>
      </c>
      <c r="D8" s="166" t="s">
        <v>120</v>
      </c>
      <c r="E8" s="166" t="s">
        <v>121</v>
      </c>
      <c r="F8" s="166"/>
      <c r="G8" s="117"/>
      <c r="H8" s="58">
        <v>24000</v>
      </c>
      <c r="I8" s="58">
        <f>SUM(G8,J8)</f>
        <v>552</v>
      </c>
      <c r="J8" s="170">
        <v>552</v>
      </c>
      <c r="K8" s="128"/>
      <c r="L8" s="15"/>
      <c r="M8" s="262">
        <v>1300000</v>
      </c>
      <c r="N8" s="179"/>
      <c r="O8" s="15"/>
      <c r="P8" s="19"/>
      <c r="Q8" s="246">
        <f>SUM(L8:P10)</f>
        <v>1300000</v>
      </c>
      <c r="R8" s="184" t="s">
        <v>21</v>
      </c>
      <c r="S8" s="9">
        <v>1350</v>
      </c>
    </row>
    <row r="9" spans="1:19" s="9" customFormat="1" ht="23.4" customHeight="1">
      <c r="A9" s="241"/>
      <c r="B9" s="266"/>
      <c r="C9" s="166">
        <v>24</v>
      </c>
      <c r="D9" s="166" t="s">
        <v>120</v>
      </c>
      <c r="E9" s="166" t="s">
        <v>122</v>
      </c>
      <c r="F9" s="166"/>
      <c r="G9" s="117"/>
      <c r="H9" s="58">
        <v>11000</v>
      </c>
      <c r="I9" s="58">
        <f t="shared" ref="I9:I54" si="0">SUM(G9,J9)</f>
        <v>268</v>
      </c>
      <c r="J9" s="170">
        <v>268</v>
      </c>
      <c r="K9" s="128"/>
      <c r="L9" s="15"/>
      <c r="M9" s="263"/>
      <c r="N9" s="15"/>
      <c r="O9" s="15"/>
      <c r="P9" s="19"/>
      <c r="Q9" s="247"/>
      <c r="R9" s="59"/>
    </row>
    <row r="10" spans="1:19" s="9" customFormat="1" ht="23.4" customHeight="1">
      <c r="A10" s="242"/>
      <c r="B10" s="267"/>
      <c r="C10" s="166">
        <v>13</v>
      </c>
      <c r="D10" s="166" t="s">
        <v>123</v>
      </c>
      <c r="E10" s="166" t="s">
        <v>124</v>
      </c>
      <c r="F10" s="166"/>
      <c r="G10" s="58"/>
      <c r="H10" s="88">
        <v>20000</v>
      </c>
      <c r="I10" s="58">
        <f t="shared" si="0"/>
        <v>218</v>
      </c>
      <c r="J10" s="170">
        <v>218</v>
      </c>
      <c r="K10" s="128"/>
      <c r="L10" s="22"/>
      <c r="M10" s="264"/>
      <c r="N10" s="15"/>
      <c r="O10" s="15"/>
      <c r="P10" s="19"/>
      <c r="Q10" s="248"/>
      <c r="R10" s="59"/>
    </row>
    <row r="11" spans="1:19" s="9" customFormat="1" ht="23.4" customHeight="1">
      <c r="A11" s="179">
        <v>2</v>
      </c>
      <c r="B11" s="189" t="s">
        <v>125</v>
      </c>
      <c r="C11" s="166" t="s">
        <v>126</v>
      </c>
      <c r="D11" s="166" t="s">
        <v>50</v>
      </c>
      <c r="E11" s="166" t="s">
        <v>127</v>
      </c>
      <c r="F11" s="166"/>
      <c r="G11" s="117"/>
      <c r="H11" s="58">
        <f>23200+33660</f>
        <v>56860</v>
      </c>
      <c r="I11" s="58">
        <f t="shared" si="0"/>
        <v>1399</v>
      </c>
      <c r="J11" s="170">
        <f>328+1071</f>
        <v>1399</v>
      </c>
      <c r="K11" s="169"/>
      <c r="L11" s="11"/>
      <c r="M11" s="15">
        <v>1050000</v>
      </c>
      <c r="N11" s="179"/>
      <c r="O11" s="15"/>
      <c r="P11" s="19"/>
      <c r="Q11" s="16">
        <f>SUM(L11:P11)</f>
        <v>1050000</v>
      </c>
      <c r="R11" s="84" t="s">
        <v>21</v>
      </c>
    </row>
    <row r="12" spans="1:19" s="9" customFormat="1" ht="23.4" customHeight="1">
      <c r="A12" s="179">
        <v>3</v>
      </c>
      <c r="B12" s="189" t="s">
        <v>125</v>
      </c>
      <c r="C12" s="166" t="s">
        <v>72</v>
      </c>
      <c r="D12" s="166" t="s">
        <v>128</v>
      </c>
      <c r="E12" s="166" t="s">
        <v>122</v>
      </c>
      <c r="F12" s="166"/>
      <c r="G12" s="117">
        <f>200+2001</f>
        <v>2201</v>
      </c>
      <c r="H12" s="58"/>
      <c r="I12" s="58">
        <f t="shared" si="0"/>
        <v>2201</v>
      </c>
      <c r="J12" s="170"/>
      <c r="K12" s="169">
        <v>2310</v>
      </c>
      <c r="L12" s="22">
        <v>1100000</v>
      </c>
      <c r="M12" s="15"/>
      <c r="N12" s="15"/>
      <c r="O12" s="15"/>
      <c r="P12" s="19"/>
      <c r="Q12" s="16">
        <f t="shared" ref="Q12:Q37" si="1">SUM(L12:P12)</f>
        <v>1100000</v>
      </c>
      <c r="R12" s="59"/>
      <c r="S12" s="9">
        <v>1300</v>
      </c>
    </row>
    <row r="13" spans="1:19" s="9" customFormat="1" ht="23.4" customHeight="1">
      <c r="A13" s="240">
        <v>4</v>
      </c>
      <c r="B13" s="259" t="s">
        <v>129</v>
      </c>
      <c r="C13" s="166">
        <v>14</v>
      </c>
      <c r="D13" s="166" t="s">
        <v>86</v>
      </c>
      <c r="E13" s="166" t="s">
        <v>122</v>
      </c>
      <c r="F13" s="166"/>
      <c r="G13" s="117"/>
      <c r="H13" s="58">
        <v>30000</v>
      </c>
      <c r="I13" s="58">
        <f t="shared" si="0"/>
        <v>637</v>
      </c>
      <c r="J13" s="170">
        <v>637</v>
      </c>
      <c r="K13" s="126"/>
      <c r="L13" s="179"/>
      <c r="M13" s="262">
        <v>1250000</v>
      </c>
      <c r="N13" s="15"/>
      <c r="O13" s="15"/>
      <c r="P13" s="19"/>
      <c r="Q13" s="246">
        <f>SUM(L13:P15)</f>
        <v>1250000</v>
      </c>
      <c r="R13" s="84" t="s">
        <v>21</v>
      </c>
    </row>
    <row r="14" spans="1:19" s="9" customFormat="1" ht="23.4" customHeight="1">
      <c r="A14" s="241"/>
      <c r="B14" s="260"/>
      <c r="C14" s="166">
        <v>13</v>
      </c>
      <c r="D14" s="166" t="s">
        <v>76</v>
      </c>
      <c r="E14" s="166" t="s">
        <v>130</v>
      </c>
      <c r="F14" s="166"/>
      <c r="G14" s="117"/>
      <c r="H14" s="58">
        <v>16910</v>
      </c>
      <c r="I14" s="58">
        <f t="shared" si="0"/>
        <v>225</v>
      </c>
      <c r="J14" s="170">
        <v>225</v>
      </c>
      <c r="K14" s="182"/>
      <c r="L14" s="22"/>
      <c r="M14" s="263"/>
      <c r="N14" s="15"/>
      <c r="O14" s="15"/>
      <c r="P14" s="19"/>
      <c r="Q14" s="247"/>
      <c r="R14" s="184"/>
    </row>
    <row r="15" spans="1:19" s="9" customFormat="1" ht="23.4" customHeight="1">
      <c r="A15" s="242"/>
      <c r="B15" s="261"/>
      <c r="C15" s="166">
        <v>27</v>
      </c>
      <c r="D15" s="166" t="s">
        <v>131</v>
      </c>
      <c r="E15" s="166" t="s">
        <v>132</v>
      </c>
      <c r="F15" s="166"/>
      <c r="G15" s="117"/>
      <c r="H15" s="58">
        <v>21100</v>
      </c>
      <c r="I15" s="58">
        <f t="shared" si="0"/>
        <v>615</v>
      </c>
      <c r="J15" s="170">
        <v>615</v>
      </c>
      <c r="K15" s="126"/>
      <c r="L15" s="22"/>
      <c r="M15" s="264"/>
      <c r="N15" s="15"/>
      <c r="O15" s="15"/>
      <c r="P15" s="19"/>
      <c r="Q15" s="248"/>
      <c r="R15" s="85"/>
    </row>
    <row r="16" spans="1:19" s="9" customFormat="1" ht="23.4" customHeight="1">
      <c r="A16" s="240">
        <v>5</v>
      </c>
      <c r="B16" s="268" t="s">
        <v>133</v>
      </c>
      <c r="C16" s="166">
        <v>21</v>
      </c>
      <c r="D16" s="166" t="s">
        <v>101</v>
      </c>
      <c r="E16" s="166" t="s">
        <v>106</v>
      </c>
      <c r="F16" s="166"/>
      <c r="G16" s="117">
        <v>1000</v>
      </c>
      <c r="H16" s="58"/>
      <c r="I16" s="58">
        <f t="shared" si="0"/>
        <v>1000</v>
      </c>
      <c r="J16" s="170"/>
      <c r="K16" s="271">
        <v>1810</v>
      </c>
      <c r="L16" s="119">
        <v>500000</v>
      </c>
      <c r="M16" s="22"/>
      <c r="N16" s="15">
        <v>300000</v>
      </c>
      <c r="O16" s="15"/>
      <c r="P16" s="19"/>
      <c r="Q16" s="246">
        <f>SUM(L16:P18)</f>
        <v>1500000</v>
      </c>
      <c r="R16" s="111" t="s">
        <v>134</v>
      </c>
    </row>
    <row r="17" spans="1:19" s="9" customFormat="1" ht="23.4" customHeight="1">
      <c r="A17" s="241"/>
      <c r="B17" s="269"/>
      <c r="C17" s="166">
        <v>26</v>
      </c>
      <c r="D17" s="166" t="s">
        <v>109</v>
      </c>
      <c r="E17" s="166" t="s">
        <v>110</v>
      </c>
      <c r="F17" s="166"/>
      <c r="G17" s="117"/>
      <c r="H17" s="58">
        <v>24540</v>
      </c>
      <c r="I17" s="58">
        <f t="shared" si="0"/>
        <v>260</v>
      </c>
      <c r="J17" s="170">
        <v>260</v>
      </c>
      <c r="K17" s="272"/>
      <c r="L17" s="15"/>
      <c r="M17" s="274">
        <v>700000</v>
      </c>
      <c r="N17" s="22"/>
      <c r="O17" s="15"/>
      <c r="P17" s="19"/>
      <c r="Q17" s="247"/>
      <c r="R17" s="59"/>
    </row>
    <row r="18" spans="1:19" s="9" customFormat="1" ht="23.4" customHeight="1">
      <c r="A18" s="242"/>
      <c r="B18" s="270"/>
      <c r="C18" s="166">
        <v>26</v>
      </c>
      <c r="D18" s="166" t="s">
        <v>73</v>
      </c>
      <c r="E18" s="166" t="s">
        <v>105</v>
      </c>
      <c r="F18" s="166"/>
      <c r="G18" s="117"/>
      <c r="H18" s="58">
        <v>72000</v>
      </c>
      <c r="I18" s="58">
        <f t="shared" si="0"/>
        <v>550</v>
      </c>
      <c r="J18" s="170">
        <v>550</v>
      </c>
      <c r="K18" s="273"/>
      <c r="L18" s="25"/>
      <c r="M18" s="275"/>
      <c r="N18" s="22"/>
      <c r="O18" s="15"/>
      <c r="P18" s="19"/>
      <c r="Q18" s="248"/>
      <c r="R18" s="84"/>
    </row>
    <row r="19" spans="1:19" s="9" customFormat="1" ht="23.4" customHeight="1">
      <c r="A19" s="179">
        <v>6</v>
      </c>
      <c r="B19" s="67" t="s">
        <v>135</v>
      </c>
      <c r="C19" s="166">
        <v>2</v>
      </c>
      <c r="D19" s="166" t="s">
        <v>136</v>
      </c>
      <c r="E19" s="166" t="s">
        <v>122</v>
      </c>
      <c r="F19" s="166"/>
      <c r="G19" s="117"/>
      <c r="H19" s="58">
        <v>56200</v>
      </c>
      <c r="I19" s="58">
        <f t="shared" si="0"/>
        <v>1399</v>
      </c>
      <c r="J19" s="170">
        <v>1399</v>
      </c>
      <c r="K19" s="179"/>
      <c r="L19" s="25"/>
      <c r="M19" s="22">
        <v>1150000</v>
      </c>
      <c r="N19" s="22"/>
      <c r="O19" s="15"/>
      <c r="P19" s="19"/>
      <c r="Q19" s="16">
        <f t="shared" si="1"/>
        <v>1150000</v>
      </c>
      <c r="R19" s="184" t="s">
        <v>21</v>
      </c>
    </row>
    <row r="20" spans="1:19" s="9" customFormat="1" ht="23.4" customHeight="1">
      <c r="A20" s="179">
        <v>7</v>
      </c>
      <c r="B20" s="67" t="s">
        <v>137</v>
      </c>
      <c r="C20" s="166" t="s">
        <v>138</v>
      </c>
      <c r="D20" s="166" t="s">
        <v>48</v>
      </c>
      <c r="E20" s="166" t="s">
        <v>124</v>
      </c>
      <c r="F20" s="166"/>
      <c r="G20" s="117"/>
      <c r="H20" s="58">
        <f>20000+120000</f>
        <v>140000</v>
      </c>
      <c r="I20" s="58">
        <f t="shared" si="0"/>
        <v>840</v>
      </c>
      <c r="J20" s="170">
        <f>480+360</f>
        <v>840</v>
      </c>
      <c r="K20" s="126"/>
      <c r="L20" s="25"/>
      <c r="M20" s="22">
        <v>1200000</v>
      </c>
      <c r="N20" s="22">
        <v>500000</v>
      </c>
      <c r="O20" s="19"/>
      <c r="P20" s="19"/>
      <c r="Q20" s="16">
        <f t="shared" si="1"/>
        <v>1700000</v>
      </c>
      <c r="R20" s="111" t="s">
        <v>139</v>
      </c>
    </row>
    <row r="21" spans="1:19" s="9" customFormat="1" ht="23.4" customHeight="1">
      <c r="A21" s="240">
        <v>8</v>
      </c>
      <c r="B21" s="259" t="s">
        <v>140</v>
      </c>
      <c r="C21" s="166">
        <v>24</v>
      </c>
      <c r="D21" s="166" t="s">
        <v>76</v>
      </c>
      <c r="E21" s="166" t="s">
        <v>75</v>
      </c>
      <c r="F21" s="166"/>
      <c r="G21" s="117"/>
      <c r="H21" s="58">
        <v>25100</v>
      </c>
      <c r="I21" s="58">
        <f t="shared" si="0"/>
        <v>353</v>
      </c>
      <c r="J21" s="170">
        <v>353</v>
      </c>
      <c r="K21" s="126"/>
      <c r="L21" s="25"/>
      <c r="M21" s="274">
        <v>1250000</v>
      </c>
      <c r="N21" s="22"/>
      <c r="O21" s="19"/>
      <c r="P21" s="19"/>
      <c r="Q21" s="246">
        <f t="shared" si="1"/>
        <v>1250000</v>
      </c>
      <c r="R21" s="184"/>
    </row>
    <row r="22" spans="1:19" s="9" customFormat="1" ht="23.4" customHeight="1">
      <c r="A22" s="242"/>
      <c r="B22" s="261"/>
      <c r="C22" s="166" t="s">
        <v>141</v>
      </c>
      <c r="D22" s="166" t="s">
        <v>123</v>
      </c>
      <c r="E22" s="166" t="s">
        <v>124</v>
      </c>
      <c r="F22" s="166"/>
      <c r="G22" s="170"/>
      <c r="H22" s="88">
        <f>75000</f>
        <v>75000</v>
      </c>
      <c r="I22" s="58">
        <f t="shared" si="0"/>
        <v>424</v>
      </c>
      <c r="J22" s="170">
        <f>103+321</f>
        <v>424</v>
      </c>
      <c r="K22" s="126"/>
      <c r="L22" s="15"/>
      <c r="M22" s="275"/>
      <c r="N22" s="22"/>
      <c r="O22" s="19"/>
      <c r="P22" s="19"/>
      <c r="Q22" s="248"/>
      <c r="R22" s="184"/>
    </row>
    <row r="23" spans="1:19" s="9" customFormat="1" ht="23.4" customHeight="1">
      <c r="A23" s="179">
        <v>9</v>
      </c>
      <c r="B23" s="67" t="s">
        <v>142</v>
      </c>
      <c r="C23" s="166">
        <v>6</v>
      </c>
      <c r="D23" s="166" t="s">
        <v>143</v>
      </c>
      <c r="E23" s="166" t="s">
        <v>144</v>
      </c>
      <c r="F23" s="166"/>
      <c r="G23" s="117"/>
      <c r="H23" s="58">
        <v>135000</v>
      </c>
      <c r="I23" s="58">
        <f t="shared" si="0"/>
        <v>1494</v>
      </c>
      <c r="J23" s="170">
        <v>1494</v>
      </c>
      <c r="K23" s="169">
        <v>1630</v>
      </c>
      <c r="L23" s="15"/>
      <c r="M23" s="22">
        <v>1000000</v>
      </c>
      <c r="N23" s="22"/>
      <c r="O23" s="15"/>
      <c r="P23" s="19"/>
      <c r="Q23" s="16">
        <f t="shared" si="1"/>
        <v>1000000</v>
      </c>
      <c r="R23" s="184"/>
    </row>
    <row r="24" spans="1:19" s="9" customFormat="1" ht="23.4" customHeight="1">
      <c r="A24" s="179">
        <v>10</v>
      </c>
      <c r="B24" s="166" t="s">
        <v>145</v>
      </c>
      <c r="C24" s="166">
        <v>16</v>
      </c>
      <c r="D24" s="166" t="s">
        <v>146</v>
      </c>
      <c r="E24" s="166" t="s">
        <v>147</v>
      </c>
      <c r="F24" s="166"/>
      <c r="G24" s="117"/>
      <c r="H24" s="58">
        <v>39600</v>
      </c>
      <c r="I24" s="58">
        <f t="shared" si="0"/>
        <v>1360</v>
      </c>
      <c r="J24" s="170">
        <v>1360</v>
      </c>
      <c r="K24" s="182"/>
      <c r="L24" s="15"/>
      <c r="M24" s="22">
        <v>100000</v>
      </c>
      <c r="N24" s="22"/>
      <c r="O24" s="15"/>
      <c r="P24" s="19"/>
      <c r="Q24" s="16">
        <f t="shared" si="1"/>
        <v>100000</v>
      </c>
      <c r="R24" s="84" t="s">
        <v>21</v>
      </c>
    </row>
    <row r="25" spans="1:19" s="9" customFormat="1" ht="23.4" customHeight="1">
      <c r="A25" s="179">
        <v>11</v>
      </c>
      <c r="B25" s="66" t="s">
        <v>148</v>
      </c>
      <c r="C25" s="166">
        <v>15</v>
      </c>
      <c r="D25" s="166" t="s">
        <v>48</v>
      </c>
      <c r="E25" s="166" t="s">
        <v>124</v>
      </c>
      <c r="F25" s="166"/>
      <c r="G25" s="117"/>
      <c r="H25" s="58">
        <v>196000</v>
      </c>
      <c r="I25" s="58">
        <f t="shared" si="0"/>
        <v>588</v>
      </c>
      <c r="J25" s="170">
        <v>588</v>
      </c>
      <c r="K25" s="182"/>
      <c r="L25" s="22"/>
      <c r="M25" s="22">
        <v>1200000</v>
      </c>
      <c r="N25" s="22"/>
      <c r="O25" s="15">
        <v>50000</v>
      </c>
      <c r="P25" s="19"/>
      <c r="Q25" s="16">
        <f t="shared" si="1"/>
        <v>1250000</v>
      </c>
      <c r="R25" s="112" t="s">
        <v>149</v>
      </c>
    </row>
    <row r="26" spans="1:19" s="9" customFormat="1" ht="23.4" customHeight="1">
      <c r="A26" s="240">
        <v>12</v>
      </c>
      <c r="B26" s="243" t="s">
        <v>150</v>
      </c>
      <c r="C26" s="166">
        <v>16</v>
      </c>
      <c r="D26" s="166" t="s">
        <v>151</v>
      </c>
      <c r="E26" s="166" t="s">
        <v>152</v>
      </c>
      <c r="F26" s="166"/>
      <c r="G26" s="117"/>
      <c r="H26" s="58">
        <v>26300</v>
      </c>
      <c r="I26" s="58">
        <f t="shared" si="0"/>
        <v>374</v>
      </c>
      <c r="J26" s="170">
        <v>374</v>
      </c>
      <c r="K26" s="182"/>
      <c r="L26" s="22"/>
      <c r="M26" s="274">
        <v>1350000</v>
      </c>
      <c r="N26" s="22"/>
      <c r="O26" s="15"/>
      <c r="P26" s="19"/>
      <c r="Q26" s="246">
        <f>SUM(L26:P29)</f>
        <v>1350000</v>
      </c>
      <c r="R26" s="84" t="s">
        <v>21</v>
      </c>
    </row>
    <row r="27" spans="1:19" s="9" customFormat="1" ht="23.4" customHeight="1">
      <c r="A27" s="241"/>
      <c r="B27" s="244"/>
      <c r="C27" s="166">
        <v>3</v>
      </c>
      <c r="D27" s="166" t="s">
        <v>153</v>
      </c>
      <c r="E27" s="166" t="s">
        <v>154</v>
      </c>
      <c r="F27" s="166"/>
      <c r="G27" s="117"/>
      <c r="H27" s="58">
        <v>7250</v>
      </c>
      <c r="I27" s="58">
        <f t="shared" si="0"/>
        <v>211</v>
      </c>
      <c r="J27" s="170">
        <v>211</v>
      </c>
      <c r="K27" s="182"/>
      <c r="L27" s="25"/>
      <c r="M27" s="278"/>
      <c r="N27" s="15"/>
      <c r="O27" s="15"/>
      <c r="P27" s="19"/>
      <c r="Q27" s="247"/>
      <c r="R27" s="112"/>
    </row>
    <row r="28" spans="1:19" s="9" customFormat="1" ht="23.4" customHeight="1">
      <c r="A28" s="241"/>
      <c r="B28" s="244"/>
      <c r="C28" s="166">
        <v>6</v>
      </c>
      <c r="D28" s="166" t="s">
        <v>155</v>
      </c>
      <c r="E28" s="166" t="s">
        <v>75</v>
      </c>
      <c r="F28" s="166"/>
      <c r="G28" s="117"/>
      <c r="H28" s="58">
        <v>9900</v>
      </c>
      <c r="I28" s="58">
        <f t="shared" si="0"/>
        <v>315</v>
      </c>
      <c r="J28" s="170">
        <v>315</v>
      </c>
      <c r="K28" s="119"/>
      <c r="L28" s="22"/>
      <c r="M28" s="278"/>
      <c r="N28" s="15"/>
      <c r="O28" s="15"/>
      <c r="P28" s="19"/>
      <c r="Q28" s="247"/>
      <c r="R28" s="59"/>
    </row>
    <row r="29" spans="1:19" s="9" customFormat="1" ht="23.4" customHeight="1">
      <c r="A29" s="242"/>
      <c r="B29" s="245"/>
      <c r="C29" s="166">
        <v>7</v>
      </c>
      <c r="D29" s="166" t="s">
        <v>156</v>
      </c>
      <c r="E29" s="166" t="s">
        <v>127</v>
      </c>
      <c r="F29" s="166"/>
      <c r="G29" s="117"/>
      <c r="H29" s="58">
        <v>12600</v>
      </c>
      <c r="I29" s="58">
        <f t="shared" si="0"/>
        <v>270</v>
      </c>
      <c r="J29" s="170">
        <v>270</v>
      </c>
      <c r="K29" s="119"/>
      <c r="L29" s="22"/>
      <c r="M29" s="275"/>
      <c r="N29" s="15"/>
      <c r="O29" s="15"/>
      <c r="P29" s="19"/>
      <c r="Q29" s="248"/>
      <c r="R29" s="112"/>
    </row>
    <row r="30" spans="1:19" s="9" customFormat="1" ht="23.4" customHeight="1">
      <c r="A30" s="179">
        <v>13</v>
      </c>
      <c r="B30" s="190" t="s">
        <v>157</v>
      </c>
      <c r="C30" s="166" t="s">
        <v>158</v>
      </c>
      <c r="D30" s="166" t="s">
        <v>48</v>
      </c>
      <c r="E30" s="166" t="s">
        <v>124</v>
      </c>
      <c r="F30" s="166"/>
      <c r="G30" s="117"/>
      <c r="H30" s="58">
        <f>40000+97000</f>
        <v>137000</v>
      </c>
      <c r="I30" s="58">
        <f t="shared" si="0"/>
        <v>959</v>
      </c>
      <c r="J30" s="170">
        <f>668+291</f>
        <v>959</v>
      </c>
      <c r="K30" s="179"/>
      <c r="L30" s="15"/>
      <c r="M30" s="15">
        <v>1200000</v>
      </c>
      <c r="N30" s="19">
        <v>600000</v>
      </c>
      <c r="O30" s="19"/>
      <c r="P30" s="19"/>
      <c r="Q30" s="16">
        <f t="shared" si="1"/>
        <v>1800000</v>
      </c>
      <c r="R30" s="59" t="s">
        <v>159</v>
      </c>
    </row>
    <row r="31" spans="1:19" s="9" customFormat="1" ht="23.4" customHeight="1">
      <c r="A31" s="240">
        <v>14</v>
      </c>
      <c r="B31" s="243" t="s">
        <v>160</v>
      </c>
      <c r="C31" s="166">
        <v>21</v>
      </c>
      <c r="D31" s="166" t="s">
        <v>76</v>
      </c>
      <c r="E31" s="166" t="s">
        <v>122</v>
      </c>
      <c r="F31" s="166"/>
      <c r="G31" s="117"/>
      <c r="H31" s="58">
        <v>51650</v>
      </c>
      <c r="I31" s="58">
        <f t="shared" si="0"/>
        <v>604</v>
      </c>
      <c r="J31" s="11">
        <v>604</v>
      </c>
      <c r="K31" s="179"/>
      <c r="L31" s="25"/>
      <c r="M31" s="15">
        <v>850000</v>
      </c>
      <c r="N31" s="19"/>
      <c r="O31" s="19"/>
      <c r="P31" s="19"/>
      <c r="Q31" s="246">
        <f>SUM(L31:P32)</f>
        <v>1250000</v>
      </c>
      <c r="R31" s="59" t="s">
        <v>21</v>
      </c>
      <c r="S31" s="9">
        <v>747</v>
      </c>
    </row>
    <row r="32" spans="1:19" s="9" customFormat="1" ht="23.4" customHeight="1">
      <c r="A32" s="242"/>
      <c r="B32" s="245"/>
      <c r="C32" s="166">
        <v>22</v>
      </c>
      <c r="D32" s="166" t="s">
        <v>95</v>
      </c>
      <c r="E32" s="166" t="s">
        <v>83</v>
      </c>
      <c r="F32" s="166"/>
      <c r="G32" s="117">
        <v>820</v>
      </c>
      <c r="H32" s="58"/>
      <c r="I32" s="58">
        <f t="shared" si="0"/>
        <v>820</v>
      </c>
      <c r="J32" s="11"/>
      <c r="K32" s="182"/>
      <c r="L32" s="22">
        <v>400000</v>
      </c>
      <c r="M32" s="15"/>
      <c r="N32" s="15"/>
      <c r="O32" s="15"/>
      <c r="P32" s="19"/>
      <c r="Q32" s="248"/>
      <c r="R32" s="59"/>
    </row>
    <row r="33" spans="1:18" s="9" customFormat="1" ht="23.4" customHeight="1">
      <c r="A33" s="179">
        <v>15</v>
      </c>
      <c r="B33" s="190" t="s">
        <v>161</v>
      </c>
      <c r="C33" s="166">
        <v>24</v>
      </c>
      <c r="D33" s="166" t="s">
        <v>131</v>
      </c>
      <c r="E33" s="166" t="s">
        <v>132</v>
      </c>
      <c r="F33" s="166"/>
      <c r="G33" s="117"/>
      <c r="H33" s="58">
        <v>54780</v>
      </c>
      <c r="I33" s="58">
        <f t="shared" si="0"/>
        <v>1743</v>
      </c>
      <c r="J33" s="170">
        <v>1743</v>
      </c>
      <c r="K33" s="182"/>
      <c r="L33" s="22"/>
      <c r="M33" s="22">
        <v>1150000</v>
      </c>
      <c r="N33" s="15">
        <v>50000</v>
      </c>
      <c r="O33" s="15"/>
      <c r="P33" s="19"/>
      <c r="Q33" s="16">
        <f t="shared" si="1"/>
        <v>1200000</v>
      </c>
      <c r="R33" s="178" t="s">
        <v>162</v>
      </c>
    </row>
    <row r="34" spans="1:18" s="9" customFormat="1" ht="23.4" customHeight="1">
      <c r="A34" s="179">
        <v>16</v>
      </c>
      <c r="B34" s="190" t="s">
        <v>163</v>
      </c>
      <c r="C34" s="166">
        <v>12</v>
      </c>
      <c r="D34" s="166" t="s">
        <v>156</v>
      </c>
      <c r="E34" s="166" t="s">
        <v>130</v>
      </c>
      <c r="F34" s="166"/>
      <c r="G34" s="117"/>
      <c r="H34" s="58">
        <v>57700</v>
      </c>
      <c r="I34" s="58">
        <f t="shared" si="0"/>
        <v>1018</v>
      </c>
      <c r="J34" s="170">
        <v>1018</v>
      </c>
      <c r="K34" s="166"/>
      <c r="L34" s="22"/>
      <c r="M34" s="22">
        <v>1100000</v>
      </c>
      <c r="N34" s="15"/>
      <c r="O34" s="15"/>
      <c r="P34" s="19"/>
      <c r="Q34" s="16">
        <f t="shared" si="1"/>
        <v>1100000</v>
      </c>
      <c r="R34" s="184"/>
    </row>
    <row r="35" spans="1:18" s="9" customFormat="1" ht="23.4" customHeight="1">
      <c r="A35" s="179">
        <v>17</v>
      </c>
      <c r="B35" s="190" t="s">
        <v>164</v>
      </c>
      <c r="C35" s="166" t="s">
        <v>165</v>
      </c>
      <c r="D35" s="166" t="s">
        <v>166</v>
      </c>
      <c r="E35" s="166" t="s">
        <v>167</v>
      </c>
      <c r="F35" s="166"/>
      <c r="G35" s="117"/>
      <c r="H35" s="117">
        <f>72400+58000</f>
        <v>130400</v>
      </c>
      <c r="I35" s="58">
        <f t="shared" si="0"/>
        <v>1191</v>
      </c>
      <c r="J35" s="166">
        <f>1017+174</f>
        <v>1191</v>
      </c>
      <c r="K35" s="182"/>
      <c r="L35" s="22"/>
      <c r="M35" s="22">
        <v>1200000</v>
      </c>
      <c r="N35" s="15"/>
      <c r="O35" s="15"/>
      <c r="P35" s="19"/>
      <c r="Q35" s="16">
        <f t="shared" si="1"/>
        <v>1200000</v>
      </c>
      <c r="R35" s="184" t="s">
        <v>21</v>
      </c>
    </row>
    <row r="36" spans="1:18" s="9" customFormat="1" ht="23.4" customHeight="1">
      <c r="A36" s="179">
        <v>18</v>
      </c>
      <c r="B36" s="190" t="s">
        <v>168</v>
      </c>
      <c r="C36" s="166" t="s">
        <v>169</v>
      </c>
      <c r="D36" s="166" t="s">
        <v>48</v>
      </c>
      <c r="E36" s="166" t="s">
        <v>124</v>
      </c>
      <c r="F36" s="166"/>
      <c r="G36" s="117"/>
      <c r="H36" s="117">
        <f>47000+101000</f>
        <v>148000</v>
      </c>
      <c r="I36" s="58">
        <f t="shared" si="0"/>
        <v>896</v>
      </c>
      <c r="J36" s="166">
        <f>593+303</f>
        <v>896</v>
      </c>
      <c r="K36" s="182"/>
      <c r="L36" s="22"/>
      <c r="M36" s="22">
        <v>1200000</v>
      </c>
      <c r="N36" s="15"/>
      <c r="O36" s="15"/>
      <c r="P36" s="19"/>
      <c r="Q36" s="16">
        <f t="shared" si="1"/>
        <v>1200000</v>
      </c>
      <c r="R36" s="184" t="s">
        <v>21</v>
      </c>
    </row>
    <row r="37" spans="1:18" s="9" customFormat="1" ht="23.4" customHeight="1">
      <c r="A37" s="179">
        <v>19</v>
      </c>
      <c r="B37" s="190" t="s">
        <v>170</v>
      </c>
      <c r="C37" s="166">
        <v>24</v>
      </c>
      <c r="D37" s="166" t="s">
        <v>89</v>
      </c>
      <c r="E37" s="166" t="s">
        <v>69</v>
      </c>
      <c r="F37" s="166"/>
      <c r="G37" s="117"/>
      <c r="H37" s="117">
        <v>56300</v>
      </c>
      <c r="I37" s="58">
        <f t="shared" si="0"/>
        <v>928</v>
      </c>
      <c r="J37" s="166">
        <v>928</v>
      </c>
      <c r="K37" s="182"/>
      <c r="L37" s="22"/>
      <c r="M37" s="22">
        <v>1150000</v>
      </c>
      <c r="N37" s="15"/>
      <c r="O37" s="15">
        <v>100000</v>
      </c>
      <c r="P37" s="19"/>
      <c r="Q37" s="16">
        <f t="shared" si="1"/>
        <v>1250000</v>
      </c>
      <c r="R37" s="178" t="s">
        <v>171</v>
      </c>
    </row>
    <row r="38" spans="1:18" s="9" customFormat="1" ht="23.4" customHeight="1">
      <c r="A38" s="240">
        <v>20</v>
      </c>
      <c r="B38" s="243" t="s">
        <v>172</v>
      </c>
      <c r="C38" s="166">
        <v>7</v>
      </c>
      <c r="D38" s="166" t="s">
        <v>173</v>
      </c>
      <c r="E38" s="166" t="s">
        <v>98</v>
      </c>
      <c r="F38" s="166"/>
      <c r="G38" s="117">
        <v>600</v>
      </c>
      <c r="H38" s="117"/>
      <c r="I38" s="58">
        <f t="shared" si="0"/>
        <v>600</v>
      </c>
      <c r="J38" s="166"/>
      <c r="K38" s="128"/>
      <c r="L38" s="22">
        <v>1100000</v>
      </c>
      <c r="M38" s="22"/>
      <c r="N38" s="15"/>
      <c r="O38" s="15"/>
      <c r="P38" s="19"/>
      <c r="Q38" s="246">
        <f>SUM(L38:P40)</f>
        <v>2000000</v>
      </c>
      <c r="R38" s="184"/>
    </row>
    <row r="39" spans="1:18" s="9" customFormat="1" ht="23.4" customHeight="1">
      <c r="A39" s="241"/>
      <c r="B39" s="244"/>
      <c r="C39" s="166">
        <v>21</v>
      </c>
      <c r="D39" s="166" t="s">
        <v>174</v>
      </c>
      <c r="E39" s="166" t="s">
        <v>132</v>
      </c>
      <c r="F39" s="166"/>
      <c r="G39" s="117"/>
      <c r="H39" s="117">
        <v>13000</v>
      </c>
      <c r="I39" s="58">
        <f t="shared" si="0"/>
        <v>261</v>
      </c>
      <c r="J39" s="166">
        <v>261</v>
      </c>
      <c r="K39" s="128"/>
      <c r="L39" s="22"/>
      <c r="M39" s="274">
        <v>900000</v>
      </c>
      <c r="N39" s="15"/>
      <c r="O39" s="15"/>
      <c r="P39" s="19"/>
      <c r="Q39" s="247"/>
      <c r="R39" s="184"/>
    </row>
    <row r="40" spans="1:18" s="9" customFormat="1" ht="23.4" customHeight="1">
      <c r="A40" s="242"/>
      <c r="B40" s="245"/>
      <c r="C40" s="166">
        <v>9</v>
      </c>
      <c r="D40" s="166" t="s">
        <v>120</v>
      </c>
      <c r="E40" s="166" t="s">
        <v>175</v>
      </c>
      <c r="F40" s="166"/>
      <c r="G40" s="117"/>
      <c r="H40" s="117">
        <v>36000</v>
      </c>
      <c r="I40" s="58">
        <f t="shared" si="0"/>
        <v>674</v>
      </c>
      <c r="J40" s="166">
        <v>674</v>
      </c>
      <c r="K40" s="182"/>
      <c r="L40" s="22"/>
      <c r="M40" s="275"/>
      <c r="N40" s="15"/>
      <c r="O40" s="15"/>
      <c r="P40" s="19"/>
      <c r="Q40" s="248"/>
      <c r="R40" s="184" t="s">
        <v>21</v>
      </c>
    </row>
    <row r="41" spans="1:18" s="9" customFormat="1" ht="23.4" customHeight="1">
      <c r="A41" s="240">
        <v>21</v>
      </c>
      <c r="B41" s="243" t="s">
        <v>176</v>
      </c>
      <c r="C41" s="166"/>
      <c r="D41" s="166" t="s">
        <v>177</v>
      </c>
      <c r="E41" s="166" t="s">
        <v>53</v>
      </c>
      <c r="F41" s="166"/>
      <c r="G41" s="117"/>
      <c r="H41" s="117">
        <v>6600</v>
      </c>
      <c r="I41" s="58">
        <f t="shared" si="0"/>
        <v>275</v>
      </c>
      <c r="J41" s="166">
        <v>275</v>
      </c>
      <c r="K41" s="182"/>
      <c r="L41" s="22"/>
      <c r="M41" s="274">
        <v>650000</v>
      </c>
      <c r="N41" s="15"/>
      <c r="O41" s="15"/>
      <c r="P41" s="19"/>
      <c r="Q41" s="246">
        <f>SUM(L41:P43)</f>
        <v>1250000</v>
      </c>
      <c r="R41" s="184" t="s">
        <v>21</v>
      </c>
    </row>
    <row r="42" spans="1:18" s="9" customFormat="1" ht="23.4" customHeight="1">
      <c r="A42" s="241"/>
      <c r="B42" s="244"/>
      <c r="C42" s="166">
        <v>10</v>
      </c>
      <c r="D42" s="166" t="s">
        <v>50</v>
      </c>
      <c r="E42" s="166" t="s">
        <v>152</v>
      </c>
      <c r="F42" s="166"/>
      <c r="G42" s="117"/>
      <c r="H42" s="117">
        <v>25500</v>
      </c>
      <c r="I42" s="58">
        <f t="shared" si="0"/>
        <v>663</v>
      </c>
      <c r="J42" s="166">
        <v>663</v>
      </c>
      <c r="K42" s="166"/>
      <c r="L42" s="166"/>
      <c r="M42" s="275"/>
      <c r="N42" s="166"/>
      <c r="O42" s="117"/>
      <c r="P42" s="19"/>
      <c r="Q42" s="247"/>
      <c r="R42" s="184"/>
    </row>
    <row r="43" spans="1:18" s="9" customFormat="1" ht="23.4" customHeight="1">
      <c r="A43" s="242"/>
      <c r="B43" s="245"/>
      <c r="C43" s="166">
        <v>8</v>
      </c>
      <c r="D43" s="166" t="s">
        <v>178</v>
      </c>
      <c r="E43" s="166" t="s">
        <v>69</v>
      </c>
      <c r="F43" s="166"/>
      <c r="G43" s="117">
        <v>1440</v>
      </c>
      <c r="H43" s="117"/>
      <c r="I43" s="58">
        <f t="shared" si="0"/>
        <v>1440</v>
      </c>
      <c r="J43" s="166"/>
      <c r="K43" s="182"/>
      <c r="L43" s="22">
        <v>600000</v>
      </c>
      <c r="M43" s="22"/>
      <c r="N43" s="15"/>
      <c r="O43" s="15"/>
      <c r="P43" s="19"/>
      <c r="Q43" s="248"/>
      <c r="R43" s="184"/>
    </row>
    <row r="44" spans="1:18" s="9" customFormat="1" ht="23.4" customHeight="1">
      <c r="A44" s="240">
        <v>22</v>
      </c>
      <c r="B44" s="243" t="s">
        <v>179</v>
      </c>
      <c r="C44" s="166">
        <v>18</v>
      </c>
      <c r="D44" s="166" t="s">
        <v>131</v>
      </c>
      <c r="E44" s="166" t="s">
        <v>90</v>
      </c>
      <c r="F44" s="166"/>
      <c r="G44" s="117"/>
      <c r="H44" s="117">
        <v>24600</v>
      </c>
      <c r="I44" s="58">
        <f t="shared" si="0"/>
        <v>646</v>
      </c>
      <c r="J44" s="166">
        <v>646</v>
      </c>
      <c r="K44" s="182"/>
      <c r="L44" s="22"/>
      <c r="M44" s="274">
        <v>1200000</v>
      </c>
      <c r="N44" s="15"/>
      <c r="O44" s="15"/>
      <c r="P44" s="19"/>
      <c r="Q44" s="246">
        <f>SUM(L44:P45)</f>
        <v>1250000</v>
      </c>
      <c r="R44" s="184" t="s">
        <v>21</v>
      </c>
    </row>
    <row r="45" spans="1:18" s="9" customFormat="1" ht="23.4" customHeight="1">
      <c r="A45" s="242"/>
      <c r="B45" s="245"/>
      <c r="C45" s="166">
        <v>19</v>
      </c>
      <c r="D45" s="166" t="s">
        <v>131</v>
      </c>
      <c r="E45" s="166" t="s">
        <v>132</v>
      </c>
      <c r="F45" s="166"/>
      <c r="G45" s="117"/>
      <c r="H45" s="117">
        <v>51400</v>
      </c>
      <c r="I45" s="58">
        <f t="shared" si="0"/>
        <v>642</v>
      </c>
      <c r="J45" s="166">
        <v>642</v>
      </c>
      <c r="K45" s="128"/>
      <c r="L45" s="22"/>
      <c r="M45" s="275"/>
      <c r="N45" s="15">
        <v>50000</v>
      </c>
      <c r="O45" s="15"/>
      <c r="P45" s="19"/>
      <c r="Q45" s="248"/>
      <c r="R45" s="184" t="s">
        <v>180</v>
      </c>
    </row>
    <row r="46" spans="1:18" s="9" customFormat="1" ht="23.4" customHeight="1">
      <c r="A46" s="240">
        <v>23</v>
      </c>
      <c r="B46" s="243" t="s">
        <v>181</v>
      </c>
      <c r="C46" s="166">
        <v>11</v>
      </c>
      <c r="D46" s="166" t="s">
        <v>182</v>
      </c>
      <c r="E46" s="166" t="s">
        <v>124</v>
      </c>
      <c r="F46" s="166"/>
      <c r="G46" s="117">
        <v>900</v>
      </c>
      <c r="H46" s="117"/>
      <c r="I46" s="58">
        <f t="shared" si="0"/>
        <v>900</v>
      </c>
      <c r="J46" s="11"/>
      <c r="K46" s="128"/>
      <c r="L46" s="22">
        <v>500000</v>
      </c>
      <c r="M46" s="22"/>
      <c r="N46" s="15"/>
      <c r="O46" s="15"/>
      <c r="P46" s="19"/>
      <c r="Q46" s="246">
        <f>SUM(L46:P47)</f>
        <v>1300000</v>
      </c>
      <c r="R46" s="184"/>
    </row>
    <row r="47" spans="1:18" s="9" customFormat="1" ht="23.4" customHeight="1">
      <c r="A47" s="242"/>
      <c r="B47" s="245"/>
      <c r="C47" s="166" t="s">
        <v>183</v>
      </c>
      <c r="D47" s="166" t="s">
        <v>50</v>
      </c>
      <c r="E47" s="166" t="s">
        <v>127</v>
      </c>
      <c r="F47" s="166"/>
      <c r="G47" s="117"/>
      <c r="H47" s="117">
        <f>9800+50000</f>
        <v>59800</v>
      </c>
      <c r="I47" s="58">
        <f t="shared" si="0"/>
        <v>516</v>
      </c>
      <c r="J47" s="11">
        <v>516</v>
      </c>
      <c r="K47" s="128"/>
      <c r="L47" s="22"/>
      <c r="M47" s="22">
        <v>800000</v>
      </c>
      <c r="N47" s="15"/>
      <c r="O47" s="15"/>
      <c r="P47" s="19"/>
      <c r="Q47" s="248"/>
      <c r="R47" s="84" t="s">
        <v>184</v>
      </c>
    </row>
    <row r="48" spans="1:18" s="9" customFormat="1" ht="23.4" customHeight="1">
      <c r="A48" s="166">
        <v>24</v>
      </c>
      <c r="B48" s="171" t="s">
        <v>185</v>
      </c>
      <c r="C48" s="179">
        <v>27</v>
      </c>
      <c r="D48" s="179" t="s">
        <v>99</v>
      </c>
      <c r="E48" s="166" t="s">
        <v>83</v>
      </c>
      <c r="F48" s="166"/>
      <c r="G48" s="117">
        <v>2134</v>
      </c>
      <c r="H48" s="117"/>
      <c r="I48" s="58">
        <f t="shared" si="0"/>
        <v>2134</v>
      </c>
      <c r="J48" s="166"/>
      <c r="K48" s="166">
        <v>2150</v>
      </c>
      <c r="L48" s="22">
        <v>1150000</v>
      </c>
      <c r="M48" s="22"/>
      <c r="N48" s="15"/>
      <c r="O48" s="15"/>
      <c r="P48" s="19"/>
      <c r="Q48" s="16">
        <f>SUM(L48:P48)</f>
        <v>1150000</v>
      </c>
      <c r="R48" s="169"/>
    </row>
    <row r="49" spans="1:19" s="9" customFormat="1" ht="23.4" customHeight="1">
      <c r="A49" s="240">
        <v>25</v>
      </c>
      <c r="B49" s="276" t="s">
        <v>186</v>
      </c>
      <c r="C49" s="179">
        <v>25</v>
      </c>
      <c r="D49" s="179" t="s">
        <v>187</v>
      </c>
      <c r="E49" s="166" t="s">
        <v>188</v>
      </c>
      <c r="F49" s="166"/>
      <c r="G49" s="117">
        <v>1307</v>
      </c>
      <c r="H49" s="117"/>
      <c r="I49" s="58">
        <f t="shared" si="0"/>
        <v>1307</v>
      </c>
      <c r="J49" s="166"/>
      <c r="K49" s="182"/>
      <c r="L49" s="22">
        <v>550000</v>
      </c>
      <c r="M49" s="22"/>
      <c r="N49" s="15"/>
      <c r="O49" s="15"/>
      <c r="P49" s="19"/>
      <c r="Q49" s="246">
        <f>SUM(L49:P50)</f>
        <v>1150000</v>
      </c>
      <c r="R49" s="169"/>
    </row>
    <row r="50" spans="1:19" s="9" customFormat="1" ht="23.4" customHeight="1">
      <c r="A50" s="242"/>
      <c r="B50" s="277"/>
      <c r="C50" s="179" t="s">
        <v>189</v>
      </c>
      <c r="D50" s="179" t="s">
        <v>76</v>
      </c>
      <c r="E50" s="166" t="s">
        <v>130</v>
      </c>
      <c r="F50" s="166"/>
      <c r="G50" s="117"/>
      <c r="H50" s="117">
        <f>23300+20000</f>
        <v>43300</v>
      </c>
      <c r="I50" s="58">
        <f t="shared" si="0"/>
        <v>644</v>
      </c>
      <c r="J50" s="166">
        <f>326+318</f>
        <v>644</v>
      </c>
      <c r="K50" s="182"/>
      <c r="L50" s="22"/>
      <c r="M50" s="22">
        <v>600000</v>
      </c>
      <c r="N50" s="15"/>
      <c r="O50" s="15"/>
      <c r="P50" s="19"/>
      <c r="Q50" s="248"/>
      <c r="R50" s="169"/>
    </row>
    <row r="51" spans="1:19" s="9" customFormat="1" ht="23.4" customHeight="1">
      <c r="A51" s="240">
        <v>26</v>
      </c>
      <c r="B51" s="276" t="s">
        <v>190</v>
      </c>
      <c r="C51" s="179">
        <v>20</v>
      </c>
      <c r="D51" s="179" t="s">
        <v>191</v>
      </c>
      <c r="E51" s="166" t="s">
        <v>152</v>
      </c>
      <c r="F51" s="166"/>
      <c r="G51" s="117"/>
      <c r="H51" s="117">
        <v>16000</v>
      </c>
      <c r="I51" s="58">
        <f t="shared" si="0"/>
        <v>222</v>
      </c>
      <c r="J51" s="166">
        <v>222</v>
      </c>
      <c r="K51" s="240">
        <v>2540</v>
      </c>
      <c r="L51" s="22"/>
      <c r="M51" s="274">
        <v>450000</v>
      </c>
      <c r="N51" s="15"/>
      <c r="O51" s="15"/>
      <c r="P51" s="19"/>
      <c r="Q51" s="246">
        <f>SUM(L51:P54)</f>
        <v>1300000</v>
      </c>
      <c r="R51" s="169"/>
    </row>
    <row r="52" spans="1:19" s="9" customFormat="1" ht="23.4" customHeight="1">
      <c r="A52" s="241"/>
      <c r="B52" s="281"/>
      <c r="C52" s="179">
        <v>13</v>
      </c>
      <c r="D52" s="179" t="s">
        <v>156</v>
      </c>
      <c r="E52" s="166" t="s">
        <v>83</v>
      </c>
      <c r="F52" s="166"/>
      <c r="G52" s="117"/>
      <c r="H52" s="117">
        <v>20000</v>
      </c>
      <c r="I52" s="58">
        <f t="shared" si="0"/>
        <v>331</v>
      </c>
      <c r="J52" s="166">
        <v>331</v>
      </c>
      <c r="K52" s="241"/>
      <c r="L52" s="22"/>
      <c r="M52" s="275"/>
      <c r="N52" s="15"/>
      <c r="O52" s="15"/>
      <c r="P52" s="19"/>
      <c r="Q52" s="247"/>
      <c r="R52" s="184"/>
    </row>
    <row r="53" spans="1:19" s="9" customFormat="1" ht="23.4" customHeight="1">
      <c r="A53" s="241"/>
      <c r="B53" s="281"/>
      <c r="C53" s="179">
        <v>17</v>
      </c>
      <c r="D53" s="179" t="s">
        <v>192</v>
      </c>
      <c r="E53" s="166" t="s">
        <v>69</v>
      </c>
      <c r="F53" s="166"/>
      <c r="G53" s="117">
        <v>1193</v>
      </c>
      <c r="H53" s="117"/>
      <c r="I53" s="58">
        <f t="shared" si="0"/>
        <v>1193</v>
      </c>
      <c r="J53" s="166"/>
      <c r="K53" s="241"/>
      <c r="L53" s="274">
        <v>850000</v>
      </c>
      <c r="M53" s="22"/>
      <c r="N53" s="15"/>
      <c r="O53" s="15"/>
      <c r="P53" s="19"/>
      <c r="Q53" s="247"/>
      <c r="R53" s="184"/>
    </row>
    <row r="54" spans="1:19" s="9" customFormat="1" ht="23.4" customHeight="1">
      <c r="A54" s="242"/>
      <c r="B54" s="277"/>
      <c r="C54" s="179">
        <v>22</v>
      </c>
      <c r="D54" s="179" t="s">
        <v>193</v>
      </c>
      <c r="E54" s="166" t="s">
        <v>152</v>
      </c>
      <c r="F54" s="166"/>
      <c r="G54" s="117">
        <v>720</v>
      </c>
      <c r="H54" s="117"/>
      <c r="I54" s="58">
        <f t="shared" si="0"/>
        <v>720</v>
      </c>
      <c r="J54" s="166"/>
      <c r="K54" s="242"/>
      <c r="L54" s="275"/>
      <c r="M54" s="22"/>
      <c r="N54" s="15"/>
      <c r="O54" s="15"/>
      <c r="P54" s="19"/>
      <c r="Q54" s="248"/>
      <c r="R54" s="184"/>
    </row>
    <row r="55" spans="1:19" s="78" customFormat="1" ht="23.4" customHeight="1">
      <c r="A55" s="282" t="s">
        <v>41</v>
      </c>
      <c r="B55" s="282"/>
      <c r="C55" s="282"/>
      <c r="D55" s="282"/>
      <c r="E55" s="282"/>
      <c r="F55" s="282"/>
      <c r="G55" s="74">
        <f t="shared" ref="G55:Q55" si="2">SUM(G1:G54)</f>
        <v>12315</v>
      </c>
      <c r="H55" s="74">
        <f t="shared" si="2"/>
        <v>1931390</v>
      </c>
      <c r="I55" s="74"/>
      <c r="J55" s="74">
        <f t="shared" si="2"/>
        <v>24565</v>
      </c>
      <c r="K55" s="74">
        <f t="shared" si="2"/>
        <v>10440</v>
      </c>
      <c r="L55" s="74">
        <f t="shared" si="2"/>
        <v>6750000</v>
      </c>
      <c r="M55" s="74">
        <f t="shared" si="2"/>
        <v>24000000</v>
      </c>
      <c r="N55" s="74">
        <f t="shared" si="2"/>
        <v>1500000</v>
      </c>
      <c r="O55" s="74">
        <f t="shared" si="2"/>
        <v>150000</v>
      </c>
      <c r="P55" s="74">
        <f t="shared" si="2"/>
        <v>0</v>
      </c>
      <c r="Q55" s="74">
        <f t="shared" si="2"/>
        <v>32400000</v>
      </c>
      <c r="R55" s="113"/>
      <c r="S55" s="78">
        <f>SUM(S1:S54)</f>
        <v>3397</v>
      </c>
    </row>
    <row r="56" spans="1:19" s="78" customFormat="1" ht="23.4" customHeight="1">
      <c r="A56" s="280" t="s">
        <v>23</v>
      </c>
      <c r="B56" s="280"/>
      <c r="C56" s="280"/>
      <c r="D56" s="280"/>
      <c r="E56" s="280"/>
      <c r="F56" s="280"/>
      <c r="G56" s="74"/>
      <c r="H56" s="74"/>
      <c r="I56" s="74"/>
      <c r="J56" s="74"/>
      <c r="K56" s="75"/>
      <c r="L56" s="74"/>
      <c r="M56" s="74"/>
      <c r="N56" s="74"/>
      <c r="O56" s="74"/>
      <c r="P56" s="74"/>
      <c r="Q56" s="74">
        <f>8%*Q55</f>
        <v>2592000</v>
      </c>
      <c r="R56" s="114"/>
      <c r="S56" s="77"/>
    </row>
    <row r="57" spans="1:19" s="78" customFormat="1" ht="23.4" customHeight="1">
      <c r="A57" s="280" t="s">
        <v>24</v>
      </c>
      <c r="B57" s="280"/>
      <c r="C57" s="280"/>
      <c r="D57" s="280"/>
      <c r="E57" s="280"/>
      <c r="F57" s="280"/>
      <c r="G57" s="74"/>
      <c r="H57" s="74"/>
      <c r="I57" s="74"/>
      <c r="J57" s="74"/>
      <c r="K57" s="75"/>
      <c r="L57" s="74"/>
      <c r="M57" s="74"/>
      <c r="N57" s="74"/>
      <c r="O57" s="74"/>
      <c r="P57" s="74"/>
      <c r="Q57" s="74">
        <f>Q56+Q55</f>
        <v>34992000</v>
      </c>
      <c r="R57" s="114"/>
      <c r="S57" s="77"/>
    </row>
    <row r="58" spans="1:19" s="30" customFormat="1" ht="30.6" customHeight="1">
      <c r="A58" s="33"/>
      <c r="B58" s="68"/>
      <c r="C58" s="33"/>
      <c r="D58" s="33"/>
      <c r="E58" s="33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60"/>
      <c r="S58" s="36"/>
    </row>
    <row r="59" spans="1:19" s="30" customFormat="1" ht="24.6" customHeight="1">
      <c r="A59" s="279" t="s">
        <v>25</v>
      </c>
      <c r="B59" s="279"/>
      <c r="C59" s="279"/>
      <c r="D59" s="279"/>
      <c r="E59" s="279"/>
      <c r="F59" s="279"/>
      <c r="G59" s="37">
        <f>G55</f>
        <v>12315</v>
      </c>
      <c r="H59" s="37"/>
      <c r="I59" s="37"/>
      <c r="J59" s="37"/>
      <c r="K59" s="38">
        <f>G55+J55</f>
        <v>36880</v>
      </c>
      <c r="L59" s="37"/>
      <c r="M59" s="37"/>
      <c r="N59" s="37"/>
      <c r="O59" s="37"/>
      <c r="P59" s="37"/>
      <c r="Q59" s="37">
        <f>L55+N55</f>
        <v>8250000</v>
      </c>
      <c r="R59" s="95">
        <f>Q59/G59</f>
        <v>669.91473812423874</v>
      </c>
      <c r="S59" s="40"/>
    </row>
    <row r="60" spans="1:19" s="30" customFormat="1" ht="24.6" customHeight="1">
      <c r="A60" s="279" t="s">
        <v>26</v>
      </c>
      <c r="B60" s="279"/>
      <c r="C60" s="279"/>
      <c r="D60" s="279"/>
      <c r="E60" s="279"/>
      <c r="F60" s="279"/>
      <c r="G60" s="37"/>
      <c r="H60" s="37"/>
      <c r="I60" s="37"/>
      <c r="J60" s="37">
        <f>J55</f>
        <v>24565</v>
      </c>
      <c r="K60" s="37"/>
      <c r="L60" s="37"/>
      <c r="M60" s="37"/>
      <c r="N60" s="37"/>
      <c r="O60" s="37"/>
      <c r="P60" s="37"/>
      <c r="Q60" s="37">
        <f>M55+O55</f>
        <v>24150000</v>
      </c>
      <c r="R60" s="95">
        <f>Q60/J60</f>
        <v>983.10604518624064</v>
      </c>
      <c r="S60" s="40">
        <f>Q59+Q60</f>
        <v>32400000</v>
      </c>
    </row>
    <row r="61" spans="1:19" s="30" customFormat="1" ht="24.6" customHeight="1">
      <c r="A61" s="279" t="s">
        <v>27</v>
      </c>
      <c r="B61" s="279"/>
      <c r="C61" s="279"/>
      <c r="D61" s="279"/>
      <c r="E61" s="279"/>
      <c r="F61" s="279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>
        <f>P55</f>
        <v>0</v>
      </c>
      <c r="R61" s="115"/>
      <c r="S61" s="40">
        <f>Q59+Q60+Q61</f>
        <v>32400000</v>
      </c>
    </row>
    <row r="62" spans="1:19">
      <c r="A62" s="41"/>
      <c r="B62" s="1"/>
      <c r="C62" s="3" t="s">
        <v>29</v>
      </c>
      <c r="D62" s="42"/>
      <c r="E62" s="43"/>
      <c r="F62" s="43"/>
      <c r="G62" s="44" t="s">
        <v>80</v>
      </c>
      <c r="J62" s="45"/>
      <c r="K62" s="46"/>
      <c r="L62" s="1"/>
      <c r="M62" s="1"/>
      <c r="N62" s="1"/>
      <c r="O62" s="1"/>
      <c r="P62" s="1"/>
      <c r="Q62" s="100" t="s">
        <v>30</v>
      </c>
    </row>
    <row r="63" spans="1:19" ht="18" customHeight="1">
      <c r="B63" s="1"/>
      <c r="D63" s="42"/>
      <c r="E63" s="47"/>
      <c r="F63" s="47"/>
      <c r="G63" s="48"/>
      <c r="H63" s="44"/>
      <c r="I63" s="44"/>
      <c r="J63" s="43"/>
      <c r="K63" s="42"/>
    </row>
    <row r="64" spans="1:19" s="8" customFormat="1" ht="18" customHeight="1">
      <c r="A64" s="1"/>
      <c r="B64" s="1"/>
      <c r="C64" s="3"/>
      <c r="D64" s="3"/>
      <c r="E64" s="3"/>
      <c r="F64" s="3"/>
      <c r="G64" s="49"/>
      <c r="H64" s="4"/>
      <c r="I64" s="4"/>
      <c r="J64" s="4"/>
      <c r="R64" s="3"/>
    </row>
    <row r="65" spans="2:18">
      <c r="B65" s="1"/>
      <c r="E65" s="47"/>
      <c r="F65" s="47"/>
      <c r="G65" s="48"/>
      <c r="H65" s="44"/>
      <c r="I65" s="44"/>
      <c r="J65" s="43"/>
      <c r="K65" s="42"/>
    </row>
    <row r="66" spans="2:18">
      <c r="H66" s="44"/>
      <c r="I66" s="44"/>
      <c r="Q66" s="1"/>
    </row>
    <row r="67" spans="2:18">
      <c r="C67" s="55"/>
      <c r="G67" s="44" t="str">
        <f>'[1]A VIEN'!G55</f>
        <v>Đặng Thị Mỹ Tin</v>
      </c>
      <c r="H67" s="44"/>
      <c r="I67" s="44"/>
      <c r="Q67" s="7" t="s">
        <v>42</v>
      </c>
    </row>
    <row r="70" spans="2:18">
      <c r="R70" s="61" t="e">
        <f>+#REF!+#REF!+#REF!+#REF!+#REF!+#REF!+#REF!+#REF!+#REF!</f>
        <v>#REF!</v>
      </c>
    </row>
  </sheetData>
  <mergeCells count="73">
    <mergeCell ref="A59:F59"/>
    <mergeCell ref="A60:F60"/>
    <mergeCell ref="A61:F61"/>
    <mergeCell ref="Q38:Q40"/>
    <mergeCell ref="M39:M40"/>
    <mergeCell ref="M41:M42"/>
    <mergeCell ref="A44:A45"/>
    <mergeCell ref="B44:B45"/>
    <mergeCell ref="M44:M45"/>
    <mergeCell ref="Q44:Q45"/>
    <mergeCell ref="A56:F56"/>
    <mergeCell ref="A57:F57"/>
    <mergeCell ref="A51:A54"/>
    <mergeCell ref="B51:B54"/>
    <mergeCell ref="A55:F55"/>
    <mergeCell ref="A49:A50"/>
    <mergeCell ref="A21:A22"/>
    <mergeCell ref="B21:B22"/>
    <mergeCell ref="M21:M22"/>
    <mergeCell ref="Q21:Q22"/>
    <mergeCell ref="A31:A32"/>
    <mergeCell ref="B31:B32"/>
    <mergeCell ref="Q31:Q32"/>
    <mergeCell ref="A26:A29"/>
    <mergeCell ref="B26:B29"/>
    <mergeCell ref="M26:M29"/>
    <mergeCell ref="B49:B50"/>
    <mergeCell ref="Q49:Q50"/>
    <mergeCell ref="K51:K54"/>
    <mergeCell ref="M51:M52"/>
    <mergeCell ref="Q51:Q54"/>
    <mergeCell ref="L53:L54"/>
    <mergeCell ref="A41:A43"/>
    <mergeCell ref="B41:B43"/>
    <mergeCell ref="Q41:Q43"/>
    <mergeCell ref="A46:A47"/>
    <mergeCell ref="B46:B47"/>
    <mergeCell ref="Q46:Q47"/>
    <mergeCell ref="A16:A18"/>
    <mergeCell ref="B16:B18"/>
    <mergeCell ref="K16:K18"/>
    <mergeCell ref="Q16:Q18"/>
    <mergeCell ref="M17:M18"/>
    <mergeCell ref="A13:A15"/>
    <mergeCell ref="B13:B15"/>
    <mergeCell ref="M13:M15"/>
    <mergeCell ref="Q13:Q15"/>
    <mergeCell ref="A8:A10"/>
    <mergeCell ref="B8:B10"/>
    <mergeCell ref="M8:M10"/>
    <mergeCell ref="Q8:Q10"/>
    <mergeCell ref="A38:A40"/>
    <mergeCell ref="B38:B40"/>
    <mergeCell ref="Q26:Q29"/>
    <mergeCell ref="R5:R7"/>
    <mergeCell ref="A1:R1"/>
    <mergeCell ref="A2:R2"/>
    <mergeCell ref="A3:R3"/>
    <mergeCell ref="A4:D4"/>
    <mergeCell ref="A5:A7"/>
    <mergeCell ref="B5:B7"/>
    <mergeCell ref="C5:C7"/>
    <mergeCell ref="D5:D7"/>
    <mergeCell ref="E5:F5"/>
    <mergeCell ref="G5:J5"/>
    <mergeCell ref="K5:K7"/>
    <mergeCell ref="L5:M6"/>
    <mergeCell ref="N5:O6"/>
    <mergeCell ref="P5:P7"/>
    <mergeCell ref="Q5:Q7"/>
    <mergeCell ref="E6:E7"/>
    <mergeCell ref="F6:F7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B36" zoomScale="80" zoomScaleNormal="80" workbookViewId="0">
      <selection activeCell="B49" sqref="B8:B49"/>
    </sheetView>
  </sheetViews>
  <sheetFormatPr defaultColWidth="9.109375" defaultRowHeight="13.8"/>
  <cols>
    <col min="1" max="1" width="9.109375" style="1" hidden="1" customWidth="1"/>
    <col min="2" max="2" width="15.33203125" style="50" customWidth="1"/>
    <col min="3" max="3" width="13.88671875" style="3" hidden="1" customWidth="1"/>
    <col min="4" max="4" width="22.88671875" style="3" hidden="1" customWidth="1"/>
    <col min="5" max="5" width="17.109375" style="51" customWidth="1"/>
    <col min="6" max="6" width="11.21875" style="52" hidden="1" customWidth="1"/>
    <col min="7" max="7" width="16.5546875" style="45" hidden="1" customWidth="1"/>
    <col min="8" max="8" width="17.44140625" style="45" hidden="1" customWidth="1"/>
    <col min="9" max="9" width="17.44140625" style="45" customWidth="1"/>
    <col min="10" max="10" width="15.44140625" style="54" hidden="1" customWidth="1"/>
    <col min="11" max="11" width="17.6640625" style="7" hidden="1" customWidth="1"/>
    <col min="12" max="13" width="16.44140625" style="7" hidden="1" customWidth="1"/>
    <col min="14" max="14" width="15.6640625" style="7" hidden="1" customWidth="1"/>
    <col min="15" max="15" width="18.44140625" style="7" hidden="1" customWidth="1"/>
    <col min="16" max="16" width="15.5546875" style="7" hidden="1" customWidth="1"/>
    <col min="17" max="17" width="19.44140625" style="71" customWidth="1"/>
    <col min="18" max="18" width="37.44140625" style="8" hidden="1" customWidth="1"/>
    <col min="19" max="19" width="20.88671875" style="3" customWidth="1"/>
    <col min="20" max="16384" width="9.109375" style="1"/>
  </cols>
  <sheetData>
    <row r="1" spans="1:19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</row>
    <row r="2" spans="1:19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9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</row>
    <row r="4" spans="1:19">
      <c r="A4" s="284" t="s">
        <v>33</v>
      </c>
      <c r="B4" s="284"/>
      <c r="C4" s="284"/>
      <c r="D4" s="284"/>
      <c r="E4" s="3"/>
      <c r="F4" s="3"/>
      <c r="G4" s="4"/>
      <c r="H4" s="4"/>
      <c r="I4" s="4"/>
      <c r="J4" s="6"/>
    </row>
    <row r="5" spans="1:19" s="9" customFormat="1" ht="29.25" customHeight="1">
      <c r="A5" s="239" t="s">
        <v>2</v>
      </c>
      <c r="B5" s="239" t="s">
        <v>3</v>
      </c>
      <c r="C5" s="239" t="s">
        <v>4</v>
      </c>
      <c r="D5" s="239" t="s">
        <v>5</v>
      </c>
      <c r="E5" s="239" t="s">
        <v>6</v>
      </c>
      <c r="F5" s="239"/>
      <c r="G5" s="253" t="s">
        <v>7</v>
      </c>
      <c r="H5" s="253"/>
      <c r="I5" s="253"/>
      <c r="J5" s="253"/>
      <c r="K5" s="254" t="s">
        <v>8</v>
      </c>
      <c r="L5" s="255" t="s">
        <v>9</v>
      </c>
      <c r="M5" s="256"/>
      <c r="N5" s="235" t="s">
        <v>10</v>
      </c>
      <c r="O5" s="235"/>
      <c r="P5" s="236" t="s">
        <v>11</v>
      </c>
      <c r="Q5" s="285" t="s">
        <v>12</v>
      </c>
      <c r="R5" s="283" t="s">
        <v>13</v>
      </c>
      <c r="S5" s="111"/>
    </row>
    <row r="6" spans="1:19" s="9" customFormat="1" ht="23.25" customHeight="1">
      <c r="A6" s="239"/>
      <c r="B6" s="239"/>
      <c r="C6" s="239"/>
      <c r="D6" s="239"/>
      <c r="E6" s="239" t="s">
        <v>14</v>
      </c>
      <c r="F6" s="239" t="s">
        <v>15</v>
      </c>
      <c r="G6" s="176" t="s">
        <v>16</v>
      </c>
      <c r="H6" s="253" t="s">
        <v>17</v>
      </c>
      <c r="I6" s="253"/>
      <c r="J6" s="253"/>
      <c r="K6" s="254"/>
      <c r="L6" s="257"/>
      <c r="M6" s="258"/>
      <c r="N6" s="235"/>
      <c r="O6" s="235"/>
      <c r="P6" s="237"/>
      <c r="Q6" s="285"/>
      <c r="R6" s="283"/>
      <c r="S6" s="111"/>
    </row>
    <row r="7" spans="1:19" s="9" customFormat="1" ht="22.5" customHeight="1">
      <c r="A7" s="239"/>
      <c r="B7" s="239"/>
      <c r="C7" s="239"/>
      <c r="D7" s="239"/>
      <c r="E7" s="239"/>
      <c r="F7" s="239"/>
      <c r="G7" s="176" t="s">
        <v>19</v>
      </c>
      <c r="H7" s="176" t="s">
        <v>20</v>
      </c>
      <c r="I7" s="185"/>
      <c r="J7" s="175" t="s">
        <v>19</v>
      </c>
      <c r="K7" s="254"/>
      <c r="L7" s="176" t="s">
        <v>16</v>
      </c>
      <c r="M7" s="10" t="s">
        <v>17</v>
      </c>
      <c r="N7" s="176" t="s">
        <v>16</v>
      </c>
      <c r="O7" s="129" t="s">
        <v>17</v>
      </c>
      <c r="P7" s="238"/>
      <c r="Q7" s="285"/>
      <c r="R7" s="283"/>
      <c r="S7" s="111"/>
    </row>
    <row r="8" spans="1:19" s="9" customFormat="1" ht="22.8" customHeight="1">
      <c r="A8" s="179">
        <v>1</v>
      </c>
      <c r="B8" s="166" t="s">
        <v>119</v>
      </c>
      <c r="C8" s="166">
        <v>11</v>
      </c>
      <c r="D8" s="166" t="s">
        <v>123</v>
      </c>
      <c r="E8" s="166" t="s">
        <v>124</v>
      </c>
      <c r="F8" s="166"/>
      <c r="G8" s="170"/>
      <c r="H8" s="88">
        <v>148400</v>
      </c>
      <c r="I8" s="88">
        <f>SUM(G8,J8)</f>
        <v>618</v>
      </c>
      <c r="J8" s="118">
        <v>618</v>
      </c>
      <c r="K8" s="126"/>
      <c r="L8" s="11"/>
      <c r="M8" s="11">
        <v>1200000</v>
      </c>
      <c r="N8" s="15"/>
      <c r="O8" s="15"/>
      <c r="P8" s="19"/>
      <c r="Q8" s="20">
        <f>SUM(L8:P8)</f>
        <v>1200000</v>
      </c>
      <c r="R8" s="15" t="s">
        <v>21</v>
      </c>
      <c r="S8" s="111"/>
    </row>
    <row r="9" spans="1:19" s="9" customFormat="1" ht="22.8" customHeight="1">
      <c r="A9" s="179">
        <v>2</v>
      </c>
      <c r="B9" s="166" t="s">
        <v>125</v>
      </c>
      <c r="C9" s="166">
        <v>15</v>
      </c>
      <c r="D9" s="166" t="s">
        <v>194</v>
      </c>
      <c r="E9" s="166" t="s">
        <v>122</v>
      </c>
      <c r="F9" s="166"/>
      <c r="G9" s="170">
        <v>2320</v>
      </c>
      <c r="H9" s="88"/>
      <c r="I9" s="88">
        <f t="shared" ref="I9:I49" si="0">SUM(G9,J9)</f>
        <v>2320</v>
      </c>
      <c r="J9" s="118"/>
      <c r="K9" s="166">
        <v>2330</v>
      </c>
      <c r="L9" s="14">
        <v>1100000</v>
      </c>
      <c r="M9" s="24"/>
      <c r="N9" s="15"/>
      <c r="O9" s="15"/>
      <c r="P9" s="19"/>
      <c r="Q9" s="20">
        <f t="shared" ref="Q9:Q38" si="1">SUM(L9:P9)</f>
        <v>1100000</v>
      </c>
      <c r="R9" s="191"/>
      <c r="S9" s="111"/>
    </row>
    <row r="10" spans="1:19" s="9" customFormat="1" ht="22.8" customHeight="1">
      <c r="A10" s="179">
        <v>3</v>
      </c>
      <c r="B10" s="166" t="s">
        <v>129</v>
      </c>
      <c r="C10" s="166">
        <v>16</v>
      </c>
      <c r="D10" s="166" t="s">
        <v>156</v>
      </c>
      <c r="E10" s="166" t="s">
        <v>195</v>
      </c>
      <c r="F10" s="166"/>
      <c r="G10" s="170"/>
      <c r="H10" s="88">
        <v>98000</v>
      </c>
      <c r="I10" s="88">
        <f t="shared" si="0"/>
        <v>1097</v>
      </c>
      <c r="J10" s="118">
        <v>1097</v>
      </c>
      <c r="K10" s="169"/>
      <c r="L10" s="14"/>
      <c r="M10" s="192">
        <v>1550000</v>
      </c>
      <c r="N10" s="15"/>
      <c r="O10" s="15"/>
      <c r="P10" s="19"/>
      <c r="Q10" s="20">
        <f t="shared" si="1"/>
        <v>1550000</v>
      </c>
      <c r="R10" s="191" t="s">
        <v>21</v>
      </c>
      <c r="S10" s="111">
        <v>1550</v>
      </c>
    </row>
    <row r="11" spans="1:19" s="9" customFormat="1" ht="22.8" customHeight="1">
      <c r="A11" s="179">
        <v>4</v>
      </c>
      <c r="B11" s="166" t="s">
        <v>129</v>
      </c>
      <c r="C11" s="166">
        <v>16</v>
      </c>
      <c r="D11" s="166" t="s">
        <v>76</v>
      </c>
      <c r="E11" s="166" t="s">
        <v>122</v>
      </c>
      <c r="F11" s="166"/>
      <c r="G11" s="117"/>
      <c r="H11" s="58">
        <v>80000</v>
      </c>
      <c r="I11" s="88">
        <f t="shared" si="0"/>
        <v>1097</v>
      </c>
      <c r="J11" s="118">
        <v>1097</v>
      </c>
      <c r="K11" s="166">
        <v>1200</v>
      </c>
      <c r="L11" s="11"/>
      <c r="M11" s="18">
        <v>1100000</v>
      </c>
      <c r="N11" s="15"/>
      <c r="O11" s="15"/>
      <c r="P11" s="19"/>
      <c r="Q11" s="20">
        <f t="shared" si="1"/>
        <v>1100000</v>
      </c>
      <c r="R11" s="15"/>
      <c r="S11" s="111"/>
    </row>
    <row r="12" spans="1:19" s="9" customFormat="1" ht="22.8" customHeight="1">
      <c r="A12" s="179">
        <v>5</v>
      </c>
      <c r="B12" s="166" t="s">
        <v>133</v>
      </c>
      <c r="C12" s="166" t="s">
        <v>196</v>
      </c>
      <c r="D12" s="166" t="s">
        <v>197</v>
      </c>
      <c r="E12" s="166" t="s">
        <v>124</v>
      </c>
      <c r="F12" s="166"/>
      <c r="G12" s="117"/>
      <c r="H12" s="58">
        <f>52000+106000</f>
        <v>158000</v>
      </c>
      <c r="I12" s="88">
        <f t="shared" si="0"/>
        <v>827</v>
      </c>
      <c r="J12" s="118">
        <f>509+318</f>
        <v>827</v>
      </c>
      <c r="K12" s="179"/>
      <c r="L12" s="11"/>
      <c r="M12" s="24">
        <v>1200000</v>
      </c>
      <c r="N12" s="15"/>
      <c r="O12" s="15"/>
      <c r="P12" s="19"/>
      <c r="Q12" s="20">
        <f t="shared" si="1"/>
        <v>1200000</v>
      </c>
      <c r="R12" s="15" t="s">
        <v>21</v>
      </c>
      <c r="S12" s="111"/>
    </row>
    <row r="13" spans="1:19" s="9" customFormat="1" ht="22.8" customHeight="1">
      <c r="A13" s="179">
        <v>6</v>
      </c>
      <c r="B13" s="166" t="s">
        <v>133</v>
      </c>
      <c r="C13" s="166">
        <v>41</v>
      </c>
      <c r="D13" s="166" t="s">
        <v>197</v>
      </c>
      <c r="E13" s="166" t="s">
        <v>198</v>
      </c>
      <c r="F13" s="166"/>
      <c r="G13" s="117"/>
      <c r="H13" s="58">
        <v>159000</v>
      </c>
      <c r="I13" s="88">
        <f t="shared" si="0"/>
        <v>599</v>
      </c>
      <c r="J13" s="118">
        <v>599</v>
      </c>
      <c r="K13" s="102"/>
      <c r="L13" s="15"/>
      <c r="M13" s="24">
        <v>1150000</v>
      </c>
      <c r="N13" s="19"/>
      <c r="O13" s="19">
        <v>200000</v>
      </c>
      <c r="P13" s="19"/>
      <c r="Q13" s="20">
        <f t="shared" si="1"/>
        <v>1350000</v>
      </c>
      <c r="R13" s="103" t="s">
        <v>79</v>
      </c>
      <c r="S13" s="111">
        <v>1300</v>
      </c>
    </row>
    <row r="14" spans="1:19" s="9" customFormat="1" ht="22.8" customHeight="1">
      <c r="A14" s="179">
        <v>7</v>
      </c>
      <c r="B14" s="166" t="s">
        <v>135</v>
      </c>
      <c r="C14" s="166" t="s">
        <v>199</v>
      </c>
      <c r="D14" s="166" t="s">
        <v>123</v>
      </c>
      <c r="E14" s="166" t="s">
        <v>124</v>
      </c>
      <c r="F14" s="166"/>
      <c r="G14" s="117"/>
      <c r="H14" s="58">
        <f>30000+38000</f>
        <v>68000</v>
      </c>
      <c r="I14" s="88">
        <f t="shared" si="0"/>
        <v>952</v>
      </c>
      <c r="J14" s="118">
        <f>315+637</f>
        <v>952</v>
      </c>
      <c r="K14" s="102"/>
      <c r="L14" s="11"/>
      <c r="M14" s="11">
        <v>1200000</v>
      </c>
      <c r="N14" s="15"/>
      <c r="O14" s="15"/>
      <c r="P14" s="19"/>
      <c r="Q14" s="20">
        <f t="shared" si="1"/>
        <v>1200000</v>
      </c>
      <c r="R14" s="15" t="s">
        <v>21</v>
      </c>
      <c r="S14" s="111"/>
    </row>
    <row r="15" spans="1:19" s="9" customFormat="1" ht="22.8" customHeight="1">
      <c r="A15" s="240">
        <v>8</v>
      </c>
      <c r="B15" s="240" t="s">
        <v>137</v>
      </c>
      <c r="C15" s="166">
        <v>12</v>
      </c>
      <c r="D15" s="166" t="s">
        <v>155</v>
      </c>
      <c r="E15" s="166" t="s">
        <v>75</v>
      </c>
      <c r="F15" s="166"/>
      <c r="G15" s="58"/>
      <c r="H15" s="88">
        <v>8900</v>
      </c>
      <c r="I15" s="88">
        <f t="shared" si="0"/>
        <v>264</v>
      </c>
      <c r="J15" s="118">
        <v>264</v>
      </c>
      <c r="K15" s="102"/>
      <c r="L15" s="11"/>
      <c r="M15" s="262">
        <v>500000</v>
      </c>
      <c r="N15" s="19"/>
      <c r="O15" s="19">
        <v>60000</v>
      </c>
      <c r="P15" s="19"/>
      <c r="Q15" s="246">
        <f>SUM(L15:P17)</f>
        <v>1360000</v>
      </c>
      <c r="R15" s="15" t="s">
        <v>88</v>
      </c>
      <c r="S15" s="111"/>
    </row>
    <row r="16" spans="1:19" s="9" customFormat="1" ht="22.8" customHeight="1">
      <c r="A16" s="241"/>
      <c r="B16" s="241"/>
      <c r="C16" s="166">
        <v>19</v>
      </c>
      <c r="D16" s="166" t="s">
        <v>156</v>
      </c>
      <c r="E16" s="166" t="s">
        <v>200</v>
      </c>
      <c r="F16" s="166"/>
      <c r="G16" s="58"/>
      <c r="H16" s="88">
        <v>12000</v>
      </c>
      <c r="I16" s="88">
        <f t="shared" si="0"/>
        <v>201</v>
      </c>
      <c r="J16" s="118">
        <v>201</v>
      </c>
      <c r="K16" s="102"/>
      <c r="L16" s="11"/>
      <c r="M16" s="264"/>
      <c r="N16" s="19"/>
      <c r="O16" s="19"/>
      <c r="P16" s="19"/>
      <c r="Q16" s="247"/>
      <c r="R16" s="88"/>
      <c r="S16" s="111"/>
    </row>
    <row r="17" spans="1:19" s="9" customFormat="1" ht="22.8" customHeight="1">
      <c r="A17" s="242"/>
      <c r="B17" s="242"/>
      <c r="C17" s="166">
        <v>4</v>
      </c>
      <c r="D17" s="166" t="s">
        <v>70</v>
      </c>
      <c r="E17" s="166" t="s">
        <v>90</v>
      </c>
      <c r="F17" s="166"/>
      <c r="G17" s="117">
        <v>1616</v>
      </c>
      <c r="H17" s="58"/>
      <c r="I17" s="88">
        <f t="shared" si="0"/>
        <v>1616</v>
      </c>
      <c r="J17" s="118"/>
      <c r="K17" s="128"/>
      <c r="L17" s="11">
        <v>800000</v>
      </c>
      <c r="M17" s="15"/>
      <c r="N17" s="15"/>
      <c r="O17" s="15"/>
      <c r="P17" s="19"/>
      <c r="Q17" s="248"/>
      <c r="R17" s="193"/>
      <c r="S17" s="111"/>
    </row>
    <row r="18" spans="1:19" s="9" customFormat="1" ht="22.8" customHeight="1">
      <c r="A18" s="179">
        <v>9</v>
      </c>
      <c r="B18" s="166" t="s">
        <v>137</v>
      </c>
      <c r="C18" s="166" t="s">
        <v>201</v>
      </c>
      <c r="D18" s="166" t="s">
        <v>48</v>
      </c>
      <c r="E18" s="166" t="s">
        <v>198</v>
      </c>
      <c r="F18" s="166"/>
      <c r="G18" s="117"/>
      <c r="H18" s="58">
        <f>26500+115000</f>
        <v>141500</v>
      </c>
      <c r="I18" s="88">
        <f t="shared" si="0"/>
        <v>727</v>
      </c>
      <c r="J18" s="118">
        <f>382+345</f>
        <v>727</v>
      </c>
      <c r="K18" s="126"/>
      <c r="L18" s="11"/>
      <c r="M18" s="11">
        <v>1150000</v>
      </c>
      <c r="N18" s="15"/>
      <c r="O18" s="15">
        <v>200000</v>
      </c>
      <c r="P18" s="19"/>
      <c r="Q18" s="20">
        <f t="shared" si="1"/>
        <v>1350000</v>
      </c>
      <c r="R18" s="103" t="s">
        <v>79</v>
      </c>
      <c r="S18" s="111">
        <v>1300</v>
      </c>
    </row>
    <row r="19" spans="1:19" s="9" customFormat="1" ht="22.8" customHeight="1">
      <c r="A19" s="240">
        <v>10</v>
      </c>
      <c r="B19" s="240" t="s">
        <v>202</v>
      </c>
      <c r="C19" s="166">
        <v>20</v>
      </c>
      <c r="D19" s="166" t="s">
        <v>131</v>
      </c>
      <c r="E19" s="166" t="s">
        <v>132</v>
      </c>
      <c r="F19" s="166"/>
      <c r="G19" s="58"/>
      <c r="H19" s="88">
        <v>16630</v>
      </c>
      <c r="I19" s="88">
        <f t="shared" si="0"/>
        <v>341</v>
      </c>
      <c r="J19" s="118">
        <v>341</v>
      </c>
      <c r="K19" s="271">
        <v>1320</v>
      </c>
      <c r="L19" s="11"/>
      <c r="M19" s="262">
        <v>1200000</v>
      </c>
      <c r="N19" s="15"/>
      <c r="O19" s="15"/>
      <c r="P19" s="19"/>
      <c r="Q19" s="246">
        <f>SUM(L19:P21)</f>
        <v>1200000</v>
      </c>
      <c r="R19" s="15"/>
      <c r="S19" s="111"/>
    </row>
    <row r="20" spans="1:19" s="9" customFormat="1" ht="22.8" customHeight="1">
      <c r="A20" s="241"/>
      <c r="B20" s="241"/>
      <c r="C20" s="166">
        <v>5</v>
      </c>
      <c r="D20" s="166" t="s">
        <v>76</v>
      </c>
      <c r="E20" s="166" t="s">
        <v>69</v>
      </c>
      <c r="F20" s="166"/>
      <c r="G20" s="58"/>
      <c r="H20" s="88">
        <v>32000</v>
      </c>
      <c r="I20" s="88">
        <f t="shared" si="0"/>
        <v>289</v>
      </c>
      <c r="J20" s="118">
        <v>289</v>
      </c>
      <c r="K20" s="272"/>
      <c r="L20" s="24"/>
      <c r="M20" s="263"/>
      <c r="N20" s="15"/>
      <c r="O20" s="15"/>
      <c r="P20" s="19"/>
      <c r="Q20" s="247"/>
      <c r="R20" s="191"/>
      <c r="S20" s="111"/>
    </row>
    <row r="21" spans="1:19" s="9" customFormat="1" ht="22.8" customHeight="1">
      <c r="A21" s="242"/>
      <c r="B21" s="242"/>
      <c r="C21" s="166">
        <v>7</v>
      </c>
      <c r="D21" s="166" t="s">
        <v>76</v>
      </c>
      <c r="E21" s="166" t="s">
        <v>175</v>
      </c>
      <c r="F21" s="166"/>
      <c r="G21" s="117"/>
      <c r="H21" s="58">
        <v>44400</v>
      </c>
      <c r="I21" s="88">
        <f t="shared" si="0"/>
        <v>549</v>
      </c>
      <c r="J21" s="118">
        <v>549</v>
      </c>
      <c r="K21" s="273"/>
      <c r="L21" s="24"/>
      <c r="M21" s="264"/>
      <c r="N21" s="15"/>
      <c r="O21" s="15"/>
      <c r="P21" s="19"/>
      <c r="Q21" s="248"/>
      <c r="R21" s="65"/>
      <c r="S21" s="111"/>
    </row>
    <row r="22" spans="1:19" s="9" customFormat="1" ht="22.8" customHeight="1">
      <c r="A22" s="179">
        <v>11</v>
      </c>
      <c r="B22" s="166" t="s">
        <v>142</v>
      </c>
      <c r="C22" s="166" t="s">
        <v>203</v>
      </c>
      <c r="D22" s="166" t="s">
        <v>204</v>
      </c>
      <c r="E22" s="166" t="s">
        <v>78</v>
      </c>
      <c r="F22" s="166"/>
      <c r="G22" s="58"/>
      <c r="H22" s="88">
        <v>52800</v>
      </c>
      <c r="I22" s="88">
        <f t="shared" si="0"/>
        <v>721</v>
      </c>
      <c r="J22" s="118">
        <v>721</v>
      </c>
      <c r="K22" s="128"/>
      <c r="L22" s="24"/>
      <c r="M22" s="11">
        <v>1050000</v>
      </c>
      <c r="N22" s="15">
        <v>50000</v>
      </c>
      <c r="O22" s="15"/>
      <c r="P22" s="19"/>
      <c r="Q22" s="20">
        <f t="shared" si="1"/>
        <v>1100000</v>
      </c>
      <c r="R22" s="65" t="s">
        <v>205</v>
      </c>
      <c r="S22" s="111"/>
    </row>
    <row r="23" spans="1:19" s="9" customFormat="1" ht="22.8" customHeight="1">
      <c r="A23" s="240">
        <v>12</v>
      </c>
      <c r="B23" s="286" t="s">
        <v>206</v>
      </c>
      <c r="C23" s="166">
        <v>8</v>
      </c>
      <c r="D23" s="166" t="s">
        <v>93</v>
      </c>
      <c r="E23" s="166" t="s">
        <v>78</v>
      </c>
      <c r="F23" s="166"/>
      <c r="G23" s="58">
        <v>1020</v>
      </c>
      <c r="H23" s="88"/>
      <c r="I23" s="88">
        <f t="shared" si="0"/>
        <v>1020</v>
      </c>
      <c r="J23" s="118"/>
      <c r="K23" s="271">
        <v>1510</v>
      </c>
      <c r="L23" s="24">
        <v>550000</v>
      </c>
      <c r="M23" s="11"/>
      <c r="N23" s="15">
        <v>50000</v>
      </c>
      <c r="O23" s="15"/>
      <c r="P23" s="19"/>
      <c r="Q23" s="246">
        <f>SUM(L23:P24)</f>
        <v>1200000</v>
      </c>
      <c r="R23" s="65" t="s">
        <v>207</v>
      </c>
      <c r="S23" s="111"/>
    </row>
    <row r="24" spans="1:19" s="9" customFormat="1" ht="22.8" customHeight="1">
      <c r="A24" s="242"/>
      <c r="B24" s="287"/>
      <c r="C24" s="166">
        <v>11</v>
      </c>
      <c r="D24" s="166" t="s">
        <v>208</v>
      </c>
      <c r="E24" s="166" t="s">
        <v>122</v>
      </c>
      <c r="F24" s="166"/>
      <c r="G24" s="58"/>
      <c r="H24" s="88">
        <v>60000</v>
      </c>
      <c r="I24" s="88">
        <f t="shared" si="0"/>
        <v>386</v>
      </c>
      <c r="J24" s="118">
        <v>386</v>
      </c>
      <c r="K24" s="273"/>
      <c r="L24" s="11"/>
      <c r="M24" s="11">
        <v>600000</v>
      </c>
      <c r="N24" s="15"/>
      <c r="O24" s="15"/>
      <c r="P24" s="19"/>
      <c r="Q24" s="248"/>
      <c r="R24" s="65"/>
      <c r="S24" s="111"/>
    </row>
    <row r="25" spans="1:19" s="9" customFormat="1" ht="22.8" customHeight="1">
      <c r="A25" s="179">
        <v>13</v>
      </c>
      <c r="B25" s="67" t="s">
        <v>150</v>
      </c>
      <c r="C25" s="166">
        <v>25</v>
      </c>
      <c r="D25" s="166" t="s">
        <v>131</v>
      </c>
      <c r="E25" s="166" t="s">
        <v>132</v>
      </c>
      <c r="F25" s="166"/>
      <c r="G25" s="170"/>
      <c r="H25" s="88">
        <v>59620</v>
      </c>
      <c r="I25" s="88">
        <f t="shared" si="0"/>
        <v>1259</v>
      </c>
      <c r="J25" s="166">
        <v>1259</v>
      </c>
      <c r="K25" s="128"/>
      <c r="L25" s="179"/>
      <c r="M25" s="11">
        <v>1100000</v>
      </c>
      <c r="N25" s="15"/>
      <c r="O25" s="15"/>
      <c r="P25" s="19"/>
      <c r="Q25" s="20">
        <f t="shared" si="1"/>
        <v>1100000</v>
      </c>
      <c r="R25" s="65" t="s">
        <v>21</v>
      </c>
      <c r="S25" s="111">
        <v>1100</v>
      </c>
    </row>
    <row r="26" spans="1:19" s="9" customFormat="1" ht="22.8" customHeight="1">
      <c r="A26" s="179">
        <v>14</v>
      </c>
      <c r="B26" s="67" t="s">
        <v>150</v>
      </c>
      <c r="C26" s="166">
        <v>20</v>
      </c>
      <c r="D26" s="166" t="s">
        <v>204</v>
      </c>
      <c r="E26" s="166" t="s">
        <v>78</v>
      </c>
      <c r="F26" s="166"/>
      <c r="G26" s="58"/>
      <c r="H26" s="88">
        <v>70500</v>
      </c>
      <c r="I26" s="88">
        <f t="shared" si="0"/>
        <v>1227</v>
      </c>
      <c r="J26" s="118">
        <v>1227</v>
      </c>
      <c r="K26" s="128"/>
      <c r="L26" s="15"/>
      <c r="M26" s="11">
        <v>1050000</v>
      </c>
      <c r="N26" s="15"/>
      <c r="O26" s="15"/>
      <c r="P26" s="19"/>
      <c r="Q26" s="20">
        <f t="shared" si="1"/>
        <v>1050000</v>
      </c>
      <c r="R26" s="17" t="s">
        <v>21</v>
      </c>
      <c r="S26" s="111"/>
    </row>
    <row r="27" spans="1:19" s="9" customFormat="1" ht="22.8" customHeight="1">
      <c r="A27" s="179">
        <v>15</v>
      </c>
      <c r="B27" s="67" t="s">
        <v>209</v>
      </c>
      <c r="C27" s="166" t="s">
        <v>91</v>
      </c>
      <c r="D27" s="166" t="s">
        <v>123</v>
      </c>
      <c r="E27" s="166" t="s">
        <v>124</v>
      </c>
      <c r="F27" s="166"/>
      <c r="G27" s="170"/>
      <c r="H27" s="58">
        <f>14600+60600</f>
        <v>75200</v>
      </c>
      <c r="I27" s="88">
        <f t="shared" si="0"/>
        <v>1666</v>
      </c>
      <c r="J27" s="166">
        <f>1287+379</f>
        <v>1666</v>
      </c>
      <c r="K27" s="102"/>
      <c r="L27" s="15"/>
      <c r="M27" s="11">
        <v>1200000</v>
      </c>
      <c r="N27" s="15"/>
      <c r="O27" s="15"/>
      <c r="P27" s="19"/>
      <c r="Q27" s="20">
        <f t="shared" si="1"/>
        <v>1200000</v>
      </c>
      <c r="R27" s="17" t="s">
        <v>21</v>
      </c>
      <c r="S27" s="111"/>
    </row>
    <row r="28" spans="1:19" s="9" customFormat="1" ht="22.8" customHeight="1">
      <c r="A28" s="179">
        <v>16</v>
      </c>
      <c r="B28" s="67" t="s">
        <v>210</v>
      </c>
      <c r="C28" s="166">
        <v>19</v>
      </c>
      <c r="D28" s="166" t="s">
        <v>197</v>
      </c>
      <c r="E28" s="166" t="s">
        <v>198</v>
      </c>
      <c r="F28" s="166"/>
      <c r="G28" s="117"/>
      <c r="H28" s="58">
        <v>163000</v>
      </c>
      <c r="I28" s="88">
        <f t="shared" si="0"/>
        <v>698</v>
      </c>
      <c r="J28" s="166">
        <v>698</v>
      </c>
      <c r="K28" s="102"/>
      <c r="L28" s="15"/>
      <c r="M28" s="11">
        <v>1100000</v>
      </c>
      <c r="N28" s="15"/>
      <c r="O28" s="15">
        <v>200000</v>
      </c>
      <c r="P28" s="19"/>
      <c r="Q28" s="20">
        <f t="shared" si="1"/>
        <v>1300000</v>
      </c>
      <c r="R28" s="194" t="s">
        <v>211</v>
      </c>
      <c r="S28" s="111">
        <v>1300</v>
      </c>
    </row>
    <row r="29" spans="1:19" s="106" customFormat="1" ht="22.8" customHeight="1">
      <c r="A29" s="102">
        <v>17</v>
      </c>
      <c r="B29" s="67" t="s">
        <v>210</v>
      </c>
      <c r="C29" s="166">
        <v>22</v>
      </c>
      <c r="D29" s="166" t="s">
        <v>131</v>
      </c>
      <c r="E29" s="166" t="s">
        <v>132</v>
      </c>
      <c r="F29" s="166"/>
      <c r="G29" s="117"/>
      <c r="H29" s="58">
        <v>102000</v>
      </c>
      <c r="I29" s="88">
        <f t="shared" si="0"/>
        <v>1240</v>
      </c>
      <c r="J29" s="166">
        <v>1240</v>
      </c>
      <c r="K29" s="128">
        <v>1430</v>
      </c>
      <c r="L29" s="103"/>
      <c r="M29" s="103">
        <v>1100000</v>
      </c>
      <c r="N29" s="103"/>
      <c r="O29" s="103"/>
      <c r="P29" s="105"/>
      <c r="Q29" s="20">
        <f t="shared" si="1"/>
        <v>1100000</v>
      </c>
      <c r="R29" s="194"/>
      <c r="S29" s="195"/>
    </row>
    <row r="30" spans="1:19" s="9" customFormat="1" ht="22.8" customHeight="1">
      <c r="A30" s="102">
        <v>18</v>
      </c>
      <c r="B30" s="67" t="s">
        <v>212</v>
      </c>
      <c r="C30" s="166">
        <v>18</v>
      </c>
      <c r="D30" s="166" t="s">
        <v>77</v>
      </c>
      <c r="E30" s="166" t="s">
        <v>124</v>
      </c>
      <c r="F30" s="166"/>
      <c r="G30" s="117"/>
      <c r="H30" s="58">
        <v>175000</v>
      </c>
      <c r="I30" s="88">
        <f t="shared" si="0"/>
        <v>525</v>
      </c>
      <c r="J30" s="166">
        <v>525</v>
      </c>
      <c r="K30" s="128"/>
      <c r="L30" s="15"/>
      <c r="M30" s="103">
        <v>1200000</v>
      </c>
      <c r="N30" s="15"/>
      <c r="O30" s="15">
        <v>50000</v>
      </c>
      <c r="P30" s="19"/>
      <c r="Q30" s="20">
        <f t="shared" si="1"/>
        <v>1250000</v>
      </c>
      <c r="R30" s="17" t="s">
        <v>213</v>
      </c>
      <c r="S30" s="111"/>
    </row>
    <row r="31" spans="1:19" s="9" customFormat="1" ht="22.8" customHeight="1">
      <c r="A31" s="179">
        <v>19</v>
      </c>
      <c r="B31" s="67" t="s">
        <v>214</v>
      </c>
      <c r="C31" s="166">
        <v>19</v>
      </c>
      <c r="D31" s="166" t="s">
        <v>156</v>
      </c>
      <c r="E31" s="166" t="s">
        <v>175</v>
      </c>
      <c r="F31" s="166"/>
      <c r="G31" s="117"/>
      <c r="H31" s="58">
        <v>86950</v>
      </c>
      <c r="I31" s="88">
        <f t="shared" si="0"/>
        <v>778</v>
      </c>
      <c r="J31" s="179">
        <v>778</v>
      </c>
      <c r="K31" s="128"/>
      <c r="L31" s="15"/>
      <c r="M31" s="15">
        <v>1150000</v>
      </c>
      <c r="N31" s="15"/>
      <c r="O31" s="15"/>
      <c r="P31" s="19"/>
      <c r="Q31" s="20">
        <f t="shared" si="1"/>
        <v>1150000</v>
      </c>
      <c r="R31" s="17" t="s">
        <v>21</v>
      </c>
      <c r="S31" s="111"/>
    </row>
    <row r="32" spans="1:19" s="9" customFormat="1" ht="22.8" customHeight="1">
      <c r="A32" s="240">
        <v>20</v>
      </c>
      <c r="B32" s="286" t="s">
        <v>215</v>
      </c>
      <c r="C32" s="166">
        <v>13</v>
      </c>
      <c r="D32" s="166" t="s">
        <v>128</v>
      </c>
      <c r="E32" s="166" t="s">
        <v>175</v>
      </c>
      <c r="F32" s="166"/>
      <c r="G32" s="117">
        <v>164</v>
      </c>
      <c r="H32" s="117"/>
      <c r="I32" s="88">
        <f t="shared" si="0"/>
        <v>164</v>
      </c>
      <c r="J32" s="166"/>
      <c r="K32" s="128"/>
      <c r="L32" s="262">
        <v>400000</v>
      </c>
      <c r="M32" s="15"/>
      <c r="N32" s="15"/>
      <c r="O32" s="15"/>
      <c r="P32" s="19"/>
      <c r="Q32" s="246">
        <f>SUM(L32:P35)</f>
        <v>1410000</v>
      </c>
      <c r="R32" s="17"/>
      <c r="S32" s="111"/>
    </row>
    <row r="33" spans="1:19" s="9" customFormat="1" ht="22.8" customHeight="1">
      <c r="A33" s="241"/>
      <c r="B33" s="288"/>
      <c r="C33" s="166">
        <v>9</v>
      </c>
      <c r="D33" s="166" t="s">
        <v>70</v>
      </c>
      <c r="E33" s="166" t="s">
        <v>69</v>
      </c>
      <c r="F33" s="166"/>
      <c r="G33" s="117">
        <v>600</v>
      </c>
      <c r="H33" s="117"/>
      <c r="I33" s="88">
        <f t="shared" si="0"/>
        <v>600</v>
      </c>
      <c r="J33" s="166"/>
      <c r="K33" s="128"/>
      <c r="L33" s="264"/>
      <c r="M33" s="15"/>
      <c r="N33" s="15"/>
      <c r="O33" s="15"/>
      <c r="P33" s="19"/>
      <c r="Q33" s="247"/>
      <c r="R33" s="17"/>
      <c r="S33" s="111"/>
    </row>
    <row r="34" spans="1:19" s="9" customFormat="1" ht="22.8" customHeight="1">
      <c r="A34" s="241"/>
      <c r="B34" s="288"/>
      <c r="C34" s="166">
        <v>22</v>
      </c>
      <c r="D34" s="166" t="s">
        <v>216</v>
      </c>
      <c r="E34" s="166" t="s">
        <v>75</v>
      </c>
      <c r="F34" s="166"/>
      <c r="G34" s="117"/>
      <c r="H34" s="58">
        <v>6930</v>
      </c>
      <c r="I34" s="88">
        <f t="shared" si="0"/>
        <v>220</v>
      </c>
      <c r="J34" s="170">
        <v>220</v>
      </c>
      <c r="K34" s="128"/>
      <c r="L34" s="15"/>
      <c r="M34" s="262">
        <v>950000</v>
      </c>
      <c r="N34" s="15"/>
      <c r="O34" s="15">
        <v>60000</v>
      </c>
      <c r="P34" s="19"/>
      <c r="Q34" s="247"/>
      <c r="R34" s="17" t="s">
        <v>40</v>
      </c>
      <c r="S34" s="111"/>
    </row>
    <row r="35" spans="1:19" s="9" customFormat="1" ht="22.8" customHeight="1">
      <c r="A35" s="242"/>
      <c r="B35" s="287"/>
      <c r="C35" s="166" t="s">
        <v>217</v>
      </c>
      <c r="D35" s="166" t="s">
        <v>50</v>
      </c>
      <c r="E35" s="166" t="s">
        <v>152</v>
      </c>
      <c r="F35" s="166"/>
      <c r="G35" s="117"/>
      <c r="H35" s="58">
        <f>27300+22300+5000</f>
        <v>54600</v>
      </c>
      <c r="I35" s="88">
        <f t="shared" si="0"/>
        <v>856</v>
      </c>
      <c r="J35" s="170">
        <f>366+446+44</f>
        <v>856</v>
      </c>
      <c r="K35" s="128"/>
      <c r="L35" s="15"/>
      <c r="M35" s="264"/>
      <c r="N35" s="15"/>
      <c r="O35" s="15"/>
      <c r="P35" s="19"/>
      <c r="Q35" s="248"/>
      <c r="R35" s="17" t="s">
        <v>21</v>
      </c>
      <c r="S35" s="111"/>
    </row>
    <row r="36" spans="1:19" s="9" customFormat="1" ht="22.8" customHeight="1">
      <c r="A36" s="179">
        <v>21</v>
      </c>
      <c r="B36" s="67" t="s">
        <v>218</v>
      </c>
      <c r="C36" s="166">
        <v>31</v>
      </c>
      <c r="D36" s="166" t="s">
        <v>219</v>
      </c>
      <c r="E36" s="166" t="s">
        <v>49</v>
      </c>
      <c r="F36" s="166"/>
      <c r="G36" s="117"/>
      <c r="H36" s="58">
        <v>13600</v>
      </c>
      <c r="I36" s="88">
        <f t="shared" si="0"/>
        <v>1724</v>
      </c>
      <c r="J36" s="170">
        <v>1724</v>
      </c>
      <c r="K36" s="169">
        <v>1850</v>
      </c>
      <c r="L36" s="15"/>
      <c r="M36" s="11">
        <v>1200000</v>
      </c>
      <c r="N36" s="15"/>
      <c r="O36" s="15">
        <v>575000</v>
      </c>
      <c r="P36" s="19"/>
      <c r="Q36" s="20">
        <f t="shared" si="1"/>
        <v>1775000</v>
      </c>
      <c r="R36" s="84" t="s">
        <v>220</v>
      </c>
      <c r="S36" s="111"/>
    </row>
    <row r="37" spans="1:19" s="9" customFormat="1" ht="22.8" customHeight="1">
      <c r="A37" s="179">
        <v>22</v>
      </c>
      <c r="B37" s="67" t="s">
        <v>221</v>
      </c>
      <c r="C37" s="166" t="s">
        <v>91</v>
      </c>
      <c r="D37" s="166" t="s">
        <v>197</v>
      </c>
      <c r="E37" s="166" t="s">
        <v>124</v>
      </c>
      <c r="F37" s="166"/>
      <c r="G37" s="117"/>
      <c r="H37" s="58">
        <f>16000+150000</f>
        <v>166000</v>
      </c>
      <c r="I37" s="88">
        <f t="shared" si="0"/>
        <v>688</v>
      </c>
      <c r="J37" s="170">
        <f>238+450</f>
        <v>688</v>
      </c>
      <c r="K37" s="128"/>
      <c r="L37" s="15"/>
      <c r="M37" s="11">
        <v>1200000</v>
      </c>
      <c r="N37" s="15"/>
      <c r="O37" s="15"/>
      <c r="P37" s="19"/>
      <c r="Q37" s="20">
        <f t="shared" si="1"/>
        <v>1200000</v>
      </c>
      <c r="R37" s="17" t="s">
        <v>21</v>
      </c>
      <c r="S37" s="111"/>
    </row>
    <row r="38" spans="1:19" s="9" customFormat="1" ht="22.8" customHeight="1">
      <c r="A38" s="179">
        <v>23</v>
      </c>
      <c r="B38" s="67" t="s">
        <v>222</v>
      </c>
      <c r="C38" s="179">
        <v>11</v>
      </c>
      <c r="D38" s="166" t="s">
        <v>177</v>
      </c>
      <c r="E38" s="166" t="s">
        <v>130</v>
      </c>
      <c r="F38" s="166"/>
      <c r="G38" s="117"/>
      <c r="H38" s="58">
        <v>109000</v>
      </c>
      <c r="I38" s="88">
        <f t="shared" si="0"/>
        <v>1401</v>
      </c>
      <c r="J38" s="170">
        <v>1401</v>
      </c>
      <c r="K38" s="126"/>
      <c r="L38" s="15"/>
      <c r="M38" s="11">
        <v>1150000</v>
      </c>
      <c r="N38" s="15"/>
      <c r="O38" s="15"/>
      <c r="P38" s="19"/>
      <c r="Q38" s="20">
        <f t="shared" si="1"/>
        <v>1150000</v>
      </c>
      <c r="R38" s="17" t="s">
        <v>21</v>
      </c>
      <c r="S38" s="111"/>
    </row>
    <row r="39" spans="1:19" s="9" customFormat="1" ht="22.8" customHeight="1">
      <c r="A39" s="240">
        <v>24</v>
      </c>
      <c r="B39" s="286" t="s">
        <v>223</v>
      </c>
      <c r="C39" s="166" t="s">
        <v>224</v>
      </c>
      <c r="D39" s="166" t="s">
        <v>156</v>
      </c>
      <c r="E39" s="166" t="s">
        <v>130</v>
      </c>
      <c r="F39" s="166"/>
      <c r="G39" s="117"/>
      <c r="H39" s="58">
        <f>750+30000</f>
        <v>30750</v>
      </c>
      <c r="I39" s="88">
        <f t="shared" si="0"/>
        <v>337</v>
      </c>
      <c r="J39" s="170">
        <f>5+332</f>
        <v>337</v>
      </c>
      <c r="K39" s="128"/>
      <c r="L39" s="15"/>
      <c r="M39" s="262">
        <v>1200000</v>
      </c>
      <c r="N39" s="15"/>
      <c r="O39" s="15"/>
      <c r="P39" s="19"/>
      <c r="Q39" s="246">
        <f>SUM(L39:P40)</f>
        <v>1200000</v>
      </c>
      <c r="R39" s="17" t="s">
        <v>21</v>
      </c>
      <c r="S39" s="111"/>
    </row>
    <row r="40" spans="1:19" s="9" customFormat="1" ht="22.8" customHeight="1">
      <c r="A40" s="242"/>
      <c r="B40" s="287"/>
      <c r="C40" s="179">
        <v>12</v>
      </c>
      <c r="D40" s="166" t="s">
        <v>156</v>
      </c>
      <c r="E40" s="166" t="s">
        <v>69</v>
      </c>
      <c r="F40" s="166"/>
      <c r="G40" s="117"/>
      <c r="H40" s="58">
        <v>24140</v>
      </c>
      <c r="I40" s="88">
        <f t="shared" si="0"/>
        <v>612</v>
      </c>
      <c r="J40" s="170">
        <v>612</v>
      </c>
      <c r="K40" s="128"/>
      <c r="L40" s="15"/>
      <c r="M40" s="264"/>
      <c r="N40" s="15"/>
      <c r="O40" s="15"/>
      <c r="P40" s="19"/>
      <c r="Q40" s="248"/>
      <c r="R40" s="17"/>
      <c r="S40" s="111"/>
    </row>
    <row r="41" spans="1:19" s="9" customFormat="1" ht="22.8" customHeight="1">
      <c r="A41" s="240">
        <v>25</v>
      </c>
      <c r="B41" s="286" t="s">
        <v>225</v>
      </c>
      <c r="C41" s="179">
        <v>6</v>
      </c>
      <c r="D41" s="166" t="s">
        <v>226</v>
      </c>
      <c r="E41" s="166" t="s">
        <v>175</v>
      </c>
      <c r="F41" s="166"/>
      <c r="G41" s="58"/>
      <c r="H41" s="58">
        <v>30000</v>
      </c>
      <c r="I41" s="88">
        <f t="shared" si="0"/>
        <v>156</v>
      </c>
      <c r="J41" s="170">
        <v>156</v>
      </c>
      <c r="K41" s="240">
        <v>1130</v>
      </c>
      <c r="L41" s="15"/>
      <c r="M41" s="262">
        <v>1200000</v>
      </c>
      <c r="N41" s="15"/>
      <c r="O41" s="15"/>
      <c r="P41" s="19"/>
      <c r="Q41" s="246">
        <f>SUM(L41:P43)</f>
        <v>1200000</v>
      </c>
      <c r="R41" s="17"/>
      <c r="S41" s="111"/>
    </row>
    <row r="42" spans="1:19" s="9" customFormat="1" ht="22.8" customHeight="1">
      <c r="A42" s="241"/>
      <c r="B42" s="288"/>
      <c r="C42" s="179">
        <v>8</v>
      </c>
      <c r="D42" s="166" t="s">
        <v>156</v>
      </c>
      <c r="E42" s="166" t="s">
        <v>175</v>
      </c>
      <c r="F42" s="166"/>
      <c r="G42" s="58"/>
      <c r="H42" s="58">
        <v>50000</v>
      </c>
      <c r="I42" s="88">
        <f t="shared" si="0"/>
        <v>553</v>
      </c>
      <c r="J42" s="170">
        <v>553</v>
      </c>
      <c r="K42" s="241"/>
      <c r="L42" s="15"/>
      <c r="M42" s="263"/>
      <c r="N42" s="15"/>
      <c r="O42" s="15"/>
      <c r="P42" s="19"/>
      <c r="Q42" s="247"/>
      <c r="R42" s="17"/>
      <c r="S42" s="111"/>
    </row>
    <row r="43" spans="1:19" s="9" customFormat="1" ht="22.8" customHeight="1">
      <c r="A43" s="242"/>
      <c r="B43" s="287"/>
      <c r="C43" s="179">
        <v>16</v>
      </c>
      <c r="D43" s="166" t="s">
        <v>131</v>
      </c>
      <c r="E43" s="166" t="s">
        <v>175</v>
      </c>
      <c r="F43" s="166"/>
      <c r="G43" s="58"/>
      <c r="H43" s="58">
        <v>5200</v>
      </c>
      <c r="I43" s="88">
        <f t="shared" si="0"/>
        <v>387</v>
      </c>
      <c r="J43" s="170">
        <v>387</v>
      </c>
      <c r="K43" s="242"/>
      <c r="L43" s="15"/>
      <c r="M43" s="264"/>
      <c r="N43" s="15"/>
      <c r="O43" s="15"/>
      <c r="P43" s="19"/>
      <c r="Q43" s="248"/>
      <c r="R43" s="17"/>
      <c r="S43" s="111"/>
    </row>
    <row r="44" spans="1:19" s="9" customFormat="1" ht="22.8" customHeight="1">
      <c r="A44" s="240">
        <v>26</v>
      </c>
      <c r="B44" s="286" t="s">
        <v>185</v>
      </c>
      <c r="C44" s="179">
        <v>35</v>
      </c>
      <c r="D44" s="179" t="s">
        <v>227</v>
      </c>
      <c r="E44" s="166" t="s">
        <v>51</v>
      </c>
      <c r="F44" s="166"/>
      <c r="G44" s="58">
        <v>2037</v>
      </c>
      <c r="H44" s="58"/>
      <c r="I44" s="88">
        <f t="shared" si="0"/>
        <v>2037</v>
      </c>
      <c r="J44" s="170"/>
      <c r="K44" s="240">
        <v>2260</v>
      </c>
      <c r="L44" s="262">
        <v>1200000</v>
      </c>
      <c r="M44" s="170"/>
      <c r="N44" s="15"/>
      <c r="O44" s="15"/>
      <c r="P44" s="19"/>
      <c r="Q44" s="246">
        <f>SUM(L44:P45)</f>
        <v>1200000</v>
      </c>
      <c r="R44" s="17"/>
      <c r="S44" s="111"/>
    </row>
    <row r="45" spans="1:19" s="9" customFormat="1" ht="22.8" customHeight="1">
      <c r="A45" s="242"/>
      <c r="B45" s="287"/>
      <c r="C45" s="179">
        <v>19</v>
      </c>
      <c r="D45" s="179" t="s">
        <v>74</v>
      </c>
      <c r="E45" s="166" t="s">
        <v>124</v>
      </c>
      <c r="F45" s="166"/>
      <c r="G45" s="58">
        <v>240</v>
      </c>
      <c r="H45" s="58"/>
      <c r="I45" s="88">
        <f t="shared" si="0"/>
        <v>240</v>
      </c>
      <c r="J45" s="170"/>
      <c r="K45" s="242"/>
      <c r="L45" s="264"/>
      <c r="M45" s="170"/>
      <c r="N45" s="15"/>
      <c r="O45" s="15"/>
      <c r="P45" s="19"/>
      <c r="Q45" s="248"/>
      <c r="R45" s="17"/>
      <c r="S45" s="111"/>
    </row>
    <row r="46" spans="1:19" s="9" customFormat="1" ht="22.8" customHeight="1">
      <c r="A46" s="166">
        <v>27</v>
      </c>
      <c r="B46" s="172" t="s">
        <v>186</v>
      </c>
      <c r="C46" s="179">
        <v>24</v>
      </c>
      <c r="D46" s="179" t="s">
        <v>76</v>
      </c>
      <c r="E46" s="166" t="s">
        <v>122</v>
      </c>
      <c r="F46" s="166"/>
      <c r="G46" s="58"/>
      <c r="H46" s="58">
        <v>126000</v>
      </c>
      <c r="I46" s="88">
        <f t="shared" si="0"/>
        <v>1317</v>
      </c>
      <c r="J46" s="170">
        <v>1317</v>
      </c>
      <c r="K46" s="182"/>
      <c r="L46" s="15"/>
      <c r="M46" s="170">
        <v>1150000</v>
      </c>
      <c r="N46" s="15"/>
      <c r="O46" s="15"/>
      <c r="P46" s="19"/>
      <c r="Q46" s="168">
        <f>SUM(L46:P46)</f>
        <v>1150000</v>
      </c>
      <c r="R46" s="17" t="s">
        <v>21</v>
      </c>
      <c r="S46" s="111"/>
    </row>
    <row r="47" spans="1:19" s="9" customFormat="1" ht="22.8" customHeight="1">
      <c r="A47" s="179">
        <v>28</v>
      </c>
      <c r="B47" s="172" t="s">
        <v>228</v>
      </c>
      <c r="C47" s="179">
        <v>25</v>
      </c>
      <c r="D47" s="179" t="s">
        <v>131</v>
      </c>
      <c r="E47" s="166" t="s">
        <v>132</v>
      </c>
      <c r="F47" s="166"/>
      <c r="G47" s="58"/>
      <c r="H47" s="58">
        <v>52800</v>
      </c>
      <c r="I47" s="88">
        <f t="shared" si="0"/>
        <v>1680</v>
      </c>
      <c r="J47" s="170">
        <v>1680</v>
      </c>
      <c r="K47" s="182"/>
      <c r="L47" s="15"/>
      <c r="M47" s="15">
        <v>1150000</v>
      </c>
      <c r="N47" s="15"/>
      <c r="O47" s="15"/>
      <c r="P47" s="19"/>
      <c r="Q47" s="20">
        <f>SUM(L47:P47)</f>
        <v>1150000</v>
      </c>
      <c r="R47" s="17" t="s">
        <v>21</v>
      </c>
      <c r="S47" s="111"/>
    </row>
    <row r="48" spans="1:19" s="9" customFormat="1" ht="22.8" customHeight="1">
      <c r="A48" s="179">
        <v>29</v>
      </c>
      <c r="B48" s="172" t="s">
        <v>190</v>
      </c>
      <c r="C48" s="166">
        <v>23</v>
      </c>
      <c r="D48" s="179" t="s">
        <v>128</v>
      </c>
      <c r="E48" s="166" t="s">
        <v>175</v>
      </c>
      <c r="F48" s="166"/>
      <c r="G48" s="58">
        <v>2214</v>
      </c>
      <c r="H48" s="58"/>
      <c r="I48" s="88">
        <f t="shared" si="0"/>
        <v>2214</v>
      </c>
      <c r="J48" s="170"/>
      <c r="K48" s="166">
        <v>2250</v>
      </c>
      <c r="L48" s="15">
        <v>1100000</v>
      </c>
      <c r="M48" s="15"/>
      <c r="N48" s="15"/>
      <c r="O48" s="15"/>
      <c r="P48" s="19"/>
      <c r="Q48" s="20">
        <f t="shared" ref="Q48:Q49" si="2">SUM(L48:P48)</f>
        <v>1100000</v>
      </c>
      <c r="R48" s="17"/>
      <c r="S48" s="111"/>
    </row>
    <row r="49" spans="1:19" s="9" customFormat="1" ht="22.8" customHeight="1">
      <c r="A49" s="179">
        <v>30</v>
      </c>
      <c r="B49" s="172" t="s">
        <v>190</v>
      </c>
      <c r="C49" s="179" t="s">
        <v>82</v>
      </c>
      <c r="D49" s="179" t="s">
        <v>229</v>
      </c>
      <c r="E49" s="166" t="s">
        <v>83</v>
      </c>
      <c r="F49" s="166"/>
      <c r="G49" s="58"/>
      <c r="H49" s="58">
        <f>50000+54000</f>
        <v>104000</v>
      </c>
      <c r="I49" s="88">
        <f t="shared" si="0"/>
        <v>1362</v>
      </c>
      <c r="J49" s="170">
        <f>467+895</f>
        <v>1362</v>
      </c>
      <c r="K49" s="166"/>
      <c r="L49" s="15"/>
      <c r="M49" s="15">
        <v>1150000</v>
      </c>
      <c r="N49" s="15"/>
      <c r="O49" s="15">
        <v>60000</v>
      </c>
      <c r="P49" s="19"/>
      <c r="Q49" s="20">
        <f t="shared" si="2"/>
        <v>1210000</v>
      </c>
      <c r="R49" s="17" t="s">
        <v>88</v>
      </c>
      <c r="S49" s="111"/>
    </row>
    <row r="50" spans="1:19" s="30" customFormat="1" ht="26.4" customHeight="1">
      <c r="A50" s="290" t="s">
        <v>22</v>
      </c>
      <c r="B50" s="290"/>
      <c r="C50" s="290"/>
      <c r="D50" s="290"/>
      <c r="E50" s="290"/>
      <c r="F50" s="290"/>
      <c r="G50" s="28">
        <f t="shared" ref="G50:P50" si="3">SUM(G8:G49)</f>
        <v>10211</v>
      </c>
      <c r="H50" s="28">
        <f t="shared" si="3"/>
        <v>2584920</v>
      </c>
      <c r="I50" s="28"/>
      <c r="J50" s="28">
        <f t="shared" si="3"/>
        <v>27354</v>
      </c>
      <c r="K50" s="28">
        <f t="shared" si="3"/>
        <v>15280</v>
      </c>
      <c r="L50" s="107">
        <f t="shared" si="3"/>
        <v>5150000</v>
      </c>
      <c r="M50" s="132">
        <f t="shared" si="3"/>
        <v>30150000</v>
      </c>
      <c r="N50" s="28">
        <f t="shared" si="3"/>
        <v>100000</v>
      </c>
      <c r="O50" s="28">
        <f t="shared" si="3"/>
        <v>1405000</v>
      </c>
      <c r="P50" s="28">
        <f t="shared" si="3"/>
        <v>0</v>
      </c>
      <c r="Q50" s="73">
        <f>SUM(Q8:Q49)</f>
        <v>36805000</v>
      </c>
      <c r="R50" s="196"/>
      <c r="S50" s="173">
        <v>37005</v>
      </c>
    </row>
    <row r="51" spans="1:19" s="78" customFormat="1" ht="26.4" customHeight="1">
      <c r="A51" s="280" t="s">
        <v>23</v>
      </c>
      <c r="B51" s="280"/>
      <c r="C51" s="280"/>
      <c r="D51" s="280"/>
      <c r="E51" s="280"/>
      <c r="F51" s="280"/>
      <c r="G51" s="74"/>
      <c r="H51" s="74"/>
      <c r="I51" s="74"/>
      <c r="J51" s="74"/>
      <c r="K51" s="75"/>
      <c r="L51" s="74"/>
      <c r="M51" s="133"/>
      <c r="N51" s="74"/>
      <c r="O51" s="74"/>
      <c r="P51" s="74"/>
      <c r="Q51" s="76">
        <f>8%*Q50</f>
        <v>2944400</v>
      </c>
      <c r="R51" s="197"/>
      <c r="S51" s="77"/>
    </row>
    <row r="52" spans="1:19" s="30" customFormat="1" ht="26.4" customHeight="1">
      <c r="A52" s="289" t="s">
        <v>24</v>
      </c>
      <c r="B52" s="289"/>
      <c r="C52" s="289"/>
      <c r="D52" s="289"/>
      <c r="E52" s="289"/>
      <c r="F52" s="289"/>
      <c r="G52" s="28"/>
      <c r="H52" s="28"/>
      <c r="I52" s="28"/>
      <c r="J52" s="28"/>
      <c r="K52" s="28"/>
      <c r="L52" s="28"/>
      <c r="M52" s="134"/>
      <c r="N52" s="28"/>
      <c r="O52" s="28"/>
      <c r="P52" s="28"/>
      <c r="Q52" s="79">
        <f>Q51+Q50</f>
        <v>39749400</v>
      </c>
      <c r="R52" s="31"/>
      <c r="S52" s="3"/>
    </row>
    <row r="53" spans="1:19" s="30" customFormat="1" ht="28.95" customHeight="1">
      <c r="A53" s="33"/>
      <c r="B53" s="68"/>
      <c r="C53" s="33"/>
      <c r="D53" s="33"/>
      <c r="E53" s="33"/>
      <c r="F53" s="33"/>
      <c r="G53" s="34"/>
      <c r="H53" s="34"/>
      <c r="I53" s="34"/>
      <c r="J53" s="34"/>
      <c r="K53" s="34"/>
      <c r="L53" s="34"/>
      <c r="M53" s="135"/>
      <c r="N53" s="34"/>
      <c r="O53" s="34"/>
      <c r="P53" s="34"/>
      <c r="Q53" s="80"/>
      <c r="R53" s="35"/>
      <c r="S53" s="36"/>
    </row>
    <row r="54" spans="1:19" s="30" customFormat="1" ht="16.2" customHeight="1">
      <c r="A54" s="279" t="s">
        <v>25</v>
      </c>
      <c r="B54" s="279"/>
      <c r="C54" s="279"/>
      <c r="D54" s="279"/>
      <c r="E54" s="279"/>
      <c r="F54" s="279"/>
      <c r="G54" s="37">
        <f>G50</f>
        <v>10211</v>
      </c>
      <c r="H54" s="37"/>
      <c r="I54" s="37"/>
      <c r="J54" s="37"/>
      <c r="K54" s="38">
        <f>G50+J50</f>
        <v>37565</v>
      </c>
      <c r="L54" s="37"/>
      <c r="M54" s="10"/>
      <c r="N54" s="37"/>
      <c r="O54" s="37"/>
      <c r="P54" s="37"/>
      <c r="Q54" s="81">
        <f>L50+N50</f>
        <v>5250000</v>
      </c>
      <c r="R54" s="39">
        <f>Q54/G54</f>
        <v>514.15140534717466</v>
      </c>
      <c r="S54" s="198"/>
    </row>
    <row r="55" spans="1:19" s="30" customFormat="1" ht="16.2" customHeight="1">
      <c r="A55" s="279" t="s">
        <v>26</v>
      </c>
      <c r="B55" s="279"/>
      <c r="C55" s="279"/>
      <c r="D55" s="279"/>
      <c r="E55" s="279"/>
      <c r="F55" s="279"/>
      <c r="G55" s="37"/>
      <c r="H55" s="37"/>
      <c r="I55" s="37"/>
      <c r="J55" s="37">
        <f>J50</f>
        <v>27354</v>
      </c>
      <c r="K55" s="37"/>
      <c r="L55" s="37"/>
      <c r="M55" s="10"/>
      <c r="N55" s="37"/>
      <c r="O55" s="37"/>
      <c r="P55" s="37"/>
      <c r="Q55" s="81">
        <f>M50+O50</f>
        <v>31555000</v>
      </c>
      <c r="R55" s="39">
        <f>Q55/J55</f>
        <v>1153.5790012429627</v>
      </c>
      <c r="S55" s="198"/>
    </row>
    <row r="56" spans="1:19" s="30" customFormat="1" ht="16.2" customHeight="1">
      <c r="A56" s="279" t="s">
        <v>27</v>
      </c>
      <c r="B56" s="279"/>
      <c r="C56" s="279"/>
      <c r="D56" s="279"/>
      <c r="E56" s="279"/>
      <c r="F56" s="279"/>
      <c r="G56" s="37"/>
      <c r="H56" s="37"/>
      <c r="I56" s="37"/>
      <c r="J56" s="37"/>
      <c r="K56" s="37"/>
      <c r="L56" s="37"/>
      <c r="M56" s="10"/>
      <c r="N56" s="37"/>
      <c r="O56" s="37"/>
      <c r="P56" s="37">
        <f>S50</f>
        <v>37005</v>
      </c>
      <c r="Q56" s="81">
        <f>P50</f>
        <v>0</v>
      </c>
      <c r="R56" s="199">
        <f>Q56/P56</f>
        <v>0</v>
      </c>
      <c r="S56" s="198"/>
    </row>
    <row r="57" spans="1:19" ht="16.2" customHeight="1">
      <c r="A57" s="41"/>
      <c r="B57" s="1"/>
      <c r="C57" s="3" t="s">
        <v>29</v>
      </c>
      <c r="D57" s="42"/>
      <c r="E57" s="43"/>
      <c r="F57" s="43"/>
      <c r="G57" s="44" t="s">
        <v>80</v>
      </c>
      <c r="J57" s="45"/>
      <c r="K57" s="46"/>
      <c r="L57" s="1"/>
      <c r="M57" s="1"/>
      <c r="N57" s="1"/>
      <c r="O57" s="1"/>
      <c r="P57" s="1"/>
      <c r="Q57" s="82" t="s">
        <v>30</v>
      </c>
    </row>
    <row r="58" spans="1:19" ht="16.2" customHeight="1">
      <c r="B58" s="1"/>
      <c r="D58" s="42"/>
      <c r="E58" s="47"/>
      <c r="F58" s="47"/>
      <c r="G58" s="48"/>
      <c r="H58" s="44"/>
      <c r="I58" s="44"/>
      <c r="J58" s="42"/>
      <c r="K58" s="42"/>
    </row>
    <row r="59" spans="1:19" s="8" customFormat="1" ht="16.2" customHeight="1">
      <c r="A59" s="1"/>
      <c r="B59" s="1"/>
      <c r="C59" s="3"/>
      <c r="D59" s="3"/>
      <c r="E59" s="3"/>
      <c r="F59" s="3"/>
      <c r="G59" s="49"/>
      <c r="H59" s="4"/>
      <c r="I59" s="4"/>
      <c r="M59" s="1"/>
      <c r="Q59" s="83"/>
      <c r="S59" s="3"/>
    </row>
    <row r="60" spans="1:19" ht="4.2" customHeight="1">
      <c r="B60" s="1"/>
      <c r="E60" s="47"/>
      <c r="F60" s="47"/>
      <c r="G60" s="48"/>
      <c r="H60" s="44"/>
      <c r="I60" s="44"/>
      <c r="J60" s="42"/>
      <c r="K60" s="42"/>
    </row>
    <row r="61" spans="1:19" ht="7.2" customHeight="1">
      <c r="H61" s="44"/>
      <c r="I61" s="44"/>
    </row>
    <row r="62" spans="1:19">
      <c r="C62" s="55"/>
      <c r="G62" s="44" t="str">
        <f>'[1]A VIEN'!G55</f>
        <v>Đặng Thị Mỹ Tin</v>
      </c>
      <c r="H62" s="44"/>
      <c r="I62" s="44"/>
      <c r="Q62" s="71" t="s">
        <v>34</v>
      </c>
    </row>
    <row r="65" spans="18:18">
      <c r="R65" s="49" t="e">
        <f>+Q50+#REF!+#REF!+#REF!+#REF!+#REF!+#REF!+#REF!+#REF!</f>
        <v>#REF!</v>
      </c>
    </row>
  </sheetData>
  <mergeCells count="57">
    <mergeCell ref="A52:F52"/>
    <mergeCell ref="A54:F54"/>
    <mergeCell ref="A55:F55"/>
    <mergeCell ref="A56:F56"/>
    <mergeCell ref="A23:A24"/>
    <mergeCell ref="B23:B24"/>
    <mergeCell ref="A50:F50"/>
    <mergeCell ref="A51:F51"/>
    <mergeCell ref="A41:A43"/>
    <mergeCell ref="B41:B43"/>
    <mergeCell ref="A39:A40"/>
    <mergeCell ref="B39:B40"/>
    <mergeCell ref="A44:A45"/>
    <mergeCell ref="B44:B45"/>
    <mergeCell ref="K44:K45"/>
    <mergeCell ref="L44:L45"/>
    <mergeCell ref="Q44:Q45"/>
    <mergeCell ref="A15:A17"/>
    <mergeCell ref="B15:B17"/>
    <mergeCell ref="M15:M16"/>
    <mergeCell ref="M41:M43"/>
    <mergeCell ref="Q41:Q43"/>
    <mergeCell ref="K41:K43"/>
    <mergeCell ref="A19:A21"/>
    <mergeCell ref="B19:B21"/>
    <mergeCell ref="K19:K21"/>
    <mergeCell ref="M19:M21"/>
    <mergeCell ref="Q19:Q21"/>
    <mergeCell ref="K23:K24"/>
    <mergeCell ref="Q23:Q24"/>
    <mergeCell ref="A32:A35"/>
    <mergeCell ref="B32:B35"/>
    <mergeCell ref="L32:L33"/>
    <mergeCell ref="N5:O6"/>
    <mergeCell ref="P5:P7"/>
    <mergeCell ref="Q5:Q7"/>
    <mergeCell ref="M39:M40"/>
    <mergeCell ref="Q39:Q40"/>
    <mergeCell ref="Q15:Q17"/>
    <mergeCell ref="Q32:Q35"/>
    <mergeCell ref="M34:M35"/>
    <mergeCell ref="E6:E7"/>
    <mergeCell ref="F6:F7"/>
    <mergeCell ref="H6:J6"/>
    <mergeCell ref="R5:R7"/>
    <mergeCell ref="A1:R1"/>
    <mergeCell ref="A2:R2"/>
    <mergeCell ref="A3:R3"/>
    <mergeCell ref="A4:D4"/>
    <mergeCell ref="A5:A7"/>
    <mergeCell ref="B5:B7"/>
    <mergeCell ref="C5:C7"/>
    <mergeCell ref="D5:D7"/>
    <mergeCell ref="E5:F5"/>
    <mergeCell ref="G5:J5"/>
    <mergeCell ref="K5:K7"/>
    <mergeCell ref="L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B22" zoomScale="80" zoomScaleNormal="80" workbookViewId="0">
      <selection activeCell="B41" sqref="B8:B42"/>
    </sheetView>
  </sheetViews>
  <sheetFormatPr defaultColWidth="9.109375" defaultRowHeight="13.8"/>
  <cols>
    <col min="1" max="1" width="10" style="1" hidden="1" customWidth="1"/>
    <col min="2" max="2" width="14.33203125" style="50" customWidth="1"/>
    <col min="3" max="3" width="14.33203125" style="3" hidden="1" customWidth="1"/>
    <col min="4" max="4" width="18.88671875" style="3" hidden="1" customWidth="1"/>
    <col min="5" max="5" width="17.109375" style="51" customWidth="1"/>
    <col min="6" max="6" width="14.33203125" style="52" hidden="1" customWidth="1"/>
    <col min="7" max="7" width="16.5546875" style="45" hidden="1" customWidth="1"/>
    <col min="8" max="8" width="16.88671875" style="45" hidden="1" customWidth="1"/>
    <col min="9" max="9" width="12" style="54" customWidth="1"/>
    <col min="10" max="10" width="17.109375" style="7" hidden="1" customWidth="1"/>
    <col min="11" max="12" width="16.44140625" style="7" hidden="1" customWidth="1"/>
    <col min="13" max="14" width="16.88671875" style="7" hidden="1" customWidth="1"/>
    <col min="15" max="15" width="14.6640625" style="7" hidden="1" customWidth="1"/>
    <col min="16" max="16" width="19.44140625" style="7" customWidth="1"/>
    <col min="17" max="17" width="35" style="8" hidden="1" customWidth="1"/>
    <col min="18" max="18" width="16.5546875" style="1" customWidth="1"/>
    <col min="19" max="16384" width="9.109375" style="1"/>
  </cols>
  <sheetData>
    <row r="1" spans="1:17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17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</row>
    <row r="4" spans="1:17">
      <c r="A4" s="62" t="s">
        <v>32</v>
      </c>
      <c r="B4" s="62"/>
      <c r="C4" s="2"/>
      <c r="D4" s="2"/>
      <c r="E4" s="3"/>
      <c r="F4" s="3"/>
      <c r="G4" s="4"/>
      <c r="H4" s="4"/>
      <c r="I4" s="6"/>
    </row>
    <row r="5" spans="1:17" s="9" customFormat="1" ht="29.25" customHeight="1">
      <c r="A5" s="239" t="s">
        <v>2</v>
      </c>
      <c r="B5" s="239" t="s">
        <v>3</v>
      </c>
      <c r="C5" s="294" t="s">
        <v>4</v>
      </c>
      <c r="D5" s="294" t="s">
        <v>5</v>
      </c>
      <c r="E5" s="299" t="s">
        <v>6</v>
      </c>
      <c r="F5" s="300"/>
      <c r="G5" s="296" t="s">
        <v>7</v>
      </c>
      <c r="H5" s="301"/>
      <c r="I5" s="297"/>
      <c r="J5" s="302" t="s">
        <v>8</v>
      </c>
      <c r="K5" s="255" t="s">
        <v>9</v>
      </c>
      <c r="L5" s="256"/>
      <c r="M5" s="255" t="s">
        <v>10</v>
      </c>
      <c r="N5" s="256"/>
      <c r="O5" s="236" t="s">
        <v>11</v>
      </c>
      <c r="P5" s="236" t="s">
        <v>12</v>
      </c>
      <c r="Q5" s="291" t="s">
        <v>13</v>
      </c>
    </row>
    <row r="6" spans="1:17" s="9" customFormat="1" ht="23.25" customHeight="1">
      <c r="A6" s="239"/>
      <c r="B6" s="239"/>
      <c r="C6" s="298"/>
      <c r="D6" s="298"/>
      <c r="E6" s="294" t="s">
        <v>14</v>
      </c>
      <c r="F6" s="294" t="s">
        <v>15</v>
      </c>
      <c r="G6" s="176" t="s">
        <v>16</v>
      </c>
      <c r="H6" s="296" t="s">
        <v>17</v>
      </c>
      <c r="I6" s="297"/>
      <c r="J6" s="303"/>
      <c r="K6" s="305"/>
      <c r="L6" s="306"/>
      <c r="M6" s="305"/>
      <c r="N6" s="306"/>
      <c r="O6" s="237"/>
      <c r="P6" s="237"/>
      <c r="Q6" s="292"/>
    </row>
    <row r="7" spans="1:17" s="9" customFormat="1" ht="22.5" customHeight="1">
      <c r="A7" s="239"/>
      <c r="B7" s="239"/>
      <c r="C7" s="295"/>
      <c r="D7" s="295"/>
      <c r="E7" s="295"/>
      <c r="F7" s="295"/>
      <c r="G7" s="176" t="s">
        <v>19</v>
      </c>
      <c r="H7" s="176" t="s">
        <v>20</v>
      </c>
      <c r="I7" s="175" t="s">
        <v>19</v>
      </c>
      <c r="J7" s="304"/>
      <c r="K7" s="176" t="s">
        <v>16</v>
      </c>
      <c r="L7" s="10" t="s">
        <v>17</v>
      </c>
      <c r="M7" s="176" t="s">
        <v>16</v>
      </c>
      <c r="N7" s="129" t="s">
        <v>17</v>
      </c>
      <c r="O7" s="238"/>
      <c r="P7" s="238"/>
      <c r="Q7" s="293"/>
    </row>
    <row r="8" spans="1:17" s="9" customFormat="1" ht="24.6" customHeight="1">
      <c r="A8" s="179">
        <v>1</v>
      </c>
      <c r="B8" s="63" t="s">
        <v>119</v>
      </c>
      <c r="C8" s="166">
        <v>14</v>
      </c>
      <c r="D8" s="166" t="s">
        <v>120</v>
      </c>
      <c r="E8" s="166" t="s">
        <v>122</v>
      </c>
      <c r="F8" s="166"/>
      <c r="G8" s="117"/>
      <c r="H8" s="58">
        <v>192000</v>
      </c>
      <c r="I8" s="170">
        <v>576</v>
      </c>
      <c r="J8" s="182"/>
      <c r="K8" s="22"/>
      <c r="L8" s="22">
        <v>1100000</v>
      </c>
      <c r="M8" s="15"/>
      <c r="N8" s="15"/>
      <c r="O8" s="19"/>
      <c r="P8" s="16">
        <f>SUM(K8:O8)</f>
        <v>1100000</v>
      </c>
      <c r="Q8" s="87"/>
    </row>
    <row r="9" spans="1:17" s="9" customFormat="1" ht="24.6" customHeight="1">
      <c r="A9" s="179">
        <v>2</v>
      </c>
      <c r="B9" s="63" t="s">
        <v>125</v>
      </c>
      <c r="C9" s="166" t="s">
        <v>230</v>
      </c>
      <c r="D9" s="166" t="s">
        <v>197</v>
      </c>
      <c r="E9" s="166" t="s">
        <v>124</v>
      </c>
      <c r="F9" s="166"/>
      <c r="G9" s="117"/>
      <c r="H9" s="58">
        <f>56000+112000</f>
        <v>168000</v>
      </c>
      <c r="I9" s="170">
        <f>681+336</f>
        <v>1017</v>
      </c>
      <c r="J9" s="166">
        <v>1160</v>
      </c>
      <c r="K9" s="22"/>
      <c r="L9" s="22">
        <v>1200000</v>
      </c>
      <c r="M9" s="15"/>
      <c r="N9" s="15"/>
      <c r="O9" s="19"/>
      <c r="P9" s="16">
        <f t="shared" ref="P9:P33" si="0">SUM(K9:O9)</f>
        <v>1200000</v>
      </c>
      <c r="Q9" s="87" t="s">
        <v>21</v>
      </c>
    </row>
    <row r="10" spans="1:17" s="9" customFormat="1" ht="24.6" customHeight="1">
      <c r="A10" s="179">
        <v>3</v>
      </c>
      <c r="B10" s="63" t="s">
        <v>129</v>
      </c>
      <c r="C10" s="166">
        <v>8</v>
      </c>
      <c r="D10" s="166" t="s">
        <v>197</v>
      </c>
      <c r="E10" s="166" t="s">
        <v>124</v>
      </c>
      <c r="F10" s="166"/>
      <c r="G10" s="117"/>
      <c r="H10" s="58">
        <v>192000</v>
      </c>
      <c r="I10" s="170">
        <v>576</v>
      </c>
      <c r="J10" s="179"/>
      <c r="K10" s="22"/>
      <c r="L10" s="22">
        <v>1200000</v>
      </c>
      <c r="M10" s="15"/>
      <c r="N10" s="15"/>
      <c r="O10" s="19"/>
      <c r="P10" s="16">
        <f t="shared" si="0"/>
        <v>1200000</v>
      </c>
      <c r="Q10" s="87" t="s">
        <v>21</v>
      </c>
    </row>
    <row r="11" spans="1:17" s="9" customFormat="1" ht="24.6" customHeight="1">
      <c r="A11" s="179">
        <v>4</v>
      </c>
      <c r="B11" s="63" t="s">
        <v>129</v>
      </c>
      <c r="C11" s="166" t="s">
        <v>231</v>
      </c>
      <c r="D11" s="166" t="s">
        <v>197</v>
      </c>
      <c r="E11" s="166" t="s">
        <v>198</v>
      </c>
      <c r="F11" s="166"/>
      <c r="G11" s="117"/>
      <c r="H11" s="58">
        <f>67000+57000</f>
        <v>124000</v>
      </c>
      <c r="I11" s="170">
        <f>171+931</f>
        <v>1102</v>
      </c>
      <c r="J11" s="179"/>
      <c r="K11" s="14"/>
      <c r="L11" s="14">
        <v>1150000</v>
      </c>
      <c r="M11" s="15"/>
      <c r="N11" s="15"/>
      <c r="O11" s="19"/>
      <c r="P11" s="16">
        <f t="shared" si="0"/>
        <v>1150000</v>
      </c>
      <c r="Q11" s="146" t="s">
        <v>21</v>
      </c>
    </row>
    <row r="12" spans="1:17" s="9" customFormat="1" ht="24.6" customHeight="1">
      <c r="A12" s="179">
        <v>5</v>
      </c>
      <c r="B12" s="63" t="s">
        <v>133</v>
      </c>
      <c r="C12" s="166">
        <v>33</v>
      </c>
      <c r="D12" s="166" t="s">
        <v>114</v>
      </c>
      <c r="E12" s="166" t="s">
        <v>83</v>
      </c>
      <c r="F12" s="166"/>
      <c r="G12" s="117"/>
      <c r="H12" s="58">
        <v>142000</v>
      </c>
      <c r="I12" s="170">
        <v>1441</v>
      </c>
      <c r="J12" s="166">
        <v>1500</v>
      </c>
      <c r="K12" s="14"/>
      <c r="L12" s="24">
        <v>1150000</v>
      </c>
      <c r="M12" s="26"/>
      <c r="N12" s="26"/>
      <c r="O12" s="26"/>
      <c r="P12" s="16">
        <f t="shared" si="0"/>
        <v>1150000</v>
      </c>
      <c r="Q12" s="17"/>
    </row>
    <row r="13" spans="1:17" s="9" customFormat="1" ht="24.6" customHeight="1">
      <c r="A13" s="240">
        <v>6</v>
      </c>
      <c r="B13" s="268" t="s">
        <v>135</v>
      </c>
      <c r="C13" s="166">
        <v>7</v>
      </c>
      <c r="D13" s="166" t="s">
        <v>48</v>
      </c>
      <c r="E13" s="166" t="s">
        <v>124</v>
      </c>
      <c r="F13" s="166"/>
      <c r="G13" s="117"/>
      <c r="H13" s="58">
        <v>38000</v>
      </c>
      <c r="I13" s="170">
        <v>114</v>
      </c>
      <c r="J13" s="179"/>
      <c r="K13" s="126"/>
      <c r="L13" s="309">
        <v>1300000</v>
      </c>
      <c r="M13" s="26"/>
      <c r="N13" s="26"/>
      <c r="O13" s="26"/>
      <c r="P13" s="246">
        <f>SUM(K13:O15)</f>
        <v>1300000</v>
      </c>
      <c r="Q13" s="17" t="s">
        <v>21</v>
      </c>
    </row>
    <row r="14" spans="1:17" s="9" customFormat="1" ht="24.6" customHeight="1">
      <c r="A14" s="241"/>
      <c r="B14" s="269"/>
      <c r="C14" s="166">
        <v>11</v>
      </c>
      <c r="D14" s="166" t="s">
        <v>131</v>
      </c>
      <c r="E14" s="166" t="s">
        <v>69</v>
      </c>
      <c r="F14" s="166"/>
      <c r="G14" s="117"/>
      <c r="H14" s="58">
        <v>38600</v>
      </c>
      <c r="I14" s="170">
        <v>730</v>
      </c>
      <c r="J14" s="179"/>
      <c r="K14" s="14"/>
      <c r="L14" s="310"/>
      <c r="M14" s="15"/>
      <c r="N14" s="15"/>
      <c r="O14" s="19"/>
      <c r="P14" s="247"/>
      <c r="Q14" s="17"/>
    </row>
    <row r="15" spans="1:17" s="9" customFormat="1" ht="24.6" customHeight="1">
      <c r="A15" s="242"/>
      <c r="B15" s="270"/>
      <c r="C15" s="166">
        <v>31</v>
      </c>
      <c r="D15" s="166" t="s">
        <v>232</v>
      </c>
      <c r="E15" s="166" t="s">
        <v>69</v>
      </c>
      <c r="F15" s="166"/>
      <c r="G15" s="117"/>
      <c r="H15" s="58">
        <v>14250</v>
      </c>
      <c r="I15" s="170">
        <v>390</v>
      </c>
      <c r="J15" s="182"/>
      <c r="K15" s="22"/>
      <c r="L15" s="311"/>
      <c r="M15" s="15"/>
      <c r="N15" s="15"/>
      <c r="O15" s="19"/>
      <c r="P15" s="248"/>
      <c r="Q15" s="17"/>
    </row>
    <row r="16" spans="1:17" s="9" customFormat="1" ht="24.6" customHeight="1">
      <c r="A16" s="240">
        <v>7</v>
      </c>
      <c r="B16" s="268" t="s">
        <v>233</v>
      </c>
      <c r="C16" s="166">
        <v>38</v>
      </c>
      <c r="D16" s="166" t="s">
        <v>156</v>
      </c>
      <c r="E16" s="166" t="s">
        <v>130</v>
      </c>
      <c r="F16" s="166"/>
      <c r="G16" s="117"/>
      <c r="H16" s="58">
        <v>63850</v>
      </c>
      <c r="I16" s="170">
        <v>1596</v>
      </c>
      <c r="J16" s="179"/>
      <c r="K16" s="22"/>
      <c r="L16" s="274">
        <v>1200000</v>
      </c>
      <c r="M16" s="15"/>
      <c r="N16" s="15"/>
      <c r="O16" s="19"/>
      <c r="P16" s="246">
        <f t="shared" si="0"/>
        <v>1200000</v>
      </c>
      <c r="Q16" s="17" t="s">
        <v>21</v>
      </c>
    </row>
    <row r="17" spans="1:17" s="9" customFormat="1" ht="24.6" customHeight="1">
      <c r="A17" s="242"/>
      <c r="B17" s="270"/>
      <c r="C17" s="166">
        <v>3</v>
      </c>
      <c r="D17" s="166" t="s">
        <v>234</v>
      </c>
      <c r="E17" s="166" t="s">
        <v>175</v>
      </c>
      <c r="F17" s="166"/>
      <c r="G17" s="58"/>
      <c r="H17" s="88">
        <v>9900</v>
      </c>
      <c r="I17" s="170">
        <v>315</v>
      </c>
      <c r="J17" s="179"/>
      <c r="K17" s="22"/>
      <c r="L17" s="275"/>
      <c r="M17" s="15"/>
      <c r="N17" s="15"/>
      <c r="O17" s="19"/>
      <c r="P17" s="248"/>
      <c r="Q17" s="17"/>
    </row>
    <row r="18" spans="1:17" s="9" customFormat="1" ht="24.6" customHeight="1">
      <c r="A18" s="179">
        <v>8</v>
      </c>
      <c r="B18" s="63" t="s">
        <v>202</v>
      </c>
      <c r="C18" s="166">
        <v>38</v>
      </c>
      <c r="D18" s="166" t="s">
        <v>197</v>
      </c>
      <c r="E18" s="166" t="s">
        <v>124</v>
      </c>
      <c r="F18" s="166"/>
      <c r="G18" s="170"/>
      <c r="H18" s="58">
        <v>196000</v>
      </c>
      <c r="I18" s="170">
        <v>588</v>
      </c>
      <c r="J18" s="166"/>
      <c r="K18" s="22"/>
      <c r="L18" s="22">
        <v>1200000</v>
      </c>
      <c r="M18" s="15"/>
      <c r="N18" s="15">
        <v>200000</v>
      </c>
      <c r="O18" s="19"/>
      <c r="P18" s="16">
        <f t="shared" si="0"/>
        <v>1400000</v>
      </c>
      <c r="Q18" s="21" t="s">
        <v>235</v>
      </c>
    </row>
    <row r="19" spans="1:17" s="9" customFormat="1" ht="24.6" customHeight="1">
      <c r="A19" s="179">
        <v>9</v>
      </c>
      <c r="B19" s="189" t="s">
        <v>202</v>
      </c>
      <c r="C19" s="188" t="s">
        <v>236</v>
      </c>
      <c r="D19" s="188" t="s">
        <v>143</v>
      </c>
      <c r="E19" s="188" t="s">
        <v>144</v>
      </c>
      <c r="F19" s="188"/>
      <c r="G19" s="117"/>
      <c r="H19" s="58">
        <v>52000</v>
      </c>
      <c r="I19" s="187">
        <f>431+884</f>
        <v>1315</v>
      </c>
      <c r="J19" s="188"/>
      <c r="K19" s="179"/>
      <c r="L19" s="15">
        <v>1050000</v>
      </c>
      <c r="M19" s="15"/>
      <c r="N19" s="15"/>
      <c r="O19" s="19"/>
      <c r="P19" s="16">
        <f t="shared" si="0"/>
        <v>1050000</v>
      </c>
      <c r="Q19" s="87" t="s">
        <v>21</v>
      </c>
    </row>
    <row r="20" spans="1:17" s="9" customFormat="1" ht="24.6" customHeight="1">
      <c r="A20" s="240">
        <v>10</v>
      </c>
      <c r="B20" s="268" t="s">
        <v>142</v>
      </c>
      <c r="C20" s="166" t="s">
        <v>237</v>
      </c>
      <c r="D20" s="166" t="s">
        <v>151</v>
      </c>
      <c r="E20" s="166" t="s">
        <v>127</v>
      </c>
      <c r="F20" s="166"/>
      <c r="G20" s="117"/>
      <c r="H20" s="58">
        <f>40000+11000+5580</f>
        <v>56580</v>
      </c>
      <c r="I20" s="170">
        <f>141+442+243</f>
        <v>826</v>
      </c>
      <c r="J20" s="179"/>
      <c r="K20" s="179"/>
      <c r="L20" s="274">
        <v>1150000</v>
      </c>
      <c r="M20" s="15"/>
      <c r="N20" s="15"/>
      <c r="O20" s="19"/>
      <c r="P20" s="246">
        <f t="shared" si="0"/>
        <v>1150000</v>
      </c>
      <c r="Q20" s="87"/>
    </row>
    <row r="21" spans="1:17" s="9" customFormat="1" ht="29.25" customHeight="1">
      <c r="A21" s="242"/>
      <c r="B21" s="270"/>
      <c r="C21" s="166">
        <v>12</v>
      </c>
      <c r="D21" s="166" t="s">
        <v>156</v>
      </c>
      <c r="E21" s="166" t="s">
        <v>130</v>
      </c>
      <c r="F21" s="166"/>
      <c r="G21" s="117"/>
      <c r="H21" s="58">
        <v>29000</v>
      </c>
      <c r="I21" s="170">
        <v>652</v>
      </c>
      <c r="J21" s="182"/>
      <c r="K21" s="127"/>
      <c r="L21" s="275"/>
      <c r="M21" s="15"/>
      <c r="N21" s="15"/>
      <c r="O21" s="19"/>
      <c r="P21" s="248"/>
      <c r="Q21" s="146"/>
    </row>
    <row r="22" spans="1:17" s="9" customFormat="1" ht="29.25" customHeight="1">
      <c r="A22" s="179">
        <v>11</v>
      </c>
      <c r="B22" s="63" t="s">
        <v>145</v>
      </c>
      <c r="C22" s="166" t="s">
        <v>238</v>
      </c>
      <c r="D22" s="166" t="s">
        <v>107</v>
      </c>
      <c r="E22" s="166" t="s">
        <v>239</v>
      </c>
      <c r="F22" s="166"/>
      <c r="G22" s="117"/>
      <c r="H22" s="58">
        <f>13000+103000</f>
        <v>116000</v>
      </c>
      <c r="I22" s="170">
        <f>347+1171</f>
        <v>1518</v>
      </c>
      <c r="J22" s="166">
        <v>1670</v>
      </c>
      <c r="K22" s="14"/>
      <c r="L22" s="22">
        <v>850000</v>
      </c>
      <c r="M22" s="13">
        <v>50000</v>
      </c>
      <c r="N22" s="13">
        <f>50000+100*500</f>
        <v>100000</v>
      </c>
      <c r="O22" s="26"/>
      <c r="P22" s="16">
        <f t="shared" si="0"/>
        <v>1000000</v>
      </c>
      <c r="Q22" s="200" t="s">
        <v>240</v>
      </c>
    </row>
    <row r="23" spans="1:17" s="9" customFormat="1" ht="29.25" customHeight="1">
      <c r="A23" s="179">
        <v>12</v>
      </c>
      <c r="B23" s="63" t="s">
        <v>206</v>
      </c>
      <c r="C23" s="166" t="s">
        <v>241</v>
      </c>
      <c r="D23" s="166" t="s">
        <v>48</v>
      </c>
      <c r="E23" s="166" t="s">
        <v>124</v>
      </c>
      <c r="F23" s="166"/>
      <c r="G23" s="117"/>
      <c r="H23" s="58">
        <f>180000+10000</f>
        <v>190000</v>
      </c>
      <c r="I23" s="170">
        <f>540+32</f>
        <v>572</v>
      </c>
      <c r="J23" s="179"/>
      <c r="K23" s="22"/>
      <c r="L23" s="22">
        <v>1200000</v>
      </c>
      <c r="M23" s="15">
        <v>50000</v>
      </c>
      <c r="N23" s="15"/>
      <c r="O23" s="19"/>
      <c r="P23" s="16">
        <f t="shared" si="0"/>
        <v>1250000</v>
      </c>
      <c r="Q23" s="21" t="s">
        <v>242</v>
      </c>
    </row>
    <row r="24" spans="1:17" s="9" customFormat="1" ht="29.25" customHeight="1">
      <c r="A24" s="179">
        <v>13</v>
      </c>
      <c r="B24" s="201" t="s">
        <v>148</v>
      </c>
      <c r="C24" s="188" t="s">
        <v>243</v>
      </c>
      <c r="D24" s="188" t="s">
        <v>244</v>
      </c>
      <c r="E24" s="188" t="s">
        <v>144</v>
      </c>
      <c r="F24" s="188"/>
      <c r="G24" s="117"/>
      <c r="H24" s="58">
        <f>102000+20400</f>
        <v>122400</v>
      </c>
      <c r="I24" s="187">
        <v>1315</v>
      </c>
      <c r="J24" s="179"/>
      <c r="K24" s="15"/>
      <c r="L24" s="15">
        <v>1050000</v>
      </c>
      <c r="M24" s="15"/>
      <c r="N24" s="15"/>
      <c r="O24" s="19"/>
      <c r="P24" s="16">
        <f t="shared" si="0"/>
        <v>1050000</v>
      </c>
      <c r="Q24" s="17" t="s">
        <v>21</v>
      </c>
    </row>
    <row r="25" spans="1:17" s="9" customFormat="1" ht="29.25" customHeight="1">
      <c r="A25" s="179">
        <v>14</v>
      </c>
      <c r="B25" s="201" t="s">
        <v>150</v>
      </c>
      <c r="C25" s="166">
        <v>9</v>
      </c>
      <c r="D25" s="166" t="s">
        <v>156</v>
      </c>
      <c r="E25" s="166" t="s">
        <v>144</v>
      </c>
      <c r="F25" s="166"/>
      <c r="G25" s="117"/>
      <c r="H25" s="58">
        <v>64900</v>
      </c>
      <c r="I25" s="170">
        <v>1154</v>
      </c>
      <c r="J25" s="182"/>
      <c r="K25" s="22"/>
      <c r="L25" s="22">
        <v>1050000</v>
      </c>
      <c r="M25" s="15"/>
      <c r="N25" s="15"/>
      <c r="O25" s="19"/>
      <c r="P25" s="16">
        <f t="shared" si="0"/>
        <v>1050000</v>
      </c>
      <c r="Q25" s="17" t="s">
        <v>21</v>
      </c>
    </row>
    <row r="26" spans="1:17" s="9" customFormat="1" ht="29.25" customHeight="1">
      <c r="A26" s="179">
        <v>15</v>
      </c>
      <c r="B26" s="201" t="s">
        <v>150</v>
      </c>
      <c r="C26" s="166">
        <v>24</v>
      </c>
      <c r="D26" s="166" t="s">
        <v>197</v>
      </c>
      <c r="E26" s="166" t="s">
        <v>124</v>
      </c>
      <c r="F26" s="166"/>
      <c r="G26" s="117"/>
      <c r="H26" s="58">
        <v>196000</v>
      </c>
      <c r="I26" s="170">
        <v>588</v>
      </c>
      <c r="J26" s="182"/>
      <c r="K26" s="22"/>
      <c r="L26" s="22">
        <v>1200000</v>
      </c>
      <c r="M26" s="15"/>
      <c r="N26" s="15">
        <v>200000</v>
      </c>
      <c r="O26" s="19"/>
      <c r="P26" s="16">
        <f t="shared" si="0"/>
        <v>1400000</v>
      </c>
      <c r="Q26" s="17" t="s">
        <v>79</v>
      </c>
    </row>
    <row r="27" spans="1:17" s="9" customFormat="1" ht="29.25" customHeight="1">
      <c r="A27" s="179">
        <v>16</v>
      </c>
      <c r="B27" s="63" t="s">
        <v>209</v>
      </c>
      <c r="C27" s="166" t="s">
        <v>245</v>
      </c>
      <c r="D27" s="166" t="s">
        <v>246</v>
      </c>
      <c r="E27" s="166" t="s">
        <v>132</v>
      </c>
      <c r="F27" s="166"/>
      <c r="G27" s="117"/>
      <c r="H27" s="58">
        <f>5000+116000</f>
        <v>121000</v>
      </c>
      <c r="I27" s="170">
        <f>30+1279</f>
        <v>1309</v>
      </c>
      <c r="J27" s="128"/>
      <c r="K27" s="22"/>
      <c r="L27" s="22">
        <v>1100000</v>
      </c>
      <c r="M27" s="15"/>
      <c r="N27" s="15"/>
      <c r="O27" s="19"/>
      <c r="P27" s="16">
        <f t="shared" si="0"/>
        <v>1100000</v>
      </c>
      <c r="Q27" s="17"/>
    </row>
    <row r="28" spans="1:17" s="9" customFormat="1" ht="29.25" customHeight="1">
      <c r="A28" s="179">
        <v>17</v>
      </c>
      <c r="B28" s="63" t="s">
        <v>209</v>
      </c>
      <c r="C28" s="166">
        <v>26</v>
      </c>
      <c r="D28" s="166" t="s">
        <v>197</v>
      </c>
      <c r="E28" s="166" t="s">
        <v>124</v>
      </c>
      <c r="F28" s="166"/>
      <c r="G28" s="117"/>
      <c r="H28" s="58">
        <v>196000</v>
      </c>
      <c r="I28" s="170">
        <v>588</v>
      </c>
      <c r="J28" s="126"/>
      <c r="K28" s="22"/>
      <c r="L28" s="22">
        <v>1200000</v>
      </c>
      <c r="M28" s="15"/>
      <c r="N28" s="15">
        <v>200000</v>
      </c>
      <c r="O28" s="19"/>
      <c r="P28" s="16">
        <f t="shared" si="0"/>
        <v>1400000</v>
      </c>
      <c r="Q28" s="17" t="s">
        <v>79</v>
      </c>
    </row>
    <row r="29" spans="1:17" s="9" customFormat="1" ht="29.25" customHeight="1">
      <c r="A29" s="179">
        <v>18</v>
      </c>
      <c r="B29" s="63" t="s">
        <v>210</v>
      </c>
      <c r="C29" s="166">
        <v>15</v>
      </c>
      <c r="D29" s="166" t="s">
        <v>247</v>
      </c>
      <c r="E29" s="166" t="s">
        <v>175</v>
      </c>
      <c r="F29" s="166"/>
      <c r="G29" s="117"/>
      <c r="H29" s="58">
        <v>207000</v>
      </c>
      <c r="I29" s="170">
        <v>727</v>
      </c>
      <c r="J29" s="126"/>
      <c r="K29" s="15"/>
      <c r="L29" s="22">
        <v>1150000</v>
      </c>
      <c r="M29" s="26"/>
      <c r="N29" s="26"/>
      <c r="O29" s="26"/>
      <c r="P29" s="16">
        <f t="shared" si="0"/>
        <v>1150000</v>
      </c>
      <c r="Q29" s="17" t="s">
        <v>21</v>
      </c>
    </row>
    <row r="30" spans="1:17" s="9" customFormat="1" ht="24.6" customHeight="1">
      <c r="A30" s="179">
        <v>19</v>
      </c>
      <c r="B30" s="63" t="s">
        <v>212</v>
      </c>
      <c r="C30" s="166" t="s">
        <v>91</v>
      </c>
      <c r="D30" s="166" t="s">
        <v>244</v>
      </c>
      <c r="E30" s="166" t="s">
        <v>144</v>
      </c>
      <c r="F30" s="166"/>
      <c r="G30" s="117"/>
      <c r="H30" s="58">
        <f>48000+110000</f>
        <v>158000</v>
      </c>
      <c r="I30" s="170">
        <f>273+1217</f>
        <v>1490</v>
      </c>
      <c r="J30" s="128">
        <v>1580</v>
      </c>
      <c r="K30" s="11"/>
      <c r="L30" s="15">
        <v>1000000</v>
      </c>
      <c r="M30" s="11"/>
      <c r="N30" s="15"/>
      <c r="O30" s="15"/>
      <c r="P30" s="16">
        <f t="shared" si="0"/>
        <v>1000000</v>
      </c>
      <c r="Q30" s="87"/>
    </row>
    <row r="31" spans="1:17" s="9" customFormat="1" ht="24.6" customHeight="1">
      <c r="A31" s="179">
        <v>20</v>
      </c>
      <c r="B31" s="63" t="s">
        <v>221</v>
      </c>
      <c r="C31" s="166">
        <v>22</v>
      </c>
      <c r="D31" s="166" t="s">
        <v>197</v>
      </c>
      <c r="E31" s="166" t="s">
        <v>124</v>
      </c>
      <c r="F31" s="166"/>
      <c r="G31" s="117"/>
      <c r="H31" s="58">
        <v>196000</v>
      </c>
      <c r="I31" s="170">
        <v>588</v>
      </c>
      <c r="J31" s="182"/>
      <c r="K31" s="127"/>
      <c r="L31" s="15">
        <v>1150000</v>
      </c>
      <c r="M31" s="15"/>
      <c r="N31" s="15"/>
      <c r="O31" s="19"/>
      <c r="P31" s="16">
        <f t="shared" si="0"/>
        <v>1150000</v>
      </c>
      <c r="Q31" s="87"/>
    </row>
    <row r="32" spans="1:17" s="9" customFormat="1" ht="24.6" customHeight="1">
      <c r="A32" s="179">
        <v>21</v>
      </c>
      <c r="B32" s="63" t="s">
        <v>222</v>
      </c>
      <c r="C32" s="166" t="s">
        <v>243</v>
      </c>
      <c r="D32" s="166" t="s">
        <v>246</v>
      </c>
      <c r="E32" s="166" t="s">
        <v>132</v>
      </c>
      <c r="F32" s="166"/>
      <c r="G32" s="117"/>
      <c r="H32" s="58">
        <f>78700+12600</f>
        <v>91300</v>
      </c>
      <c r="I32" s="170">
        <f>1112+364</f>
        <v>1476</v>
      </c>
      <c r="J32" s="182"/>
      <c r="K32" s="14"/>
      <c r="L32" s="15">
        <v>1150000</v>
      </c>
      <c r="M32" s="15"/>
      <c r="N32" s="15"/>
      <c r="O32" s="19"/>
      <c r="P32" s="16">
        <f t="shared" si="0"/>
        <v>1150000</v>
      </c>
      <c r="Q32" s="146" t="s">
        <v>21</v>
      </c>
    </row>
    <row r="33" spans="1:18" s="9" customFormat="1" ht="24.6" customHeight="1">
      <c r="A33" s="179">
        <v>22</v>
      </c>
      <c r="B33" s="63" t="s">
        <v>222</v>
      </c>
      <c r="C33" s="166" t="s">
        <v>217</v>
      </c>
      <c r="D33" s="166" t="s">
        <v>48</v>
      </c>
      <c r="E33" s="166" t="s">
        <v>198</v>
      </c>
      <c r="F33" s="166"/>
      <c r="G33" s="117"/>
      <c r="H33" s="58">
        <f>39000+111000</f>
        <v>150000</v>
      </c>
      <c r="I33" s="170">
        <f>668+333</f>
        <v>1001</v>
      </c>
      <c r="J33" s="179"/>
      <c r="K33" s="14"/>
      <c r="L33" s="22">
        <v>1150000</v>
      </c>
      <c r="M33" s="15"/>
      <c r="N33" s="15">
        <v>200000</v>
      </c>
      <c r="O33" s="19"/>
      <c r="P33" s="16">
        <f t="shared" si="0"/>
        <v>1350000</v>
      </c>
      <c r="Q33" s="87" t="s">
        <v>79</v>
      </c>
    </row>
    <row r="34" spans="1:18" s="9" customFormat="1" ht="24.6" customHeight="1">
      <c r="A34" s="240">
        <v>23</v>
      </c>
      <c r="B34" s="268" t="s">
        <v>223</v>
      </c>
      <c r="C34" s="166">
        <v>6</v>
      </c>
      <c r="D34" s="166" t="s">
        <v>248</v>
      </c>
      <c r="E34" s="166" t="s">
        <v>175</v>
      </c>
      <c r="F34" s="166"/>
      <c r="G34" s="117"/>
      <c r="H34" s="58">
        <v>113000</v>
      </c>
      <c r="I34" s="170">
        <v>727</v>
      </c>
      <c r="J34" s="240">
        <v>880</v>
      </c>
      <c r="K34" s="14"/>
      <c r="L34" s="274">
        <v>1150000</v>
      </c>
      <c r="M34" s="15"/>
      <c r="N34" s="15"/>
      <c r="O34" s="19"/>
      <c r="P34" s="246">
        <f>SUM(K34:O35)</f>
        <v>1150000</v>
      </c>
      <c r="Q34" s="202"/>
    </row>
    <row r="35" spans="1:18" s="9" customFormat="1" ht="24.6" customHeight="1">
      <c r="A35" s="242"/>
      <c r="B35" s="270"/>
      <c r="C35" s="166">
        <v>5</v>
      </c>
      <c r="D35" s="166" t="s">
        <v>249</v>
      </c>
      <c r="E35" s="166" t="s">
        <v>132</v>
      </c>
      <c r="F35" s="166"/>
      <c r="G35" s="117"/>
      <c r="H35" s="58">
        <v>20000</v>
      </c>
      <c r="I35" s="170">
        <v>128</v>
      </c>
      <c r="J35" s="242"/>
      <c r="K35" s="14"/>
      <c r="L35" s="275"/>
      <c r="M35" s="15"/>
      <c r="N35" s="15"/>
      <c r="O35" s="19"/>
      <c r="P35" s="248"/>
      <c r="Q35" s="203"/>
    </row>
    <row r="36" spans="1:18" s="9" customFormat="1" ht="24.6" customHeight="1">
      <c r="A36" s="240">
        <v>24</v>
      </c>
      <c r="B36" s="268" t="s">
        <v>185</v>
      </c>
      <c r="C36" s="166">
        <v>5</v>
      </c>
      <c r="D36" s="166" t="s">
        <v>156</v>
      </c>
      <c r="E36" s="166" t="s">
        <v>250</v>
      </c>
      <c r="F36" s="166"/>
      <c r="G36" s="117"/>
      <c r="H36" s="58">
        <v>12320</v>
      </c>
      <c r="I36" s="170">
        <v>274</v>
      </c>
      <c r="J36" s="179"/>
      <c r="K36" s="14"/>
      <c r="L36" s="274">
        <v>1100000</v>
      </c>
      <c r="M36" s="15"/>
      <c r="N36" s="15"/>
      <c r="O36" s="19"/>
      <c r="P36" s="246">
        <f>SUM(K36:O37)</f>
        <v>1100000</v>
      </c>
      <c r="Q36" s="203" t="s">
        <v>21</v>
      </c>
    </row>
    <row r="37" spans="1:18" s="9" customFormat="1" ht="24.6" customHeight="1">
      <c r="A37" s="242"/>
      <c r="B37" s="270"/>
      <c r="C37" s="179" t="s">
        <v>251</v>
      </c>
      <c r="D37" s="166" t="s">
        <v>50</v>
      </c>
      <c r="E37" s="166" t="s">
        <v>152</v>
      </c>
      <c r="F37" s="166"/>
      <c r="G37" s="117"/>
      <c r="H37" s="58">
        <f>3600+21250+22000</f>
        <v>46850</v>
      </c>
      <c r="I37" s="170">
        <f>110+555+365</f>
        <v>1030</v>
      </c>
      <c r="J37" s="179"/>
      <c r="K37" s="14"/>
      <c r="L37" s="275"/>
      <c r="M37" s="15"/>
      <c r="N37" s="15"/>
      <c r="O37" s="19"/>
      <c r="P37" s="248"/>
      <c r="Q37" s="203"/>
    </row>
    <row r="38" spans="1:18" s="9" customFormat="1" ht="24.6" customHeight="1">
      <c r="A38" s="240">
        <v>25</v>
      </c>
      <c r="B38" s="268" t="s">
        <v>186</v>
      </c>
      <c r="C38" s="166">
        <v>5</v>
      </c>
      <c r="D38" s="166" t="s">
        <v>252</v>
      </c>
      <c r="E38" s="166" t="s">
        <v>124</v>
      </c>
      <c r="F38" s="166"/>
      <c r="G38" s="117"/>
      <c r="H38" s="58">
        <v>50990</v>
      </c>
      <c r="I38" s="170">
        <v>769</v>
      </c>
      <c r="J38" s="179"/>
      <c r="K38" s="14"/>
      <c r="L38" s="274">
        <v>1250000</v>
      </c>
      <c r="M38" s="15"/>
      <c r="N38" s="15">
        <v>60000</v>
      </c>
      <c r="O38" s="19"/>
      <c r="P38" s="246">
        <f>SUM(K38:O39)</f>
        <v>1310000</v>
      </c>
      <c r="Q38" s="203" t="s">
        <v>88</v>
      </c>
    </row>
    <row r="39" spans="1:18" s="9" customFormat="1" ht="24.6" customHeight="1">
      <c r="A39" s="242"/>
      <c r="B39" s="270"/>
      <c r="C39" s="166">
        <v>13</v>
      </c>
      <c r="D39" s="166" t="s">
        <v>76</v>
      </c>
      <c r="E39" s="166" t="s">
        <v>75</v>
      </c>
      <c r="F39" s="166"/>
      <c r="G39" s="117"/>
      <c r="H39" s="58">
        <v>20340</v>
      </c>
      <c r="I39" s="170">
        <v>322</v>
      </c>
      <c r="J39" s="179"/>
      <c r="K39" s="14"/>
      <c r="L39" s="275"/>
      <c r="M39" s="15"/>
      <c r="N39" s="15"/>
      <c r="O39" s="19"/>
      <c r="P39" s="248"/>
      <c r="Q39" s="203"/>
    </row>
    <row r="40" spans="1:18" s="9" customFormat="1" ht="24.6" customHeight="1">
      <c r="A40" s="179">
        <v>26</v>
      </c>
      <c r="B40" s="204" t="s">
        <v>228</v>
      </c>
      <c r="C40" s="179">
        <v>22</v>
      </c>
      <c r="D40" s="179" t="s">
        <v>197</v>
      </c>
      <c r="E40" s="166" t="s">
        <v>124</v>
      </c>
      <c r="F40" s="166"/>
      <c r="G40" s="117"/>
      <c r="H40" s="58">
        <v>196000</v>
      </c>
      <c r="I40" s="170">
        <v>588</v>
      </c>
      <c r="J40" s="179"/>
      <c r="K40" s="14"/>
      <c r="L40" s="22">
        <v>1200000</v>
      </c>
      <c r="M40" s="15"/>
      <c r="N40" s="15"/>
      <c r="O40" s="19"/>
      <c r="P40" s="16">
        <f>SUM(K40:O40)</f>
        <v>1200000</v>
      </c>
      <c r="Q40" s="203" t="s">
        <v>21</v>
      </c>
    </row>
    <row r="41" spans="1:18" s="9" customFormat="1" ht="24.6" customHeight="1">
      <c r="A41" s="240">
        <v>27</v>
      </c>
      <c r="B41" s="307" t="s">
        <v>190</v>
      </c>
      <c r="C41" s="166">
        <v>29</v>
      </c>
      <c r="D41" s="179" t="s">
        <v>131</v>
      </c>
      <c r="E41" s="166" t="s">
        <v>69</v>
      </c>
      <c r="F41" s="166"/>
      <c r="G41" s="170"/>
      <c r="H41" s="58">
        <v>24200</v>
      </c>
      <c r="I41" s="170">
        <v>621</v>
      </c>
      <c r="J41" s="179"/>
      <c r="K41" s="14"/>
      <c r="L41" s="274">
        <v>1200000</v>
      </c>
      <c r="M41" s="15"/>
      <c r="N41" s="15"/>
      <c r="O41" s="19"/>
      <c r="P41" s="246">
        <f>SUM(K41:O42)</f>
        <v>1200000</v>
      </c>
      <c r="Q41" s="203" t="s">
        <v>21</v>
      </c>
    </row>
    <row r="42" spans="1:18" s="9" customFormat="1" ht="24.6" customHeight="1">
      <c r="A42" s="242"/>
      <c r="B42" s="308"/>
      <c r="C42" s="179" t="s">
        <v>253</v>
      </c>
      <c r="D42" s="179" t="s">
        <v>50</v>
      </c>
      <c r="E42" s="166" t="s">
        <v>152</v>
      </c>
      <c r="F42" s="166"/>
      <c r="G42" s="117">
        <v>60</v>
      </c>
      <c r="H42" s="58">
        <v>23060</v>
      </c>
      <c r="I42" s="170">
        <f>(525+60)</f>
        <v>585</v>
      </c>
      <c r="J42" s="179"/>
      <c r="K42" s="14"/>
      <c r="L42" s="275"/>
      <c r="M42" s="15"/>
      <c r="N42" s="15"/>
      <c r="O42" s="19"/>
      <c r="P42" s="248"/>
      <c r="Q42" s="203"/>
    </row>
    <row r="43" spans="1:18" s="30" customFormat="1" ht="24.6" customHeight="1">
      <c r="A43" s="318" t="s">
        <v>22</v>
      </c>
      <c r="B43" s="319"/>
      <c r="C43" s="319"/>
      <c r="D43" s="319"/>
      <c r="E43" s="319"/>
      <c r="F43" s="320"/>
      <c r="G43" s="28">
        <f t="shared" ref="G43:P43" si="1">SUM(G8:G42)</f>
        <v>60</v>
      </c>
      <c r="H43" s="28">
        <f t="shared" si="1"/>
        <v>3631540</v>
      </c>
      <c r="I43" s="28">
        <f>SUM(I8:I42)</f>
        <v>28608</v>
      </c>
      <c r="J43" s="28">
        <f t="shared" si="1"/>
        <v>6790</v>
      </c>
      <c r="K43" s="28">
        <f t="shared" si="1"/>
        <v>0</v>
      </c>
      <c r="L43" s="28">
        <f t="shared" si="1"/>
        <v>30850000</v>
      </c>
      <c r="M43" s="28">
        <f t="shared" si="1"/>
        <v>100000</v>
      </c>
      <c r="N43" s="28">
        <f t="shared" si="1"/>
        <v>960000</v>
      </c>
      <c r="O43" s="28">
        <f t="shared" si="1"/>
        <v>0</v>
      </c>
      <c r="P43" s="28">
        <f t="shared" si="1"/>
        <v>31910000</v>
      </c>
      <c r="Q43" s="205"/>
      <c r="R43" s="9">
        <f>SUM(R8:R42)</f>
        <v>0</v>
      </c>
    </row>
    <row r="44" spans="1:18" s="30" customFormat="1" ht="24.6" customHeight="1">
      <c r="A44" s="312" t="s">
        <v>23</v>
      </c>
      <c r="B44" s="313"/>
      <c r="C44" s="313"/>
      <c r="D44" s="313"/>
      <c r="E44" s="313"/>
      <c r="F44" s="314"/>
      <c r="G44" s="28"/>
      <c r="H44" s="28"/>
      <c r="I44" s="28"/>
      <c r="J44" s="28"/>
      <c r="K44" s="28"/>
      <c r="L44" s="28"/>
      <c r="M44" s="28"/>
      <c r="N44" s="28"/>
      <c r="O44" s="28"/>
      <c r="P44" s="28">
        <f>8%*P43</f>
        <v>2552800</v>
      </c>
      <c r="Q44" s="31"/>
      <c r="R44" s="173"/>
    </row>
    <row r="45" spans="1:18" s="30" customFormat="1" ht="22.95" customHeight="1">
      <c r="A45" s="312" t="s">
        <v>24</v>
      </c>
      <c r="B45" s="313"/>
      <c r="C45" s="313"/>
      <c r="D45" s="313"/>
      <c r="E45" s="313"/>
      <c r="F45" s="314"/>
      <c r="G45" s="28"/>
      <c r="H45" s="28"/>
      <c r="I45" s="28"/>
      <c r="J45" s="28"/>
      <c r="K45" s="28"/>
      <c r="L45" s="28"/>
      <c r="M45" s="28"/>
      <c r="N45" s="28"/>
      <c r="O45" s="28"/>
      <c r="P45" s="28">
        <f>P44+P43</f>
        <v>34462800</v>
      </c>
      <c r="Q45" s="28"/>
    </row>
    <row r="46" spans="1:18" s="30" customFormat="1" ht="24.6" customHeight="1">
      <c r="A46" s="33"/>
      <c r="B46" s="68"/>
      <c r="C46" s="33"/>
      <c r="D46" s="33"/>
      <c r="E46" s="33"/>
      <c r="F46" s="33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6"/>
    </row>
    <row r="47" spans="1:18" s="30" customFormat="1" ht="24.6" customHeight="1">
      <c r="A47" s="315" t="s">
        <v>25</v>
      </c>
      <c r="B47" s="316"/>
      <c r="C47" s="316"/>
      <c r="D47" s="316"/>
      <c r="E47" s="316"/>
      <c r="F47" s="317"/>
      <c r="G47" s="37">
        <f>G43</f>
        <v>60</v>
      </c>
      <c r="H47" s="37"/>
      <c r="I47" s="37"/>
      <c r="J47" s="38">
        <f>G43+I43</f>
        <v>28668</v>
      </c>
      <c r="K47" s="37"/>
      <c r="L47" s="37"/>
      <c r="M47" s="37"/>
      <c r="N47" s="37"/>
      <c r="O47" s="37"/>
      <c r="P47" s="37">
        <f>K43+M43</f>
        <v>100000</v>
      </c>
      <c r="Q47" s="39"/>
      <c r="R47" s="40"/>
    </row>
    <row r="48" spans="1:18" s="30" customFormat="1" ht="24.6" customHeight="1">
      <c r="A48" s="315" t="s">
        <v>26</v>
      </c>
      <c r="B48" s="316"/>
      <c r="C48" s="316"/>
      <c r="D48" s="316"/>
      <c r="E48" s="316"/>
      <c r="F48" s="317"/>
      <c r="G48" s="37"/>
      <c r="H48" s="37"/>
      <c r="I48" s="37">
        <f>I43</f>
        <v>28608</v>
      </c>
      <c r="J48" s="37"/>
      <c r="K48" s="37"/>
      <c r="L48" s="37"/>
      <c r="M48" s="37"/>
      <c r="N48" s="37"/>
      <c r="O48" s="37"/>
      <c r="P48" s="37">
        <f>L43+N43</f>
        <v>31810000</v>
      </c>
      <c r="Q48" s="39"/>
      <c r="R48" s="40">
        <f>P47+P48</f>
        <v>31910000</v>
      </c>
    </row>
    <row r="49" spans="1:18" s="30" customFormat="1">
      <c r="A49" s="315" t="s">
        <v>27</v>
      </c>
      <c r="B49" s="316"/>
      <c r="C49" s="316"/>
      <c r="D49" s="316"/>
      <c r="E49" s="316"/>
      <c r="F49" s="317"/>
      <c r="G49" s="37"/>
      <c r="H49" s="37"/>
      <c r="I49" s="37"/>
      <c r="J49" s="37"/>
      <c r="K49" s="37"/>
      <c r="L49" s="37"/>
      <c r="M49" s="37"/>
      <c r="N49" s="37"/>
      <c r="O49" s="37"/>
      <c r="P49" s="37">
        <f>O43</f>
        <v>0</v>
      </c>
      <c r="Q49" s="199"/>
      <c r="R49" s="40">
        <f>P47+P48+P49</f>
        <v>31910000</v>
      </c>
    </row>
    <row r="50" spans="1:18" ht="18" customHeight="1">
      <c r="A50" s="41"/>
      <c r="B50" s="1"/>
      <c r="C50" s="3" t="s">
        <v>29</v>
      </c>
      <c r="D50" s="42"/>
      <c r="E50" s="43"/>
      <c r="F50" s="43"/>
      <c r="G50" s="44" t="s">
        <v>80</v>
      </c>
      <c r="I50" s="45"/>
      <c r="J50" s="46"/>
      <c r="K50" s="1"/>
      <c r="L50" s="1"/>
      <c r="M50" s="1"/>
      <c r="N50" s="1"/>
      <c r="O50" s="1"/>
      <c r="P50" s="42" t="s">
        <v>30</v>
      </c>
    </row>
    <row r="51" spans="1:18" ht="18" customHeight="1">
      <c r="B51" s="1"/>
      <c r="D51" s="42"/>
      <c r="E51" s="47"/>
      <c r="F51" s="47"/>
      <c r="G51" s="48"/>
      <c r="H51" s="44"/>
      <c r="I51" s="42"/>
      <c r="J51" s="42"/>
    </row>
    <row r="52" spans="1:18" s="8" customFormat="1">
      <c r="A52" s="1"/>
      <c r="B52" s="1"/>
      <c r="C52" s="3"/>
      <c r="D52" s="3"/>
      <c r="E52" s="3"/>
      <c r="F52" s="3"/>
      <c r="G52" s="49"/>
      <c r="H52" s="4"/>
    </row>
    <row r="53" spans="1:18">
      <c r="B53" s="1"/>
      <c r="E53" s="47"/>
      <c r="F53" s="47"/>
      <c r="G53" s="48"/>
      <c r="H53" s="44"/>
      <c r="I53" s="42"/>
      <c r="J53" s="42"/>
    </row>
    <row r="54" spans="1:18">
      <c r="H54" s="44"/>
      <c r="P54" s="1"/>
    </row>
    <row r="55" spans="1:18">
      <c r="C55" s="55"/>
      <c r="G55" s="44" t="str">
        <f>'[1]A VIEN'!G55</f>
        <v>Đặng Thị Mỹ Tin</v>
      </c>
      <c r="H55" s="44"/>
      <c r="P55" s="69" t="s">
        <v>31</v>
      </c>
    </row>
    <row r="58" spans="1:18">
      <c r="Q58" s="49" t="e">
        <f>+P43+#REF!+#REF!+#REF!+#REF!+#REF!+#REF!+#REF!+#REF!</f>
        <v>#REF!</v>
      </c>
    </row>
  </sheetData>
  <mergeCells count="53">
    <mergeCell ref="L34:L35"/>
    <mergeCell ref="P34:P35"/>
    <mergeCell ref="A43:F43"/>
    <mergeCell ref="A44:F44"/>
    <mergeCell ref="A47:F47"/>
    <mergeCell ref="A36:A37"/>
    <mergeCell ref="B36:B37"/>
    <mergeCell ref="L36:L37"/>
    <mergeCell ref="P36:P37"/>
    <mergeCell ref="A45:F45"/>
    <mergeCell ref="A49:F49"/>
    <mergeCell ref="A34:A35"/>
    <mergeCell ref="B34:B35"/>
    <mergeCell ref="J34:J35"/>
    <mergeCell ref="A48:F48"/>
    <mergeCell ref="L16:L17"/>
    <mergeCell ref="A20:A21"/>
    <mergeCell ref="B20:B21"/>
    <mergeCell ref="L20:L21"/>
    <mergeCell ref="P20:P21"/>
    <mergeCell ref="A16:A17"/>
    <mergeCell ref="B16:B17"/>
    <mergeCell ref="P16:P17"/>
    <mergeCell ref="A38:A39"/>
    <mergeCell ref="B38:B39"/>
    <mergeCell ref="L38:L39"/>
    <mergeCell ref="P38:P39"/>
    <mergeCell ref="A41:A42"/>
    <mergeCell ref="B41:B42"/>
    <mergeCell ref="L41:L42"/>
    <mergeCell ref="P41:P42"/>
    <mergeCell ref="A13:A15"/>
    <mergeCell ref="B13:B15"/>
    <mergeCell ref="A1:Q1"/>
    <mergeCell ref="A2:Q2"/>
    <mergeCell ref="A3:Q3"/>
    <mergeCell ref="A5:A7"/>
    <mergeCell ref="B5:B7"/>
    <mergeCell ref="C5:C7"/>
    <mergeCell ref="D5:D7"/>
    <mergeCell ref="E5:F5"/>
    <mergeCell ref="G5:I5"/>
    <mergeCell ref="J5:J7"/>
    <mergeCell ref="K5:L6"/>
    <mergeCell ref="M5:N6"/>
    <mergeCell ref="L13:L15"/>
    <mergeCell ref="P13:P15"/>
    <mergeCell ref="O5:O7"/>
    <mergeCell ref="P5:P7"/>
    <mergeCell ref="Q5:Q7"/>
    <mergeCell ref="E6:E7"/>
    <mergeCell ref="F6:F7"/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B36" zoomScale="90" zoomScaleNormal="90" workbookViewId="0">
      <selection activeCell="B48" sqref="B8:B49"/>
    </sheetView>
  </sheetViews>
  <sheetFormatPr defaultColWidth="9.109375" defaultRowHeight="13.8"/>
  <cols>
    <col min="1" max="1" width="8.77734375" style="1" hidden="1" customWidth="1"/>
    <col min="2" max="2" width="14.109375" style="50" customWidth="1"/>
    <col min="3" max="3" width="15.88671875" style="3" hidden="1" customWidth="1"/>
    <col min="4" max="4" width="17.88671875" style="3" hidden="1" customWidth="1"/>
    <col min="5" max="5" width="15.33203125" style="51" hidden="1" customWidth="1"/>
    <col min="6" max="6" width="17.88671875" style="52" customWidth="1"/>
    <col min="7" max="7" width="13" style="45" hidden="1" customWidth="1"/>
    <col min="8" max="8" width="14.21875" style="57" hidden="1" customWidth="1"/>
    <col min="9" max="9" width="14.21875" style="57" customWidth="1"/>
    <col min="10" max="10" width="12.44140625" style="54" hidden="1" customWidth="1"/>
    <col min="11" max="11" width="11.33203125" style="54" hidden="1" customWidth="1"/>
    <col min="12" max="12" width="12.88671875" style="7" hidden="1" customWidth="1"/>
    <col min="13" max="14" width="15.88671875" style="7" hidden="1" customWidth="1"/>
    <col min="15" max="16" width="15" style="7" hidden="1" customWidth="1"/>
    <col min="17" max="17" width="14.33203125" style="7" hidden="1" customWidth="1"/>
    <col min="18" max="18" width="17" style="7" customWidth="1"/>
    <col min="19" max="19" width="46" style="3" hidden="1" customWidth="1"/>
    <col min="20" max="20" width="21.6640625" style="1" customWidth="1"/>
    <col min="21" max="16384" width="9.109375" style="1"/>
  </cols>
  <sheetData>
    <row r="1" spans="1:19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19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19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</row>
    <row r="4" spans="1:19">
      <c r="A4" s="322" t="s">
        <v>35</v>
      </c>
      <c r="B4" s="322"/>
      <c r="C4" s="322"/>
      <c r="D4" s="2"/>
      <c r="E4" s="3"/>
      <c r="F4" s="3"/>
      <c r="G4" s="4"/>
      <c r="H4" s="5"/>
      <c r="I4" s="5"/>
      <c r="J4" s="6"/>
      <c r="K4" s="6"/>
    </row>
    <row r="5" spans="1:19" s="9" customFormat="1" ht="21" customHeight="1">
      <c r="A5" s="239" t="s">
        <v>2</v>
      </c>
      <c r="B5" s="239" t="s">
        <v>3</v>
      </c>
      <c r="C5" s="239" t="s">
        <v>4</v>
      </c>
      <c r="D5" s="239" t="s">
        <v>5</v>
      </c>
      <c r="E5" s="239" t="s">
        <v>6</v>
      </c>
      <c r="F5" s="239"/>
      <c r="G5" s="253" t="s">
        <v>7</v>
      </c>
      <c r="H5" s="253"/>
      <c r="I5" s="253"/>
      <c r="J5" s="253"/>
      <c r="K5" s="253"/>
      <c r="L5" s="254" t="s">
        <v>8</v>
      </c>
      <c r="M5" s="255" t="s">
        <v>9</v>
      </c>
      <c r="N5" s="256"/>
      <c r="O5" s="235" t="s">
        <v>10</v>
      </c>
      <c r="P5" s="235"/>
      <c r="Q5" s="236" t="s">
        <v>11</v>
      </c>
      <c r="R5" s="235" t="s">
        <v>12</v>
      </c>
      <c r="S5" s="321" t="s">
        <v>13</v>
      </c>
    </row>
    <row r="6" spans="1:19" s="9" customFormat="1" ht="21" customHeight="1">
      <c r="A6" s="239"/>
      <c r="B6" s="239"/>
      <c r="C6" s="239"/>
      <c r="D6" s="239"/>
      <c r="E6" s="239" t="s">
        <v>14</v>
      </c>
      <c r="F6" s="239" t="s">
        <v>15</v>
      </c>
      <c r="G6" s="176" t="s">
        <v>16</v>
      </c>
      <c r="H6" s="253" t="s">
        <v>17</v>
      </c>
      <c r="I6" s="253"/>
      <c r="J6" s="253"/>
      <c r="K6" s="175" t="s">
        <v>18</v>
      </c>
      <c r="L6" s="254"/>
      <c r="M6" s="257"/>
      <c r="N6" s="258"/>
      <c r="O6" s="235"/>
      <c r="P6" s="235"/>
      <c r="Q6" s="237"/>
      <c r="R6" s="235"/>
      <c r="S6" s="321"/>
    </row>
    <row r="7" spans="1:19" s="9" customFormat="1" ht="21" customHeight="1">
      <c r="A7" s="239"/>
      <c r="B7" s="239"/>
      <c r="C7" s="239"/>
      <c r="D7" s="239"/>
      <c r="E7" s="239"/>
      <c r="F7" s="239"/>
      <c r="G7" s="176" t="s">
        <v>19</v>
      </c>
      <c r="H7" s="174" t="s">
        <v>20</v>
      </c>
      <c r="I7" s="186"/>
      <c r="J7" s="175" t="s">
        <v>19</v>
      </c>
      <c r="K7" s="175" t="s">
        <v>19</v>
      </c>
      <c r="L7" s="254"/>
      <c r="M7" s="176" t="s">
        <v>16</v>
      </c>
      <c r="N7" s="10" t="s">
        <v>17</v>
      </c>
      <c r="O7" s="176" t="s">
        <v>16</v>
      </c>
      <c r="P7" s="129" t="s">
        <v>17</v>
      </c>
      <c r="Q7" s="238"/>
      <c r="R7" s="235"/>
      <c r="S7" s="321"/>
    </row>
    <row r="8" spans="1:19" s="9" customFormat="1" ht="21" customHeight="1">
      <c r="A8" s="179">
        <v>1</v>
      </c>
      <c r="B8" s="189" t="s">
        <v>119</v>
      </c>
      <c r="C8" s="179">
        <v>6</v>
      </c>
      <c r="D8" s="166" t="s">
        <v>254</v>
      </c>
      <c r="E8" s="166"/>
      <c r="F8" s="166" t="s">
        <v>52</v>
      </c>
      <c r="G8" s="117"/>
      <c r="H8" s="58">
        <v>69200</v>
      </c>
      <c r="I8" s="58">
        <f>SUM(G8,J8)</f>
        <v>1496</v>
      </c>
      <c r="J8" s="170">
        <v>1496</v>
      </c>
      <c r="K8" s="182"/>
      <c r="L8" s="182"/>
      <c r="M8" s="120"/>
      <c r="N8" s="120">
        <v>1950000</v>
      </c>
      <c r="O8" s="120"/>
      <c r="P8" s="120">
        <f>369*500</f>
        <v>184500</v>
      </c>
      <c r="Q8" s="136"/>
      <c r="R8" s="141">
        <f>SUM(M8:Q8)</f>
        <v>2134500</v>
      </c>
      <c r="S8" s="101" t="s">
        <v>255</v>
      </c>
    </row>
    <row r="9" spans="1:19" s="9" customFormat="1" ht="21" customHeight="1">
      <c r="A9" s="240">
        <v>2</v>
      </c>
      <c r="B9" s="265" t="s">
        <v>125</v>
      </c>
      <c r="C9" s="166">
        <v>14</v>
      </c>
      <c r="D9" s="166" t="s">
        <v>254</v>
      </c>
      <c r="E9" s="166"/>
      <c r="F9" s="166" t="s">
        <v>98</v>
      </c>
      <c r="G9" s="170"/>
      <c r="H9" s="170">
        <v>48720</v>
      </c>
      <c r="I9" s="58">
        <f t="shared" ref="I9:I49" si="0">SUM(G9,J9)</f>
        <v>938</v>
      </c>
      <c r="J9" s="170">
        <v>938</v>
      </c>
      <c r="K9" s="206"/>
      <c r="L9" s="240">
        <v>2440</v>
      </c>
      <c r="M9" s="120"/>
      <c r="N9" s="325">
        <v>2080000</v>
      </c>
      <c r="O9" s="120"/>
      <c r="P9" s="120"/>
      <c r="Q9" s="136"/>
      <c r="R9" s="323">
        <f>SUM(M9:Q10)</f>
        <v>2080000</v>
      </c>
      <c r="S9" s="207"/>
    </row>
    <row r="10" spans="1:19" s="9" customFormat="1" ht="21" customHeight="1">
      <c r="A10" s="242"/>
      <c r="B10" s="267"/>
      <c r="C10" s="166">
        <v>21</v>
      </c>
      <c r="D10" s="166" t="s">
        <v>256</v>
      </c>
      <c r="E10" s="166"/>
      <c r="F10" s="166" t="s">
        <v>122</v>
      </c>
      <c r="G10" s="170"/>
      <c r="H10" s="58">
        <v>23000</v>
      </c>
      <c r="I10" s="58">
        <f t="shared" si="0"/>
        <v>408</v>
      </c>
      <c r="J10" s="170">
        <v>408</v>
      </c>
      <c r="K10" s="87"/>
      <c r="L10" s="242"/>
      <c r="M10" s="104"/>
      <c r="N10" s="326"/>
      <c r="O10" s="120"/>
      <c r="P10" s="120"/>
      <c r="Q10" s="137"/>
      <c r="R10" s="324"/>
      <c r="S10" s="207" t="s">
        <v>21</v>
      </c>
    </row>
    <row r="11" spans="1:19" s="9" customFormat="1" ht="21" customHeight="1">
      <c r="A11" s="240">
        <v>3</v>
      </c>
      <c r="B11" s="265" t="s">
        <v>129</v>
      </c>
      <c r="C11" s="166">
        <v>26</v>
      </c>
      <c r="D11" s="166" t="s">
        <v>73</v>
      </c>
      <c r="E11" s="166"/>
      <c r="F11" s="166" t="s">
        <v>105</v>
      </c>
      <c r="G11" s="170"/>
      <c r="H11" s="58">
        <v>88600</v>
      </c>
      <c r="I11" s="58">
        <f t="shared" si="0"/>
        <v>1100</v>
      </c>
      <c r="J11" s="170">
        <v>1100</v>
      </c>
      <c r="K11" s="182"/>
      <c r="L11" s="182"/>
      <c r="M11" s="142"/>
      <c r="N11" s="120">
        <v>1030000</v>
      </c>
      <c r="O11" s="120"/>
      <c r="P11" s="120"/>
      <c r="Q11" s="136"/>
      <c r="R11" s="323">
        <f>SUM(M11:Q12)</f>
        <v>1430000</v>
      </c>
      <c r="S11" s="207" t="s">
        <v>21</v>
      </c>
    </row>
    <row r="12" spans="1:19" s="9" customFormat="1" ht="21" customHeight="1">
      <c r="A12" s="242"/>
      <c r="B12" s="267"/>
      <c r="C12" s="166">
        <v>15</v>
      </c>
      <c r="D12" s="166" t="s">
        <v>257</v>
      </c>
      <c r="E12" s="166"/>
      <c r="F12" s="166" t="s">
        <v>105</v>
      </c>
      <c r="G12" s="117">
        <v>1014</v>
      </c>
      <c r="H12" s="58"/>
      <c r="I12" s="58">
        <f t="shared" si="0"/>
        <v>1014</v>
      </c>
      <c r="J12" s="170"/>
      <c r="K12" s="182"/>
      <c r="L12" s="182"/>
      <c r="M12" s="120">
        <v>400000</v>
      </c>
      <c r="N12" s="120"/>
      <c r="O12" s="120"/>
      <c r="P12" s="120"/>
      <c r="Q12" s="136"/>
      <c r="R12" s="324"/>
      <c r="S12" s="208" t="s">
        <v>258</v>
      </c>
    </row>
    <row r="13" spans="1:19" s="9" customFormat="1" ht="21" customHeight="1">
      <c r="A13" s="240">
        <v>4</v>
      </c>
      <c r="B13" s="265" t="s">
        <v>133</v>
      </c>
      <c r="C13" s="166">
        <v>1</v>
      </c>
      <c r="D13" s="166" t="s">
        <v>259</v>
      </c>
      <c r="E13" s="166"/>
      <c r="F13" s="166" t="s">
        <v>78</v>
      </c>
      <c r="G13" s="170">
        <v>660</v>
      </c>
      <c r="H13" s="170"/>
      <c r="I13" s="58">
        <f t="shared" si="0"/>
        <v>660</v>
      </c>
      <c r="J13" s="170"/>
      <c r="K13" s="166"/>
      <c r="L13" s="166"/>
      <c r="M13" s="120">
        <v>200000</v>
      </c>
      <c r="N13" s="120"/>
      <c r="O13" s="120"/>
      <c r="P13" s="120"/>
      <c r="Q13" s="136"/>
      <c r="R13" s="323">
        <f>SUM(M13:Q15)</f>
        <v>1560000</v>
      </c>
      <c r="S13" s="208"/>
    </row>
    <row r="14" spans="1:19" s="9" customFormat="1" ht="21" customHeight="1">
      <c r="A14" s="241"/>
      <c r="B14" s="266"/>
      <c r="C14" s="166">
        <v>10</v>
      </c>
      <c r="D14" s="166" t="s">
        <v>156</v>
      </c>
      <c r="E14" s="166"/>
      <c r="F14" s="166" t="s">
        <v>53</v>
      </c>
      <c r="G14" s="170"/>
      <c r="H14" s="58">
        <v>12000</v>
      </c>
      <c r="I14" s="58">
        <f t="shared" si="0"/>
        <v>276</v>
      </c>
      <c r="J14" s="170">
        <v>276</v>
      </c>
      <c r="K14" s="166"/>
      <c r="L14" s="166"/>
      <c r="M14" s="138"/>
      <c r="N14" s="325">
        <v>1360000</v>
      </c>
      <c r="O14" s="120"/>
      <c r="P14" s="120"/>
      <c r="Q14" s="136"/>
      <c r="R14" s="327"/>
      <c r="S14" s="208"/>
    </row>
    <row r="15" spans="1:19" s="9" customFormat="1" ht="21" customHeight="1">
      <c r="A15" s="242"/>
      <c r="B15" s="267"/>
      <c r="C15" s="166" t="s">
        <v>260</v>
      </c>
      <c r="D15" s="166" t="s">
        <v>261</v>
      </c>
      <c r="E15" s="166"/>
      <c r="F15" s="166" t="s">
        <v>49</v>
      </c>
      <c r="G15" s="117"/>
      <c r="H15" s="58">
        <v>114460</v>
      </c>
      <c r="I15" s="58">
        <f t="shared" si="0"/>
        <v>1839</v>
      </c>
      <c r="J15" s="170">
        <f>425+1414</f>
        <v>1839</v>
      </c>
      <c r="K15" s="166"/>
      <c r="L15" s="166"/>
      <c r="M15" s="138"/>
      <c r="N15" s="326"/>
      <c r="O15" s="120"/>
      <c r="P15" s="120"/>
      <c r="Q15" s="136"/>
      <c r="R15" s="324"/>
      <c r="S15" s="208" t="s">
        <v>21</v>
      </c>
    </row>
    <row r="16" spans="1:19" s="9" customFormat="1" ht="21" customHeight="1">
      <c r="A16" s="240">
        <v>5</v>
      </c>
      <c r="B16" s="265" t="s">
        <v>135</v>
      </c>
      <c r="C16" s="166">
        <v>35</v>
      </c>
      <c r="D16" s="166" t="s">
        <v>156</v>
      </c>
      <c r="E16" s="166"/>
      <c r="F16" s="166" t="s">
        <v>250</v>
      </c>
      <c r="G16" s="58"/>
      <c r="H16" s="58">
        <v>90000</v>
      </c>
      <c r="I16" s="58">
        <f t="shared" si="0"/>
        <v>1078</v>
      </c>
      <c r="J16" s="170">
        <v>1078</v>
      </c>
      <c r="K16" s="119"/>
      <c r="L16" s="119"/>
      <c r="M16" s="120"/>
      <c r="N16" s="325">
        <v>1330000</v>
      </c>
      <c r="O16" s="140"/>
      <c r="P16" s="140"/>
      <c r="Q16" s="140"/>
      <c r="R16" s="323">
        <f>SUM(M16:Q17)</f>
        <v>1330000</v>
      </c>
      <c r="S16" s="101" t="s">
        <v>21</v>
      </c>
    </row>
    <row r="17" spans="1:19" s="9" customFormat="1" ht="21" customHeight="1">
      <c r="A17" s="242"/>
      <c r="B17" s="267"/>
      <c r="C17" s="166">
        <v>32</v>
      </c>
      <c r="D17" s="166" t="s">
        <v>107</v>
      </c>
      <c r="E17" s="166"/>
      <c r="F17" s="166" t="s">
        <v>106</v>
      </c>
      <c r="G17" s="117"/>
      <c r="H17" s="58">
        <v>31000</v>
      </c>
      <c r="I17" s="58">
        <f t="shared" si="0"/>
        <v>723</v>
      </c>
      <c r="J17" s="170">
        <v>723</v>
      </c>
      <c r="K17" s="179"/>
      <c r="L17" s="179"/>
      <c r="M17" s="120"/>
      <c r="N17" s="326"/>
      <c r="O17" s="120"/>
      <c r="P17" s="120"/>
      <c r="Q17" s="136"/>
      <c r="R17" s="324"/>
      <c r="S17" s="207"/>
    </row>
    <row r="18" spans="1:19" s="9" customFormat="1" ht="21" customHeight="1">
      <c r="A18" s="179">
        <v>6</v>
      </c>
      <c r="B18" s="189" t="s">
        <v>137</v>
      </c>
      <c r="C18" s="166">
        <v>3</v>
      </c>
      <c r="D18" s="166" t="s">
        <v>262</v>
      </c>
      <c r="E18" s="166"/>
      <c r="F18" s="166" t="s">
        <v>263</v>
      </c>
      <c r="G18" s="58">
        <v>4451</v>
      </c>
      <c r="H18" s="58"/>
      <c r="I18" s="58">
        <f t="shared" si="0"/>
        <v>4451</v>
      </c>
      <c r="J18" s="170"/>
      <c r="K18" s="166"/>
      <c r="L18" s="166">
        <v>4660</v>
      </c>
      <c r="M18" s="120">
        <v>1950000</v>
      </c>
      <c r="N18" s="120"/>
      <c r="O18" s="120"/>
      <c r="P18" s="120"/>
      <c r="Q18" s="136"/>
      <c r="R18" s="141">
        <f t="shared" ref="R18:R47" si="1">SUM(M18:Q18)</f>
        <v>1950000</v>
      </c>
      <c r="S18" s="85"/>
    </row>
    <row r="19" spans="1:19" s="9" customFormat="1" ht="21" customHeight="1">
      <c r="A19" s="179">
        <v>7</v>
      </c>
      <c r="B19" s="189" t="s">
        <v>202</v>
      </c>
      <c r="C19" s="166" t="s">
        <v>264</v>
      </c>
      <c r="D19" s="166" t="s">
        <v>84</v>
      </c>
      <c r="E19" s="166"/>
      <c r="F19" s="166" t="s">
        <v>175</v>
      </c>
      <c r="G19" s="58"/>
      <c r="H19" s="58">
        <f>26400+99600</f>
        <v>126000</v>
      </c>
      <c r="I19" s="58">
        <f t="shared" si="0"/>
        <v>2677</v>
      </c>
      <c r="J19" s="170">
        <f>561+2116</f>
        <v>2677</v>
      </c>
      <c r="K19" s="166"/>
      <c r="L19" s="166"/>
      <c r="M19" s="120"/>
      <c r="N19" s="120">
        <v>1300000</v>
      </c>
      <c r="O19" s="120"/>
      <c r="P19" s="120"/>
      <c r="Q19" s="136"/>
      <c r="R19" s="141">
        <f t="shared" si="1"/>
        <v>1300000</v>
      </c>
      <c r="S19" s="59"/>
    </row>
    <row r="20" spans="1:19" s="9" customFormat="1" ht="21" customHeight="1">
      <c r="A20" s="240">
        <v>8</v>
      </c>
      <c r="B20" s="265" t="s">
        <v>202</v>
      </c>
      <c r="C20" s="166">
        <v>15</v>
      </c>
      <c r="D20" s="166" t="s">
        <v>76</v>
      </c>
      <c r="E20" s="166"/>
      <c r="F20" s="166" t="s">
        <v>49</v>
      </c>
      <c r="G20" s="58"/>
      <c r="H20" s="58">
        <v>48000</v>
      </c>
      <c r="I20" s="58">
        <f t="shared" si="0"/>
        <v>714</v>
      </c>
      <c r="J20" s="170">
        <v>714</v>
      </c>
      <c r="K20" s="206"/>
      <c r="L20" s="240">
        <v>1600</v>
      </c>
      <c r="M20" s="138"/>
      <c r="N20" s="330">
        <v>1230000</v>
      </c>
      <c r="O20" s="137"/>
      <c r="P20" s="140"/>
      <c r="Q20" s="140"/>
      <c r="R20" s="323">
        <f>SUM(M20:Q21)</f>
        <v>1230000</v>
      </c>
      <c r="S20" s="84" t="s">
        <v>265</v>
      </c>
    </row>
    <row r="21" spans="1:19" s="9" customFormat="1" ht="21" customHeight="1">
      <c r="A21" s="242"/>
      <c r="B21" s="267"/>
      <c r="C21" s="166">
        <v>6</v>
      </c>
      <c r="D21" s="166" t="s">
        <v>76</v>
      </c>
      <c r="E21" s="166"/>
      <c r="F21" s="166" t="s">
        <v>78</v>
      </c>
      <c r="G21" s="58"/>
      <c r="H21" s="58">
        <v>68000</v>
      </c>
      <c r="I21" s="58">
        <f t="shared" si="0"/>
        <v>759</v>
      </c>
      <c r="J21" s="170">
        <v>759</v>
      </c>
      <c r="K21" s="182"/>
      <c r="L21" s="242"/>
      <c r="M21" s="138"/>
      <c r="N21" s="331"/>
      <c r="O21" s="140"/>
      <c r="P21" s="140"/>
      <c r="Q21" s="140"/>
      <c r="R21" s="324"/>
      <c r="S21" s="85"/>
    </row>
    <row r="22" spans="1:19" s="9" customFormat="1" ht="21" customHeight="1">
      <c r="A22" s="179">
        <v>9</v>
      </c>
      <c r="B22" s="189" t="s">
        <v>142</v>
      </c>
      <c r="C22" s="166">
        <v>32</v>
      </c>
      <c r="D22" s="166" t="s">
        <v>177</v>
      </c>
      <c r="E22" s="166"/>
      <c r="F22" s="166" t="s">
        <v>130</v>
      </c>
      <c r="G22" s="58"/>
      <c r="H22" s="58">
        <v>79200</v>
      </c>
      <c r="I22" s="58">
        <f t="shared" si="0"/>
        <v>1311</v>
      </c>
      <c r="J22" s="170">
        <v>1311</v>
      </c>
      <c r="K22" s="119"/>
      <c r="L22" s="119"/>
      <c r="M22" s="120"/>
      <c r="N22" s="142">
        <v>1350000</v>
      </c>
      <c r="O22" s="120"/>
      <c r="P22" s="120"/>
      <c r="Q22" s="136"/>
      <c r="R22" s="141">
        <f t="shared" si="1"/>
        <v>1350000</v>
      </c>
      <c r="S22" s="59" t="s">
        <v>21</v>
      </c>
    </row>
    <row r="23" spans="1:19" s="9" customFormat="1" ht="21" customHeight="1">
      <c r="A23" s="179">
        <v>10</v>
      </c>
      <c r="B23" s="189" t="s">
        <v>145</v>
      </c>
      <c r="C23" s="166">
        <v>33</v>
      </c>
      <c r="D23" s="166" t="s">
        <v>177</v>
      </c>
      <c r="E23" s="166"/>
      <c r="F23" s="166" t="s">
        <v>130</v>
      </c>
      <c r="G23" s="58"/>
      <c r="H23" s="58">
        <v>66000</v>
      </c>
      <c r="I23" s="58">
        <f t="shared" si="0"/>
        <v>1465</v>
      </c>
      <c r="J23" s="170">
        <v>1465</v>
      </c>
      <c r="K23" s="166"/>
      <c r="L23" s="166">
        <v>1560</v>
      </c>
      <c r="M23" s="120"/>
      <c r="N23" s="120">
        <v>1300000</v>
      </c>
      <c r="O23" s="120"/>
      <c r="P23" s="120"/>
      <c r="Q23" s="136"/>
      <c r="R23" s="141">
        <f t="shared" si="1"/>
        <v>1300000</v>
      </c>
      <c r="S23" s="59"/>
    </row>
    <row r="24" spans="1:19" s="9" customFormat="1" ht="21" customHeight="1">
      <c r="A24" s="240">
        <v>11</v>
      </c>
      <c r="B24" s="265" t="s">
        <v>206</v>
      </c>
      <c r="C24" s="166">
        <v>16</v>
      </c>
      <c r="D24" s="166" t="s">
        <v>266</v>
      </c>
      <c r="E24" s="166"/>
      <c r="F24" s="166" t="s">
        <v>51</v>
      </c>
      <c r="G24" s="170"/>
      <c r="H24" s="58">
        <v>80000</v>
      </c>
      <c r="I24" s="58">
        <f t="shared" si="0"/>
        <v>1080</v>
      </c>
      <c r="J24" s="170">
        <v>1080</v>
      </c>
      <c r="K24" s="119"/>
      <c r="L24" s="119"/>
      <c r="M24" s="120"/>
      <c r="N24" s="325">
        <v>1110000</v>
      </c>
      <c r="O24" s="120"/>
      <c r="P24" s="120"/>
      <c r="Q24" s="136"/>
      <c r="R24" s="323">
        <f>SUM(M24:Q26)</f>
        <v>1210000</v>
      </c>
      <c r="S24" s="207" t="s">
        <v>21</v>
      </c>
    </row>
    <row r="25" spans="1:19" s="9" customFormat="1" ht="21" customHeight="1">
      <c r="A25" s="241"/>
      <c r="B25" s="266"/>
      <c r="C25" s="166">
        <v>18</v>
      </c>
      <c r="D25" s="166" t="s">
        <v>116</v>
      </c>
      <c r="E25" s="166"/>
      <c r="F25" s="166" t="s">
        <v>106</v>
      </c>
      <c r="G25" s="58"/>
      <c r="H25" s="58">
        <v>39300</v>
      </c>
      <c r="I25" s="58">
        <f t="shared" si="0"/>
        <v>495</v>
      </c>
      <c r="J25" s="170">
        <v>495</v>
      </c>
      <c r="K25" s="119"/>
      <c r="L25" s="166"/>
      <c r="M25" s="166"/>
      <c r="N25" s="326"/>
      <c r="O25" s="166"/>
      <c r="P25" s="170"/>
      <c r="Q25" s="136"/>
      <c r="R25" s="327"/>
      <c r="S25" s="101"/>
    </row>
    <row r="26" spans="1:19" s="9" customFormat="1" ht="21" customHeight="1">
      <c r="A26" s="242"/>
      <c r="B26" s="267"/>
      <c r="C26" s="166">
        <v>3</v>
      </c>
      <c r="D26" s="166" t="s">
        <v>267</v>
      </c>
      <c r="E26" s="166"/>
      <c r="F26" s="166" t="s">
        <v>51</v>
      </c>
      <c r="G26" s="170">
        <v>480</v>
      </c>
      <c r="H26" s="58"/>
      <c r="I26" s="58">
        <f t="shared" si="0"/>
        <v>480</v>
      </c>
      <c r="J26" s="170"/>
      <c r="K26" s="119"/>
      <c r="L26" s="119"/>
      <c r="M26" s="142">
        <v>100000</v>
      </c>
      <c r="N26" s="144"/>
      <c r="O26" s="120"/>
      <c r="P26" s="120"/>
      <c r="Q26" s="136"/>
      <c r="R26" s="324"/>
      <c r="S26" s="101"/>
    </row>
    <row r="27" spans="1:19" s="9" customFormat="1" ht="21" customHeight="1">
      <c r="A27" s="240">
        <v>12</v>
      </c>
      <c r="B27" s="259" t="s">
        <v>148</v>
      </c>
      <c r="C27" s="166">
        <v>14</v>
      </c>
      <c r="D27" s="166" t="s">
        <v>268</v>
      </c>
      <c r="E27" s="166"/>
      <c r="F27" s="166" t="s">
        <v>130</v>
      </c>
      <c r="G27" s="170">
        <v>2500</v>
      </c>
      <c r="H27" s="58"/>
      <c r="I27" s="58">
        <f t="shared" si="0"/>
        <v>2500</v>
      </c>
      <c r="J27" s="170"/>
      <c r="K27" s="119"/>
      <c r="L27" s="119"/>
      <c r="M27" s="325">
        <v>1430000</v>
      </c>
      <c r="N27" s="120"/>
      <c r="O27" s="120">
        <v>80000</v>
      </c>
      <c r="P27" s="120"/>
      <c r="Q27" s="120"/>
      <c r="R27" s="323">
        <f>SUM(M27:Q28)</f>
        <v>1510000</v>
      </c>
      <c r="S27" s="101" t="s">
        <v>269</v>
      </c>
    </row>
    <row r="28" spans="1:19" s="9" customFormat="1" ht="21" customHeight="1">
      <c r="A28" s="242"/>
      <c r="B28" s="261"/>
      <c r="C28" s="166">
        <v>9</v>
      </c>
      <c r="D28" s="166" t="s">
        <v>270</v>
      </c>
      <c r="E28" s="166"/>
      <c r="F28" s="166" t="s">
        <v>105</v>
      </c>
      <c r="G28" s="58">
        <v>959</v>
      </c>
      <c r="H28" s="58"/>
      <c r="I28" s="58">
        <f t="shared" si="0"/>
        <v>959</v>
      </c>
      <c r="J28" s="170"/>
      <c r="K28" s="119"/>
      <c r="L28" s="119"/>
      <c r="M28" s="326"/>
      <c r="N28" s="120"/>
      <c r="O28" s="120"/>
      <c r="P28" s="120"/>
      <c r="Q28" s="120"/>
      <c r="R28" s="324"/>
      <c r="S28" s="101"/>
    </row>
    <row r="29" spans="1:19" s="9" customFormat="1" ht="21" customHeight="1">
      <c r="A29" s="240">
        <v>13</v>
      </c>
      <c r="B29" s="259" t="s">
        <v>271</v>
      </c>
      <c r="C29" s="166">
        <v>6</v>
      </c>
      <c r="D29" s="166" t="s">
        <v>272</v>
      </c>
      <c r="E29" s="166"/>
      <c r="F29" s="166" t="s">
        <v>92</v>
      </c>
      <c r="G29" s="170">
        <v>2040</v>
      </c>
      <c r="H29" s="209"/>
      <c r="I29" s="58">
        <f t="shared" si="0"/>
        <v>2040</v>
      </c>
      <c r="J29" s="166"/>
      <c r="K29" s="179"/>
      <c r="L29" s="12"/>
      <c r="M29" s="325">
        <v>830000</v>
      </c>
      <c r="N29" s="104"/>
      <c r="O29" s="120"/>
      <c r="P29" s="120"/>
      <c r="Q29" s="120"/>
      <c r="R29" s="323">
        <f>SUM(M29:Q30)</f>
        <v>1330000</v>
      </c>
      <c r="S29" s="207" t="s">
        <v>21</v>
      </c>
    </row>
    <row r="30" spans="1:19" s="9" customFormat="1" ht="21" customHeight="1">
      <c r="A30" s="242"/>
      <c r="B30" s="261"/>
      <c r="C30" s="166" t="s">
        <v>273</v>
      </c>
      <c r="D30" s="166" t="s">
        <v>274</v>
      </c>
      <c r="E30" s="166"/>
      <c r="F30" s="166" t="s">
        <v>78</v>
      </c>
      <c r="G30" s="170">
        <v>300</v>
      </c>
      <c r="H30" s="209">
        <v>60000</v>
      </c>
      <c r="I30" s="58">
        <f t="shared" si="0"/>
        <v>955</v>
      </c>
      <c r="J30" s="166">
        <v>655</v>
      </c>
      <c r="K30" s="70"/>
      <c r="L30" s="70"/>
      <c r="M30" s="326"/>
      <c r="N30" s="120">
        <v>500000</v>
      </c>
      <c r="O30" s="120"/>
      <c r="P30" s="120"/>
      <c r="Q30" s="136"/>
      <c r="R30" s="324"/>
      <c r="S30" s="101"/>
    </row>
    <row r="31" spans="1:19" s="9" customFormat="1" ht="21" customHeight="1">
      <c r="A31" s="12">
        <v>14</v>
      </c>
      <c r="B31" s="66" t="s">
        <v>209</v>
      </c>
      <c r="C31" s="166" t="s">
        <v>275</v>
      </c>
      <c r="D31" s="166" t="s">
        <v>85</v>
      </c>
      <c r="E31" s="166"/>
      <c r="F31" s="166" t="s">
        <v>83</v>
      </c>
      <c r="G31" s="170"/>
      <c r="H31" s="209">
        <v>170000</v>
      </c>
      <c r="I31" s="58">
        <f t="shared" si="0"/>
        <v>2132</v>
      </c>
      <c r="J31" s="166">
        <v>2132</v>
      </c>
      <c r="K31" s="70"/>
      <c r="L31" s="70"/>
      <c r="M31" s="138"/>
      <c r="N31" s="120">
        <v>1350000</v>
      </c>
      <c r="O31" s="120"/>
      <c r="P31" s="140"/>
      <c r="Q31" s="136"/>
      <c r="R31" s="141">
        <f t="shared" si="1"/>
        <v>1350000</v>
      </c>
      <c r="S31" s="101" t="s">
        <v>21</v>
      </c>
    </row>
    <row r="32" spans="1:19" s="9" customFormat="1" ht="21" customHeight="1">
      <c r="A32" s="328">
        <v>15</v>
      </c>
      <c r="B32" s="259" t="s">
        <v>210</v>
      </c>
      <c r="C32" s="166">
        <v>4</v>
      </c>
      <c r="D32" s="166" t="s">
        <v>276</v>
      </c>
      <c r="E32" s="166"/>
      <c r="F32" s="166" t="s">
        <v>277</v>
      </c>
      <c r="G32" s="170"/>
      <c r="H32" s="209">
        <v>72000</v>
      </c>
      <c r="I32" s="58">
        <f t="shared" si="0"/>
        <v>1032</v>
      </c>
      <c r="J32" s="166">
        <v>1032</v>
      </c>
      <c r="K32" s="70"/>
      <c r="L32" s="70"/>
      <c r="M32" s="330">
        <v>2200</v>
      </c>
      <c r="N32" s="325">
        <v>1280000</v>
      </c>
      <c r="O32" s="120"/>
      <c r="P32" s="120"/>
      <c r="Q32" s="136"/>
      <c r="R32" s="323">
        <f>SUM(M32:Q33)</f>
        <v>1282200</v>
      </c>
      <c r="S32" s="101"/>
    </row>
    <row r="33" spans="1:19" s="9" customFormat="1" ht="21" customHeight="1">
      <c r="A33" s="329"/>
      <c r="B33" s="261"/>
      <c r="C33" s="166">
        <v>3</v>
      </c>
      <c r="D33" s="166" t="s">
        <v>278</v>
      </c>
      <c r="E33" s="166"/>
      <c r="F33" s="166" t="s">
        <v>152</v>
      </c>
      <c r="G33" s="170"/>
      <c r="H33" s="209">
        <v>60000</v>
      </c>
      <c r="I33" s="58">
        <f t="shared" si="0"/>
        <v>1006</v>
      </c>
      <c r="J33" s="166">
        <v>1006</v>
      </c>
      <c r="K33" s="70"/>
      <c r="L33" s="70"/>
      <c r="M33" s="331"/>
      <c r="N33" s="326"/>
      <c r="O33" s="120"/>
      <c r="P33" s="120"/>
      <c r="Q33" s="136"/>
      <c r="R33" s="324"/>
      <c r="S33" s="101"/>
    </row>
    <row r="34" spans="1:19" s="9" customFormat="1" ht="21" customHeight="1">
      <c r="A34" s="12">
        <v>16</v>
      </c>
      <c r="B34" s="66" t="s">
        <v>212</v>
      </c>
      <c r="C34" s="166">
        <v>2</v>
      </c>
      <c r="D34" s="166" t="s">
        <v>254</v>
      </c>
      <c r="E34" s="166"/>
      <c r="F34" s="166" t="s">
        <v>98</v>
      </c>
      <c r="G34" s="170"/>
      <c r="H34" s="209">
        <v>44020</v>
      </c>
      <c r="I34" s="58">
        <f t="shared" si="0"/>
        <v>1058</v>
      </c>
      <c r="J34" s="166">
        <v>1058</v>
      </c>
      <c r="K34" s="169"/>
      <c r="L34" s="169">
        <v>1240</v>
      </c>
      <c r="M34" s="15"/>
      <c r="N34" s="144">
        <v>1850000</v>
      </c>
      <c r="O34" s="120"/>
      <c r="P34" s="120">
        <f>171*500</f>
        <v>85500</v>
      </c>
      <c r="Q34" s="136"/>
      <c r="R34" s="141">
        <f t="shared" si="1"/>
        <v>1935500</v>
      </c>
      <c r="S34" s="207" t="s">
        <v>279</v>
      </c>
    </row>
    <row r="35" spans="1:19" s="9" customFormat="1" ht="21" customHeight="1">
      <c r="A35" s="328">
        <v>17</v>
      </c>
      <c r="B35" s="259" t="s">
        <v>214</v>
      </c>
      <c r="C35" s="166" t="s">
        <v>280</v>
      </c>
      <c r="D35" s="166" t="s">
        <v>281</v>
      </c>
      <c r="E35" s="166"/>
      <c r="F35" s="166" t="s">
        <v>43</v>
      </c>
      <c r="G35" s="170"/>
      <c r="H35" s="209">
        <f>11300+80600</f>
        <v>91900</v>
      </c>
      <c r="I35" s="58">
        <f t="shared" si="0"/>
        <v>1477</v>
      </c>
      <c r="J35" s="166">
        <f>1203+274</f>
        <v>1477</v>
      </c>
      <c r="K35" s="182"/>
      <c r="L35" s="182"/>
      <c r="M35" s="15"/>
      <c r="N35" s="144">
        <v>930000</v>
      </c>
      <c r="O35" s="120">
        <v>650000</v>
      </c>
      <c r="P35" s="120"/>
      <c r="Q35" s="136"/>
      <c r="R35" s="323">
        <f>SUM(M35:Q36)</f>
        <v>2080000</v>
      </c>
      <c r="S35" s="84" t="s">
        <v>282</v>
      </c>
    </row>
    <row r="36" spans="1:19" s="9" customFormat="1" ht="21" customHeight="1">
      <c r="A36" s="329"/>
      <c r="B36" s="261"/>
      <c r="C36" s="166"/>
      <c r="D36" s="166" t="s">
        <v>283</v>
      </c>
      <c r="E36" s="166"/>
      <c r="F36" s="166" t="s">
        <v>284</v>
      </c>
      <c r="G36" s="170">
        <v>1445.5</v>
      </c>
      <c r="H36" s="209"/>
      <c r="I36" s="58">
        <f t="shared" si="0"/>
        <v>1445.5</v>
      </c>
      <c r="J36" s="179"/>
      <c r="K36" s="182"/>
      <c r="L36" s="182"/>
      <c r="M36" s="15">
        <v>500000</v>
      </c>
      <c r="N36" s="144"/>
      <c r="P36" s="120"/>
      <c r="Q36" s="136"/>
      <c r="R36" s="324"/>
      <c r="S36" s="84" t="s">
        <v>285</v>
      </c>
    </row>
    <row r="37" spans="1:19" s="9" customFormat="1" ht="21" customHeight="1">
      <c r="A37" s="328">
        <v>18</v>
      </c>
      <c r="B37" s="332" t="s">
        <v>215</v>
      </c>
      <c r="C37" s="166">
        <v>15</v>
      </c>
      <c r="D37" s="166" t="s">
        <v>112</v>
      </c>
      <c r="E37" s="166"/>
      <c r="F37" s="166" t="s">
        <v>286</v>
      </c>
      <c r="G37" s="170">
        <v>2038</v>
      </c>
      <c r="H37" s="209"/>
      <c r="I37" s="58">
        <f t="shared" si="0"/>
        <v>2038</v>
      </c>
      <c r="J37" s="166"/>
      <c r="K37" s="182"/>
      <c r="L37" s="182"/>
      <c r="M37" s="15">
        <v>550000</v>
      </c>
      <c r="N37" s="144"/>
      <c r="O37" s="120"/>
      <c r="P37" s="120"/>
      <c r="Q37" s="136"/>
      <c r="R37" s="323">
        <f>SUM(M37:Q38)</f>
        <v>1330000</v>
      </c>
      <c r="S37" s="210"/>
    </row>
    <row r="38" spans="1:19" s="9" customFormat="1" ht="21" customHeight="1">
      <c r="A38" s="329"/>
      <c r="B38" s="333"/>
      <c r="C38" s="166">
        <v>11</v>
      </c>
      <c r="D38" s="166" t="s">
        <v>156</v>
      </c>
      <c r="E38" s="166"/>
      <c r="F38" s="166" t="s">
        <v>78</v>
      </c>
      <c r="G38" s="170"/>
      <c r="H38" s="209">
        <v>59600</v>
      </c>
      <c r="I38" s="58">
        <f t="shared" si="0"/>
        <v>1117</v>
      </c>
      <c r="J38" s="166">
        <v>1117</v>
      </c>
      <c r="K38" s="179"/>
      <c r="L38" s="179"/>
      <c r="M38" s="15"/>
      <c r="N38" s="120">
        <v>780000</v>
      </c>
      <c r="O38" s="120"/>
      <c r="P38" s="120"/>
      <c r="Q38" s="136"/>
      <c r="R38" s="324"/>
      <c r="S38" s="210" t="s">
        <v>21</v>
      </c>
    </row>
    <row r="39" spans="1:19" s="9" customFormat="1" ht="21" customHeight="1">
      <c r="A39" s="328">
        <v>19</v>
      </c>
      <c r="B39" s="332" t="s">
        <v>218</v>
      </c>
      <c r="C39" s="166">
        <v>20</v>
      </c>
      <c r="D39" s="166" t="s">
        <v>177</v>
      </c>
      <c r="E39" s="166"/>
      <c r="F39" s="166" t="s">
        <v>130</v>
      </c>
      <c r="G39" s="170"/>
      <c r="H39" s="209">
        <v>120000</v>
      </c>
      <c r="I39" s="58">
        <f t="shared" si="0"/>
        <v>1680</v>
      </c>
      <c r="J39" s="166">
        <v>1680</v>
      </c>
      <c r="K39" s="240"/>
      <c r="L39" s="240">
        <v>2970</v>
      </c>
      <c r="M39" s="15"/>
      <c r="N39" s="120">
        <v>1080000</v>
      </c>
      <c r="O39" s="120"/>
      <c r="P39" s="120"/>
      <c r="Q39" s="136"/>
      <c r="R39" s="323">
        <f>SUM(M39:Q40)</f>
        <v>1380000</v>
      </c>
      <c r="S39" s="210"/>
    </row>
    <row r="40" spans="1:19" s="9" customFormat="1" ht="21" customHeight="1">
      <c r="A40" s="329"/>
      <c r="B40" s="333"/>
      <c r="C40" s="166">
        <v>8</v>
      </c>
      <c r="D40" s="166" t="s">
        <v>287</v>
      </c>
      <c r="E40" s="166"/>
      <c r="F40" s="166" t="s">
        <v>51</v>
      </c>
      <c r="G40" s="170">
        <v>1123</v>
      </c>
      <c r="H40" s="209"/>
      <c r="I40" s="58">
        <f t="shared" si="0"/>
        <v>1123</v>
      </c>
      <c r="J40" s="166"/>
      <c r="K40" s="242"/>
      <c r="L40" s="242"/>
      <c r="M40" s="15">
        <v>300000</v>
      </c>
      <c r="N40" s="120"/>
      <c r="O40" s="120"/>
      <c r="P40" s="120"/>
      <c r="Q40" s="136"/>
      <c r="R40" s="324"/>
      <c r="S40" s="101"/>
    </row>
    <row r="41" spans="1:19" s="9" customFormat="1" ht="21" customHeight="1">
      <c r="A41" s="12">
        <v>20</v>
      </c>
      <c r="B41" s="139" t="s">
        <v>222</v>
      </c>
      <c r="C41" s="166">
        <v>17</v>
      </c>
      <c r="D41" s="166" t="s">
        <v>99</v>
      </c>
      <c r="E41" s="166"/>
      <c r="F41" s="166" t="s">
        <v>49</v>
      </c>
      <c r="G41" s="117">
        <v>2175</v>
      </c>
      <c r="H41" s="117"/>
      <c r="I41" s="58">
        <f t="shared" si="0"/>
        <v>2175</v>
      </c>
      <c r="J41" s="166"/>
      <c r="K41" s="179"/>
      <c r="L41" s="166">
        <v>2230</v>
      </c>
      <c r="M41" s="15">
        <v>1150000</v>
      </c>
      <c r="N41" s="120"/>
      <c r="O41" s="120"/>
      <c r="P41" s="120"/>
      <c r="Q41" s="136"/>
      <c r="R41" s="141">
        <f t="shared" si="1"/>
        <v>1150000</v>
      </c>
      <c r="S41" s="210"/>
    </row>
    <row r="42" spans="1:19" s="9" customFormat="1" ht="21" customHeight="1">
      <c r="A42" s="12">
        <v>21</v>
      </c>
      <c r="B42" s="139" t="s">
        <v>223</v>
      </c>
      <c r="C42" s="166">
        <v>21</v>
      </c>
      <c r="D42" s="166" t="s">
        <v>261</v>
      </c>
      <c r="E42" s="166"/>
      <c r="F42" s="166" t="s">
        <v>49</v>
      </c>
      <c r="G42" s="170"/>
      <c r="H42" s="58">
        <v>146950</v>
      </c>
      <c r="I42" s="58">
        <f t="shared" si="0"/>
        <v>1596</v>
      </c>
      <c r="J42" s="170">
        <v>1596</v>
      </c>
      <c r="K42" s="166"/>
      <c r="L42" s="179"/>
      <c r="M42" s="15"/>
      <c r="N42" s="120">
        <v>1400000</v>
      </c>
      <c r="O42" s="120"/>
      <c r="P42" s="120"/>
      <c r="Q42" s="136"/>
      <c r="R42" s="141">
        <f t="shared" si="1"/>
        <v>1400000</v>
      </c>
      <c r="S42" s="210" t="s">
        <v>21</v>
      </c>
    </row>
    <row r="43" spans="1:19" s="9" customFormat="1" ht="21" customHeight="1">
      <c r="A43" s="12">
        <v>22</v>
      </c>
      <c r="B43" s="139" t="s">
        <v>223</v>
      </c>
      <c r="C43" s="166">
        <v>9</v>
      </c>
      <c r="D43" s="166" t="s">
        <v>288</v>
      </c>
      <c r="E43" s="166"/>
      <c r="F43" s="166" t="s">
        <v>277</v>
      </c>
      <c r="G43" s="170"/>
      <c r="H43" s="58">
        <v>81600</v>
      </c>
      <c r="I43" s="58">
        <f t="shared" si="0"/>
        <v>1299</v>
      </c>
      <c r="J43" s="170">
        <v>1299</v>
      </c>
      <c r="K43" s="166"/>
      <c r="L43" s="166">
        <v>1760</v>
      </c>
      <c r="M43" s="15"/>
      <c r="N43" s="120">
        <v>900000</v>
      </c>
      <c r="O43" s="120"/>
      <c r="P43" s="120"/>
      <c r="Q43" s="136"/>
      <c r="R43" s="141">
        <f t="shared" si="1"/>
        <v>900000</v>
      </c>
      <c r="S43" s="210"/>
    </row>
    <row r="44" spans="1:19" s="9" customFormat="1" ht="21" customHeight="1">
      <c r="A44" s="328">
        <v>23</v>
      </c>
      <c r="B44" s="259" t="s">
        <v>185</v>
      </c>
      <c r="C44" s="166">
        <v>8</v>
      </c>
      <c r="D44" s="166" t="s">
        <v>289</v>
      </c>
      <c r="E44" s="166"/>
      <c r="F44" s="166" t="s">
        <v>97</v>
      </c>
      <c r="G44" s="170">
        <v>1500</v>
      </c>
      <c r="H44" s="58"/>
      <c r="I44" s="58">
        <f t="shared" si="0"/>
        <v>1500</v>
      </c>
      <c r="J44" s="170"/>
      <c r="K44" s="240"/>
      <c r="L44" s="240">
        <v>2580</v>
      </c>
      <c r="M44" s="15">
        <v>830000</v>
      </c>
      <c r="N44" s="120"/>
      <c r="O44" s="120"/>
      <c r="P44" s="120"/>
      <c r="Q44" s="136"/>
      <c r="R44" s="323">
        <f>SUM(M44:Q45)</f>
        <v>1830000</v>
      </c>
      <c r="S44" s="210"/>
    </row>
    <row r="45" spans="1:19" s="9" customFormat="1" ht="21" customHeight="1">
      <c r="A45" s="329"/>
      <c r="B45" s="261"/>
      <c r="C45" s="166">
        <v>9</v>
      </c>
      <c r="D45" s="166" t="s">
        <v>177</v>
      </c>
      <c r="E45" s="166"/>
      <c r="F45" s="166" t="s">
        <v>130</v>
      </c>
      <c r="G45" s="170"/>
      <c r="H45" s="58">
        <v>96000</v>
      </c>
      <c r="I45" s="58">
        <f t="shared" si="0"/>
        <v>1296</v>
      </c>
      <c r="J45" s="170">
        <v>1296</v>
      </c>
      <c r="K45" s="242"/>
      <c r="L45" s="242"/>
      <c r="M45" s="15"/>
      <c r="N45" s="120">
        <v>1000000</v>
      </c>
      <c r="O45" s="120"/>
      <c r="P45" s="120"/>
      <c r="Q45" s="136"/>
      <c r="R45" s="324"/>
      <c r="S45" s="210"/>
    </row>
    <row r="46" spans="1:19" s="9" customFormat="1" ht="21" customHeight="1">
      <c r="A46" s="12">
        <v>24</v>
      </c>
      <c r="B46" s="66" t="s">
        <v>186</v>
      </c>
      <c r="C46" s="166">
        <v>7</v>
      </c>
      <c r="D46" s="166" t="s">
        <v>288</v>
      </c>
      <c r="E46" s="166"/>
      <c r="F46" s="166" t="s">
        <v>277</v>
      </c>
      <c r="G46" s="170"/>
      <c r="H46" s="58">
        <v>60000</v>
      </c>
      <c r="I46" s="58">
        <f t="shared" si="0"/>
        <v>972</v>
      </c>
      <c r="J46" s="170">
        <v>972</v>
      </c>
      <c r="K46" s="166"/>
      <c r="L46" s="166">
        <v>1020</v>
      </c>
      <c r="M46" s="120"/>
      <c r="N46" s="120">
        <v>900000</v>
      </c>
      <c r="O46" s="120"/>
      <c r="P46" s="120"/>
      <c r="Q46" s="136"/>
      <c r="R46" s="141">
        <f t="shared" si="1"/>
        <v>900000</v>
      </c>
      <c r="S46" s="210"/>
    </row>
    <row r="47" spans="1:19" s="9" customFormat="1" ht="21" customHeight="1">
      <c r="A47" s="12">
        <v>25</v>
      </c>
      <c r="B47" s="211" t="s">
        <v>228</v>
      </c>
      <c r="C47" s="166">
        <v>5</v>
      </c>
      <c r="D47" s="166" t="s">
        <v>254</v>
      </c>
      <c r="E47" s="166"/>
      <c r="F47" s="166" t="s">
        <v>98</v>
      </c>
      <c r="G47" s="170"/>
      <c r="H47" s="58">
        <v>59650</v>
      </c>
      <c r="I47" s="58">
        <f t="shared" si="0"/>
        <v>1296</v>
      </c>
      <c r="J47" s="170">
        <v>1296</v>
      </c>
      <c r="K47" s="166"/>
      <c r="L47" s="64"/>
      <c r="M47" s="120"/>
      <c r="N47" s="120">
        <v>1950000</v>
      </c>
      <c r="O47" s="120"/>
      <c r="P47" s="120"/>
      <c r="Q47" s="136"/>
      <c r="R47" s="141">
        <f t="shared" si="1"/>
        <v>1950000</v>
      </c>
      <c r="S47" s="210"/>
    </row>
    <row r="48" spans="1:19" s="9" customFormat="1" ht="21" customHeight="1">
      <c r="A48" s="328">
        <v>26</v>
      </c>
      <c r="B48" s="334" t="s">
        <v>190</v>
      </c>
      <c r="C48" s="166" t="s">
        <v>290</v>
      </c>
      <c r="D48" s="166" t="s">
        <v>177</v>
      </c>
      <c r="E48" s="166"/>
      <c r="F48" s="166" t="s">
        <v>130</v>
      </c>
      <c r="G48" s="170"/>
      <c r="H48" s="58">
        <f>22000+16500</f>
        <v>38500</v>
      </c>
      <c r="I48" s="58">
        <f t="shared" si="0"/>
        <v>1026</v>
      </c>
      <c r="J48" s="170">
        <f>525+501</f>
        <v>1026</v>
      </c>
      <c r="K48" s="119"/>
      <c r="L48" s="70"/>
      <c r="M48" s="120"/>
      <c r="N48" s="325">
        <v>1430000</v>
      </c>
      <c r="O48" s="120"/>
      <c r="P48" s="120"/>
      <c r="Q48" s="136"/>
      <c r="R48" s="323">
        <f>SUM(M48:Q49)</f>
        <v>1430000</v>
      </c>
      <c r="S48" s="210"/>
    </row>
    <row r="49" spans="1:20" s="9" customFormat="1" ht="21" customHeight="1">
      <c r="A49" s="329"/>
      <c r="B49" s="335"/>
      <c r="C49" s="166">
        <v>6</v>
      </c>
      <c r="D49" s="179" t="s">
        <v>155</v>
      </c>
      <c r="E49" s="166"/>
      <c r="F49" s="166" t="s">
        <v>147</v>
      </c>
      <c r="G49" s="170"/>
      <c r="H49" s="58">
        <v>41700</v>
      </c>
      <c r="I49" s="58">
        <f t="shared" si="0"/>
        <v>1134</v>
      </c>
      <c r="J49" s="170">
        <v>1134</v>
      </c>
      <c r="K49" s="179"/>
      <c r="L49" s="12"/>
      <c r="M49" s="120"/>
      <c r="N49" s="326"/>
      <c r="O49" s="120"/>
      <c r="P49" s="120"/>
      <c r="Q49" s="136"/>
      <c r="R49" s="324"/>
      <c r="S49" s="101" t="s">
        <v>21</v>
      </c>
    </row>
    <row r="50" spans="1:20" s="30" customFormat="1" ht="19.2" customHeight="1">
      <c r="A50" s="290" t="s">
        <v>22</v>
      </c>
      <c r="B50" s="290"/>
      <c r="C50" s="290"/>
      <c r="D50" s="290"/>
      <c r="E50" s="290"/>
      <c r="F50" s="290"/>
      <c r="G50" s="28">
        <f t="shared" ref="G50:R50" si="2">SUM(G8:G49)</f>
        <v>20685.5</v>
      </c>
      <c r="H50" s="28">
        <f t="shared" si="2"/>
        <v>2185400</v>
      </c>
      <c r="I50" s="28"/>
      <c r="J50" s="28">
        <f t="shared" si="2"/>
        <v>35135</v>
      </c>
      <c r="K50" s="28">
        <f t="shared" si="2"/>
        <v>0</v>
      </c>
      <c r="L50" s="28">
        <f t="shared" si="2"/>
        <v>22060</v>
      </c>
      <c r="M50" s="28">
        <f t="shared" si="2"/>
        <v>8242200</v>
      </c>
      <c r="N50" s="28">
        <f t="shared" si="2"/>
        <v>29390000</v>
      </c>
      <c r="O50" s="28">
        <f t="shared" si="2"/>
        <v>730000</v>
      </c>
      <c r="P50" s="28">
        <f t="shared" si="2"/>
        <v>270000</v>
      </c>
      <c r="Q50" s="28">
        <f t="shared" si="2"/>
        <v>0</v>
      </c>
      <c r="R50" s="28">
        <f t="shared" si="2"/>
        <v>38632200</v>
      </c>
      <c r="S50" s="92"/>
      <c r="T50" s="9">
        <f>SUM(T8:T49)</f>
        <v>0</v>
      </c>
    </row>
    <row r="51" spans="1:20" s="30" customFormat="1" ht="19.2" customHeight="1">
      <c r="A51" s="289" t="s">
        <v>23</v>
      </c>
      <c r="B51" s="289"/>
      <c r="C51" s="289"/>
      <c r="D51" s="289"/>
      <c r="E51" s="289"/>
      <c r="F51" s="289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>
        <f>8%*R50</f>
        <v>3090576</v>
      </c>
      <c r="S51" s="91"/>
      <c r="T51" s="173"/>
    </row>
    <row r="52" spans="1:20" s="30" customFormat="1" ht="19.2" customHeight="1">
      <c r="A52" s="289" t="s">
        <v>24</v>
      </c>
      <c r="B52" s="289"/>
      <c r="C52" s="289"/>
      <c r="D52" s="289"/>
      <c r="E52" s="289"/>
      <c r="F52" s="28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>
        <f>R51+R50</f>
        <v>41722776</v>
      </c>
      <c r="S52" s="92"/>
    </row>
    <row r="53" spans="1:20" s="30" customFormat="1" ht="19.2" customHeight="1">
      <c r="A53" s="33"/>
      <c r="B53" s="33"/>
      <c r="C53" s="33"/>
      <c r="D53" s="33"/>
      <c r="E53" s="33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60"/>
      <c r="T53" s="36"/>
    </row>
    <row r="54" spans="1:20" s="30" customFormat="1" ht="19.2" customHeight="1">
      <c r="A54" s="279" t="s">
        <v>25</v>
      </c>
      <c r="B54" s="279"/>
      <c r="C54" s="279"/>
      <c r="D54" s="279"/>
      <c r="E54" s="279"/>
      <c r="F54" s="279"/>
      <c r="G54" s="37">
        <f>G50</f>
        <v>20685.5</v>
      </c>
      <c r="H54" s="37"/>
      <c r="I54" s="37"/>
      <c r="J54" s="37"/>
      <c r="K54" s="37"/>
      <c r="L54" s="38">
        <f>G50+K50</f>
        <v>20685.5</v>
      </c>
      <c r="M54" s="37"/>
      <c r="N54" s="37"/>
      <c r="O54" s="37"/>
      <c r="P54" s="37"/>
      <c r="Q54" s="37"/>
      <c r="R54" s="37">
        <f>M50+O50</f>
        <v>8972200</v>
      </c>
      <c r="S54" s="95">
        <f>R54/G54</f>
        <v>433.7434434748979</v>
      </c>
      <c r="T54" s="40"/>
    </row>
    <row r="55" spans="1:20" s="30" customFormat="1" ht="19.2" customHeight="1">
      <c r="A55" s="279" t="s">
        <v>26</v>
      </c>
      <c r="B55" s="279"/>
      <c r="C55" s="279"/>
      <c r="D55" s="279"/>
      <c r="E55" s="279"/>
      <c r="F55" s="279"/>
      <c r="G55" s="37"/>
      <c r="H55" s="37"/>
      <c r="I55" s="37"/>
      <c r="J55" s="37">
        <f>J50</f>
        <v>35135</v>
      </c>
      <c r="K55" s="37"/>
      <c r="L55" s="37"/>
      <c r="M55" s="37"/>
      <c r="N55" s="37"/>
      <c r="O55" s="37"/>
      <c r="P55" s="37"/>
      <c r="Q55" s="37"/>
      <c r="R55" s="37">
        <f>N50+P50</f>
        <v>29660000</v>
      </c>
      <c r="S55" s="95">
        <f>R55/J55</f>
        <v>844.17247758645226</v>
      </c>
      <c r="T55" s="40"/>
    </row>
    <row r="56" spans="1:20" s="30" customFormat="1" ht="19.2" customHeight="1">
      <c r="A56" s="279" t="s">
        <v>27</v>
      </c>
      <c r="B56" s="279"/>
      <c r="C56" s="279"/>
      <c r="D56" s="279"/>
      <c r="E56" s="279"/>
      <c r="F56" s="27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>
        <f>K50</f>
        <v>0</v>
      </c>
      <c r="R56" s="37">
        <f>Q50</f>
        <v>0</v>
      </c>
      <c r="S56" s="95" t="e">
        <f>R56/Q56</f>
        <v>#DIV/0!</v>
      </c>
      <c r="T56" s="40">
        <f>R54+R55+R56</f>
        <v>38632200</v>
      </c>
    </row>
    <row r="57" spans="1:20" ht="19.2" customHeight="1">
      <c r="A57" s="41"/>
      <c r="B57" s="1"/>
      <c r="C57" s="3" t="s">
        <v>29</v>
      </c>
      <c r="D57" s="42"/>
      <c r="E57" s="43"/>
      <c r="F57" s="43"/>
      <c r="G57" s="44" t="s">
        <v>80</v>
      </c>
      <c r="H57" s="45"/>
      <c r="I57" s="45"/>
      <c r="J57" s="45"/>
      <c r="K57" s="45"/>
      <c r="L57" s="46"/>
      <c r="M57" s="1"/>
      <c r="N57" s="1"/>
      <c r="O57" s="1"/>
      <c r="P57" s="1"/>
      <c r="Q57" s="1"/>
      <c r="R57" s="42" t="s">
        <v>30</v>
      </c>
    </row>
    <row r="58" spans="1:20" ht="19.2" customHeight="1">
      <c r="B58" s="1"/>
      <c r="D58" s="42"/>
      <c r="E58" s="47"/>
      <c r="F58" s="47"/>
      <c r="G58" s="48"/>
      <c r="H58" s="41"/>
      <c r="I58" s="41"/>
      <c r="J58" s="42"/>
      <c r="K58" s="42"/>
      <c r="L58" s="42"/>
    </row>
    <row r="59" spans="1:20" s="8" customFormat="1" ht="19.2" customHeight="1">
      <c r="A59" s="1"/>
      <c r="B59" s="1"/>
      <c r="C59" s="3"/>
      <c r="D59" s="3"/>
      <c r="E59" s="3"/>
      <c r="F59" s="3"/>
      <c r="G59" s="49"/>
      <c r="S59" s="3"/>
    </row>
    <row r="60" spans="1:20">
      <c r="B60" s="1"/>
      <c r="E60" s="47"/>
      <c r="F60" s="47"/>
      <c r="G60" s="48"/>
      <c r="H60" s="41"/>
      <c r="I60" s="41"/>
      <c r="J60" s="42"/>
      <c r="K60" s="42"/>
      <c r="L60" s="42"/>
    </row>
    <row r="61" spans="1:20" ht="18" customHeight="1">
      <c r="C61" s="55"/>
      <c r="G61" s="44" t="str">
        <f>'[1]A VIEN'!G55</f>
        <v>Đặng Thị Mỹ Tin</v>
      </c>
      <c r="H61" s="53"/>
      <c r="I61" s="53"/>
      <c r="R61" s="7" t="s">
        <v>36</v>
      </c>
    </row>
    <row r="62" spans="1:20" ht="18" customHeight="1"/>
    <row r="64" spans="1:20">
      <c r="S64" s="61" t="e">
        <f>+R50+#REF!+#REF!+#REF!+#REF!+#REF!+#REF!+#REF!+#REF!</f>
        <v>#REF!</v>
      </c>
    </row>
  </sheetData>
  <mergeCells count="83">
    <mergeCell ref="K44:K45"/>
    <mergeCell ref="L44:L45"/>
    <mergeCell ref="R44:R45"/>
    <mergeCell ref="A48:A49"/>
    <mergeCell ref="B48:B49"/>
    <mergeCell ref="N48:N49"/>
    <mergeCell ref="R48:R49"/>
    <mergeCell ref="A44:A45"/>
    <mergeCell ref="B44:B45"/>
    <mergeCell ref="N20:N21"/>
    <mergeCell ref="R20:R21"/>
    <mergeCell ref="A24:A26"/>
    <mergeCell ref="B24:B26"/>
    <mergeCell ref="R24:R26"/>
    <mergeCell ref="A20:A21"/>
    <mergeCell ref="B20:B21"/>
    <mergeCell ref="L20:L21"/>
    <mergeCell ref="N24:N25"/>
    <mergeCell ref="A27:A28"/>
    <mergeCell ref="B27:B28"/>
    <mergeCell ref="M27:M28"/>
    <mergeCell ref="R27:R28"/>
    <mergeCell ref="A54:F54"/>
    <mergeCell ref="R35:R36"/>
    <mergeCell ref="A35:A36"/>
    <mergeCell ref="B35:B36"/>
    <mergeCell ref="A37:A38"/>
    <mergeCell ref="B37:B38"/>
    <mergeCell ref="R37:R38"/>
    <mergeCell ref="A39:A40"/>
    <mergeCell ref="B39:B40"/>
    <mergeCell ref="K39:K40"/>
    <mergeCell ref="L39:L40"/>
    <mergeCell ref="R39:R40"/>
    <mergeCell ref="A55:F55"/>
    <mergeCell ref="A51:F51"/>
    <mergeCell ref="A52:F52"/>
    <mergeCell ref="A56:F56"/>
    <mergeCell ref="A50:F50"/>
    <mergeCell ref="A32:A33"/>
    <mergeCell ref="B32:B33"/>
    <mergeCell ref="N32:N33"/>
    <mergeCell ref="R32:R33"/>
    <mergeCell ref="A29:A30"/>
    <mergeCell ref="B29:B30"/>
    <mergeCell ref="M29:M30"/>
    <mergeCell ref="R29:R30"/>
    <mergeCell ref="M32:M33"/>
    <mergeCell ref="A13:A15"/>
    <mergeCell ref="B13:B15"/>
    <mergeCell ref="R13:R15"/>
    <mergeCell ref="N14:N15"/>
    <mergeCell ref="A16:A17"/>
    <mergeCell ref="B16:B17"/>
    <mergeCell ref="N16:N17"/>
    <mergeCell ref="R16:R17"/>
    <mergeCell ref="R5:R7"/>
    <mergeCell ref="A11:A12"/>
    <mergeCell ref="B11:B12"/>
    <mergeCell ref="R11:R12"/>
    <mergeCell ref="A9:A10"/>
    <mergeCell ref="B9:B10"/>
    <mergeCell ref="L9:L10"/>
    <mergeCell ref="N9:N10"/>
    <mergeCell ref="R9:R10"/>
    <mergeCell ref="O5:P6"/>
    <mergeCell ref="Q5:Q7"/>
    <mergeCell ref="S5:S7"/>
    <mergeCell ref="A1:S1"/>
    <mergeCell ref="A2:S2"/>
    <mergeCell ref="A3:S3"/>
    <mergeCell ref="A4:C4"/>
    <mergeCell ref="A5:A7"/>
    <mergeCell ref="B5:B7"/>
    <mergeCell ref="C5:C7"/>
    <mergeCell ref="D5:D7"/>
    <mergeCell ref="E5:F5"/>
    <mergeCell ref="G5:K5"/>
    <mergeCell ref="E6:E7"/>
    <mergeCell ref="F6:F7"/>
    <mergeCell ref="H6:J6"/>
    <mergeCell ref="L5:L7"/>
    <mergeCell ref="M5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B29" zoomScaleNormal="100" workbookViewId="0">
      <selection activeCell="I36" sqref="I36:I37"/>
    </sheetView>
  </sheetViews>
  <sheetFormatPr defaultColWidth="9.109375" defaultRowHeight="13.8"/>
  <cols>
    <col min="1" max="1" width="8.44140625" style="1" hidden="1" customWidth="1"/>
    <col min="2" max="2" width="13.33203125" style="152" customWidth="1"/>
    <col min="3" max="3" width="12.21875" style="3" hidden="1" customWidth="1"/>
    <col min="4" max="4" width="19.44140625" style="3" hidden="1" customWidth="1"/>
    <col min="5" max="5" width="13.44140625" style="51" hidden="1" customWidth="1"/>
    <col min="6" max="6" width="17.33203125" style="52" customWidth="1"/>
    <col min="7" max="7" width="13.109375" style="45" customWidth="1"/>
    <col min="8" max="9" width="14.109375" style="57" customWidth="1"/>
    <col min="10" max="10" width="11.33203125" style="54" customWidth="1"/>
    <col min="11" max="11" width="13.5546875" style="54" customWidth="1"/>
    <col min="12" max="12" width="13.109375" style="7" customWidth="1"/>
    <col min="13" max="14" width="17.33203125" style="7" customWidth="1"/>
    <col min="15" max="16" width="15.33203125" style="7" customWidth="1"/>
    <col min="17" max="17" width="15.6640625" style="7" customWidth="1"/>
    <col min="18" max="18" width="19.44140625" style="7" customWidth="1"/>
    <col min="19" max="19" width="46.109375" style="3" hidden="1" customWidth="1"/>
    <col min="20" max="20" width="16" style="1" customWidth="1"/>
    <col min="21" max="16384" width="9.109375" style="1"/>
  </cols>
  <sheetData>
    <row r="1" spans="1:19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19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19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</row>
    <row r="4" spans="1:19">
      <c r="A4" s="322" t="s">
        <v>103</v>
      </c>
      <c r="B4" s="322"/>
      <c r="C4" s="322"/>
      <c r="D4" s="2"/>
      <c r="E4" s="3"/>
      <c r="F4" s="3"/>
      <c r="G4" s="4"/>
      <c r="H4" s="5"/>
      <c r="I4" s="5"/>
      <c r="J4" s="6"/>
      <c r="K4" s="6"/>
    </row>
    <row r="5" spans="1:19" s="9" customFormat="1" ht="29.25" customHeight="1">
      <c r="A5" s="239" t="s">
        <v>2</v>
      </c>
      <c r="B5" s="338" t="s">
        <v>3</v>
      </c>
      <c r="C5" s="239" t="s">
        <v>4</v>
      </c>
      <c r="D5" s="239" t="s">
        <v>5</v>
      </c>
      <c r="E5" s="239" t="s">
        <v>6</v>
      </c>
      <c r="F5" s="239"/>
      <c r="G5" s="253" t="s">
        <v>7</v>
      </c>
      <c r="H5" s="253"/>
      <c r="I5" s="253"/>
      <c r="J5" s="253"/>
      <c r="K5" s="253"/>
      <c r="L5" s="254" t="s">
        <v>8</v>
      </c>
      <c r="M5" s="255" t="s">
        <v>9</v>
      </c>
      <c r="N5" s="256"/>
      <c r="O5" s="235" t="s">
        <v>10</v>
      </c>
      <c r="P5" s="235"/>
      <c r="Q5" s="236" t="s">
        <v>11</v>
      </c>
      <c r="R5" s="235" t="s">
        <v>12</v>
      </c>
      <c r="S5" s="249" t="s">
        <v>13</v>
      </c>
    </row>
    <row r="6" spans="1:19" s="9" customFormat="1" ht="23.25" customHeight="1">
      <c r="A6" s="239"/>
      <c r="B6" s="338"/>
      <c r="C6" s="239"/>
      <c r="D6" s="239"/>
      <c r="E6" s="239" t="s">
        <v>14</v>
      </c>
      <c r="F6" s="239" t="s">
        <v>15</v>
      </c>
      <c r="G6" s="176" t="s">
        <v>16</v>
      </c>
      <c r="H6" s="253" t="s">
        <v>17</v>
      </c>
      <c r="I6" s="253"/>
      <c r="J6" s="253"/>
      <c r="K6" s="175" t="s">
        <v>18</v>
      </c>
      <c r="L6" s="254"/>
      <c r="M6" s="257"/>
      <c r="N6" s="258"/>
      <c r="O6" s="235"/>
      <c r="P6" s="235"/>
      <c r="Q6" s="237"/>
      <c r="R6" s="235"/>
      <c r="S6" s="249"/>
    </row>
    <row r="7" spans="1:19" s="9" customFormat="1" ht="22.5" customHeight="1">
      <c r="A7" s="239"/>
      <c r="B7" s="338"/>
      <c r="C7" s="239"/>
      <c r="D7" s="239"/>
      <c r="E7" s="239"/>
      <c r="F7" s="239"/>
      <c r="G7" s="176" t="s">
        <v>19</v>
      </c>
      <c r="H7" s="174" t="s">
        <v>20</v>
      </c>
      <c r="I7" s="186"/>
      <c r="J7" s="175" t="s">
        <v>19</v>
      </c>
      <c r="K7" s="175" t="s">
        <v>19</v>
      </c>
      <c r="L7" s="254"/>
      <c r="M7" s="176" t="s">
        <v>16</v>
      </c>
      <c r="N7" s="10" t="s">
        <v>17</v>
      </c>
      <c r="O7" s="176" t="s">
        <v>16</v>
      </c>
      <c r="P7" s="129" t="s">
        <v>17</v>
      </c>
      <c r="Q7" s="238"/>
      <c r="R7" s="235"/>
      <c r="S7" s="249"/>
    </row>
    <row r="8" spans="1:19" s="147" customFormat="1" ht="23.4" customHeight="1">
      <c r="A8" s="240">
        <v>1</v>
      </c>
      <c r="B8" s="286" t="s">
        <v>119</v>
      </c>
      <c r="C8" s="166">
        <v>3</v>
      </c>
      <c r="D8" s="166" t="s">
        <v>204</v>
      </c>
      <c r="E8" s="166"/>
      <c r="F8" s="166" t="s">
        <v>78</v>
      </c>
      <c r="G8" s="170"/>
      <c r="H8" s="58">
        <v>124000</v>
      </c>
      <c r="I8" s="58">
        <f>SUM(G8,J8,K8)</f>
        <v>2067</v>
      </c>
      <c r="J8" s="170">
        <v>2067</v>
      </c>
      <c r="K8" s="131"/>
      <c r="L8" s="131"/>
      <c r="M8" s="213"/>
      <c r="N8" s="309">
        <v>1500000</v>
      </c>
      <c r="O8" s="13"/>
      <c r="P8" s="13"/>
      <c r="Q8" s="13"/>
      <c r="R8" s="336">
        <f>SUM(M8:Q9)</f>
        <v>1500000</v>
      </c>
      <c r="S8" s="184"/>
    </row>
    <row r="9" spans="1:19" s="147" customFormat="1" ht="23.4" customHeight="1">
      <c r="A9" s="242"/>
      <c r="B9" s="287"/>
      <c r="C9" s="166">
        <v>27</v>
      </c>
      <c r="D9" s="166" t="s">
        <v>291</v>
      </c>
      <c r="E9" s="166"/>
      <c r="F9" s="166" t="s">
        <v>127</v>
      </c>
      <c r="G9" s="170"/>
      <c r="H9" s="58">
        <v>59150</v>
      </c>
      <c r="I9" s="58">
        <f t="shared" ref="I9:I53" si="0">SUM(G9,J9,K9)</f>
        <v>1072</v>
      </c>
      <c r="J9" s="170">
        <v>1072</v>
      </c>
      <c r="K9" s="131"/>
      <c r="L9" s="131"/>
      <c r="M9" s="103"/>
      <c r="N9" s="311"/>
      <c r="O9" s="11"/>
      <c r="P9" s="11"/>
      <c r="Q9" s="11"/>
      <c r="R9" s="337"/>
      <c r="S9" s="184"/>
    </row>
    <row r="10" spans="1:19" s="9" customFormat="1" ht="23.4" customHeight="1">
      <c r="A10" s="240">
        <v>2</v>
      </c>
      <c r="B10" s="339" t="s">
        <v>125</v>
      </c>
      <c r="C10" s="166">
        <v>26</v>
      </c>
      <c r="D10" s="166" t="s">
        <v>292</v>
      </c>
      <c r="E10" s="166"/>
      <c r="F10" s="166" t="s">
        <v>106</v>
      </c>
      <c r="G10" s="170">
        <v>500</v>
      </c>
      <c r="H10" s="170"/>
      <c r="I10" s="58">
        <f t="shared" si="0"/>
        <v>500</v>
      </c>
      <c r="J10" s="170"/>
      <c r="K10" s="131"/>
      <c r="L10" s="131"/>
      <c r="M10" s="342">
        <v>1200000</v>
      </c>
      <c r="N10" s="15"/>
      <c r="O10" s="11"/>
      <c r="P10" s="11"/>
      <c r="Q10" s="11"/>
      <c r="R10" s="246">
        <f>SUM(M10:Q12)</f>
        <v>1300000</v>
      </c>
      <c r="S10" s="184"/>
    </row>
    <row r="11" spans="1:19" s="9" customFormat="1" ht="23.4" customHeight="1">
      <c r="A11" s="241"/>
      <c r="B11" s="340"/>
      <c r="C11" s="166">
        <v>26</v>
      </c>
      <c r="D11" s="166" t="s">
        <v>101</v>
      </c>
      <c r="E11" s="166"/>
      <c r="F11" s="166" t="s">
        <v>106</v>
      </c>
      <c r="G11" s="170">
        <v>1000</v>
      </c>
      <c r="H11" s="170"/>
      <c r="I11" s="58">
        <f t="shared" si="0"/>
        <v>1000</v>
      </c>
      <c r="J11" s="170"/>
      <c r="K11" s="131"/>
      <c r="L11" s="131"/>
      <c r="M11" s="343"/>
      <c r="N11" s="15"/>
      <c r="O11" s="11"/>
      <c r="P11" s="11"/>
      <c r="Q11" s="11"/>
      <c r="R11" s="247"/>
      <c r="S11" s="59"/>
    </row>
    <row r="12" spans="1:19" s="9" customFormat="1" ht="23.4" customHeight="1">
      <c r="A12" s="242"/>
      <c r="B12" s="341"/>
      <c r="C12" s="179">
        <v>23</v>
      </c>
      <c r="D12" s="166" t="s">
        <v>293</v>
      </c>
      <c r="E12" s="166"/>
      <c r="F12" s="166" t="s">
        <v>294</v>
      </c>
      <c r="G12" s="58">
        <v>1620</v>
      </c>
      <c r="H12" s="58"/>
      <c r="I12" s="58">
        <f t="shared" si="0"/>
        <v>1620</v>
      </c>
      <c r="J12" s="170"/>
      <c r="K12" s="131"/>
      <c r="L12" s="131"/>
      <c r="M12" s="344"/>
      <c r="N12" s="15"/>
      <c r="O12" s="11">
        <v>100000</v>
      </c>
      <c r="P12" s="11"/>
      <c r="Q12" s="11"/>
      <c r="R12" s="248"/>
      <c r="S12" s="59" t="s">
        <v>295</v>
      </c>
    </row>
    <row r="13" spans="1:19" s="9" customFormat="1" ht="23.4" customHeight="1">
      <c r="A13" s="240">
        <v>3</v>
      </c>
      <c r="B13" s="339" t="s">
        <v>129</v>
      </c>
      <c r="C13" s="166">
        <v>3</v>
      </c>
      <c r="D13" s="166" t="s">
        <v>274</v>
      </c>
      <c r="E13" s="166"/>
      <c r="F13" s="166" t="s">
        <v>78</v>
      </c>
      <c r="G13" s="170"/>
      <c r="H13" s="58">
        <v>10200</v>
      </c>
      <c r="I13" s="58">
        <f t="shared" si="0"/>
        <v>202</v>
      </c>
      <c r="J13" s="170">
        <v>202</v>
      </c>
      <c r="K13" s="182"/>
      <c r="L13" s="240">
        <v>4410</v>
      </c>
      <c r="M13" s="103"/>
      <c r="N13" s="262">
        <v>1200000</v>
      </c>
      <c r="O13" s="15"/>
      <c r="P13" s="15"/>
      <c r="Q13" s="15"/>
      <c r="R13" s="246">
        <f>SUM(M13:Q15)</f>
        <v>2400000</v>
      </c>
      <c r="S13" s="59"/>
    </row>
    <row r="14" spans="1:19" s="9" customFormat="1" ht="23.4" customHeight="1">
      <c r="A14" s="241"/>
      <c r="B14" s="340"/>
      <c r="C14" s="166">
        <v>5</v>
      </c>
      <c r="D14" s="166" t="s">
        <v>173</v>
      </c>
      <c r="E14" s="166"/>
      <c r="F14" s="166" t="s">
        <v>98</v>
      </c>
      <c r="G14" s="117"/>
      <c r="H14" s="58">
        <v>21000</v>
      </c>
      <c r="I14" s="58">
        <f t="shared" si="0"/>
        <v>428</v>
      </c>
      <c r="J14" s="170">
        <v>428</v>
      </c>
      <c r="K14" s="182"/>
      <c r="L14" s="241"/>
      <c r="M14" s="103"/>
      <c r="N14" s="264"/>
      <c r="O14" s="15"/>
      <c r="P14" s="15"/>
      <c r="Q14" s="15"/>
      <c r="R14" s="247"/>
      <c r="S14" s="84"/>
    </row>
    <row r="15" spans="1:19" s="9" customFormat="1" ht="23.4" customHeight="1">
      <c r="A15" s="242"/>
      <c r="B15" s="341"/>
      <c r="C15" s="179">
        <v>13</v>
      </c>
      <c r="D15" s="166" t="s">
        <v>99</v>
      </c>
      <c r="E15" s="166"/>
      <c r="F15" s="166" t="s">
        <v>49</v>
      </c>
      <c r="G15" s="170">
        <v>3097</v>
      </c>
      <c r="H15" s="58"/>
      <c r="I15" s="58">
        <f t="shared" si="0"/>
        <v>3097</v>
      </c>
      <c r="J15" s="170"/>
      <c r="K15" s="182"/>
      <c r="L15" s="242"/>
      <c r="M15" s="170">
        <v>1200000</v>
      </c>
      <c r="N15" s="166"/>
      <c r="O15" s="166"/>
      <c r="P15" s="117"/>
      <c r="Q15" s="58"/>
      <c r="R15" s="248"/>
      <c r="S15" s="59"/>
    </row>
    <row r="16" spans="1:19" s="9" customFormat="1" ht="23.4" customHeight="1">
      <c r="A16" s="240">
        <v>4</v>
      </c>
      <c r="B16" s="286" t="s">
        <v>133</v>
      </c>
      <c r="C16" s="166">
        <v>27</v>
      </c>
      <c r="D16" s="166" t="s">
        <v>254</v>
      </c>
      <c r="E16" s="166"/>
      <c r="F16" s="166" t="s">
        <v>98</v>
      </c>
      <c r="G16" s="170"/>
      <c r="H16" s="58">
        <v>35640</v>
      </c>
      <c r="I16" s="58">
        <f t="shared" si="0"/>
        <v>871</v>
      </c>
      <c r="J16" s="170">
        <v>871</v>
      </c>
      <c r="K16" s="182"/>
      <c r="L16" s="240">
        <v>1860</v>
      </c>
      <c r="M16" s="103"/>
      <c r="N16" s="262">
        <v>2300000</v>
      </c>
      <c r="O16" s="11"/>
      <c r="P16" s="11">
        <f>250*500</f>
        <v>125000</v>
      </c>
      <c r="Q16" s="11"/>
      <c r="R16" s="246">
        <f>SUM(M16:Q17)</f>
        <v>2425000</v>
      </c>
      <c r="S16" s="59" t="s">
        <v>296</v>
      </c>
    </row>
    <row r="17" spans="1:19" s="9" customFormat="1" ht="23.4" customHeight="1">
      <c r="A17" s="242"/>
      <c r="B17" s="287"/>
      <c r="C17" s="179" t="s">
        <v>71</v>
      </c>
      <c r="D17" s="166" t="s">
        <v>173</v>
      </c>
      <c r="E17" s="166"/>
      <c r="F17" s="166" t="s">
        <v>98</v>
      </c>
      <c r="G17" s="117"/>
      <c r="H17" s="58">
        <f>25200+3900</f>
        <v>29100</v>
      </c>
      <c r="I17" s="58">
        <f t="shared" si="0"/>
        <v>596</v>
      </c>
      <c r="J17" s="170">
        <f>517+79</f>
        <v>596</v>
      </c>
      <c r="K17" s="182"/>
      <c r="L17" s="242"/>
      <c r="M17" s="103"/>
      <c r="N17" s="264"/>
      <c r="O17" s="11"/>
      <c r="P17" s="11"/>
      <c r="Q17" s="11"/>
      <c r="R17" s="248"/>
      <c r="S17" s="84"/>
    </row>
    <row r="18" spans="1:19" s="9" customFormat="1" ht="23.4" customHeight="1">
      <c r="A18" s="179">
        <v>5</v>
      </c>
      <c r="B18" s="102" t="s">
        <v>135</v>
      </c>
      <c r="C18" s="166">
        <v>34</v>
      </c>
      <c r="D18" s="166" t="s">
        <v>114</v>
      </c>
      <c r="E18" s="166"/>
      <c r="F18" s="166" t="s">
        <v>83</v>
      </c>
      <c r="G18" s="170"/>
      <c r="H18" s="58">
        <v>169200</v>
      </c>
      <c r="I18" s="58">
        <f t="shared" si="0"/>
        <v>2426</v>
      </c>
      <c r="J18" s="170">
        <v>2426</v>
      </c>
      <c r="K18" s="179"/>
      <c r="L18" s="166">
        <v>2620</v>
      </c>
      <c r="M18" s="103"/>
      <c r="N18" s="11">
        <v>1600000</v>
      </c>
      <c r="O18" s="15"/>
      <c r="P18" s="15"/>
      <c r="Q18" s="15"/>
      <c r="R18" s="16">
        <f t="shared" ref="R18" si="1">SUM(M18:Q18)</f>
        <v>1600000</v>
      </c>
      <c r="S18" s="184"/>
    </row>
    <row r="19" spans="1:19" s="9" customFormat="1" ht="23.4" customHeight="1">
      <c r="A19" s="179">
        <v>6</v>
      </c>
      <c r="B19" s="102" t="s">
        <v>137</v>
      </c>
      <c r="C19" s="166">
        <v>8</v>
      </c>
      <c r="D19" s="166" t="s">
        <v>204</v>
      </c>
      <c r="E19" s="166"/>
      <c r="F19" s="166" t="s">
        <v>78</v>
      </c>
      <c r="G19" s="170"/>
      <c r="H19" s="58">
        <v>94800</v>
      </c>
      <c r="I19" s="58">
        <f t="shared" si="0"/>
        <v>2195</v>
      </c>
      <c r="J19" s="170">
        <v>2195</v>
      </c>
      <c r="K19" s="179"/>
      <c r="L19" s="166">
        <v>2370</v>
      </c>
      <c r="M19" s="103"/>
      <c r="N19" s="15">
        <v>1400000</v>
      </c>
      <c r="O19" s="15"/>
      <c r="P19" s="15"/>
      <c r="Q19" s="15"/>
      <c r="R19" s="16">
        <f>SUM(M19:Q19)</f>
        <v>1400000</v>
      </c>
      <c r="S19" s="184"/>
    </row>
    <row r="20" spans="1:19" s="9" customFormat="1" ht="23.4" customHeight="1">
      <c r="A20" s="179">
        <v>7</v>
      </c>
      <c r="B20" s="102" t="s">
        <v>202</v>
      </c>
      <c r="C20" s="166">
        <v>33</v>
      </c>
      <c r="D20" s="166" t="s">
        <v>297</v>
      </c>
      <c r="E20" s="166"/>
      <c r="F20" s="166" t="s">
        <v>130</v>
      </c>
      <c r="G20" s="170">
        <v>3960</v>
      </c>
      <c r="H20" s="58"/>
      <c r="I20" s="58">
        <f t="shared" si="0"/>
        <v>6079</v>
      </c>
      <c r="J20" s="170"/>
      <c r="K20" s="179">
        <v>2119</v>
      </c>
      <c r="L20" s="166">
        <v>4120</v>
      </c>
      <c r="M20" s="103">
        <v>1400000</v>
      </c>
      <c r="N20" s="15"/>
      <c r="O20" s="15"/>
      <c r="P20" s="15"/>
      <c r="Q20" s="15">
        <f>K20*400</f>
        <v>847600</v>
      </c>
      <c r="R20" s="16">
        <f t="shared" ref="R20:R35" si="2">SUM(M20:Q20)</f>
        <v>2247600</v>
      </c>
      <c r="S20" s="59" t="s">
        <v>45</v>
      </c>
    </row>
    <row r="21" spans="1:19" s="9" customFormat="1" ht="23.4" customHeight="1">
      <c r="A21" s="179">
        <v>8</v>
      </c>
      <c r="B21" s="102" t="s">
        <v>142</v>
      </c>
      <c r="C21" s="166" t="s">
        <v>298</v>
      </c>
      <c r="D21" s="166" t="s">
        <v>254</v>
      </c>
      <c r="E21" s="166"/>
      <c r="F21" s="166" t="s">
        <v>98</v>
      </c>
      <c r="G21" s="170"/>
      <c r="H21" s="58">
        <f>38100+8700+6000</f>
        <v>52800</v>
      </c>
      <c r="I21" s="58">
        <f t="shared" si="0"/>
        <v>1406</v>
      </c>
      <c r="J21" s="170">
        <f>1013+272+121</f>
        <v>1406</v>
      </c>
      <c r="K21" s="179"/>
      <c r="L21" s="166"/>
      <c r="M21" s="15"/>
      <c r="N21" s="15">
        <v>2200000</v>
      </c>
      <c r="O21" s="15"/>
      <c r="P21" s="15">
        <f>88*500</f>
        <v>44000</v>
      </c>
      <c r="Q21" s="15"/>
      <c r="R21" s="16">
        <f t="shared" si="2"/>
        <v>2244000</v>
      </c>
      <c r="S21" s="85" t="s">
        <v>299</v>
      </c>
    </row>
    <row r="22" spans="1:19" s="9" customFormat="1" ht="23.4" customHeight="1">
      <c r="A22" s="179">
        <v>9</v>
      </c>
      <c r="B22" s="102" t="s">
        <v>145</v>
      </c>
      <c r="C22" s="166" t="s">
        <v>300</v>
      </c>
      <c r="D22" s="166" t="s">
        <v>301</v>
      </c>
      <c r="E22" s="166"/>
      <c r="F22" s="166" t="s">
        <v>302</v>
      </c>
      <c r="G22" s="170">
        <f>5263+228</f>
        <v>5491</v>
      </c>
      <c r="H22" s="58"/>
      <c r="I22" s="58">
        <f t="shared" si="0"/>
        <v>5491</v>
      </c>
      <c r="J22" s="170"/>
      <c r="K22" s="179"/>
      <c r="L22" s="166">
        <v>5610</v>
      </c>
      <c r="M22" s="15">
        <v>1200000</v>
      </c>
      <c r="N22" s="15"/>
      <c r="O22" s="11"/>
      <c r="P22" s="11"/>
      <c r="Q22" s="11"/>
      <c r="R22" s="16">
        <f t="shared" si="2"/>
        <v>1200000</v>
      </c>
      <c r="S22" s="59"/>
    </row>
    <row r="23" spans="1:19" s="9" customFormat="1" ht="23.4" customHeight="1">
      <c r="A23" s="179">
        <v>10</v>
      </c>
      <c r="B23" s="102" t="s">
        <v>145</v>
      </c>
      <c r="C23" s="166">
        <v>9</v>
      </c>
      <c r="D23" s="166" t="s">
        <v>303</v>
      </c>
      <c r="E23" s="166"/>
      <c r="F23" s="166" t="s">
        <v>130</v>
      </c>
      <c r="G23" s="170">
        <v>5973</v>
      </c>
      <c r="H23" s="58"/>
      <c r="I23" s="58">
        <f t="shared" si="0"/>
        <v>6600</v>
      </c>
      <c r="J23" s="170"/>
      <c r="K23" s="179">
        <v>627</v>
      </c>
      <c r="L23" s="166"/>
      <c r="M23" s="15">
        <v>1600000</v>
      </c>
      <c r="N23" s="15"/>
      <c r="O23" s="11"/>
      <c r="P23" s="11"/>
      <c r="Q23" s="11">
        <f>K23*500</f>
        <v>313500</v>
      </c>
      <c r="R23" s="16">
        <f t="shared" si="2"/>
        <v>1913500</v>
      </c>
      <c r="S23" s="59" t="s">
        <v>102</v>
      </c>
    </row>
    <row r="24" spans="1:19" s="9" customFormat="1" ht="23.4" customHeight="1">
      <c r="A24" s="240">
        <v>11</v>
      </c>
      <c r="B24" s="339" t="s">
        <v>206</v>
      </c>
      <c r="C24" s="166">
        <v>4</v>
      </c>
      <c r="D24" s="166" t="s">
        <v>100</v>
      </c>
      <c r="E24" s="166"/>
      <c r="F24" s="166" t="s">
        <v>49</v>
      </c>
      <c r="G24" s="170">
        <v>2040</v>
      </c>
      <c r="H24" s="58"/>
      <c r="I24" s="58">
        <f t="shared" si="0"/>
        <v>2040</v>
      </c>
      <c r="J24" s="170"/>
      <c r="K24" s="182"/>
      <c r="L24" s="182"/>
      <c r="M24" s="262">
        <v>800000</v>
      </c>
      <c r="N24" s="15"/>
      <c r="O24" s="11"/>
      <c r="P24" s="11"/>
      <c r="Q24" s="11"/>
      <c r="R24" s="246">
        <f>SUM(M24:Q26)</f>
        <v>1800000</v>
      </c>
      <c r="S24" s="59"/>
    </row>
    <row r="25" spans="1:19" s="9" customFormat="1" ht="23.4" customHeight="1">
      <c r="A25" s="241"/>
      <c r="B25" s="340"/>
      <c r="C25" s="166">
        <v>15</v>
      </c>
      <c r="D25" s="166" t="s">
        <v>95</v>
      </c>
      <c r="E25" s="166"/>
      <c r="F25" s="166" t="s">
        <v>49</v>
      </c>
      <c r="G25" s="170">
        <v>2240</v>
      </c>
      <c r="H25" s="58"/>
      <c r="I25" s="58">
        <f t="shared" si="0"/>
        <v>2240</v>
      </c>
      <c r="J25" s="170"/>
      <c r="K25" s="182"/>
      <c r="L25" s="182"/>
      <c r="M25" s="264"/>
      <c r="N25" s="11"/>
      <c r="O25" s="15"/>
      <c r="P25" s="15"/>
      <c r="Q25" s="15"/>
      <c r="R25" s="247"/>
      <c r="S25" s="59"/>
    </row>
    <row r="26" spans="1:19" s="9" customFormat="1" ht="23.4" customHeight="1">
      <c r="A26" s="242"/>
      <c r="B26" s="341"/>
      <c r="C26" s="166">
        <v>5</v>
      </c>
      <c r="D26" s="166" t="s">
        <v>274</v>
      </c>
      <c r="E26" s="166"/>
      <c r="F26" s="166" t="s">
        <v>78</v>
      </c>
      <c r="G26" s="170"/>
      <c r="H26" s="58">
        <v>61060</v>
      </c>
      <c r="I26" s="58">
        <f t="shared" si="0"/>
        <v>1578</v>
      </c>
      <c r="J26" s="170">
        <v>1578</v>
      </c>
      <c r="K26" s="179"/>
      <c r="L26" s="179"/>
      <c r="M26" s="15"/>
      <c r="N26" s="11">
        <v>1000000</v>
      </c>
      <c r="O26" s="15"/>
      <c r="P26" s="15"/>
      <c r="Q26" s="15"/>
      <c r="R26" s="248"/>
      <c r="S26" s="59"/>
    </row>
    <row r="27" spans="1:19" s="9" customFormat="1" ht="23.4" customHeight="1">
      <c r="A27" s="179">
        <v>12</v>
      </c>
      <c r="B27" s="102" t="s">
        <v>148</v>
      </c>
      <c r="C27" s="166">
        <v>31</v>
      </c>
      <c r="D27" s="166" t="s">
        <v>85</v>
      </c>
      <c r="E27" s="166"/>
      <c r="F27" s="166" t="s">
        <v>83</v>
      </c>
      <c r="G27" s="170"/>
      <c r="H27" s="58">
        <v>133300</v>
      </c>
      <c r="I27" s="58">
        <f t="shared" si="0"/>
        <v>2758</v>
      </c>
      <c r="J27" s="170">
        <v>2758</v>
      </c>
      <c r="K27" s="179"/>
      <c r="L27" s="166">
        <v>2800</v>
      </c>
      <c r="M27" s="15"/>
      <c r="N27" s="15">
        <v>1600000</v>
      </c>
      <c r="O27" s="15"/>
      <c r="P27" s="15"/>
      <c r="Q27" s="15"/>
      <c r="R27" s="16">
        <f t="shared" si="2"/>
        <v>1600000</v>
      </c>
      <c r="S27" s="59"/>
    </row>
    <row r="28" spans="1:19" s="147" customFormat="1" ht="23.4" customHeight="1">
      <c r="A28" s="179">
        <v>13</v>
      </c>
      <c r="B28" s="102" t="s">
        <v>150</v>
      </c>
      <c r="C28" s="166">
        <v>19</v>
      </c>
      <c r="D28" s="166" t="s">
        <v>204</v>
      </c>
      <c r="E28" s="166"/>
      <c r="F28" s="166" t="s">
        <v>78</v>
      </c>
      <c r="G28" s="170"/>
      <c r="H28" s="58">
        <v>56300</v>
      </c>
      <c r="I28" s="58">
        <f t="shared" si="0"/>
        <v>1310</v>
      </c>
      <c r="J28" s="170">
        <v>1310</v>
      </c>
      <c r="K28" s="11"/>
      <c r="L28" s="126"/>
      <c r="M28" s="15"/>
      <c r="N28" s="15">
        <v>1200000</v>
      </c>
      <c r="O28" s="15"/>
      <c r="P28" s="15"/>
      <c r="Q28" s="15"/>
      <c r="R28" s="16">
        <f t="shared" si="2"/>
        <v>1200000</v>
      </c>
      <c r="S28" s="84" t="s">
        <v>304</v>
      </c>
    </row>
    <row r="29" spans="1:19" s="9" customFormat="1" ht="23.4" customHeight="1">
      <c r="A29" s="240">
        <v>14</v>
      </c>
      <c r="B29" s="339" t="s">
        <v>271</v>
      </c>
      <c r="C29" s="166">
        <v>2</v>
      </c>
      <c r="D29" s="166" t="s">
        <v>305</v>
      </c>
      <c r="E29" s="166"/>
      <c r="F29" s="166" t="s">
        <v>49</v>
      </c>
      <c r="G29" s="170"/>
      <c r="H29" s="58">
        <v>33000</v>
      </c>
      <c r="I29" s="58">
        <f t="shared" si="0"/>
        <v>622</v>
      </c>
      <c r="J29" s="170">
        <v>622</v>
      </c>
      <c r="K29" s="11"/>
      <c r="L29" s="240">
        <v>2170</v>
      </c>
      <c r="M29" s="15"/>
      <c r="N29" s="262">
        <v>2400000</v>
      </c>
      <c r="O29" s="15"/>
      <c r="P29" s="15"/>
      <c r="Q29" s="15"/>
      <c r="R29" s="246">
        <f>SUM(M29:Q31)</f>
        <v>2476500</v>
      </c>
      <c r="S29" s="59"/>
    </row>
    <row r="30" spans="1:19" s="9" customFormat="1" ht="23.4" customHeight="1">
      <c r="A30" s="241"/>
      <c r="B30" s="340"/>
      <c r="C30" s="166">
        <v>10</v>
      </c>
      <c r="D30" s="166" t="s">
        <v>173</v>
      </c>
      <c r="E30" s="166"/>
      <c r="F30" s="166" t="s">
        <v>52</v>
      </c>
      <c r="G30" s="58"/>
      <c r="H30" s="58">
        <v>18180</v>
      </c>
      <c r="I30" s="58">
        <f t="shared" si="0"/>
        <v>310</v>
      </c>
      <c r="J30" s="170">
        <v>310</v>
      </c>
      <c r="K30" s="11"/>
      <c r="L30" s="241"/>
      <c r="M30" s="15"/>
      <c r="N30" s="263"/>
      <c r="O30" s="15"/>
      <c r="P30" s="15"/>
      <c r="Q30" s="15"/>
      <c r="R30" s="247"/>
      <c r="S30" s="110"/>
    </row>
    <row r="31" spans="1:19" s="9" customFormat="1" ht="23.4" customHeight="1">
      <c r="A31" s="242"/>
      <c r="B31" s="341"/>
      <c r="C31" s="166">
        <v>3</v>
      </c>
      <c r="D31" s="166" t="s">
        <v>306</v>
      </c>
      <c r="E31" s="166"/>
      <c r="F31" s="166" t="s">
        <v>52</v>
      </c>
      <c r="G31" s="170"/>
      <c r="H31" s="58">
        <v>41980</v>
      </c>
      <c r="I31" s="58">
        <f t="shared" si="0"/>
        <v>986</v>
      </c>
      <c r="J31" s="170">
        <v>986</v>
      </c>
      <c r="K31" s="11"/>
      <c r="L31" s="242"/>
      <c r="M31" s="15"/>
      <c r="N31" s="264"/>
      <c r="O31" s="15"/>
      <c r="P31" s="15">
        <f>153*500</f>
        <v>76500</v>
      </c>
      <c r="Q31" s="15"/>
      <c r="R31" s="248"/>
      <c r="S31" s="59" t="s">
        <v>307</v>
      </c>
    </row>
    <row r="32" spans="1:19" s="9" customFormat="1" ht="23.4" customHeight="1">
      <c r="A32" s="240">
        <v>15</v>
      </c>
      <c r="B32" s="339" t="s">
        <v>209</v>
      </c>
      <c r="C32" s="166">
        <v>1</v>
      </c>
      <c r="D32" s="166" t="s">
        <v>308</v>
      </c>
      <c r="E32" s="166"/>
      <c r="F32" s="166" t="s">
        <v>55</v>
      </c>
      <c r="G32" s="170"/>
      <c r="H32" s="58">
        <v>3600</v>
      </c>
      <c r="I32" s="58">
        <f t="shared" si="0"/>
        <v>428</v>
      </c>
      <c r="J32" s="170">
        <v>428</v>
      </c>
      <c r="K32" s="11"/>
      <c r="L32" s="179"/>
      <c r="M32" s="15"/>
      <c r="N32" s="15">
        <v>350000</v>
      </c>
      <c r="O32" s="15"/>
      <c r="P32" s="15"/>
      <c r="Q32" s="15"/>
      <c r="R32" s="246">
        <f>SUM(M32:Q33)</f>
        <v>450000</v>
      </c>
      <c r="S32" s="214" t="s">
        <v>309</v>
      </c>
    </row>
    <row r="33" spans="1:19" s="147" customFormat="1" ht="23.4" customHeight="1">
      <c r="A33" s="242"/>
      <c r="B33" s="341"/>
      <c r="C33" s="166">
        <v>7</v>
      </c>
      <c r="D33" s="166" t="s">
        <v>310</v>
      </c>
      <c r="E33" s="166"/>
      <c r="F33" s="166" t="s">
        <v>55</v>
      </c>
      <c r="G33" s="170">
        <v>1020</v>
      </c>
      <c r="H33" s="58"/>
      <c r="I33" s="58">
        <f t="shared" si="0"/>
        <v>1020</v>
      </c>
      <c r="J33" s="170"/>
      <c r="K33" s="11"/>
      <c r="L33" s="179"/>
      <c r="M33" s="15">
        <v>100000</v>
      </c>
      <c r="N33" s="15"/>
      <c r="O33" s="15"/>
      <c r="P33" s="15"/>
      <c r="Q33" s="15"/>
      <c r="R33" s="248"/>
      <c r="S33" s="110"/>
    </row>
    <row r="34" spans="1:19" s="9" customFormat="1" ht="23.4" customHeight="1">
      <c r="A34" s="179">
        <v>16</v>
      </c>
      <c r="B34" s="102" t="s">
        <v>210</v>
      </c>
      <c r="C34" s="166" t="s">
        <v>311</v>
      </c>
      <c r="D34" s="166" t="s">
        <v>297</v>
      </c>
      <c r="E34" s="166"/>
      <c r="F34" s="166" t="s">
        <v>130</v>
      </c>
      <c r="G34" s="170">
        <v>2500</v>
      </c>
      <c r="H34" s="58"/>
      <c r="I34" s="58">
        <f t="shared" si="0"/>
        <v>3349</v>
      </c>
      <c r="J34" s="11"/>
      <c r="K34" s="11">
        <v>849</v>
      </c>
      <c r="L34" s="179"/>
      <c r="M34" s="15">
        <v>1100000</v>
      </c>
      <c r="N34" s="11"/>
      <c r="O34" s="11"/>
      <c r="P34" s="11"/>
      <c r="Q34" s="11">
        <f>K34*400</f>
        <v>339600</v>
      </c>
      <c r="R34" s="16">
        <f t="shared" si="2"/>
        <v>1439600</v>
      </c>
      <c r="S34" s="59" t="s">
        <v>45</v>
      </c>
    </row>
    <row r="35" spans="1:19" s="9" customFormat="1" ht="23.4" customHeight="1">
      <c r="A35" s="179">
        <v>17</v>
      </c>
      <c r="B35" s="102" t="s">
        <v>212</v>
      </c>
      <c r="C35" s="166">
        <v>6</v>
      </c>
      <c r="D35" s="166" t="s">
        <v>312</v>
      </c>
      <c r="E35" s="166"/>
      <c r="F35" s="166" t="s">
        <v>53</v>
      </c>
      <c r="G35" s="170"/>
      <c r="H35" s="58">
        <v>127590</v>
      </c>
      <c r="I35" s="58">
        <f t="shared" si="0"/>
        <v>1765</v>
      </c>
      <c r="J35" s="170">
        <v>1765</v>
      </c>
      <c r="K35" s="11"/>
      <c r="L35" s="12">
        <v>1960</v>
      </c>
      <c r="M35" s="15"/>
      <c r="N35" s="104">
        <v>700000</v>
      </c>
      <c r="O35" s="143"/>
      <c r="P35" s="143"/>
      <c r="Q35" s="179"/>
      <c r="R35" s="16">
        <f t="shared" si="2"/>
        <v>700000</v>
      </c>
      <c r="S35" s="59"/>
    </row>
    <row r="36" spans="1:19" s="9" customFormat="1" ht="23.4" customHeight="1">
      <c r="A36" s="240">
        <v>18</v>
      </c>
      <c r="B36" s="339" t="s">
        <v>214</v>
      </c>
      <c r="C36" s="166">
        <v>1</v>
      </c>
      <c r="D36" s="166" t="s">
        <v>173</v>
      </c>
      <c r="E36" s="166"/>
      <c r="F36" s="166" t="s">
        <v>98</v>
      </c>
      <c r="G36" s="170"/>
      <c r="H36" s="58">
        <v>25500</v>
      </c>
      <c r="I36" s="58">
        <f t="shared" si="0"/>
        <v>1606</v>
      </c>
      <c r="J36" s="234">
        <v>1606</v>
      </c>
      <c r="K36" s="129"/>
      <c r="L36" s="240">
        <v>1920</v>
      </c>
      <c r="M36" s="15"/>
      <c r="N36" s="262">
        <v>2300000</v>
      </c>
      <c r="O36" s="15"/>
      <c r="P36" s="15"/>
      <c r="Q36" s="15"/>
      <c r="R36" s="246">
        <f>SUM(M36:Q37)</f>
        <v>2300000</v>
      </c>
      <c r="S36" s="59"/>
    </row>
    <row r="37" spans="1:19" s="9" customFormat="1" ht="23.4" customHeight="1">
      <c r="A37" s="242"/>
      <c r="B37" s="341"/>
      <c r="C37" s="166">
        <v>5</v>
      </c>
      <c r="D37" s="166" t="s">
        <v>261</v>
      </c>
      <c r="E37" s="166"/>
      <c r="F37" s="166" t="s">
        <v>49</v>
      </c>
      <c r="G37" s="170"/>
      <c r="H37" s="58">
        <v>94000</v>
      </c>
      <c r="I37" s="58">
        <f t="shared" si="0"/>
        <v>507</v>
      </c>
      <c r="J37" s="216">
        <v>507</v>
      </c>
      <c r="K37" s="129"/>
      <c r="L37" s="242"/>
      <c r="M37" s="15"/>
      <c r="N37" s="264"/>
      <c r="O37" s="15"/>
      <c r="P37" s="15"/>
      <c r="Q37" s="15"/>
      <c r="R37" s="248"/>
      <c r="S37" s="59"/>
    </row>
    <row r="38" spans="1:19" s="9" customFormat="1" ht="23.4" customHeight="1">
      <c r="A38" s="240">
        <v>19</v>
      </c>
      <c r="B38" s="339" t="s">
        <v>214</v>
      </c>
      <c r="C38" s="166">
        <v>16</v>
      </c>
      <c r="D38" s="166" t="s">
        <v>313</v>
      </c>
      <c r="E38" s="166"/>
      <c r="F38" s="166" t="s">
        <v>314</v>
      </c>
      <c r="G38" s="170">
        <v>5355</v>
      </c>
      <c r="H38" s="58"/>
      <c r="I38" s="58">
        <f t="shared" si="0"/>
        <v>5355</v>
      </c>
      <c r="J38" s="170"/>
      <c r="K38" s="129"/>
      <c r="L38" s="182"/>
      <c r="M38" s="262">
        <v>1900000</v>
      </c>
      <c r="N38" s="11"/>
      <c r="O38" s="15"/>
      <c r="P38" s="15"/>
      <c r="Q38" s="15"/>
      <c r="R38" s="246">
        <f>SUM(M38:Q39)</f>
        <v>2000000</v>
      </c>
      <c r="S38" s="84" t="s">
        <v>315</v>
      </c>
    </row>
    <row r="39" spans="1:19" s="9" customFormat="1" ht="23.4" customHeight="1">
      <c r="A39" s="242"/>
      <c r="B39" s="341"/>
      <c r="C39" s="166">
        <v>9</v>
      </c>
      <c r="D39" s="166" t="s">
        <v>316</v>
      </c>
      <c r="E39" s="166"/>
      <c r="F39" s="166" t="s">
        <v>317</v>
      </c>
      <c r="G39" s="170">
        <v>1000</v>
      </c>
      <c r="H39" s="117"/>
      <c r="I39" s="58">
        <f t="shared" si="0"/>
        <v>1000</v>
      </c>
      <c r="J39" s="166"/>
      <c r="K39" s="169"/>
      <c r="L39" s="182"/>
      <c r="M39" s="264"/>
      <c r="N39" s="11"/>
      <c r="O39" s="15"/>
      <c r="P39" s="15">
        <v>100000</v>
      </c>
      <c r="Q39" s="15"/>
      <c r="R39" s="248"/>
      <c r="S39" s="84" t="s">
        <v>318</v>
      </c>
    </row>
    <row r="40" spans="1:19" s="9" customFormat="1" ht="23.4" customHeight="1">
      <c r="A40" s="240">
        <v>20</v>
      </c>
      <c r="B40" s="339" t="s">
        <v>170</v>
      </c>
      <c r="C40" s="166">
        <v>16</v>
      </c>
      <c r="D40" s="166" t="s">
        <v>173</v>
      </c>
      <c r="E40" s="166"/>
      <c r="F40" s="166" t="s">
        <v>98</v>
      </c>
      <c r="G40" s="170"/>
      <c r="H40" s="117">
        <v>6600</v>
      </c>
      <c r="I40" s="58">
        <f t="shared" si="0"/>
        <v>134</v>
      </c>
      <c r="J40" s="166">
        <v>134</v>
      </c>
      <c r="K40" s="169"/>
      <c r="L40" s="182"/>
      <c r="M40" s="15"/>
      <c r="N40" s="262">
        <v>2400000</v>
      </c>
      <c r="O40" s="15"/>
      <c r="P40" s="15"/>
      <c r="Q40" s="15"/>
      <c r="R40" s="246">
        <f>SUM(M40:Q42)</f>
        <v>2460500</v>
      </c>
      <c r="S40" s="178"/>
    </row>
    <row r="41" spans="1:19" s="9" customFormat="1" ht="23.4" customHeight="1">
      <c r="A41" s="241"/>
      <c r="B41" s="340"/>
      <c r="C41" s="166" t="s">
        <v>243</v>
      </c>
      <c r="D41" s="166" t="s">
        <v>254</v>
      </c>
      <c r="E41" s="166"/>
      <c r="F41" s="166" t="s">
        <v>98</v>
      </c>
      <c r="G41" s="170"/>
      <c r="H41" s="117">
        <v>35680</v>
      </c>
      <c r="I41" s="58">
        <f t="shared" si="0"/>
        <v>892</v>
      </c>
      <c r="J41" s="166">
        <v>892</v>
      </c>
      <c r="K41" s="169"/>
      <c r="L41" s="182"/>
      <c r="M41" s="15"/>
      <c r="N41" s="263"/>
      <c r="O41" s="15"/>
      <c r="P41" s="15">
        <f>121*500</f>
        <v>60500</v>
      </c>
      <c r="Q41" s="15"/>
      <c r="R41" s="247"/>
      <c r="S41" s="84" t="s">
        <v>319</v>
      </c>
    </row>
    <row r="42" spans="1:19" s="9" customFormat="1" ht="23.4" customHeight="1">
      <c r="A42" s="242"/>
      <c r="B42" s="341"/>
      <c r="C42" s="166">
        <v>6</v>
      </c>
      <c r="D42" s="166" t="s">
        <v>320</v>
      </c>
      <c r="E42" s="166"/>
      <c r="F42" s="166" t="s">
        <v>122</v>
      </c>
      <c r="G42" s="170"/>
      <c r="H42" s="117">
        <v>28000</v>
      </c>
      <c r="I42" s="58">
        <f t="shared" si="0"/>
        <v>408</v>
      </c>
      <c r="J42" s="166">
        <v>408</v>
      </c>
      <c r="K42" s="169"/>
      <c r="L42" s="182"/>
      <c r="M42" s="15"/>
      <c r="N42" s="264"/>
      <c r="O42" s="15"/>
      <c r="P42" s="15"/>
      <c r="Q42" s="15"/>
      <c r="R42" s="248"/>
      <c r="S42" s="84"/>
    </row>
    <row r="43" spans="1:19" s="9" customFormat="1" ht="23.4" customHeight="1">
      <c r="A43" s="166">
        <v>21</v>
      </c>
      <c r="B43" s="177" t="s">
        <v>221</v>
      </c>
      <c r="C43" s="166">
        <v>25</v>
      </c>
      <c r="D43" s="166" t="s">
        <v>108</v>
      </c>
      <c r="E43" s="166"/>
      <c r="F43" s="166" t="s">
        <v>277</v>
      </c>
      <c r="G43" s="170">
        <v>3795</v>
      </c>
      <c r="H43" s="117"/>
      <c r="I43" s="58">
        <f t="shared" si="0"/>
        <v>3795</v>
      </c>
      <c r="J43" s="166"/>
      <c r="K43" s="169"/>
      <c r="L43" s="169">
        <v>3960</v>
      </c>
      <c r="M43" s="15">
        <v>800000</v>
      </c>
      <c r="N43" s="11"/>
      <c r="O43" s="15"/>
      <c r="P43" s="15"/>
      <c r="Q43" s="15"/>
      <c r="R43" s="16">
        <f>SUM(M43:Q43)</f>
        <v>800000</v>
      </c>
      <c r="S43" s="84"/>
    </row>
    <row r="44" spans="1:19" s="9" customFormat="1" ht="23.4" customHeight="1">
      <c r="A44" s="166">
        <v>22</v>
      </c>
      <c r="B44" s="177" t="s">
        <v>223</v>
      </c>
      <c r="C44" s="166">
        <v>10</v>
      </c>
      <c r="D44" s="166" t="s">
        <v>254</v>
      </c>
      <c r="E44" s="166"/>
      <c r="F44" s="166" t="s">
        <v>98</v>
      </c>
      <c r="G44" s="170"/>
      <c r="H44" s="117">
        <v>71040</v>
      </c>
      <c r="I44" s="58">
        <f t="shared" si="0"/>
        <v>1779</v>
      </c>
      <c r="J44" s="166">
        <v>1779</v>
      </c>
      <c r="K44" s="169"/>
      <c r="L44" s="169">
        <v>2090</v>
      </c>
      <c r="M44" s="15"/>
      <c r="N44" s="11">
        <v>2200000</v>
      </c>
      <c r="O44" s="15"/>
      <c r="P44" s="15"/>
      <c r="Q44" s="15"/>
      <c r="R44" s="16">
        <f t="shared" ref="R44:R51" si="3">SUM(M44:Q44)</f>
        <v>2200000</v>
      </c>
      <c r="S44" s="84"/>
    </row>
    <row r="45" spans="1:19" s="9" customFormat="1" ht="23.4" customHeight="1">
      <c r="A45" s="240">
        <v>23</v>
      </c>
      <c r="B45" s="339" t="s">
        <v>225</v>
      </c>
      <c r="C45" s="166">
        <v>32</v>
      </c>
      <c r="D45" s="166" t="s">
        <v>104</v>
      </c>
      <c r="E45" s="166"/>
      <c r="F45" s="166" t="s">
        <v>321</v>
      </c>
      <c r="G45" s="170">
        <v>4161</v>
      </c>
      <c r="H45" s="117"/>
      <c r="I45" s="58">
        <f t="shared" si="0"/>
        <v>4161</v>
      </c>
      <c r="J45" s="166"/>
      <c r="K45" s="271"/>
      <c r="L45" s="271">
        <v>7200</v>
      </c>
      <c r="M45" s="262">
        <v>2350000</v>
      </c>
      <c r="N45" s="11"/>
      <c r="O45" s="15"/>
      <c r="P45" s="15"/>
      <c r="Q45" s="15"/>
      <c r="R45" s="246">
        <f>SUM(M45:Q46)</f>
        <v>2350000</v>
      </c>
      <c r="S45" s="84"/>
    </row>
    <row r="46" spans="1:19" s="9" customFormat="1" ht="23.4" customHeight="1">
      <c r="A46" s="242"/>
      <c r="B46" s="341"/>
      <c r="C46" s="166">
        <v>6</v>
      </c>
      <c r="D46" s="166" t="s">
        <v>289</v>
      </c>
      <c r="E46" s="166"/>
      <c r="F46" s="166" t="s">
        <v>97</v>
      </c>
      <c r="G46" s="170">
        <v>2999</v>
      </c>
      <c r="H46" s="117"/>
      <c r="I46" s="58">
        <f t="shared" si="0"/>
        <v>2999</v>
      </c>
      <c r="J46" s="166"/>
      <c r="K46" s="273"/>
      <c r="L46" s="273"/>
      <c r="M46" s="264"/>
      <c r="N46" s="11"/>
      <c r="O46" s="15"/>
      <c r="P46" s="15"/>
      <c r="Q46" s="15"/>
      <c r="R46" s="248"/>
      <c r="S46" s="84"/>
    </row>
    <row r="47" spans="1:19" s="9" customFormat="1" ht="23.4" customHeight="1">
      <c r="A47" s="165">
        <v>24</v>
      </c>
      <c r="B47" s="102" t="s">
        <v>185</v>
      </c>
      <c r="C47" s="166">
        <v>1</v>
      </c>
      <c r="D47" s="166" t="s">
        <v>308</v>
      </c>
      <c r="E47" s="166"/>
      <c r="F47" s="166" t="s">
        <v>55</v>
      </c>
      <c r="G47" s="170"/>
      <c r="H47" s="117">
        <v>3600</v>
      </c>
      <c r="I47" s="58">
        <f t="shared" si="0"/>
        <v>428</v>
      </c>
      <c r="J47" s="166">
        <v>428</v>
      </c>
      <c r="K47" s="169"/>
      <c r="L47" s="169"/>
      <c r="M47" s="15"/>
      <c r="N47" s="11">
        <v>350000</v>
      </c>
      <c r="O47" s="15"/>
      <c r="P47" s="15"/>
      <c r="Q47" s="15"/>
      <c r="R47" s="16">
        <f t="shared" si="3"/>
        <v>350000</v>
      </c>
      <c r="S47" s="84" t="s">
        <v>322</v>
      </c>
    </row>
    <row r="48" spans="1:19" s="9" customFormat="1" ht="23.4" customHeight="1">
      <c r="A48" s="179">
        <v>25</v>
      </c>
      <c r="B48" s="102" t="s">
        <v>185</v>
      </c>
      <c r="C48" s="166">
        <v>4</v>
      </c>
      <c r="D48" s="166" t="s">
        <v>306</v>
      </c>
      <c r="E48" s="166"/>
      <c r="F48" s="166" t="s">
        <v>98</v>
      </c>
      <c r="G48" s="170"/>
      <c r="H48" s="117">
        <v>89282</v>
      </c>
      <c r="I48" s="58">
        <f t="shared" si="0"/>
        <v>2181</v>
      </c>
      <c r="J48" s="166">
        <v>2181</v>
      </c>
      <c r="K48" s="169"/>
      <c r="L48" s="169">
        <v>2500</v>
      </c>
      <c r="M48" s="15"/>
      <c r="N48" s="11">
        <v>2200000</v>
      </c>
      <c r="O48" s="15"/>
      <c r="P48" s="15">
        <f>125*500</f>
        <v>62500</v>
      </c>
      <c r="Q48" s="15"/>
      <c r="R48" s="16">
        <f t="shared" si="3"/>
        <v>2262500</v>
      </c>
      <c r="S48" s="84" t="s">
        <v>323</v>
      </c>
    </row>
    <row r="49" spans="1:20" s="9" customFormat="1" ht="23.4" customHeight="1">
      <c r="A49" s="240">
        <v>26</v>
      </c>
      <c r="B49" s="339" t="s">
        <v>186</v>
      </c>
      <c r="C49" s="166">
        <v>12</v>
      </c>
      <c r="D49" s="166" t="s">
        <v>93</v>
      </c>
      <c r="E49" s="166"/>
      <c r="F49" s="166" t="s">
        <v>78</v>
      </c>
      <c r="G49" s="170">
        <v>2038</v>
      </c>
      <c r="H49" s="117"/>
      <c r="I49" s="58">
        <f t="shared" si="0"/>
        <v>2038</v>
      </c>
      <c r="J49" s="166"/>
      <c r="K49" s="169"/>
      <c r="L49" s="169"/>
      <c r="M49" s="15">
        <v>500000</v>
      </c>
      <c r="N49" s="11"/>
      <c r="O49" s="15"/>
      <c r="P49" s="15"/>
      <c r="Q49" s="15"/>
      <c r="R49" s="246">
        <f>SUM(M49:Q50)</f>
        <v>1500000</v>
      </c>
      <c r="S49" s="178"/>
    </row>
    <row r="50" spans="1:20" s="9" customFormat="1" ht="23.4" customHeight="1">
      <c r="A50" s="242"/>
      <c r="B50" s="341"/>
      <c r="C50" s="166" t="s">
        <v>324</v>
      </c>
      <c r="D50" s="166" t="s">
        <v>274</v>
      </c>
      <c r="E50" s="166"/>
      <c r="F50" s="166" t="s">
        <v>78</v>
      </c>
      <c r="G50" s="170">
        <v>300</v>
      </c>
      <c r="H50" s="117">
        <f>46000+45600</f>
        <v>91600</v>
      </c>
      <c r="I50" s="58">
        <f t="shared" si="0"/>
        <v>2390</v>
      </c>
      <c r="J50" s="166">
        <f>1229+861</f>
        <v>2090</v>
      </c>
      <c r="K50" s="169"/>
      <c r="L50" s="169"/>
      <c r="M50" s="15"/>
      <c r="N50" s="11">
        <v>1000000</v>
      </c>
      <c r="O50" s="15"/>
      <c r="P50" s="15"/>
      <c r="Q50" s="15"/>
      <c r="R50" s="248"/>
      <c r="S50" s="178"/>
    </row>
    <row r="51" spans="1:20" s="9" customFormat="1" ht="23.4" customHeight="1">
      <c r="A51" s="166">
        <v>27</v>
      </c>
      <c r="B51" s="215" t="s">
        <v>228</v>
      </c>
      <c r="C51" s="166">
        <v>11</v>
      </c>
      <c r="D51" s="166" t="s">
        <v>94</v>
      </c>
      <c r="E51" s="166"/>
      <c r="F51" s="166" t="s">
        <v>325</v>
      </c>
      <c r="G51" s="170">
        <v>6690</v>
      </c>
      <c r="H51" s="117"/>
      <c r="I51" s="58">
        <f t="shared" si="0"/>
        <v>6690</v>
      </c>
      <c r="J51" s="166"/>
      <c r="K51" s="169"/>
      <c r="L51" s="169">
        <v>6900</v>
      </c>
      <c r="M51" s="15">
        <v>1850000</v>
      </c>
      <c r="N51" s="11"/>
      <c r="O51" s="15"/>
      <c r="P51" s="15"/>
      <c r="Q51" s="15"/>
      <c r="R51" s="16">
        <f t="shared" si="3"/>
        <v>1850000</v>
      </c>
      <c r="S51" s="178"/>
    </row>
    <row r="52" spans="1:20" s="9" customFormat="1" ht="23.4" customHeight="1">
      <c r="A52" s="240">
        <v>28</v>
      </c>
      <c r="B52" s="345" t="s">
        <v>190</v>
      </c>
      <c r="C52" s="179">
        <v>9</v>
      </c>
      <c r="D52" s="166" t="s">
        <v>254</v>
      </c>
      <c r="E52" s="166"/>
      <c r="F52" s="166" t="s">
        <v>98</v>
      </c>
      <c r="G52" s="170"/>
      <c r="H52" s="117">
        <v>66202</v>
      </c>
      <c r="I52" s="58">
        <f t="shared" si="0"/>
        <v>1606</v>
      </c>
      <c r="J52" s="166">
        <v>1606</v>
      </c>
      <c r="K52" s="179"/>
      <c r="L52" s="179"/>
      <c r="M52" s="15"/>
      <c r="N52" s="262">
        <v>2300000</v>
      </c>
      <c r="O52" s="15"/>
      <c r="P52" s="15"/>
      <c r="Q52" s="15"/>
      <c r="R52" s="246">
        <f>SUM(M52:Q53)</f>
        <v>2300000</v>
      </c>
      <c r="S52" s="59"/>
    </row>
    <row r="53" spans="1:20" s="9" customFormat="1" ht="23.4" customHeight="1">
      <c r="A53" s="242"/>
      <c r="B53" s="346"/>
      <c r="C53" s="166">
        <v>7</v>
      </c>
      <c r="D53" s="166" t="s">
        <v>326</v>
      </c>
      <c r="E53" s="166"/>
      <c r="F53" s="166" t="s">
        <v>83</v>
      </c>
      <c r="G53" s="170"/>
      <c r="H53" s="117">
        <v>14960</v>
      </c>
      <c r="I53" s="58">
        <f t="shared" si="0"/>
        <v>507</v>
      </c>
      <c r="J53" s="216">
        <v>507</v>
      </c>
      <c r="K53" s="179"/>
      <c r="L53" s="179"/>
      <c r="M53" s="15"/>
      <c r="N53" s="264"/>
      <c r="O53" s="15"/>
      <c r="P53" s="15"/>
      <c r="Q53" s="15"/>
      <c r="R53" s="248"/>
      <c r="S53" s="59"/>
    </row>
    <row r="54" spans="1:20" s="30" customFormat="1" ht="27" customHeight="1">
      <c r="A54" s="290" t="s">
        <v>22</v>
      </c>
      <c r="B54" s="290"/>
      <c r="C54" s="290"/>
      <c r="D54" s="290"/>
      <c r="E54" s="290"/>
      <c r="F54" s="290"/>
      <c r="G54" s="28">
        <f t="shared" ref="G54:R54" si="4">SUM(G8:G53)</f>
        <v>55779</v>
      </c>
      <c r="H54" s="28">
        <f t="shared" si="4"/>
        <v>1597364</v>
      </c>
      <c r="I54" s="28"/>
      <c r="J54" s="28">
        <f>SUM(J8:J53)</f>
        <v>33158</v>
      </c>
      <c r="K54" s="28">
        <f t="shared" si="4"/>
        <v>3595</v>
      </c>
      <c r="L54" s="28">
        <f t="shared" si="4"/>
        <v>52490</v>
      </c>
      <c r="M54" s="28">
        <f t="shared" si="4"/>
        <v>16000000</v>
      </c>
      <c r="N54" s="28">
        <f t="shared" si="4"/>
        <v>30200000</v>
      </c>
      <c r="O54" s="28">
        <f t="shared" si="4"/>
        <v>100000</v>
      </c>
      <c r="P54" s="28">
        <f t="shared" si="4"/>
        <v>468500</v>
      </c>
      <c r="Q54" s="28">
        <f t="shared" si="4"/>
        <v>1500700</v>
      </c>
      <c r="R54" s="28">
        <f t="shared" si="4"/>
        <v>48269200</v>
      </c>
      <c r="S54" s="149"/>
      <c r="T54" s="30">
        <f>SUM(T8:T53)</f>
        <v>0</v>
      </c>
    </row>
    <row r="55" spans="1:20" s="30" customFormat="1" ht="26.4" customHeight="1">
      <c r="A55" s="289" t="s">
        <v>23</v>
      </c>
      <c r="B55" s="289"/>
      <c r="C55" s="289"/>
      <c r="D55" s="289"/>
      <c r="E55" s="289"/>
      <c r="F55" s="289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>
        <f>8%*R54</f>
        <v>3861536</v>
      </c>
      <c r="S55" s="91"/>
      <c r="T55" s="173"/>
    </row>
    <row r="56" spans="1:20" s="30" customFormat="1" ht="21" customHeight="1">
      <c r="A56" s="289" t="s">
        <v>24</v>
      </c>
      <c r="B56" s="289"/>
      <c r="C56" s="289"/>
      <c r="D56" s="289"/>
      <c r="E56" s="289"/>
      <c r="F56" s="289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>
        <f>R55+R54</f>
        <v>52130736</v>
      </c>
      <c r="S56" s="92"/>
    </row>
    <row r="57" spans="1:20" s="30" customFormat="1" ht="28.95" customHeight="1">
      <c r="A57" s="68"/>
      <c r="B57" s="150"/>
      <c r="C57" s="33"/>
      <c r="D57" s="33"/>
      <c r="E57" s="33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60"/>
      <c r="T57" s="36"/>
    </row>
    <row r="58" spans="1:20" s="30" customFormat="1" ht="24.6" customHeight="1">
      <c r="A58" s="279" t="s">
        <v>25</v>
      </c>
      <c r="B58" s="279"/>
      <c r="C58" s="279"/>
      <c r="D58" s="279"/>
      <c r="E58" s="279"/>
      <c r="F58" s="279"/>
      <c r="G58" s="37">
        <f>G54</f>
        <v>55779</v>
      </c>
      <c r="H58" s="37"/>
      <c r="I58" s="37"/>
      <c r="J58" s="37"/>
      <c r="K58" s="37"/>
      <c r="L58" s="38">
        <f>G54+K54</f>
        <v>59374</v>
      </c>
      <c r="M58" s="37"/>
      <c r="N58" s="37"/>
      <c r="O58" s="37"/>
      <c r="P58" s="37"/>
      <c r="Q58" s="37"/>
      <c r="R58" s="37">
        <f>M54+O54</f>
        <v>16100000</v>
      </c>
      <c r="S58" s="95">
        <f>R58/G58</f>
        <v>288.63909356567882</v>
      </c>
      <c r="T58" s="40"/>
    </row>
    <row r="59" spans="1:20" s="30" customFormat="1" ht="24.6" customHeight="1">
      <c r="A59" s="279" t="s">
        <v>26</v>
      </c>
      <c r="B59" s="279"/>
      <c r="C59" s="279"/>
      <c r="D59" s="279"/>
      <c r="E59" s="279"/>
      <c r="F59" s="279"/>
      <c r="G59" s="37"/>
      <c r="H59" s="37"/>
      <c r="I59" s="37"/>
      <c r="J59" s="37">
        <f>J54</f>
        <v>33158</v>
      </c>
      <c r="K59" s="37">
        <f>K54</f>
        <v>3595</v>
      </c>
      <c r="L59" s="37"/>
      <c r="M59" s="37"/>
      <c r="N59" s="37"/>
      <c r="O59" s="37"/>
      <c r="P59" s="37"/>
      <c r="Q59" s="37"/>
      <c r="R59" s="37">
        <f>N54+P54</f>
        <v>30668500</v>
      </c>
      <c r="S59" s="95">
        <f>R59/J59</f>
        <v>924.92007961879483</v>
      </c>
      <c r="T59" s="40"/>
    </row>
    <row r="60" spans="1:20" s="30" customFormat="1" ht="24.6" customHeight="1">
      <c r="A60" s="279" t="s">
        <v>27</v>
      </c>
      <c r="B60" s="279"/>
      <c r="C60" s="279"/>
      <c r="D60" s="279"/>
      <c r="E60" s="279"/>
      <c r="F60" s="279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>
        <f>K54</f>
        <v>3595</v>
      </c>
      <c r="R60" s="37">
        <f>Q54</f>
        <v>1500700</v>
      </c>
      <c r="S60" s="95">
        <f>R60/Q60</f>
        <v>417.44089012517384</v>
      </c>
      <c r="T60" s="40">
        <f>R58+R59+R60</f>
        <v>48269200</v>
      </c>
    </row>
    <row r="61" spans="1:20">
      <c r="B61" s="151"/>
      <c r="C61" s="3" t="s">
        <v>29</v>
      </c>
      <c r="D61" s="42"/>
      <c r="E61" s="43"/>
      <c r="F61" s="43"/>
      <c r="G61" s="44" t="s">
        <v>80</v>
      </c>
      <c r="H61" s="45"/>
      <c r="I61" s="45"/>
      <c r="J61" s="45"/>
      <c r="K61" s="45"/>
      <c r="L61" s="46"/>
      <c r="M61" s="1"/>
      <c r="N61" s="1"/>
      <c r="O61" s="1"/>
      <c r="P61" s="1"/>
      <c r="Q61" s="1"/>
      <c r="R61" s="42" t="s">
        <v>30</v>
      </c>
    </row>
    <row r="62" spans="1:20" ht="18" customHeight="1">
      <c r="B62" s="151"/>
      <c r="D62" s="42"/>
      <c r="E62" s="47"/>
      <c r="F62" s="47"/>
      <c r="G62" s="48"/>
      <c r="H62" s="41"/>
      <c r="I62" s="41"/>
      <c r="J62" s="42"/>
      <c r="K62" s="42"/>
      <c r="L62" s="42"/>
    </row>
    <row r="63" spans="1:20" s="8" customFormat="1" ht="18" customHeight="1">
      <c r="A63" s="1"/>
      <c r="B63" s="151"/>
      <c r="C63" s="3"/>
      <c r="D63" s="3"/>
      <c r="E63" s="3"/>
      <c r="F63" s="3"/>
      <c r="G63" s="49"/>
      <c r="S63" s="3"/>
    </row>
    <row r="64" spans="1:20">
      <c r="B64" s="151"/>
      <c r="E64" s="47"/>
      <c r="F64" s="47"/>
      <c r="G64" s="48"/>
      <c r="H64" s="41"/>
      <c r="I64" s="41"/>
      <c r="J64" s="42"/>
      <c r="K64" s="42"/>
      <c r="L64" s="42"/>
    </row>
    <row r="65" spans="3:19">
      <c r="H65" s="53"/>
      <c r="I65" s="53"/>
      <c r="R65" s="1"/>
    </row>
    <row r="66" spans="3:19">
      <c r="C66" s="55"/>
      <c r="G66" s="44" t="str">
        <f>'[1]A VIEN'!G55</f>
        <v>Đặng Thị Mỹ Tin</v>
      </c>
      <c r="H66" s="53"/>
      <c r="I66" s="53"/>
      <c r="R66" s="56" t="s">
        <v>47</v>
      </c>
    </row>
    <row r="69" spans="3:19">
      <c r="M69" s="7">
        <f>M54+'[1]A TRON'!L47+'[1]CHU HOANG'!L65+'[1]A TU'!K43</f>
        <v>59142200</v>
      </c>
      <c r="O69" s="7">
        <f>O54+'[1]A TRON'!N47+'[1]CHU HOANG'!N65+'[1]A TU'!O43</f>
        <v>930000</v>
      </c>
      <c r="Q69" s="7">
        <f>Q54+'[1]A TRON'!P47+'[1]CHU HOANG'!P65</f>
        <v>3100700</v>
      </c>
      <c r="R69" s="7">
        <f>R54+'[1]A TRON'!Q47+'[1]CHU HOANG'!Q65+'[1]A TU'!P43</f>
        <v>162711400</v>
      </c>
      <c r="S69" s="61"/>
    </row>
    <row r="70" spans="3:19">
      <c r="M70" s="7">
        <f>M69+O70</f>
        <v>62012200</v>
      </c>
      <c r="O70" s="7">
        <v>2870000</v>
      </c>
    </row>
  </sheetData>
  <mergeCells count="81">
    <mergeCell ref="A60:F60"/>
    <mergeCell ref="A54:F54"/>
    <mergeCell ref="A55:F55"/>
    <mergeCell ref="A56:F56"/>
    <mergeCell ref="A58:F58"/>
    <mergeCell ref="A59:F59"/>
    <mergeCell ref="R45:R46"/>
    <mergeCell ref="R49:R50"/>
    <mergeCell ref="A52:A53"/>
    <mergeCell ref="B52:B53"/>
    <mergeCell ref="N52:N53"/>
    <mergeCell ref="R52:R53"/>
    <mergeCell ref="A49:A50"/>
    <mergeCell ref="B49:B50"/>
    <mergeCell ref="A45:A46"/>
    <mergeCell ref="B45:B46"/>
    <mergeCell ref="K45:K46"/>
    <mergeCell ref="L45:L46"/>
    <mergeCell ref="M45:M46"/>
    <mergeCell ref="A32:A33"/>
    <mergeCell ref="B32:B33"/>
    <mergeCell ref="R32:R33"/>
    <mergeCell ref="A36:A37"/>
    <mergeCell ref="B36:B37"/>
    <mergeCell ref="L36:L37"/>
    <mergeCell ref="N36:N37"/>
    <mergeCell ref="R36:R37"/>
    <mergeCell ref="R16:R17"/>
    <mergeCell ref="A24:A26"/>
    <mergeCell ref="B24:B26"/>
    <mergeCell ref="M24:M25"/>
    <mergeCell ref="R24:R26"/>
    <mergeCell ref="A16:A17"/>
    <mergeCell ref="B16:B17"/>
    <mergeCell ref="L16:L17"/>
    <mergeCell ref="N16:N17"/>
    <mergeCell ref="R10:R12"/>
    <mergeCell ref="A13:A15"/>
    <mergeCell ref="B13:B15"/>
    <mergeCell ref="L13:L15"/>
    <mergeCell ref="N13:N14"/>
    <mergeCell ref="R13:R15"/>
    <mergeCell ref="A10:A12"/>
    <mergeCell ref="B10:B12"/>
    <mergeCell ref="M10:M12"/>
    <mergeCell ref="A38:A39"/>
    <mergeCell ref="B38:B39"/>
    <mergeCell ref="M38:M39"/>
    <mergeCell ref="R38:R39"/>
    <mergeCell ref="A40:A42"/>
    <mergeCell ref="B40:B42"/>
    <mergeCell ref="N40:N42"/>
    <mergeCell ref="R40:R42"/>
    <mergeCell ref="A29:A31"/>
    <mergeCell ref="B29:B31"/>
    <mergeCell ref="L29:L31"/>
    <mergeCell ref="N29:N31"/>
    <mergeCell ref="R29:R31"/>
    <mergeCell ref="A8:A9"/>
    <mergeCell ref="B8:B9"/>
    <mergeCell ref="R8:R9"/>
    <mergeCell ref="A1:S1"/>
    <mergeCell ref="A2:S2"/>
    <mergeCell ref="A3:S3"/>
    <mergeCell ref="A4:C4"/>
    <mergeCell ref="A5:A7"/>
    <mergeCell ref="B5:B7"/>
    <mergeCell ref="C5:C7"/>
    <mergeCell ref="D5:D7"/>
    <mergeCell ref="E5:F5"/>
    <mergeCell ref="G5:K5"/>
    <mergeCell ref="L5:L7"/>
    <mergeCell ref="M5:N6"/>
    <mergeCell ref="O5:P6"/>
    <mergeCell ref="S5:S7"/>
    <mergeCell ref="N8:N9"/>
    <mergeCell ref="E6:E7"/>
    <mergeCell ref="F6:F7"/>
    <mergeCell ref="H6:J6"/>
    <mergeCell ref="Q5:Q7"/>
    <mergeCell ref="R5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3"/>
  <sheetViews>
    <sheetView topLeftCell="B22" zoomScale="90" zoomScaleNormal="90" workbookViewId="0">
      <selection activeCell="B32" sqref="B32"/>
    </sheetView>
  </sheetViews>
  <sheetFormatPr defaultColWidth="9.109375" defaultRowHeight="13.8"/>
  <cols>
    <col min="1" max="1" width="7.33203125" style="1" hidden="1" customWidth="1"/>
    <col min="2" max="2" width="14.109375" style="50" customWidth="1"/>
    <col min="3" max="3" width="14.33203125" style="3" hidden="1" customWidth="1"/>
    <col min="4" max="4" width="19" style="3" hidden="1" customWidth="1"/>
    <col min="5" max="5" width="17" style="51" hidden="1" customWidth="1"/>
    <col min="6" max="6" width="15.88671875" style="52" bestFit="1" customWidth="1"/>
    <col min="7" max="7" width="12.6640625" style="45" hidden="1" customWidth="1"/>
    <col min="8" max="8" width="14.33203125" style="57" hidden="1" customWidth="1"/>
    <col min="9" max="9" width="14.33203125" style="57" customWidth="1"/>
    <col min="10" max="11" width="12.109375" style="54" hidden="1" customWidth="1"/>
    <col min="12" max="12" width="13.88671875" style="7" hidden="1" customWidth="1"/>
    <col min="13" max="13" width="16" style="7" hidden="1" customWidth="1"/>
    <col min="14" max="17" width="14.5546875" style="7" hidden="1" customWidth="1"/>
    <col min="18" max="18" width="18.33203125" style="7" customWidth="1"/>
    <col min="19" max="19" width="37.6640625" style="8" hidden="1" customWidth="1"/>
    <col min="20" max="20" width="18.44140625" style="1" customWidth="1"/>
    <col min="21" max="16384" width="9.109375" style="1"/>
  </cols>
  <sheetData>
    <row r="1" spans="1:19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</row>
    <row r="2" spans="1:19" ht="13.5" customHeight="1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</row>
    <row r="3" spans="1:19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</row>
    <row r="4" spans="1:19">
      <c r="A4" s="322" t="s">
        <v>1</v>
      </c>
      <c r="B4" s="322"/>
      <c r="C4" s="322"/>
      <c r="D4" s="2"/>
      <c r="E4" s="3"/>
      <c r="F4" s="3"/>
      <c r="G4" s="4"/>
      <c r="H4" s="5"/>
      <c r="I4" s="5"/>
      <c r="J4" s="6"/>
      <c r="K4" s="6"/>
    </row>
    <row r="5" spans="1:19" s="9" customFormat="1" ht="29.25" customHeight="1">
      <c r="A5" s="239" t="s">
        <v>2</v>
      </c>
      <c r="B5" s="239" t="s">
        <v>3</v>
      </c>
      <c r="C5" s="239" t="s">
        <v>4</v>
      </c>
      <c r="D5" s="239" t="s">
        <v>5</v>
      </c>
      <c r="E5" s="239" t="s">
        <v>6</v>
      </c>
      <c r="F5" s="239"/>
      <c r="G5" s="296" t="s">
        <v>7</v>
      </c>
      <c r="H5" s="301"/>
      <c r="I5" s="301"/>
      <c r="J5" s="301"/>
      <c r="K5" s="297"/>
      <c r="L5" s="254" t="s">
        <v>8</v>
      </c>
      <c r="M5" s="255" t="s">
        <v>9</v>
      </c>
      <c r="N5" s="256"/>
      <c r="O5" s="235" t="s">
        <v>10</v>
      </c>
      <c r="P5" s="235"/>
      <c r="Q5" s="236" t="s">
        <v>11</v>
      </c>
      <c r="R5" s="235" t="s">
        <v>12</v>
      </c>
      <c r="S5" s="347" t="s">
        <v>13</v>
      </c>
    </row>
    <row r="6" spans="1:19" s="9" customFormat="1" ht="23.25" customHeight="1">
      <c r="A6" s="239"/>
      <c r="B6" s="239"/>
      <c r="C6" s="239"/>
      <c r="D6" s="239"/>
      <c r="E6" s="239" t="s">
        <v>14</v>
      </c>
      <c r="F6" s="239" t="s">
        <v>15</v>
      </c>
      <c r="G6" s="176" t="s">
        <v>16</v>
      </c>
      <c r="H6" s="253" t="s">
        <v>17</v>
      </c>
      <c r="I6" s="253"/>
      <c r="J6" s="253"/>
      <c r="K6" s="175" t="s">
        <v>18</v>
      </c>
      <c r="L6" s="254"/>
      <c r="M6" s="257"/>
      <c r="N6" s="258"/>
      <c r="O6" s="235"/>
      <c r="P6" s="235"/>
      <c r="Q6" s="237"/>
      <c r="R6" s="235"/>
      <c r="S6" s="347"/>
    </row>
    <row r="7" spans="1:19" s="9" customFormat="1" ht="22.5" customHeight="1">
      <c r="A7" s="239"/>
      <c r="B7" s="239"/>
      <c r="C7" s="239"/>
      <c r="D7" s="239"/>
      <c r="E7" s="239"/>
      <c r="F7" s="239"/>
      <c r="G7" s="176" t="s">
        <v>19</v>
      </c>
      <c r="H7" s="174" t="s">
        <v>20</v>
      </c>
      <c r="I7" s="186"/>
      <c r="J7" s="175" t="s">
        <v>19</v>
      </c>
      <c r="K7" s="175" t="s">
        <v>19</v>
      </c>
      <c r="L7" s="254"/>
      <c r="M7" s="176" t="s">
        <v>16</v>
      </c>
      <c r="N7" s="10" t="s">
        <v>17</v>
      </c>
      <c r="O7" s="176" t="s">
        <v>16</v>
      </c>
      <c r="P7" s="129" t="s">
        <v>17</v>
      </c>
      <c r="Q7" s="237"/>
      <c r="R7" s="235"/>
      <c r="S7" s="347"/>
    </row>
    <row r="8" spans="1:19" s="147" customFormat="1" ht="25.8" customHeight="1">
      <c r="A8" s="179">
        <v>1</v>
      </c>
      <c r="B8" s="66" t="s">
        <v>119</v>
      </c>
      <c r="C8" s="166">
        <v>27</v>
      </c>
      <c r="D8" s="166" t="s">
        <v>297</v>
      </c>
      <c r="E8" s="166"/>
      <c r="F8" s="166" t="s">
        <v>130</v>
      </c>
      <c r="G8" s="170">
        <v>3100</v>
      </c>
      <c r="H8" s="170"/>
      <c r="I8" s="187">
        <f>SUM(G8,J8,K8)</f>
        <v>3100</v>
      </c>
      <c r="J8" s="170"/>
      <c r="K8" s="169"/>
      <c r="L8" s="169"/>
      <c r="M8" s="14">
        <v>1300000</v>
      </c>
      <c r="N8" s="14"/>
      <c r="O8" s="15"/>
      <c r="P8" s="15"/>
      <c r="Q8" s="15"/>
      <c r="R8" s="16">
        <f>SUM(M8:Q8)</f>
        <v>1300000</v>
      </c>
      <c r="S8" s="65"/>
    </row>
    <row r="9" spans="1:19" s="147" customFormat="1" ht="25.8" customHeight="1">
      <c r="A9" s="179">
        <v>2</v>
      </c>
      <c r="B9" s="66" t="s">
        <v>125</v>
      </c>
      <c r="C9" s="166">
        <v>1</v>
      </c>
      <c r="D9" s="166" t="s">
        <v>111</v>
      </c>
      <c r="E9" s="166"/>
      <c r="F9" s="166" t="s">
        <v>327</v>
      </c>
      <c r="G9" s="170"/>
      <c r="H9" s="58">
        <v>7200</v>
      </c>
      <c r="I9" s="187">
        <f t="shared" ref="I9:I46" si="0">SUM(G9,J9,K9)</f>
        <v>856</v>
      </c>
      <c r="J9" s="170">
        <v>856</v>
      </c>
      <c r="K9" s="166"/>
      <c r="L9" s="166"/>
      <c r="M9" s="14"/>
      <c r="N9" s="14">
        <v>450000</v>
      </c>
      <c r="O9" s="15"/>
      <c r="P9" s="15"/>
      <c r="Q9" s="15"/>
      <c r="R9" s="16">
        <f t="shared" ref="R9:R46" si="1">SUM(M9:Q9)</f>
        <v>450000</v>
      </c>
      <c r="S9" s="17" t="s">
        <v>113</v>
      </c>
    </row>
    <row r="10" spans="1:19" s="147" customFormat="1" ht="25.8" customHeight="1">
      <c r="A10" s="179">
        <v>3</v>
      </c>
      <c r="B10" s="66" t="s">
        <v>125</v>
      </c>
      <c r="C10" s="166">
        <v>2</v>
      </c>
      <c r="D10" s="166" t="s">
        <v>328</v>
      </c>
      <c r="E10" s="166"/>
      <c r="F10" s="166" t="s">
        <v>106</v>
      </c>
      <c r="G10" s="170">
        <v>9000</v>
      </c>
      <c r="H10" s="170"/>
      <c r="I10" s="187">
        <f t="shared" si="0"/>
        <v>9000</v>
      </c>
      <c r="J10" s="170"/>
      <c r="K10" s="166"/>
      <c r="L10" s="166">
        <v>9270</v>
      </c>
      <c r="M10" s="18">
        <v>1150000</v>
      </c>
      <c r="N10" s="14"/>
      <c r="O10" s="15"/>
      <c r="P10" s="15"/>
      <c r="Q10" s="15"/>
      <c r="R10" s="16">
        <f t="shared" si="1"/>
        <v>1150000</v>
      </c>
      <c r="S10" s="87"/>
    </row>
    <row r="11" spans="1:19" s="147" customFormat="1" ht="25.8" customHeight="1">
      <c r="A11" s="179">
        <v>4</v>
      </c>
      <c r="B11" s="66" t="s">
        <v>129</v>
      </c>
      <c r="C11" s="166" t="s">
        <v>329</v>
      </c>
      <c r="D11" s="166" t="s">
        <v>328</v>
      </c>
      <c r="E11" s="166"/>
      <c r="F11" s="166" t="s">
        <v>106</v>
      </c>
      <c r="G11" s="170">
        <v>8985</v>
      </c>
      <c r="H11" s="58"/>
      <c r="I11" s="187">
        <f t="shared" si="0"/>
        <v>8985</v>
      </c>
      <c r="J11" s="170"/>
      <c r="K11" s="166"/>
      <c r="L11" s="166">
        <v>8900</v>
      </c>
      <c r="M11" s="18">
        <v>1100000</v>
      </c>
      <c r="N11" s="11"/>
      <c r="O11" s="15"/>
      <c r="P11" s="15"/>
      <c r="Q11" s="19"/>
      <c r="R11" s="16">
        <f t="shared" si="1"/>
        <v>1100000</v>
      </c>
      <c r="S11" s="17"/>
    </row>
    <row r="12" spans="1:19" s="147" customFormat="1" ht="25.8" customHeight="1">
      <c r="A12" s="179">
        <v>5</v>
      </c>
      <c r="B12" s="66" t="s">
        <v>133</v>
      </c>
      <c r="C12" s="166">
        <v>9</v>
      </c>
      <c r="D12" s="166" t="s">
        <v>288</v>
      </c>
      <c r="E12" s="166"/>
      <c r="F12" s="166" t="s">
        <v>277</v>
      </c>
      <c r="G12" s="170"/>
      <c r="H12" s="58">
        <v>194400</v>
      </c>
      <c r="I12" s="187">
        <f t="shared" si="0"/>
        <v>2664</v>
      </c>
      <c r="J12" s="170">
        <v>2664</v>
      </c>
      <c r="K12" s="166"/>
      <c r="L12" s="166">
        <v>2920</v>
      </c>
      <c r="M12" s="18"/>
      <c r="N12" s="14">
        <v>950000</v>
      </c>
      <c r="O12" s="15"/>
      <c r="P12" s="15"/>
      <c r="Q12" s="15"/>
      <c r="R12" s="16">
        <f t="shared" si="1"/>
        <v>950000</v>
      </c>
      <c r="S12" s="87"/>
    </row>
    <row r="13" spans="1:19" s="147" customFormat="1" ht="25.8" customHeight="1">
      <c r="A13" s="179">
        <v>6</v>
      </c>
      <c r="B13" s="66" t="s">
        <v>133</v>
      </c>
      <c r="C13" s="166" t="s">
        <v>330</v>
      </c>
      <c r="D13" s="166" t="s">
        <v>328</v>
      </c>
      <c r="E13" s="166"/>
      <c r="F13" s="166" t="s">
        <v>106</v>
      </c>
      <c r="G13" s="170">
        <v>9000</v>
      </c>
      <c r="H13" s="58"/>
      <c r="I13" s="187">
        <f t="shared" si="0"/>
        <v>9000</v>
      </c>
      <c r="J13" s="170"/>
      <c r="K13" s="166"/>
      <c r="L13" s="166">
        <v>9240</v>
      </c>
      <c r="M13" s="24">
        <v>1150000</v>
      </c>
      <c r="N13" s="14"/>
      <c r="O13" s="15"/>
      <c r="P13" s="15"/>
      <c r="Q13" s="19"/>
      <c r="R13" s="16">
        <f t="shared" si="1"/>
        <v>1150000</v>
      </c>
      <c r="S13" s="153"/>
    </row>
    <row r="14" spans="1:19" s="147" customFormat="1" ht="25.8" customHeight="1">
      <c r="A14" s="179">
        <v>7</v>
      </c>
      <c r="B14" s="66" t="s">
        <v>135</v>
      </c>
      <c r="C14" s="166">
        <v>16</v>
      </c>
      <c r="D14" s="166" t="s">
        <v>328</v>
      </c>
      <c r="E14" s="166"/>
      <c r="F14" s="166" t="s">
        <v>106</v>
      </c>
      <c r="G14" s="170">
        <v>9000</v>
      </c>
      <c r="H14" s="58"/>
      <c r="I14" s="187">
        <f t="shared" si="0"/>
        <v>9000</v>
      </c>
      <c r="J14" s="170"/>
      <c r="K14" s="166"/>
      <c r="L14" s="166">
        <v>9280</v>
      </c>
      <c r="M14" s="24">
        <v>1150000</v>
      </c>
      <c r="N14" s="14"/>
      <c r="O14" s="15"/>
      <c r="P14" s="15"/>
      <c r="Q14" s="19"/>
      <c r="R14" s="16">
        <f t="shared" si="1"/>
        <v>1150000</v>
      </c>
      <c r="S14" s="17"/>
    </row>
    <row r="15" spans="1:19" s="147" customFormat="1" ht="25.8" customHeight="1">
      <c r="A15" s="179">
        <v>8</v>
      </c>
      <c r="B15" s="66" t="s">
        <v>135</v>
      </c>
      <c r="C15" s="166">
        <v>28</v>
      </c>
      <c r="D15" s="166" t="s">
        <v>331</v>
      </c>
      <c r="E15" s="166"/>
      <c r="F15" s="166" t="s">
        <v>325</v>
      </c>
      <c r="G15" s="170">
        <v>8400</v>
      </c>
      <c r="H15" s="58"/>
      <c r="I15" s="187">
        <f t="shared" si="0"/>
        <v>8400</v>
      </c>
      <c r="J15" s="170"/>
      <c r="K15" s="166"/>
      <c r="L15" s="166"/>
      <c r="M15" s="24">
        <v>2150000</v>
      </c>
      <c r="N15" s="15"/>
      <c r="O15" s="15"/>
      <c r="P15" s="15"/>
      <c r="Q15" s="15"/>
      <c r="R15" s="16">
        <f t="shared" si="1"/>
        <v>2150000</v>
      </c>
      <c r="S15" s="17"/>
    </row>
    <row r="16" spans="1:19" s="154" customFormat="1" ht="25.8" customHeight="1">
      <c r="A16" s="179">
        <v>9</v>
      </c>
      <c r="B16" s="66" t="s">
        <v>137</v>
      </c>
      <c r="C16" s="166">
        <v>19</v>
      </c>
      <c r="D16" s="166" t="s">
        <v>44</v>
      </c>
      <c r="E16" s="166"/>
      <c r="F16" s="166" t="s">
        <v>277</v>
      </c>
      <c r="G16" s="170">
        <v>9600</v>
      </c>
      <c r="H16" s="58"/>
      <c r="I16" s="187">
        <f t="shared" si="0"/>
        <v>9600</v>
      </c>
      <c r="J16" s="170"/>
      <c r="K16" s="166"/>
      <c r="L16" s="166">
        <v>10080</v>
      </c>
      <c r="M16" s="103">
        <v>1000000</v>
      </c>
      <c r="N16" s="103"/>
      <c r="O16" s="105"/>
      <c r="P16" s="105"/>
      <c r="Q16" s="109"/>
      <c r="R16" s="16">
        <f t="shared" si="1"/>
        <v>1000000</v>
      </c>
      <c r="S16" s="145"/>
    </row>
    <row r="17" spans="1:19" s="154" customFormat="1" ht="25.8" customHeight="1">
      <c r="A17" s="102">
        <v>10</v>
      </c>
      <c r="B17" s="66" t="s">
        <v>137</v>
      </c>
      <c r="C17" s="166">
        <v>15</v>
      </c>
      <c r="D17" s="166" t="s">
        <v>44</v>
      </c>
      <c r="E17" s="166"/>
      <c r="F17" s="166" t="s">
        <v>277</v>
      </c>
      <c r="G17" s="170">
        <v>9355</v>
      </c>
      <c r="H17" s="58"/>
      <c r="I17" s="187">
        <f t="shared" si="0"/>
        <v>9355</v>
      </c>
      <c r="J17" s="170"/>
      <c r="K17" s="166"/>
      <c r="L17" s="166">
        <v>9800</v>
      </c>
      <c r="M17" s="103">
        <v>1000000</v>
      </c>
      <c r="N17" s="103"/>
      <c r="O17" s="105"/>
      <c r="P17" s="105"/>
      <c r="Q17" s="109"/>
      <c r="R17" s="16">
        <f t="shared" si="1"/>
        <v>1000000</v>
      </c>
      <c r="S17" s="72"/>
    </row>
    <row r="18" spans="1:19" s="156" customFormat="1" ht="25.8" customHeight="1">
      <c r="A18" s="102">
        <v>11</v>
      </c>
      <c r="B18" s="66" t="s">
        <v>137</v>
      </c>
      <c r="C18" s="166">
        <v>41</v>
      </c>
      <c r="D18" s="166" t="s">
        <v>44</v>
      </c>
      <c r="E18" s="166"/>
      <c r="F18" s="166" t="s">
        <v>277</v>
      </c>
      <c r="G18" s="170">
        <v>9000</v>
      </c>
      <c r="H18" s="58"/>
      <c r="I18" s="187">
        <f t="shared" si="0"/>
        <v>9000</v>
      </c>
      <c r="J18" s="170"/>
      <c r="K18" s="166"/>
      <c r="L18" s="166"/>
      <c r="M18" s="103">
        <v>1000000</v>
      </c>
      <c r="N18" s="116"/>
      <c r="O18" s="103"/>
      <c r="P18" s="103"/>
      <c r="Q18" s="105"/>
      <c r="R18" s="16">
        <f t="shared" si="1"/>
        <v>1000000</v>
      </c>
      <c r="S18" s="155"/>
    </row>
    <row r="19" spans="1:19" s="147" customFormat="1" ht="25.8" customHeight="1">
      <c r="A19" s="179">
        <v>12</v>
      </c>
      <c r="B19" s="66" t="s">
        <v>202</v>
      </c>
      <c r="C19" s="166">
        <v>11</v>
      </c>
      <c r="D19" s="166" t="s">
        <v>328</v>
      </c>
      <c r="E19" s="166"/>
      <c r="F19" s="166" t="s">
        <v>106</v>
      </c>
      <c r="G19" s="170">
        <v>9000</v>
      </c>
      <c r="H19" s="58"/>
      <c r="I19" s="187">
        <f t="shared" si="0"/>
        <v>9000</v>
      </c>
      <c r="J19" s="170"/>
      <c r="K19" s="166"/>
      <c r="L19" s="166"/>
      <c r="M19" s="14">
        <v>1150000</v>
      </c>
      <c r="N19" s="14"/>
      <c r="O19" s="15"/>
      <c r="P19" s="15"/>
      <c r="Q19" s="19"/>
      <c r="R19" s="16">
        <f t="shared" si="1"/>
        <v>1150000</v>
      </c>
      <c r="S19" s="87"/>
    </row>
    <row r="20" spans="1:19" s="147" customFormat="1" ht="25.8" customHeight="1">
      <c r="A20" s="179">
        <v>13</v>
      </c>
      <c r="B20" s="66" t="s">
        <v>142</v>
      </c>
      <c r="C20" s="166">
        <v>29</v>
      </c>
      <c r="D20" s="166" t="s">
        <v>332</v>
      </c>
      <c r="E20" s="166"/>
      <c r="F20" s="166" t="s">
        <v>53</v>
      </c>
      <c r="G20" s="170"/>
      <c r="H20" s="58">
        <v>36000</v>
      </c>
      <c r="I20" s="187">
        <f t="shared" si="0"/>
        <v>2327</v>
      </c>
      <c r="J20" s="170">
        <v>2327</v>
      </c>
      <c r="K20" s="166"/>
      <c r="L20" s="166"/>
      <c r="M20" s="24"/>
      <c r="N20" s="14">
        <v>900000</v>
      </c>
      <c r="O20" s="15"/>
      <c r="P20" s="15"/>
      <c r="Q20" s="15"/>
      <c r="R20" s="16">
        <f t="shared" si="1"/>
        <v>900000</v>
      </c>
      <c r="S20" s="17"/>
    </row>
    <row r="21" spans="1:19" s="147" customFormat="1" ht="25.8" customHeight="1">
      <c r="A21" s="219">
        <v>14</v>
      </c>
      <c r="B21" s="220" t="s">
        <v>142</v>
      </c>
      <c r="C21" s="221"/>
      <c r="D21" s="221" t="s">
        <v>333</v>
      </c>
      <c r="E21" s="221"/>
      <c r="F21" s="221" t="s">
        <v>54</v>
      </c>
      <c r="G21" s="222"/>
      <c r="H21" s="223"/>
      <c r="I21" s="187">
        <f t="shared" si="0"/>
        <v>7214</v>
      </c>
      <c r="J21" s="222"/>
      <c r="K21" s="221">
        <v>7214</v>
      </c>
      <c r="L21" s="221"/>
      <c r="M21" s="224"/>
      <c r="N21" s="225"/>
      <c r="O21" s="226"/>
      <c r="P21" s="226"/>
      <c r="Q21" s="226">
        <v>800000</v>
      </c>
      <c r="R21" s="227">
        <f>SUM(M21:Q21)</f>
        <v>800000</v>
      </c>
      <c r="S21" s="228" t="s">
        <v>334</v>
      </c>
    </row>
    <row r="22" spans="1:19" s="147" customFormat="1" ht="25.8" customHeight="1">
      <c r="A22" s="219">
        <v>15</v>
      </c>
      <c r="B22" s="220" t="s">
        <v>335</v>
      </c>
      <c r="C22" s="221"/>
      <c r="D22" s="221" t="s">
        <v>333</v>
      </c>
      <c r="E22" s="221"/>
      <c r="F22" s="221" t="s">
        <v>54</v>
      </c>
      <c r="G22" s="222"/>
      <c r="H22" s="223"/>
      <c r="I22" s="187">
        <f t="shared" si="0"/>
        <v>5513</v>
      </c>
      <c r="J22" s="222"/>
      <c r="K22" s="221">
        <v>5513</v>
      </c>
      <c r="L22" s="221"/>
      <c r="M22" s="224"/>
      <c r="N22" s="225"/>
      <c r="O22" s="226"/>
      <c r="P22" s="226"/>
      <c r="Q22" s="226">
        <v>800000</v>
      </c>
      <c r="R22" s="227">
        <f>SUM(M22:Q22)</f>
        <v>800000</v>
      </c>
      <c r="S22" s="228" t="s">
        <v>336</v>
      </c>
    </row>
    <row r="23" spans="1:19" s="147" customFormat="1" ht="25.8" customHeight="1">
      <c r="A23" s="179">
        <v>16</v>
      </c>
      <c r="B23" s="66" t="s">
        <v>145</v>
      </c>
      <c r="C23" s="166">
        <v>42</v>
      </c>
      <c r="D23" s="166" t="s">
        <v>328</v>
      </c>
      <c r="E23" s="166"/>
      <c r="F23" s="166" t="s">
        <v>239</v>
      </c>
      <c r="G23" s="170">
        <v>9000</v>
      </c>
      <c r="H23" s="58"/>
      <c r="I23" s="187">
        <f t="shared" si="0"/>
        <v>9000</v>
      </c>
      <c r="J23" s="170"/>
      <c r="K23" s="166"/>
      <c r="L23" s="166"/>
      <c r="M23" s="24">
        <v>1150000</v>
      </c>
      <c r="N23" s="11"/>
      <c r="O23" s="15"/>
      <c r="P23" s="23"/>
      <c r="Q23" s="19"/>
      <c r="R23" s="16">
        <f t="shared" si="1"/>
        <v>1150000</v>
      </c>
      <c r="S23" s="87"/>
    </row>
    <row r="24" spans="1:19" s="147" customFormat="1" ht="25.8" customHeight="1">
      <c r="A24" s="179">
        <v>17</v>
      </c>
      <c r="B24" s="66" t="s">
        <v>206</v>
      </c>
      <c r="C24" s="166">
        <v>38</v>
      </c>
      <c r="D24" s="166" t="s">
        <v>328</v>
      </c>
      <c r="E24" s="166"/>
      <c r="F24" s="166" t="s">
        <v>106</v>
      </c>
      <c r="G24" s="170">
        <v>9000</v>
      </c>
      <c r="H24" s="58"/>
      <c r="I24" s="187">
        <f t="shared" si="0"/>
        <v>9000</v>
      </c>
      <c r="J24" s="170"/>
      <c r="K24" s="166"/>
      <c r="L24" s="166">
        <v>9240</v>
      </c>
      <c r="M24" s="24">
        <v>1150000</v>
      </c>
      <c r="N24" s="14"/>
      <c r="O24" s="179"/>
      <c r="P24" s="15"/>
      <c r="Q24" s="15"/>
      <c r="R24" s="16">
        <f t="shared" si="1"/>
        <v>1150000</v>
      </c>
      <c r="S24" s="87"/>
    </row>
    <row r="25" spans="1:19" s="147" customFormat="1" ht="25.8" customHeight="1">
      <c r="A25" s="240">
        <v>18</v>
      </c>
      <c r="B25" s="259" t="s">
        <v>148</v>
      </c>
      <c r="C25" s="166">
        <v>8</v>
      </c>
      <c r="D25" s="166" t="s">
        <v>112</v>
      </c>
      <c r="E25" s="166"/>
      <c r="F25" s="166" t="s">
        <v>286</v>
      </c>
      <c r="G25" s="170">
        <v>6003</v>
      </c>
      <c r="H25" s="58"/>
      <c r="I25" s="187">
        <f t="shared" si="0"/>
        <v>6003</v>
      </c>
      <c r="J25" s="170"/>
      <c r="K25" s="179"/>
      <c r="L25" s="179"/>
      <c r="M25" s="24">
        <v>1400000</v>
      </c>
      <c r="N25" s="14"/>
      <c r="O25" s="15"/>
      <c r="P25" s="15"/>
      <c r="Q25" s="19"/>
      <c r="R25" s="246">
        <f>SUM(M25:Q26)</f>
        <v>2050000</v>
      </c>
      <c r="S25" s="87"/>
    </row>
    <row r="26" spans="1:19" s="147" customFormat="1" ht="25.8" customHeight="1">
      <c r="A26" s="242"/>
      <c r="B26" s="261"/>
      <c r="C26" s="166">
        <v>11</v>
      </c>
      <c r="D26" s="166" t="s">
        <v>337</v>
      </c>
      <c r="E26" s="166"/>
      <c r="F26" s="166" t="s">
        <v>78</v>
      </c>
      <c r="G26" s="170"/>
      <c r="H26" s="58">
        <v>130000</v>
      </c>
      <c r="I26" s="187">
        <f t="shared" si="0"/>
        <v>2261</v>
      </c>
      <c r="J26" s="170">
        <v>2261</v>
      </c>
      <c r="K26" s="179"/>
      <c r="L26" s="179"/>
      <c r="M26" s="18"/>
      <c r="N26" s="18">
        <v>650000</v>
      </c>
      <c r="O26" s="26"/>
      <c r="P26" s="23"/>
      <c r="Q26" s="23"/>
      <c r="R26" s="248"/>
      <c r="S26" s="87" t="s">
        <v>21</v>
      </c>
    </row>
    <row r="27" spans="1:19" s="147" customFormat="1" ht="25.8" customHeight="1">
      <c r="A27" s="179">
        <v>19</v>
      </c>
      <c r="B27" s="66" t="s">
        <v>271</v>
      </c>
      <c r="C27" s="166" t="s">
        <v>338</v>
      </c>
      <c r="D27" s="166" t="s">
        <v>85</v>
      </c>
      <c r="E27" s="166"/>
      <c r="F27" s="166" t="s">
        <v>49</v>
      </c>
      <c r="G27" s="170"/>
      <c r="H27" s="58">
        <f>82800+106000+148000</f>
        <v>336800</v>
      </c>
      <c r="I27" s="187">
        <f t="shared" si="0"/>
        <v>4026</v>
      </c>
      <c r="J27" s="170">
        <f>943+1335+1748</f>
        <v>4026</v>
      </c>
      <c r="K27" s="179"/>
      <c r="L27" s="179"/>
      <c r="M27" s="14"/>
      <c r="N27" s="24">
        <v>2000000</v>
      </c>
      <c r="O27" s="15"/>
      <c r="P27" s="15"/>
      <c r="Q27" s="15"/>
      <c r="R27" s="16">
        <f t="shared" si="1"/>
        <v>2000000</v>
      </c>
      <c r="S27" s="17" t="s">
        <v>21</v>
      </c>
    </row>
    <row r="28" spans="1:19" s="147" customFormat="1" ht="25.8" customHeight="1">
      <c r="A28" s="179">
        <v>20</v>
      </c>
      <c r="B28" s="66" t="s">
        <v>209</v>
      </c>
      <c r="C28" s="166">
        <v>2</v>
      </c>
      <c r="D28" s="166" t="s">
        <v>108</v>
      </c>
      <c r="E28" s="166"/>
      <c r="F28" s="166" t="s">
        <v>277</v>
      </c>
      <c r="G28" s="170">
        <v>9600</v>
      </c>
      <c r="H28" s="117"/>
      <c r="I28" s="187">
        <f t="shared" si="0"/>
        <v>9600</v>
      </c>
      <c r="J28" s="166"/>
      <c r="K28" s="179"/>
      <c r="L28" s="179">
        <v>10060</v>
      </c>
      <c r="M28" s="15">
        <v>1000000</v>
      </c>
      <c r="N28" s="24"/>
      <c r="O28" s="15"/>
      <c r="P28" s="15"/>
      <c r="Q28" s="19"/>
      <c r="R28" s="16">
        <f t="shared" si="1"/>
        <v>1000000</v>
      </c>
      <c r="S28" s="87"/>
    </row>
    <row r="29" spans="1:19" s="147" customFormat="1" ht="25.8" customHeight="1">
      <c r="A29" s="179">
        <v>21</v>
      </c>
      <c r="B29" s="66" t="s">
        <v>209</v>
      </c>
      <c r="C29" s="166">
        <v>3</v>
      </c>
      <c r="D29" s="166" t="s">
        <v>108</v>
      </c>
      <c r="E29" s="166"/>
      <c r="F29" s="166" t="s">
        <v>277</v>
      </c>
      <c r="G29" s="170">
        <v>8357</v>
      </c>
      <c r="H29" s="117"/>
      <c r="I29" s="187">
        <f t="shared" si="0"/>
        <v>8357</v>
      </c>
      <c r="J29" s="166"/>
      <c r="K29" s="179"/>
      <c r="L29" s="179">
        <v>8730</v>
      </c>
      <c r="M29" s="11">
        <v>950000</v>
      </c>
      <c r="N29" s="11"/>
      <c r="O29" s="15"/>
      <c r="P29" s="15"/>
      <c r="Q29" s="19"/>
      <c r="R29" s="16">
        <f t="shared" si="1"/>
        <v>950000</v>
      </c>
      <c r="S29" s="65"/>
    </row>
    <row r="30" spans="1:19" s="147" customFormat="1" ht="25.8" customHeight="1">
      <c r="A30" s="179">
        <v>22</v>
      </c>
      <c r="B30" s="211" t="s">
        <v>212</v>
      </c>
      <c r="C30" s="166">
        <v>31</v>
      </c>
      <c r="D30" s="166" t="s">
        <v>328</v>
      </c>
      <c r="E30" s="166"/>
      <c r="F30" s="166" t="s">
        <v>106</v>
      </c>
      <c r="G30" s="170">
        <v>9000</v>
      </c>
      <c r="H30" s="117"/>
      <c r="I30" s="187">
        <f t="shared" si="0"/>
        <v>9000</v>
      </c>
      <c r="J30" s="166"/>
      <c r="K30" s="169"/>
      <c r="L30" s="179">
        <v>9200</v>
      </c>
      <c r="M30" s="24">
        <v>1150000</v>
      </c>
      <c r="N30" s="18"/>
      <c r="O30" s="26">
        <v>100000</v>
      </c>
      <c r="P30" s="23"/>
      <c r="Q30" s="23"/>
      <c r="R30" s="16">
        <f t="shared" si="1"/>
        <v>1250000</v>
      </c>
      <c r="S30" s="17" t="s">
        <v>339</v>
      </c>
    </row>
    <row r="31" spans="1:19" s="147" customFormat="1" ht="25.8" customHeight="1">
      <c r="A31" s="179">
        <v>23</v>
      </c>
      <c r="B31" s="66" t="s">
        <v>214</v>
      </c>
      <c r="C31" s="166" t="s">
        <v>340</v>
      </c>
      <c r="D31" s="166" t="s">
        <v>328</v>
      </c>
      <c r="E31" s="166"/>
      <c r="F31" s="166" t="s">
        <v>106</v>
      </c>
      <c r="G31" s="170">
        <f>4946+3500</f>
        <v>8446</v>
      </c>
      <c r="H31" s="117"/>
      <c r="I31" s="187">
        <f t="shared" si="0"/>
        <v>8446</v>
      </c>
      <c r="J31" s="179"/>
      <c r="K31" s="179"/>
      <c r="L31" s="179">
        <v>8730</v>
      </c>
      <c r="M31" s="24">
        <v>1100000</v>
      </c>
      <c r="N31" s="18"/>
      <c r="O31" s="179"/>
      <c r="P31" s="23"/>
      <c r="Q31" s="26"/>
      <c r="R31" s="16">
        <f t="shared" si="1"/>
        <v>1100000</v>
      </c>
      <c r="S31" s="87"/>
    </row>
    <row r="32" spans="1:19" s="147" customFormat="1" ht="25.8" customHeight="1">
      <c r="A32" s="179">
        <v>24</v>
      </c>
      <c r="B32" s="66" t="s">
        <v>214</v>
      </c>
      <c r="C32" s="166">
        <v>14</v>
      </c>
      <c r="D32" s="166" t="s">
        <v>293</v>
      </c>
      <c r="E32" s="166"/>
      <c r="F32" s="166" t="s">
        <v>294</v>
      </c>
      <c r="G32" s="170">
        <v>8024</v>
      </c>
      <c r="H32" s="117"/>
      <c r="I32" s="187">
        <f t="shared" si="0"/>
        <v>8024</v>
      </c>
      <c r="J32" s="179"/>
      <c r="K32" s="179"/>
      <c r="L32" s="179"/>
      <c r="M32" s="24">
        <v>1150000</v>
      </c>
      <c r="N32" s="11"/>
      <c r="O32" s="179"/>
      <c r="P32" s="15"/>
      <c r="Q32" s="15"/>
      <c r="R32" s="16">
        <f t="shared" si="1"/>
        <v>1150000</v>
      </c>
      <c r="S32" s="87" t="s">
        <v>21</v>
      </c>
    </row>
    <row r="33" spans="1:20" s="147" customFormat="1" ht="25.8" customHeight="1">
      <c r="A33" s="179">
        <v>25</v>
      </c>
      <c r="B33" s="67" t="s">
        <v>215</v>
      </c>
      <c r="C33" s="12" t="s">
        <v>341</v>
      </c>
      <c r="D33" s="12" t="s">
        <v>342</v>
      </c>
      <c r="E33" s="12"/>
      <c r="F33" s="12" t="s">
        <v>343</v>
      </c>
      <c r="G33" s="143">
        <f>7084+2028</f>
        <v>9112</v>
      </c>
      <c r="H33" s="217"/>
      <c r="I33" s="187">
        <f t="shared" si="0"/>
        <v>9112</v>
      </c>
      <c r="J33" s="12"/>
      <c r="K33" s="182"/>
      <c r="L33" s="182">
        <v>9250</v>
      </c>
      <c r="M33" s="15">
        <v>2100000</v>
      </c>
      <c r="N33" s="11"/>
      <c r="O33" s="179"/>
      <c r="P33" s="15"/>
      <c r="Q33" s="15"/>
      <c r="R33" s="16">
        <f t="shared" si="1"/>
        <v>2100000</v>
      </c>
      <c r="S33" s="87"/>
    </row>
    <row r="34" spans="1:20" s="147" customFormat="1" ht="25.8" customHeight="1">
      <c r="A34" s="179">
        <v>26</v>
      </c>
      <c r="B34" s="67" t="s">
        <v>218</v>
      </c>
      <c r="C34" s="12" t="s">
        <v>344</v>
      </c>
      <c r="D34" s="12" t="s">
        <v>345</v>
      </c>
      <c r="E34" s="12"/>
      <c r="F34" s="12" t="s">
        <v>346</v>
      </c>
      <c r="G34" s="143"/>
      <c r="H34" s="217">
        <f>2100+6307</f>
        <v>8407</v>
      </c>
      <c r="I34" s="187">
        <f t="shared" si="0"/>
        <v>0</v>
      </c>
      <c r="J34" s="12"/>
      <c r="K34" s="182"/>
      <c r="L34" s="182"/>
      <c r="M34" s="15"/>
      <c r="N34" s="15">
        <v>2200000</v>
      </c>
      <c r="O34" s="15"/>
      <c r="P34" s="15"/>
      <c r="Q34" s="19"/>
      <c r="R34" s="16">
        <f t="shared" si="1"/>
        <v>2200000</v>
      </c>
      <c r="S34" s="17" t="s">
        <v>21</v>
      </c>
    </row>
    <row r="35" spans="1:20" s="147" customFormat="1" ht="25.8" customHeight="1">
      <c r="A35" s="240">
        <v>27</v>
      </c>
      <c r="B35" s="286" t="s">
        <v>221</v>
      </c>
      <c r="C35" s="12">
        <v>26</v>
      </c>
      <c r="D35" s="12" t="s">
        <v>347</v>
      </c>
      <c r="E35" s="12"/>
      <c r="F35" s="12" t="s">
        <v>54</v>
      </c>
      <c r="G35" s="143">
        <v>8800</v>
      </c>
      <c r="H35" s="217"/>
      <c r="I35" s="187">
        <f t="shared" si="0"/>
        <v>8800</v>
      </c>
      <c r="J35" s="12"/>
      <c r="K35" s="179"/>
      <c r="L35" s="179">
        <v>9270</v>
      </c>
      <c r="M35" s="11">
        <v>1050000</v>
      </c>
      <c r="N35" s="15"/>
      <c r="O35" s="15"/>
      <c r="P35" s="23"/>
      <c r="Q35" s="15"/>
      <c r="R35" s="246">
        <f>SUM(M35:Q36)</f>
        <v>1200000</v>
      </c>
      <c r="S35" s="17"/>
    </row>
    <row r="36" spans="1:20" s="147" customFormat="1" ht="25.8" customHeight="1">
      <c r="A36" s="242"/>
      <c r="B36" s="287"/>
      <c r="C36" s="166">
        <v>11</v>
      </c>
      <c r="D36" s="166" t="s">
        <v>109</v>
      </c>
      <c r="E36" s="179"/>
      <c r="F36" s="166" t="s">
        <v>110</v>
      </c>
      <c r="G36" s="170"/>
      <c r="H36" s="117">
        <v>33120</v>
      </c>
      <c r="I36" s="187">
        <f t="shared" si="0"/>
        <v>145</v>
      </c>
      <c r="J36" s="166">
        <v>145</v>
      </c>
      <c r="K36" s="179"/>
      <c r="L36" s="179"/>
      <c r="M36" s="18"/>
      <c r="N36" s="15">
        <v>150000</v>
      </c>
      <c r="O36" s="23"/>
      <c r="P36" s="23"/>
      <c r="Q36" s="23"/>
      <c r="R36" s="248"/>
      <c r="S36" s="65"/>
    </row>
    <row r="37" spans="1:20" s="147" customFormat="1" ht="25.8" customHeight="1">
      <c r="A37" s="179">
        <v>28</v>
      </c>
      <c r="B37" s="66" t="s">
        <v>223</v>
      </c>
      <c r="C37" s="179">
        <v>14</v>
      </c>
      <c r="D37" s="166" t="s">
        <v>328</v>
      </c>
      <c r="E37" s="166"/>
      <c r="F37" s="166" t="s">
        <v>239</v>
      </c>
      <c r="G37" s="170">
        <v>8691</v>
      </c>
      <c r="H37" s="117"/>
      <c r="I37" s="187">
        <f t="shared" si="0"/>
        <v>8691</v>
      </c>
      <c r="J37" s="166"/>
      <c r="K37" s="169"/>
      <c r="L37" s="166">
        <v>8860</v>
      </c>
      <c r="M37" s="11">
        <v>1100000</v>
      </c>
      <c r="N37" s="11"/>
      <c r="O37" s="15"/>
      <c r="P37" s="23"/>
      <c r="Q37" s="19"/>
      <c r="R37" s="16">
        <f t="shared" si="1"/>
        <v>1100000</v>
      </c>
      <c r="S37" s="17"/>
    </row>
    <row r="38" spans="1:20" s="147" customFormat="1" ht="25.8" customHeight="1">
      <c r="A38" s="179">
        <v>29</v>
      </c>
      <c r="B38" s="66" t="s">
        <v>223</v>
      </c>
      <c r="C38" s="179">
        <v>3</v>
      </c>
      <c r="D38" s="166" t="s">
        <v>108</v>
      </c>
      <c r="E38" s="166"/>
      <c r="F38" s="166" t="s">
        <v>277</v>
      </c>
      <c r="G38" s="170">
        <v>9613</v>
      </c>
      <c r="H38" s="117"/>
      <c r="I38" s="187">
        <f t="shared" si="0"/>
        <v>9613</v>
      </c>
      <c r="J38" s="166"/>
      <c r="K38" s="169"/>
      <c r="L38" s="166">
        <v>9950</v>
      </c>
      <c r="M38" s="15">
        <v>1050000</v>
      </c>
      <c r="N38" s="11"/>
      <c r="O38" s="16"/>
      <c r="P38" s="15"/>
      <c r="Q38" s="19"/>
      <c r="R38" s="16">
        <f t="shared" si="1"/>
        <v>1050000</v>
      </c>
      <c r="S38" s="17" t="s">
        <v>21</v>
      </c>
    </row>
    <row r="39" spans="1:20" s="106" customFormat="1" ht="25.8" customHeight="1">
      <c r="A39" s="179">
        <v>30</v>
      </c>
      <c r="B39" s="66" t="s">
        <v>225</v>
      </c>
      <c r="C39" s="179">
        <v>36</v>
      </c>
      <c r="D39" s="166" t="s">
        <v>328</v>
      </c>
      <c r="E39" s="166"/>
      <c r="F39" s="166" t="s">
        <v>106</v>
      </c>
      <c r="G39" s="170">
        <v>9000</v>
      </c>
      <c r="H39" s="148"/>
      <c r="I39" s="187">
        <f t="shared" si="0"/>
        <v>9000</v>
      </c>
      <c r="J39" s="102"/>
      <c r="K39" s="102"/>
      <c r="L39" s="166">
        <v>9090</v>
      </c>
      <c r="M39" s="103">
        <v>1150000</v>
      </c>
      <c r="N39" s="157"/>
      <c r="O39" s="103"/>
      <c r="P39" s="103"/>
      <c r="Q39" s="109"/>
      <c r="R39" s="16">
        <f t="shared" si="1"/>
        <v>1150000</v>
      </c>
      <c r="S39" s="72"/>
    </row>
    <row r="40" spans="1:20" s="147" customFormat="1" ht="25.8" customHeight="1">
      <c r="A40" s="179">
        <v>31</v>
      </c>
      <c r="B40" s="66" t="s">
        <v>185</v>
      </c>
      <c r="C40" s="179">
        <v>2</v>
      </c>
      <c r="D40" s="166" t="s">
        <v>108</v>
      </c>
      <c r="E40" s="166"/>
      <c r="F40" s="166" t="s">
        <v>277</v>
      </c>
      <c r="G40" s="170">
        <v>9584</v>
      </c>
      <c r="H40" s="117"/>
      <c r="I40" s="187">
        <f t="shared" si="0"/>
        <v>9584</v>
      </c>
      <c r="J40" s="166"/>
      <c r="K40" s="169"/>
      <c r="L40" s="166">
        <v>10120</v>
      </c>
      <c r="M40" s="15">
        <v>1000000</v>
      </c>
      <c r="N40" s="11"/>
      <c r="O40" s="15"/>
      <c r="P40" s="15"/>
      <c r="Q40" s="19"/>
      <c r="R40" s="16">
        <f t="shared" si="1"/>
        <v>1000000</v>
      </c>
      <c r="S40" s="17"/>
    </row>
    <row r="41" spans="1:20" s="147" customFormat="1" ht="25.8" customHeight="1">
      <c r="A41" s="179">
        <v>32</v>
      </c>
      <c r="B41" s="66" t="s">
        <v>185</v>
      </c>
      <c r="C41" s="179">
        <v>7</v>
      </c>
      <c r="D41" s="166" t="s">
        <v>108</v>
      </c>
      <c r="E41" s="166"/>
      <c r="F41" s="166" t="s">
        <v>277</v>
      </c>
      <c r="G41" s="170">
        <v>7689</v>
      </c>
      <c r="H41" s="117"/>
      <c r="I41" s="187">
        <f t="shared" si="0"/>
        <v>7689</v>
      </c>
      <c r="J41" s="166"/>
      <c r="K41" s="169"/>
      <c r="L41" s="166">
        <v>8070</v>
      </c>
      <c r="M41" s="11">
        <v>950000</v>
      </c>
      <c r="N41" s="15"/>
      <c r="O41" s="15"/>
      <c r="P41" s="15"/>
      <c r="Q41" s="19"/>
      <c r="R41" s="16">
        <f t="shared" si="1"/>
        <v>950000</v>
      </c>
      <c r="S41" s="87"/>
    </row>
    <row r="42" spans="1:20" s="147" customFormat="1" ht="25.8" customHeight="1">
      <c r="A42" s="179">
        <v>33</v>
      </c>
      <c r="B42" s="211" t="s">
        <v>186</v>
      </c>
      <c r="C42" s="179"/>
      <c r="D42" s="166" t="s">
        <v>348</v>
      </c>
      <c r="E42" s="166"/>
      <c r="F42" s="166" t="s">
        <v>349</v>
      </c>
      <c r="G42" s="170">
        <v>7500</v>
      </c>
      <c r="H42" s="27"/>
      <c r="I42" s="187">
        <f t="shared" si="0"/>
        <v>7500</v>
      </c>
      <c r="J42" s="179"/>
      <c r="K42" s="179"/>
      <c r="L42" s="179"/>
      <c r="M42" s="15">
        <v>900000</v>
      </c>
      <c r="N42" s="11"/>
      <c r="O42" s="15"/>
      <c r="P42" s="15"/>
      <c r="Q42" s="19"/>
      <c r="R42" s="16">
        <f t="shared" si="1"/>
        <v>900000</v>
      </c>
      <c r="S42" s="178" t="s">
        <v>350</v>
      </c>
    </row>
    <row r="43" spans="1:20" s="147" customFormat="1" ht="25.8" customHeight="1">
      <c r="A43" s="179">
        <v>34</v>
      </c>
      <c r="B43" s="211" t="s">
        <v>228</v>
      </c>
      <c r="C43" s="179">
        <v>13</v>
      </c>
      <c r="D43" s="166" t="s">
        <v>44</v>
      </c>
      <c r="E43" s="166"/>
      <c r="F43" s="166" t="s">
        <v>277</v>
      </c>
      <c r="G43" s="170">
        <v>9760</v>
      </c>
      <c r="H43" s="117"/>
      <c r="I43" s="187">
        <f t="shared" si="0"/>
        <v>9760</v>
      </c>
      <c r="J43" s="166"/>
      <c r="K43" s="169"/>
      <c r="L43" s="166">
        <v>10310</v>
      </c>
      <c r="M43" s="15">
        <v>1000000</v>
      </c>
      <c r="N43" s="11"/>
      <c r="O43" s="15"/>
      <c r="P43" s="15"/>
      <c r="Q43" s="19"/>
      <c r="R43" s="16">
        <f t="shared" si="1"/>
        <v>1000000</v>
      </c>
      <c r="S43" s="65"/>
    </row>
    <row r="44" spans="1:20" s="147" customFormat="1" ht="25.8" customHeight="1">
      <c r="A44" s="179">
        <v>35</v>
      </c>
      <c r="B44" s="211" t="s">
        <v>228</v>
      </c>
      <c r="C44" s="179">
        <v>19</v>
      </c>
      <c r="D44" s="166" t="s">
        <v>297</v>
      </c>
      <c r="E44" s="166"/>
      <c r="F44" s="166" t="s">
        <v>130</v>
      </c>
      <c r="G44" s="170">
        <f>1500+1500</f>
        <v>3000</v>
      </c>
      <c r="H44" s="117"/>
      <c r="I44" s="187">
        <f t="shared" si="0"/>
        <v>3000</v>
      </c>
      <c r="J44" s="166"/>
      <c r="K44" s="169"/>
      <c r="L44" s="166"/>
      <c r="M44" s="15">
        <v>1300000</v>
      </c>
      <c r="N44" s="11"/>
      <c r="O44" s="15"/>
      <c r="P44" s="15"/>
      <c r="Q44" s="19"/>
      <c r="R44" s="16">
        <f t="shared" si="1"/>
        <v>1300000</v>
      </c>
      <c r="S44" s="65"/>
    </row>
    <row r="45" spans="1:20" s="147" customFormat="1" ht="25.8" customHeight="1">
      <c r="A45" s="179">
        <v>36</v>
      </c>
      <c r="B45" s="66" t="s">
        <v>190</v>
      </c>
      <c r="C45" s="179">
        <v>21</v>
      </c>
      <c r="D45" s="166" t="s">
        <v>108</v>
      </c>
      <c r="E45" s="166"/>
      <c r="F45" s="166" t="s">
        <v>277</v>
      </c>
      <c r="G45" s="170">
        <v>9134</v>
      </c>
      <c r="H45" s="117"/>
      <c r="I45" s="187">
        <f t="shared" si="0"/>
        <v>9134</v>
      </c>
      <c r="J45" s="166"/>
      <c r="K45" s="169"/>
      <c r="L45" s="166">
        <v>9410</v>
      </c>
      <c r="M45" s="15">
        <v>1000000</v>
      </c>
      <c r="N45" s="11"/>
      <c r="O45" s="19"/>
      <c r="P45" s="19"/>
      <c r="Q45" s="19"/>
      <c r="R45" s="16">
        <f t="shared" si="1"/>
        <v>1000000</v>
      </c>
      <c r="S45" s="17"/>
    </row>
    <row r="46" spans="1:20" s="147" customFormat="1" ht="25.8" customHeight="1">
      <c r="A46" s="179">
        <v>37</v>
      </c>
      <c r="B46" s="66" t="s">
        <v>190</v>
      </c>
      <c r="C46" s="179">
        <v>37</v>
      </c>
      <c r="D46" s="166" t="s">
        <v>328</v>
      </c>
      <c r="E46" s="166"/>
      <c r="F46" s="166" t="s">
        <v>239</v>
      </c>
      <c r="G46" s="170">
        <v>8986</v>
      </c>
      <c r="H46" s="117"/>
      <c r="I46" s="187">
        <f t="shared" si="0"/>
        <v>8986</v>
      </c>
      <c r="J46" s="166"/>
      <c r="K46" s="169"/>
      <c r="L46" s="166">
        <v>9270</v>
      </c>
      <c r="M46" s="15">
        <v>1100000</v>
      </c>
      <c r="N46" s="11"/>
      <c r="O46" s="19"/>
      <c r="P46" s="19"/>
      <c r="Q46" s="19"/>
      <c r="R46" s="16">
        <f t="shared" si="1"/>
        <v>1100000</v>
      </c>
      <c r="S46" s="158"/>
    </row>
    <row r="47" spans="1:20" s="30" customFormat="1" ht="25.8" customHeight="1">
      <c r="A47" s="290" t="s">
        <v>22</v>
      </c>
      <c r="B47" s="290"/>
      <c r="C47" s="290"/>
      <c r="D47" s="290"/>
      <c r="E47" s="290"/>
      <c r="F47" s="290"/>
      <c r="G47" s="28">
        <f t="shared" ref="G47:R47" si="2">SUM(G8:G46)</f>
        <v>252739</v>
      </c>
      <c r="H47" s="28">
        <f t="shared" si="2"/>
        <v>745927</v>
      </c>
      <c r="I47" s="28"/>
      <c r="J47" s="28">
        <f t="shared" si="2"/>
        <v>12279</v>
      </c>
      <c r="K47" s="28">
        <f t="shared" si="2"/>
        <v>12727</v>
      </c>
      <c r="L47" s="28">
        <f t="shared" si="2"/>
        <v>199050</v>
      </c>
      <c r="M47" s="28">
        <f t="shared" si="2"/>
        <v>34900000</v>
      </c>
      <c r="N47" s="28">
        <f t="shared" si="2"/>
        <v>7300000</v>
      </c>
      <c r="O47" s="28">
        <f t="shared" si="2"/>
        <v>100000</v>
      </c>
      <c r="P47" s="28">
        <f t="shared" si="2"/>
        <v>0</v>
      </c>
      <c r="Q47" s="28">
        <f t="shared" si="2"/>
        <v>1600000</v>
      </c>
      <c r="R47" s="28">
        <f t="shared" si="2"/>
        <v>43900000</v>
      </c>
      <c r="S47" s="29"/>
    </row>
    <row r="48" spans="1:20" s="30" customFormat="1" ht="25.8" customHeight="1">
      <c r="A48" s="289" t="s">
        <v>23</v>
      </c>
      <c r="B48" s="289"/>
      <c r="C48" s="289"/>
      <c r="D48" s="289"/>
      <c r="E48" s="289"/>
      <c r="F48" s="289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>
        <f>8%*R47</f>
        <v>3512000</v>
      </c>
      <c r="S48" s="31"/>
      <c r="T48" s="173"/>
    </row>
    <row r="49" spans="1:21" s="30" customFormat="1" ht="25.8" customHeight="1">
      <c r="A49" s="289" t="s">
        <v>24</v>
      </c>
      <c r="B49" s="289"/>
      <c r="C49" s="289"/>
      <c r="D49" s="289"/>
      <c r="E49" s="289"/>
      <c r="F49" s="289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>
        <f>R48+R47</f>
        <v>47412000</v>
      </c>
      <c r="S49" s="32"/>
      <c r="T49" s="1"/>
      <c r="U49" s="1"/>
    </row>
    <row r="50" spans="1:21" s="30" customFormat="1" ht="25.8" customHeight="1">
      <c r="A50" s="33"/>
      <c r="B50" s="68"/>
      <c r="C50" s="33"/>
      <c r="D50" s="33"/>
      <c r="E50" s="33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5"/>
      <c r="T50" s="36"/>
    </row>
    <row r="51" spans="1:21" s="30" customFormat="1" ht="28.95" customHeight="1">
      <c r="A51" s="279" t="s">
        <v>25</v>
      </c>
      <c r="B51" s="279"/>
      <c r="C51" s="279"/>
      <c r="D51" s="279"/>
      <c r="E51" s="279"/>
      <c r="F51" s="279"/>
      <c r="G51" s="37">
        <f>G47</f>
        <v>252739</v>
      </c>
      <c r="H51" s="37"/>
      <c r="I51" s="37"/>
      <c r="J51" s="37"/>
      <c r="K51" s="37"/>
      <c r="L51" s="38">
        <f>G47+J47</f>
        <v>265018</v>
      </c>
      <c r="M51" s="37"/>
      <c r="N51" s="37"/>
      <c r="O51" s="37"/>
      <c r="P51" s="37"/>
      <c r="Q51" s="37"/>
      <c r="R51" s="37">
        <f>M47+O47</f>
        <v>35000000</v>
      </c>
      <c r="S51" s="39">
        <f>R51/G51</f>
        <v>138.48278263346774</v>
      </c>
      <c r="T51" s="40"/>
    </row>
    <row r="52" spans="1:21" s="30" customFormat="1" ht="24.6" customHeight="1">
      <c r="A52" s="279" t="s">
        <v>26</v>
      </c>
      <c r="B52" s="279"/>
      <c r="C52" s="279"/>
      <c r="D52" s="279"/>
      <c r="E52" s="279"/>
      <c r="F52" s="279"/>
      <c r="G52" s="37"/>
      <c r="H52" s="37"/>
      <c r="I52" s="37"/>
      <c r="J52" s="37">
        <f>J47</f>
        <v>12279</v>
      </c>
      <c r="K52" s="37"/>
      <c r="L52" s="37"/>
      <c r="M52" s="37"/>
      <c r="N52" s="37"/>
      <c r="O52" s="37"/>
      <c r="P52" s="37"/>
      <c r="Q52" s="37"/>
      <c r="R52" s="37">
        <f>N47+P47</f>
        <v>7300000</v>
      </c>
      <c r="S52" s="39">
        <f>R52/J52</f>
        <v>594.51095366072161</v>
      </c>
      <c r="T52" s="40"/>
    </row>
    <row r="53" spans="1:21" s="30" customFormat="1" ht="24.6" customHeight="1">
      <c r="A53" s="279" t="s">
        <v>27</v>
      </c>
      <c r="B53" s="279"/>
      <c r="C53" s="279"/>
      <c r="D53" s="279"/>
      <c r="E53" s="279"/>
      <c r="F53" s="279"/>
      <c r="G53" s="37"/>
      <c r="H53" s="37"/>
      <c r="I53" s="37"/>
      <c r="J53" s="37"/>
      <c r="K53" s="37">
        <f>K47</f>
        <v>12727</v>
      </c>
      <c r="L53" s="37"/>
      <c r="M53" s="37"/>
      <c r="N53" s="37"/>
      <c r="O53" s="37"/>
      <c r="P53" s="37"/>
      <c r="Q53" s="37">
        <f>K47</f>
        <v>12727</v>
      </c>
      <c r="R53" s="37">
        <f>Q47</f>
        <v>1600000</v>
      </c>
      <c r="S53" s="39">
        <f>R53/Q53</f>
        <v>125.71697964956392</v>
      </c>
      <c r="T53" s="40"/>
    </row>
    <row r="54" spans="1:21" s="30" customFormat="1" ht="24.6" hidden="1" customHeight="1">
      <c r="A54" s="279" t="s">
        <v>28</v>
      </c>
      <c r="B54" s="279"/>
      <c r="C54" s="279"/>
      <c r="D54" s="279"/>
      <c r="E54" s="279"/>
      <c r="F54" s="279"/>
      <c r="G54" s="37"/>
      <c r="H54" s="37"/>
      <c r="I54" s="37"/>
      <c r="J54" s="37"/>
      <c r="K54" s="37"/>
      <c r="L54" s="37" t="e">
        <f>#REF!+#REF!+#REF!</f>
        <v>#REF!</v>
      </c>
      <c r="M54" s="37"/>
      <c r="N54" s="37"/>
      <c r="O54" s="37"/>
      <c r="P54" s="37"/>
      <c r="Q54" s="37"/>
      <c r="R54" s="37" t="e">
        <f>#REF!+#REF!+#REF!</f>
        <v>#REF!</v>
      </c>
      <c r="S54" s="39" t="e">
        <f>R54/Q54</f>
        <v>#REF!</v>
      </c>
      <c r="T54" s="40"/>
    </row>
    <row r="55" spans="1:21" ht="13.8" hidden="1" customHeight="1">
      <c r="A55" s="41"/>
      <c r="B55" s="1"/>
      <c r="C55" s="3" t="s">
        <v>29</v>
      </c>
      <c r="D55" s="42"/>
      <c r="E55" s="43"/>
      <c r="F55" s="43"/>
      <c r="G55" s="44" t="s">
        <v>80</v>
      </c>
      <c r="H55" s="45"/>
      <c r="I55" s="45"/>
      <c r="J55" s="45"/>
      <c r="K55" s="45"/>
      <c r="L55" s="46"/>
      <c r="M55" s="1"/>
      <c r="N55" s="1"/>
      <c r="O55" s="1"/>
      <c r="P55" s="1"/>
      <c r="Q55" s="1"/>
      <c r="R55" s="42" t="s">
        <v>30</v>
      </c>
    </row>
    <row r="56" spans="1:21">
      <c r="B56" s="1"/>
      <c r="D56" s="42"/>
      <c r="E56" s="47"/>
      <c r="F56" s="47"/>
      <c r="G56" s="48"/>
      <c r="H56" s="41"/>
      <c r="I56" s="41"/>
      <c r="J56" s="42"/>
      <c r="K56" s="42"/>
      <c r="L56" s="42"/>
      <c r="T56" s="8"/>
      <c r="U56" s="8"/>
    </row>
    <row r="57" spans="1:21" s="8" customFormat="1" ht="18" customHeight="1">
      <c r="A57" s="1"/>
      <c r="B57" s="1"/>
      <c r="C57" s="3"/>
      <c r="D57" s="3"/>
      <c r="E57" s="3"/>
      <c r="F57" s="3"/>
      <c r="G57" s="49"/>
      <c r="T57" s="1"/>
      <c r="U57" s="1"/>
    </row>
    <row r="58" spans="1:21" ht="18" customHeight="1">
      <c r="B58" s="1"/>
      <c r="E58" s="47"/>
      <c r="F58" s="47"/>
      <c r="G58" s="48"/>
      <c r="H58" s="41"/>
      <c r="I58" s="41"/>
      <c r="J58" s="42"/>
      <c r="K58" s="42"/>
      <c r="L58" s="42"/>
    </row>
    <row r="59" spans="1:21">
      <c r="H59" s="53"/>
      <c r="I59" s="53"/>
      <c r="R59" s="1"/>
    </row>
    <row r="60" spans="1:21">
      <c r="C60" s="55"/>
      <c r="G60" s="44" t="str">
        <f>'[1]A VIEN'!G55</f>
        <v>Đặng Thị Mỹ Tin</v>
      </c>
      <c r="H60" s="53"/>
      <c r="I60" s="53"/>
      <c r="R60" s="56" t="s">
        <v>46</v>
      </c>
    </row>
    <row r="63" spans="1:21">
      <c r="S63" s="49"/>
    </row>
  </sheetData>
  <mergeCells count="32">
    <mergeCell ref="A35:A36"/>
    <mergeCell ref="B35:B36"/>
    <mergeCell ref="R35:R36"/>
    <mergeCell ref="A47:F47"/>
    <mergeCell ref="A51:F51"/>
    <mergeCell ref="A54:F54"/>
    <mergeCell ref="A48:F48"/>
    <mergeCell ref="A49:F49"/>
    <mergeCell ref="A52:F52"/>
    <mergeCell ref="A53:F53"/>
    <mergeCell ref="A25:A26"/>
    <mergeCell ref="B25:B26"/>
    <mergeCell ref="R25:R26"/>
    <mergeCell ref="E6:E7"/>
    <mergeCell ref="F6:F7"/>
    <mergeCell ref="H6:J6"/>
    <mergeCell ref="S5:S7"/>
    <mergeCell ref="A1:S1"/>
    <mergeCell ref="A2:S2"/>
    <mergeCell ref="A3:S3"/>
    <mergeCell ref="A4:C4"/>
    <mergeCell ref="A5:A7"/>
    <mergeCell ref="B5:B7"/>
    <mergeCell ref="C5:C7"/>
    <mergeCell ref="D5:D7"/>
    <mergeCell ref="E5:F5"/>
    <mergeCell ref="G5:K5"/>
    <mergeCell ref="L5:L7"/>
    <mergeCell ref="M5:N6"/>
    <mergeCell ref="O5:P6"/>
    <mergeCell ref="Q5:Q7"/>
    <mergeCell ref="R5:R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B1" zoomScaleNormal="100" workbookViewId="0">
      <selection activeCell="T16" sqref="T16"/>
    </sheetView>
  </sheetViews>
  <sheetFormatPr defaultColWidth="9.109375" defaultRowHeight="13.8"/>
  <cols>
    <col min="1" max="1" width="8.44140625" style="1" hidden="1" customWidth="1"/>
    <col min="2" max="2" width="13.33203125" style="50" customWidth="1"/>
    <col min="3" max="3" width="12.77734375" style="3" hidden="1" customWidth="1"/>
    <col min="4" max="4" width="20.44140625" style="3" hidden="1" customWidth="1"/>
    <col min="5" max="5" width="16" style="51" hidden="1" customWidth="1"/>
    <col min="6" max="6" width="16.5546875" style="52" customWidth="1"/>
    <col min="7" max="7" width="14.5546875" style="45" hidden="1" customWidth="1"/>
    <col min="8" max="8" width="15.88671875" style="57" hidden="1" customWidth="1"/>
    <col min="9" max="9" width="15.88671875" style="57" customWidth="1"/>
    <col min="10" max="10" width="12.44140625" style="54" hidden="1" customWidth="1"/>
    <col min="11" max="11" width="14.33203125" style="99" hidden="1" customWidth="1"/>
    <col min="12" max="12" width="13.44140625" style="7" hidden="1" customWidth="1"/>
    <col min="13" max="13" width="16.6640625" style="7" hidden="1" customWidth="1"/>
    <col min="14" max="14" width="15.88671875" style="7" hidden="1" customWidth="1"/>
    <col min="15" max="16" width="13.6640625" style="7" hidden="1" customWidth="1"/>
    <col min="17" max="17" width="15.33203125" style="7" hidden="1" customWidth="1"/>
    <col min="18" max="18" width="16.6640625" style="7" customWidth="1"/>
    <col min="19" max="19" width="38.33203125" style="3" hidden="1" customWidth="1"/>
    <col min="20" max="20" width="25.33203125" style="1" customWidth="1"/>
    <col min="21" max="16384" width="9.109375" style="1"/>
  </cols>
  <sheetData>
    <row r="1" spans="1:20">
      <c r="A1" s="250" t="str">
        <f>'[1]A VIEN'!A1:Q1</f>
        <v xml:space="preserve">2024年04销路运费 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</row>
    <row r="2" spans="1:20" ht="17.399999999999999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>
      <c r="A3" s="250" t="str">
        <f>'[1]A VIEN'!A3:Q3</f>
        <v xml:space="preserve"> THÁNG 04 NĂM 2024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</row>
    <row r="4" spans="1:20">
      <c r="A4" s="348" t="s">
        <v>37</v>
      </c>
      <c r="B4" s="348"/>
      <c r="C4" s="348"/>
      <c r="D4" s="2"/>
      <c r="E4" s="3"/>
      <c r="F4" s="3"/>
      <c r="G4" s="4"/>
      <c r="H4" s="5"/>
      <c r="I4" s="5"/>
      <c r="J4" s="6"/>
      <c r="K4" s="6"/>
    </row>
    <row r="5" spans="1:20" s="9" customFormat="1" ht="29.25" customHeight="1">
      <c r="A5" s="239" t="s">
        <v>2</v>
      </c>
      <c r="B5" s="239" t="s">
        <v>3</v>
      </c>
      <c r="C5" s="239" t="s">
        <v>4</v>
      </c>
      <c r="D5" s="239" t="s">
        <v>5</v>
      </c>
      <c r="E5" s="239" t="s">
        <v>6</v>
      </c>
      <c r="F5" s="239"/>
      <c r="G5" s="296" t="s">
        <v>7</v>
      </c>
      <c r="H5" s="301"/>
      <c r="I5" s="301"/>
      <c r="J5" s="301"/>
      <c r="K5" s="349"/>
      <c r="L5" s="254" t="s">
        <v>8</v>
      </c>
      <c r="M5" s="255" t="s">
        <v>9</v>
      </c>
      <c r="N5" s="256"/>
      <c r="O5" s="235" t="s">
        <v>10</v>
      </c>
      <c r="P5" s="235"/>
      <c r="Q5" s="236" t="s">
        <v>11</v>
      </c>
      <c r="R5" s="235" t="s">
        <v>12</v>
      </c>
      <c r="S5" s="321" t="s">
        <v>13</v>
      </c>
    </row>
    <row r="6" spans="1:20" s="9" customFormat="1" ht="23.25" customHeight="1">
      <c r="A6" s="239"/>
      <c r="B6" s="239"/>
      <c r="C6" s="239"/>
      <c r="D6" s="239"/>
      <c r="E6" s="239" t="s">
        <v>14</v>
      </c>
      <c r="F6" s="239" t="s">
        <v>15</v>
      </c>
      <c r="G6" s="176" t="s">
        <v>16</v>
      </c>
      <c r="H6" s="253" t="s">
        <v>17</v>
      </c>
      <c r="I6" s="253"/>
      <c r="J6" s="253"/>
      <c r="K6" s="86" t="s">
        <v>18</v>
      </c>
      <c r="L6" s="254"/>
      <c r="M6" s="257"/>
      <c r="N6" s="258"/>
      <c r="O6" s="235"/>
      <c r="P6" s="235"/>
      <c r="Q6" s="237"/>
      <c r="R6" s="235"/>
      <c r="S6" s="321"/>
    </row>
    <row r="7" spans="1:20" s="9" customFormat="1" ht="22.5" customHeight="1">
      <c r="A7" s="239"/>
      <c r="B7" s="239"/>
      <c r="C7" s="239"/>
      <c r="D7" s="239"/>
      <c r="E7" s="239"/>
      <c r="F7" s="239"/>
      <c r="G7" s="176" t="s">
        <v>19</v>
      </c>
      <c r="H7" s="174" t="s">
        <v>20</v>
      </c>
      <c r="I7" s="186"/>
      <c r="J7" s="175" t="s">
        <v>19</v>
      </c>
      <c r="K7" s="86" t="s">
        <v>19</v>
      </c>
      <c r="L7" s="254"/>
      <c r="M7" s="176" t="s">
        <v>16</v>
      </c>
      <c r="N7" s="10" t="s">
        <v>17</v>
      </c>
      <c r="O7" s="176" t="s">
        <v>16</v>
      </c>
      <c r="P7" s="129" t="s">
        <v>17</v>
      </c>
      <c r="Q7" s="238"/>
      <c r="R7" s="235"/>
      <c r="S7" s="321"/>
    </row>
    <row r="8" spans="1:20" s="9" customFormat="1" ht="23.4" customHeight="1">
      <c r="A8" s="240">
        <v>1</v>
      </c>
      <c r="B8" s="259" t="s">
        <v>119</v>
      </c>
      <c r="C8" s="166" t="s">
        <v>351</v>
      </c>
      <c r="D8" s="166" t="s">
        <v>352</v>
      </c>
      <c r="E8" s="166"/>
      <c r="F8" s="166" t="s">
        <v>325</v>
      </c>
      <c r="G8" s="170"/>
      <c r="H8" s="58">
        <f>120000+27500</f>
        <v>147500</v>
      </c>
      <c r="I8" s="58">
        <f>SUM(G8,J8,K8)</f>
        <v>2316</v>
      </c>
      <c r="J8" s="170">
        <f>2012+304</f>
        <v>2316</v>
      </c>
      <c r="K8" s="128"/>
      <c r="L8" s="240">
        <v>3690</v>
      </c>
      <c r="M8" s="120"/>
      <c r="N8" s="325">
        <v>2300000</v>
      </c>
      <c r="O8" s="120"/>
      <c r="P8" s="120"/>
      <c r="Q8" s="137"/>
      <c r="R8" s="350">
        <f>SUM(M8:Q9)</f>
        <v>2300000</v>
      </c>
      <c r="S8" s="184" t="s">
        <v>21</v>
      </c>
    </row>
    <row r="9" spans="1:20" s="9" customFormat="1" ht="23.4" customHeight="1">
      <c r="A9" s="242"/>
      <c r="B9" s="261"/>
      <c r="C9" s="166">
        <v>1</v>
      </c>
      <c r="D9" s="166" t="s">
        <v>353</v>
      </c>
      <c r="E9" s="166"/>
      <c r="F9" s="166" t="s">
        <v>325</v>
      </c>
      <c r="G9" s="170"/>
      <c r="H9" s="58">
        <v>3625</v>
      </c>
      <c r="I9" s="58">
        <f t="shared" ref="I9:I49" si="0">SUM(G9,J9,K9)</f>
        <v>1078</v>
      </c>
      <c r="J9" s="170">
        <v>1078</v>
      </c>
      <c r="K9" s="128"/>
      <c r="L9" s="242"/>
      <c r="M9" s="120"/>
      <c r="N9" s="326"/>
      <c r="O9" s="120"/>
      <c r="P9" s="120"/>
      <c r="Q9" s="137"/>
      <c r="R9" s="351"/>
      <c r="S9" s="160"/>
    </row>
    <row r="10" spans="1:20" s="9" customFormat="1" ht="23.4" customHeight="1">
      <c r="A10" s="240">
        <v>2</v>
      </c>
      <c r="B10" s="259" t="s">
        <v>125</v>
      </c>
      <c r="C10" s="166" t="s">
        <v>354</v>
      </c>
      <c r="D10" s="166" t="s">
        <v>352</v>
      </c>
      <c r="E10" s="166"/>
      <c r="F10" s="166" t="s">
        <v>325</v>
      </c>
      <c r="G10" s="170"/>
      <c r="H10" s="58">
        <f>120000+51000</f>
        <v>171000</v>
      </c>
      <c r="I10" s="58">
        <f t="shared" si="0"/>
        <v>2039</v>
      </c>
      <c r="J10" s="170">
        <f>684+1355</f>
        <v>2039</v>
      </c>
      <c r="K10" s="128"/>
      <c r="L10" s="240">
        <v>3600</v>
      </c>
      <c r="M10" s="120"/>
      <c r="N10" s="325">
        <v>2300000</v>
      </c>
      <c r="O10" s="120"/>
      <c r="P10" s="120"/>
      <c r="Q10" s="137"/>
      <c r="R10" s="350">
        <f>SUM(M10:Q11)</f>
        <v>2300000</v>
      </c>
      <c r="S10" s="184" t="s">
        <v>21</v>
      </c>
    </row>
    <row r="11" spans="1:20" s="9" customFormat="1" ht="23.4" customHeight="1">
      <c r="A11" s="242"/>
      <c r="B11" s="261"/>
      <c r="C11" s="166">
        <v>16</v>
      </c>
      <c r="D11" s="166" t="s">
        <v>353</v>
      </c>
      <c r="E11" s="166"/>
      <c r="F11" s="166" t="s">
        <v>325</v>
      </c>
      <c r="G11" s="170"/>
      <c r="H11" s="58">
        <v>5400</v>
      </c>
      <c r="I11" s="58">
        <f t="shared" si="0"/>
        <v>1220</v>
      </c>
      <c r="J11" s="170">
        <v>1220</v>
      </c>
      <c r="K11" s="128"/>
      <c r="L11" s="242"/>
      <c r="M11" s="120"/>
      <c r="N11" s="326"/>
      <c r="O11" s="140"/>
      <c r="P11" s="120"/>
      <c r="Q11" s="137"/>
      <c r="R11" s="351"/>
      <c r="S11" s="160"/>
    </row>
    <row r="12" spans="1:20" s="9" customFormat="1" ht="23.4" customHeight="1">
      <c r="A12" s="240">
        <v>3</v>
      </c>
      <c r="B12" s="259" t="s">
        <v>129</v>
      </c>
      <c r="C12" s="166">
        <v>25</v>
      </c>
      <c r="D12" s="166" t="s">
        <v>112</v>
      </c>
      <c r="E12" s="166"/>
      <c r="F12" s="166" t="s">
        <v>286</v>
      </c>
      <c r="G12" s="170">
        <v>5042</v>
      </c>
      <c r="H12" s="58"/>
      <c r="I12" s="58">
        <f t="shared" si="0"/>
        <v>5042</v>
      </c>
      <c r="J12" s="170"/>
      <c r="K12" s="128"/>
      <c r="L12" s="240">
        <v>6480</v>
      </c>
      <c r="M12" s="143">
        <v>1000000</v>
      </c>
      <c r="N12" s="143"/>
      <c r="O12" s="143"/>
      <c r="P12" s="143"/>
      <c r="Q12" s="143"/>
      <c r="R12" s="350">
        <f>SUM(M12:Q13)</f>
        <v>2150000</v>
      </c>
      <c r="S12" s="184"/>
    </row>
    <row r="13" spans="1:20" s="9" customFormat="1" ht="23.4" customHeight="1">
      <c r="A13" s="242"/>
      <c r="B13" s="261"/>
      <c r="C13" s="166" t="s">
        <v>196</v>
      </c>
      <c r="D13" s="166" t="s">
        <v>155</v>
      </c>
      <c r="E13" s="166"/>
      <c r="F13" s="166" t="s">
        <v>355</v>
      </c>
      <c r="G13" s="170"/>
      <c r="H13" s="58">
        <f>53750+22050</f>
        <v>75800</v>
      </c>
      <c r="I13" s="58">
        <f t="shared" si="0"/>
        <v>1291</v>
      </c>
      <c r="J13" s="170">
        <f>486+805</f>
        <v>1291</v>
      </c>
      <c r="K13" s="128"/>
      <c r="L13" s="242"/>
      <c r="M13" s="120"/>
      <c r="N13" s="120">
        <v>1100000</v>
      </c>
      <c r="O13" s="140"/>
      <c r="P13" s="140">
        <v>50000</v>
      </c>
      <c r="Q13" s="140"/>
      <c r="R13" s="351"/>
      <c r="S13" s="111" t="s">
        <v>356</v>
      </c>
    </row>
    <row r="14" spans="1:20" s="9" customFormat="1" ht="23.4" customHeight="1">
      <c r="A14" s="179">
        <v>4</v>
      </c>
      <c r="B14" s="66" t="s">
        <v>133</v>
      </c>
      <c r="C14" s="166">
        <v>15</v>
      </c>
      <c r="D14" s="166" t="s">
        <v>94</v>
      </c>
      <c r="E14" s="166"/>
      <c r="F14" s="166" t="s">
        <v>325</v>
      </c>
      <c r="G14" s="170">
        <v>8005</v>
      </c>
      <c r="H14" s="58"/>
      <c r="I14" s="58">
        <f t="shared" si="0"/>
        <v>8005</v>
      </c>
      <c r="J14" s="170"/>
      <c r="K14" s="126"/>
      <c r="L14" s="166">
        <v>8210</v>
      </c>
      <c r="M14" s="120">
        <v>2150000</v>
      </c>
      <c r="N14" s="120"/>
      <c r="O14" s="140"/>
      <c r="P14" s="140"/>
      <c r="Q14" s="140"/>
      <c r="R14" s="159">
        <f>SUM(M14:Q14)</f>
        <v>2150000</v>
      </c>
      <c r="S14" s="161"/>
    </row>
    <row r="15" spans="1:20" s="9" customFormat="1" ht="23.4" customHeight="1">
      <c r="A15" s="179">
        <v>5</v>
      </c>
      <c r="B15" s="66" t="s">
        <v>133</v>
      </c>
      <c r="C15" s="166">
        <v>5</v>
      </c>
      <c r="D15" s="166" t="s">
        <v>177</v>
      </c>
      <c r="E15" s="166"/>
      <c r="F15" s="166" t="s">
        <v>127</v>
      </c>
      <c r="G15" s="170"/>
      <c r="H15" s="58">
        <v>207000</v>
      </c>
      <c r="I15" s="58">
        <f t="shared" si="0"/>
        <v>2806</v>
      </c>
      <c r="J15" s="170">
        <v>2806</v>
      </c>
      <c r="K15" s="126"/>
      <c r="L15" s="166"/>
      <c r="M15" s="120"/>
      <c r="N15" s="120">
        <v>1950000</v>
      </c>
      <c r="O15" s="137"/>
      <c r="P15" s="137">
        <f>50000+975000</f>
        <v>1025000</v>
      </c>
      <c r="Q15" s="136"/>
      <c r="R15" s="159">
        <f t="shared" ref="R15:R19" si="1">SUM(M15:Q15)</f>
        <v>2975000</v>
      </c>
      <c r="S15" s="84" t="s">
        <v>357</v>
      </c>
    </row>
    <row r="16" spans="1:20" s="9" customFormat="1" ht="23.4" customHeight="1">
      <c r="A16" s="240">
        <v>6</v>
      </c>
      <c r="B16" s="259" t="s">
        <v>135</v>
      </c>
      <c r="C16" s="166">
        <v>20</v>
      </c>
      <c r="D16" s="166" t="s">
        <v>358</v>
      </c>
      <c r="E16" s="166"/>
      <c r="F16" s="166" t="s">
        <v>359</v>
      </c>
      <c r="G16" s="170">
        <v>3450</v>
      </c>
      <c r="H16" s="58"/>
      <c r="I16" s="58">
        <f t="shared" si="0"/>
        <v>3450</v>
      </c>
      <c r="J16" s="170"/>
      <c r="K16" s="128"/>
      <c r="L16" s="240">
        <f>7260+500</f>
        <v>7760</v>
      </c>
      <c r="M16" s="325">
        <v>1900000</v>
      </c>
      <c r="N16" s="120"/>
      <c r="O16" s="120"/>
      <c r="P16" s="120"/>
      <c r="Q16" s="136"/>
      <c r="R16" s="350">
        <f>SUM(M16:Q17)</f>
        <v>1900000</v>
      </c>
      <c r="S16" s="162"/>
    </row>
    <row r="17" spans="1:19" s="9" customFormat="1" ht="23.4" customHeight="1">
      <c r="A17" s="242"/>
      <c r="B17" s="261"/>
      <c r="C17" s="166" t="s">
        <v>360</v>
      </c>
      <c r="D17" s="166" t="s">
        <v>297</v>
      </c>
      <c r="E17" s="166"/>
      <c r="F17" s="166" t="s">
        <v>130</v>
      </c>
      <c r="G17" s="170">
        <v>4000</v>
      </c>
      <c r="H17" s="58"/>
      <c r="I17" s="58">
        <f t="shared" si="0"/>
        <v>4000</v>
      </c>
      <c r="J17" s="170"/>
      <c r="K17" s="128"/>
      <c r="L17" s="242"/>
      <c r="M17" s="326"/>
      <c r="N17" s="120"/>
      <c r="O17" s="120"/>
      <c r="P17" s="120"/>
      <c r="Q17" s="136"/>
      <c r="R17" s="351"/>
      <c r="S17" s="59"/>
    </row>
    <row r="18" spans="1:19" s="9" customFormat="1" ht="23.4" customHeight="1">
      <c r="A18" s="179">
        <v>7</v>
      </c>
      <c r="B18" s="66" t="s">
        <v>135</v>
      </c>
      <c r="C18" s="166" t="s">
        <v>361</v>
      </c>
      <c r="D18" s="166" t="s">
        <v>204</v>
      </c>
      <c r="E18" s="166"/>
      <c r="F18" s="166" t="s">
        <v>78</v>
      </c>
      <c r="G18" s="170"/>
      <c r="H18" s="58">
        <f>60000+80000</f>
        <v>140000</v>
      </c>
      <c r="I18" s="58">
        <f t="shared" si="0"/>
        <v>2320</v>
      </c>
      <c r="J18" s="170">
        <f>1240+1080</f>
        <v>2320</v>
      </c>
      <c r="K18" s="126"/>
      <c r="L18" s="166"/>
      <c r="M18" s="120"/>
      <c r="N18" s="120">
        <v>1450000</v>
      </c>
      <c r="O18" s="120"/>
      <c r="P18" s="120"/>
      <c r="Q18" s="136"/>
      <c r="R18" s="159">
        <f t="shared" si="1"/>
        <v>1450000</v>
      </c>
      <c r="S18" s="84" t="s">
        <v>362</v>
      </c>
    </row>
    <row r="19" spans="1:19" s="9" customFormat="1" ht="23.4" customHeight="1">
      <c r="A19" s="179">
        <v>8</v>
      </c>
      <c r="B19" s="66" t="s">
        <v>137</v>
      </c>
      <c r="C19" s="166">
        <v>1</v>
      </c>
      <c r="D19" s="166" t="s">
        <v>111</v>
      </c>
      <c r="E19" s="166"/>
      <c r="F19" s="166" t="s">
        <v>55</v>
      </c>
      <c r="G19" s="170"/>
      <c r="H19" s="58">
        <v>8400</v>
      </c>
      <c r="I19" s="58">
        <f t="shared" si="0"/>
        <v>999</v>
      </c>
      <c r="J19" s="170">
        <v>999</v>
      </c>
      <c r="K19" s="126"/>
      <c r="L19" s="166"/>
      <c r="M19" s="120"/>
      <c r="N19" s="120">
        <v>450000</v>
      </c>
      <c r="O19" s="137"/>
      <c r="P19" s="137"/>
      <c r="Q19" s="137"/>
      <c r="R19" s="159">
        <f t="shared" si="1"/>
        <v>450000</v>
      </c>
      <c r="S19" s="84" t="s">
        <v>363</v>
      </c>
    </row>
    <row r="20" spans="1:19" s="9" customFormat="1" ht="23.4" customHeight="1">
      <c r="A20" s="179">
        <v>9</v>
      </c>
      <c r="B20" s="66" t="s">
        <v>137</v>
      </c>
      <c r="C20" s="166">
        <v>10</v>
      </c>
      <c r="D20" s="166" t="s">
        <v>364</v>
      </c>
      <c r="E20" s="166"/>
      <c r="F20" s="166" t="s">
        <v>325</v>
      </c>
      <c r="G20" s="170"/>
      <c r="H20" s="58">
        <v>550000</v>
      </c>
      <c r="I20" s="58">
        <f t="shared" si="0"/>
        <v>1650</v>
      </c>
      <c r="J20" s="170">
        <v>1650</v>
      </c>
      <c r="K20" s="126"/>
      <c r="L20" s="166"/>
      <c r="M20" s="120"/>
      <c r="N20" s="120">
        <v>2200000</v>
      </c>
      <c r="O20" s="120"/>
      <c r="P20" s="120"/>
      <c r="Q20" s="137"/>
      <c r="R20" s="159">
        <f>SUM(M20:Q20)</f>
        <v>2200000</v>
      </c>
      <c r="S20" s="84" t="s">
        <v>21</v>
      </c>
    </row>
    <row r="21" spans="1:19" s="9" customFormat="1" ht="23.4" customHeight="1">
      <c r="A21" s="240">
        <v>10</v>
      </c>
      <c r="B21" s="259" t="s">
        <v>202</v>
      </c>
      <c r="C21" s="166">
        <v>17</v>
      </c>
      <c r="D21" s="166" t="s">
        <v>332</v>
      </c>
      <c r="E21" s="166"/>
      <c r="F21" s="166" t="s">
        <v>53</v>
      </c>
      <c r="G21" s="170"/>
      <c r="H21" s="58">
        <v>19800</v>
      </c>
      <c r="I21" s="58">
        <f t="shared" si="0"/>
        <v>1280</v>
      </c>
      <c r="J21" s="170">
        <v>1280</v>
      </c>
      <c r="K21" s="128"/>
      <c r="L21" s="240">
        <v>3980</v>
      </c>
      <c r="M21" s="120"/>
      <c r="N21" s="120">
        <v>1050000</v>
      </c>
      <c r="O21" s="140"/>
      <c r="P21" s="140"/>
      <c r="Q21" s="137"/>
      <c r="R21" s="350">
        <f>SUM(M21:Q22)</f>
        <v>2150000</v>
      </c>
      <c r="S21" s="84" t="s">
        <v>365</v>
      </c>
    </row>
    <row r="22" spans="1:19" s="9" customFormat="1" ht="23.4" customHeight="1">
      <c r="A22" s="242"/>
      <c r="B22" s="261"/>
      <c r="C22" s="166">
        <v>3</v>
      </c>
      <c r="D22" s="166" t="s">
        <v>96</v>
      </c>
      <c r="E22" s="166"/>
      <c r="F22" s="166" t="s">
        <v>263</v>
      </c>
      <c r="G22" s="170">
        <v>2537</v>
      </c>
      <c r="H22" s="58"/>
      <c r="I22" s="58">
        <f t="shared" si="0"/>
        <v>2537</v>
      </c>
      <c r="J22" s="170"/>
      <c r="K22" s="128"/>
      <c r="L22" s="242"/>
      <c r="M22" s="120">
        <v>1100000</v>
      </c>
      <c r="N22" s="120"/>
      <c r="O22" s="137"/>
      <c r="P22" s="137"/>
      <c r="Q22" s="137"/>
      <c r="R22" s="351"/>
      <c r="S22" s="84"/>
    </row>
    <row r="23" spans="1:19" s="9" customFormat="1" ht="23.4" customHeight="1">
      <c r="A23" s="179">
        <v>11</v>
      </c>
      <c r="B23" s="66" t="s">
        <v>142</v>
      </c>
      <c r="C23" s="166">
        <v>30</v>
      </c>
      <c r="D23" s="166" t="s">
        <v>114</v>
      </c>
      <c r="E23" s="166"/>
      <c r="F23" s="166" t="s">
        <v>83</v>
      </c>
      <c r="G23" s="170"/>
      <c r="H23" s="58">
        <v>324000</v>
      </c>
      <c r="I23" s="58">
        <f t="shared" si="0"/>
        <v>4613</v>
      </c>
      <c r="J23" s="170">
        <v>4613</v>
      </c>
      <c r="K23" s="126"/>
      <c r="L23" s="166"/>
      <c r="M23" s="120"/>
      <c r="N23" s="120">
        <v>2150000</v>
      </c>
      <c r="O23" s="140"/>
      <c r="P23" s="140"/>
      <c r="Q23" s="140"/>
      <c r="R23" s="159">
        <f>SUM(M23:Q23)</f>
        <v>2150000</v>
      </c>
      <c r="S23" s="161" t="s">
        <v>21</v>
      </c>
    </row>
    <row r="24" spans="1:19" s="9" customFormat="1" ht="23.4" customHeight="1">
      <c r="A24" s="179">
        <v>12</v>
      </c>
      <c r="B24" s="66" t="s">
        <v>145</v>
      </c>
      <c r="C24" s="166">
        <v>1</v>
      </c>
      <c r="D24" s="166" t="s">
        <v>115</v>
      </c>
      <c r="E24" s="166"/>
      <c r="F24" s="166" t="s">
        <v>56</v>
      </c>
      <c r="G24" s="170"/>
      <c r="H24" s="58">
        <v>99000</v>
      </c>
      <c r="I24" s="58">
        <f t="shared" si="0"/>
        <v>3088</v>
      </c>
      <c r="J24" s="170">
        <v>3088</v>
      </c>
      <c r="K24" s="11"/>
      <c r="L24" s="166">
        <v>3360</v>
      </c>
      <c r="M24" s="120"/>
      <c r="N24" s="120">
        <v>2350000</v>
      </c>
      <c r="O24" s="140"/>
      <c r="P24" s="140"/>
      <c r="Q24" s="140"/>
      <c r="R24" s="159">
        <f t="shared" ref="R24:R47" si="2">SUM(M24:Q24)</f>
        <v>2350000</v>
      </c>
      <c r="S24" s="161" t="s">
        <v>366</v>
      </c>
    </row>
    <row r="25" spans="1:19" s="9" customFormat="1" ht="23.4" customHeight="1">
      <c r="A25" s="219">
        <v>13</v>
      </c>
      <c r="B25" s="220" t="s">
        <v>206</v>
      </c>
      <c r="C25" s="221"/>
      <c r="D25" s="221" t="s">
        <v>367</v>
      </c>
      <c r="E25" s="221"/>
      <c r="F25" s="221" t="s">
        <v>54</v>
      </c>
      <c r="G25" s="222"/>
      <c r="H25" s="223"/>
      <c r="I25" s="58">
        <f t="shared" si="0"/>
        <v>7214</v>
      </c>
      <c r="J25" s="222"/>
      <c r="K25" s="229">
        <v>7214</v>
      </c>
      <c r="L25" s="221"/>
      <c r="M25" s="230"/>
      <c r="N25" s="230"/>
      <c r="O25" s="231"/>
      <c r="P25" s="231"/>
      <c r="Q25" s="231">
        <v>800000</v>
      </c>
      <c r="R25" s="232">
        <f>SUM(M25:Q25)</f>
        <v>800000</v>
      </c>
      <c r="S25" s="233" t="s">
        <v>368</v>
      </c>
    </row>
    <row r="26" spans="1:19" s="9" customFormat="1" ht="23.4" customHeight="1">
      <c r="A26" s="179">
        <v>14</v>
      </c>
      <c r="B26" s="66" t="s">
        <v>148</v>
      </c>
      <c r="C26" s="166">
        <v>1</v>
      </c>
      <c r="D26" s="166" t="s">
        <v>364</v>
      </c>
      <c r="E26" s="166"/>
      <c r="F26" s="166" t="s">
        <v>325</v>
      </c>
      <c r="G26" s="170"/>
      <c r="H26" s="58">
        <v>550000</v>
      </c>
      <c r="I26" s="58">
        <f t="shared" si="0"/>
        <v>1650</v>
      </c>
      <c r="J26" s="170">
        <v>1650</v>
      </c>
      <c r="K26" s="11"/>
      <c r="L26" s="166"/>
      <c r="M26" s="120"/>
      <c r="N26" s="120">
        <v>2200000</v>
      </c>
      <c r="O26" s="120"/>
      <c r="P26" s="120"/>
      <c r="Q26" s="136"/>
      <c r="R26" s="159">
        <f t="shared" si="2"/>
        <v>2200000</v>
      </c>
      <c r="S26" s="84" t="s">
        <v>21</v>
      </c>
    </row>
    <row r="27" spans="1:19" s="9" customFormat="1" ht="23.4" customHeight="1">
      <c r="A27" s="240">
        <v>15</v>
      </c>
      <c r="B27" s="259" t="s">
        <v>209</v>
      </c>
      <c r="C27" s="166">
        <v>6</v>
      </c>
      <c r="D27" s="166" t="s">
        <v>274</v>
      </c>
      <c r="E27" s="166"/>
      <c r="F27" s="166" t="s">
        <v>78</v>
      </c>
      <c r="G27" s="170"/>
      <c r="H27" s="58">
        <v>51000</v>
      </c>
      <c r="I27" s="58">
        <f t="shared" si="0"/>
        <v>1030</v>
      </c>
      <c r="J27" s="170">
        <v>1030</v>
      </c>
      <c r="K27" s="11"/>
      <c r="L27" s="240">
        <v>4270</v>
      </c>
      <c r="M27" s="120"/>
      <c r="N27" s="325">
        <v>2050000</v>
      </c>
      <c r="O27" s="140"/>
      <c r="P27" s="140"/>
      <c r="Q27" s="140"/>
      <c r="R27" s="350">
        <f>SUM(M27:Q29)</f>
        <v>2450000</v>
      </c>
      <c r="S27" s="84" t="s">
        <v>21</v>
      </c>
    </row>
    <row r="28" spans="1:19" s="9" customFormat="1" ht="23.4" customHeight="1">
      <c r="A28" s="241"/>
      <c r="B28" s="260"/>
      <c r="C28" s="166">
        <v>42</v>
      </c>
      <c r="D28" s="166" t="s">
        <v>85</v>
      </c>
      <c r="E28" s="166"/>
      <c r="F28" s="166" t="s">
        <v>83</v>
      </c>
      <c r="G28" s="170"/>
      <c r="H28" s="117">
        <v>209000</v>
      </c>
      <c r="I28" s="58">
        <f t="shared" si="0"/>
        <v>3149</v>
      </c>
      <c r="J28" s="166">
        <v>3149</v>
      </c>
      <c r="K28" s="11"/>
      <c r="L28" s="241"/>
      <c r="M28" s="166"/>
      <c r="N28" s="326"/>
      <c r="O28" s="166"/>
      <c r="P28" s="170"/>
      <c r="Q28" s="136"/>
      <c r="R28" s="352"/>
      <c r="S28" s="84"/>
    </row>
    <row r="29" spans="1:19" s="9" customFormat="1" ht="23.4" customHeight="1">
      <c r="A29" s="242"/>
      <c r="B29" s="261"/>
      <c r="C29" s="166">
        <v>9</v>
      </c>
      <c r="D29" s="166" t="s">
        <v>100</v>
      </c>
      <c r="E29" s="166"/>
      <c r="F29" s="166" t="s">
        <v>83</v>
      </c>
      <c r="G29" s="170">
        <v>1020</v>
      </c>
      <c r="H29" s="58"/>
      <c r="I29" s="58">
        <f t="shared" si="0"/>
        <v>1020</v>
      </c>
      <c r="J29" s="170"/>
      <c r="K29" s="11"/>
      <c r="L29" s="242"/>
      <c r="M29" s="104">
        <v>300000</v>
      </c>
      <c r="N29" s="120"/>
      <c r="O29" s="120">
        <v>100000</v>
      </c>
      <c r="P29" s="120"/>
      <c r="Q29" s="136"/>
      <c r="R29" s="351"/>
      <c r="S29" s="108" t="s">
        <v>369</v>
      </c>
    </row>
    <row r="30" spans="1:19" s="9" customFormat="1" ht="23.4" customHeight="1">
      <c r="A30" s="328">
        <v>16</v>
      </c>
      <c r="B30" s="259" t="s">
        <v>212</v>
      </c>
      <c r="C30" s="166">
        <v>16</v>
      </c>
      <c r="D30" s="166" t="s">
        <v>57</v>
      </c>
      <c r="E30" s="166"/>
      <c r="F30" s="166" t="s">
        <v>105</v>
      </c>
      <c r="G30" s="170"/>
      <c r="H30" s="58">
        <v>8400</v>
      </c>
      <c r="I30" s="58">
        <f t="shared" si="0"/>
        <v>363</v>
      </c>
      <c r="J30" s="170">
        <v>363</v>
      </c>
      <c r="K30" s="11"/>
      <c r="L30" s="240">
        <v>8120</v>
      </c>
      <c r="M30" s="104"/>
      <c r="N30" s="104">
        <v>350000</v>
      </c>
      <c r="O30" s="120"/>
      <c r="P30" s="120"/>
      <c r="Q30" s="136"/>
      <c r="R30" s="350">
        <f>SUM(M30:Q32)</f>
        <v>2200000</v>
      </c>
      <c r="S30" s="163" t="s">
        <v>21</v>
      </c>
    </row>
    <row r="31" spans="1:19" s="9" customFormat="1" ht="23.4" customHeight="1">
      <c r="A31" s="353"/>
      <c r="B31" s="260"/>
      <c r="C31" s="166" t="s">
        <v>169</v>
      </c>
      <c r="D31" s="166" t="s">
        <v>268</v>
      </c>
      <c r="E31" s="166"/>
      <c r="F31" s="166" t="s">
        <v>130</v>
      </c>
      <c r="G31" s="170">
        <v>3500</v>
      </c>
      <c r="H31" s="58"/>
      <c r="I31" s="58">
        <f t="shared" si="0"/>
        <v>3500</v>
      </c>
      <c r="J31" s="170"/>
      <c r="K31" s="11"/>
      <c r="L31" s="241"/>
      <c r="M31" s="325">
        <v>1850000</v>
      </c>
      <c r="N31" s="120"/>
      <c r="O31" s="120"/>
      <c r="P31" s="120"/>
      <c r="Q31" s="136"/>
      <c r="R31" s="352"/>
      <c r="S31" s="84"/>
    </row>
    <row r="32" spans="1:19" s="9" customFormat="1" ht="23.4" customHeight="1">
      <c r="A32" s="329"/>
      <c r="B32" s="261"/>
      <c r="C32" s="166" t="s">
        <v>370</v>
      </c>
      <c r="D32" s="166" t="s">
        <v>303</v>
      </c>
      <c r="E32" s="166"/>
      <c r="F32" s="166" t="s">
        <v>130</v>
      </c>
      <c r="G32" s="170">
        <f>3040+880</f>
        <v>3920</v>
      </c>
      <c r="H32" s="58"/>
      <c r="I32" s="58">
        <f t="shared" si="0"/>
        <v>3920</v>
      </c>
      <c r="J32" s="170"/>
      <c r="K32" s="11"/>
      <c r="L32" s="242"/>
      <c r="M32" s="326"/>
      <c r="N32" s="120"/>
      <c r="O32" s="120"/>
      <c r="P32" s="120"/>
      <c r="Q32" s="136"/>
      <c r="R32" s="351"/>
      <c r="S32" s="84"/>
    </row>
    <row r="33" spans="1:19" s="9" customFormat="1" ht="23.4" customHeight="1">
      <c r="A33" s="328">
        <v>17</v>
      </c>
      <c r="B33" s="259" t="s">
        <v>214</v>
      </c>
      <c r="C33" s="166">
        <v>7</v>
      </c>
      <c r="D33" s="166" t="s">
        <v>197</v>
      </c>
      <c r="E33" s="166"/>
      <c r="F33" s="166" t="s">
        <v>78</v>
      </c>
      <c r="G33" s="170"/>
      <c r="H33" s="58">
        <v>320000</v>
      </c>
      <c r="I33" s="58">
        <f t="shared" si="0"/>
        <v>960</v>
      </c>
      <c r="J33" s="170">
        <v>960</v>
      </c>
      <c r="K33" s="11"/>
      <c r="L33" s="179"/>
      <c r="M33" s="120"/>
      <c r="N33" s="325">
        <v>1750000</v>
      </c>
      <c r="O33" s="120"/>
      <c r="P33" s="120"/>
      <c r="Q33" s="136"/>
      <c r="R33" s="350">
        <f>SUM(M33:Q34)</f>
        <v>1800000</v>
      </c>
      <c r="S33" s="178" t="s">
        <v>371</v>
      </c>
    </row>
    <row r="34" spans="1:19" s="9" customFormat="1" ht="23.4" customHeight="1">
      <c r="A34" s="329"/>
      <c r="B34" s="261"/>
      <c r="C34" s="166">
        <v>8</v>
      </c>
      <c r="D34" s="166" t="s">
        <v>274</v>
      </c>
      <c r="E34" s="166"/>
      <c r="F34" s="166" t="s">
        <v>78</v>
      </c>
      <c r="G34" s="170"/>
      <c r="H34" s="58">
        <v>40000</v>
      </c>
      <c r="I34" s="58">
        <f t="shared" si="0"/>
        <v>845</v>
      </c>
      <c r="J34" s="170">
        <v>845</v>
      </c>
      <c r="K34" s="11"/>
      <c r="L34" s="179"/>
      <c r="M34" s="120"/>
      <c r="N34" s="326"/>
      <c r="O34" s="120"/>
      <c r="P34" s="120">
        <v>50000</v>
      </c>
      <c r="Q34" s="136"/>
      <c r="R34" s="351"/>
      <c r="S34" s="84" t="s">
        <v>88</v>
      </c>
    </row>
    <row r="35" spans="1:19" s="9" customFormat="1" ht="23.4" customHeight="1">
      <c r="A35" s="180">
        <v>18</v>
      </c>
      <c r="B35" s="172" t="s">
        <v>214</v>
      </c>
      <c r="C35" s="177" t="s">
        <v>372</v>
      </c>
      <c r="D35" s="166" t="s">
        <v>373</v>
      </c>
      <c r="E35" s="166"/>
      <c r="F35" s="166" t="s">
        <v>81</v>
      </c>
      <c r="G35" s="170">
        <v>8500</v>
      </c>
      <c r="H35" s="58"/>
      <c r="I35" s="58">
        <f t="shared" si="0"/>
        <v>8500</v>
      </c>
      <c r="J35" s="11"/>
      <c r="K35" s="11"/>
      <c r="L35" s="179"/>
      <c r="M35" s="120">
        <v>2000000</v>
      </c>
      <c r="N35" s="181"/>
      <c r="O35" s="120"/>
      <c r="P35" s="120"/>
      <c r="Q35" s="136"/>
      <c r="R35" s="183">
        <f>SUM(M35:Q35)</f>
        <v>2000000</v>
      </c>
      <c r="S35" s="84" t="s">
        <v>21</v>
      </c>
    </row>
    <row r="36" spans="1:19" s="9" customFormat="1" ht="23.4" customHeight="1">
      <c r="A36" s="328">
        <v>19</v>
      </c>
      <c r="B36" s="286" t="s">
        <v>215</v>
      </c>
      <c r="C36" s="177">
        <v>22</v>
      </c>
      <c r="D36" s="166" t="s">
        <v>373</v>
      </c>
      <c r="E36" s="166"/>
      <c r="F36" s="166" t="s">
        <v>81</v>
      </c>
      <c r="G36" s="170">
        <v>3500</v>
      </c>
      <c r="H36" s="58"/>
      <c r="I36" s="58">
        <f t="shared" si="0"/>
        <v>6760</v>
      </c>
      <c r="J36" s="11"/>
      <c r="K36" s="11">
        <v>3260</v>
      </c>
      <c r="L36" s="240">
        <v>8600</v>
      </c>
      <c r="M36" s="325">
        <v>2050000</v>
      </c>
      <c r="N36" s="181"/>
      <c r="O36" s="120"/>
      <c r="P36" s="120"/>
      <c r="Q36" s="136">
        <f>K36*400</f>
        <v>1304000</v>
      </c>
      <c r="R36" s="350">
        <f>SUM(M36:Q37)</f>
        <v>3354000</v>
      </c>
      <c r="S36" s="84" t="s">
        <v>45</v>
      </c>
    </row>
    <row r="37" spans="1:19" s="9" customFormat="1" ht="23.4" customHeight="1">
      <c r="A37" s="329"/>
      <c r="B37" s="287"/>
      <c r="C37" s="177">
        <v>23</v>
      </c>
      <c r="D37" s="166" t="s">
        <v>374</v>
      </c>
      <c r="E37" s="166"/>
      <c r="F37" s="166" t="s">
        <v>375</v>
      </c>
      <c r="G37" s="170">
        <v>4308</v>
      </c>
      <c r="H37" s="58"/>
      <c r="I37" s="58">
        <f t="shared" si="0"/>
        <v>4308</v>
      </c>
      <c r="J37" s="11"/>
      <c r="K37" s="11"/>
      <c r="L37" s="242"/>
      <c r="M37" s="326"/>
      <c r="N37" s="181"/>
      <c r="O37" s="120"/>
      <c r="P37" s="120"/>
      <c r="Q37" s="136"/>
      <c r="R37" s="351"/>
      <c r="S37" s="84"/>
    </row>
    <row r="38" spans="1:19" s="9" customFormat="1" ht="23.4" customHeight="1">
      <c r="A38" s="328">
        <v>20</v>
      </c>
      <c r="B38" s="286" t="s">
        <v>221</v>
      </c>
      <c r="C38" s="177">
        <v>22</v>
      </c>
      <c r="D38" s="166" t="s">
        <v>373</v>
      </c>
      <c r="E38" s="166"/>
      <c r="F38" s="166" t="s">
        <v>81</v>
      </c>
      <c r="G38" s="170">
        <v>1540</v>
      </c>
      <c r="H38" s="58"/>
      <c r="I38" s="58">
        <f t="shared" si="0"/>
        <v>2774</v>
      </c>
      <c r="J38" s="11"/>
      <c r="K38" s="11">
        <v>1234</v>
      </c>
      <c r="L38" s="126"/>
      <c r="M38" s="325">
        <v>1200000</v>
      </c>
      <c r="N38" s="181"/>
      <c r="O38" s="120"/>
      <c r="P38" s="120"/>
      <c r="Q38" s="136">
        <f>K38*400</f>
        <v>493600</v>
      </c>
      <c r="R38" s="350">
        <f>SUM(M38:Q39)</f>
        <v>1793600</v>
      </c>
      <c r="S38" s="84" t="s">
        <v>45</v>
      </c>
    </row>
    <row r="39" spans="1:19" s="9" customFormat="1" ht="23.4" customHeight="1">
      <c r="A39" s="329"/>
      <c r="B39" s="287"/>
      <c r="C39" s="177">
        <v>24</v>
      </c>
      <c r="D39" s="166" t="s">
        <v>376</v>
      </c>
      <c r="E39" s="166"/>
      <c r="F39" s="166" t="s">
        <v>377</v>
      </c>
      <c r="G39" s="170">
        <v>897</v>
      </c>
      <c r="H39" s="58"/>
      <c r="I39" s="58">
        <f t="shared" si="0"/>
        <v>897</v>
      </c>
      <c r="J39" s="11"/>
      <c r="K39" s="11"/>
      <c r="L39" s="126"/>
      <c r="M39" s="326"/>
      <c r="N39" s="181"/>
      <c r="O39" s="120">
        <v>100000</v>
      </c>
      <c r="P39" s="120"/>
      <c r="Q39" s="136"/>
      <c r="R39" s="351"/>
      <c r="S39" s="84" t="s">
        <v>378</v>
      </c>
    </row>
    <row r="40" spans="1:19" s="9" customFormat="1" ht="23.4" customHeight="1">
      <c r="A40" s="180">
        <v>21</v>
      </c>
      <c r="B40" s="172" t="s">
        <v>222</v>
      </c>
      <c r="C40" s="177" t="s">
        <v>87</v>
      </c>
      <c r="D40" s="166" t="s">
        <v>379</v>
      </c>
      <c r="E40" s="166"/>
      <c r="F40" s="166" t="s">
        <v>380</v>
      </c>
      <c r="G40" s="170"/>
      <c r="H40" s="58">
        <f>10000+125545</f>
        <v>135545</v>
      </c>
      <c r="I40" s="58">
        <f t="shared" si="0"/>
        <v>3736</v>
      </c>
      <c r="J40" s="170">
        <f>2616+1120</f>
        <v>3736</v>
      </c>
      <c r="K40" s="11"/>
      <c r="L40" s="126"/>
      <c r="M40" s="120"/>
      <c r="N40" s="181">
        <v>2150000</v>
      </c>
      <c r="O40" s="120"/>
      <c r="P40" s="120"/>
      <c r="Q40" s="136"/>
      <c r="R40" s="183">
        <f t="shared" ref="R40:R42" si="3">SUM(M40:Q40)</f>
        <v>2150000</v>
      </c>
      <c r="S40" s="84" t="s">
        <v>21</v>
      </c>
    </row>
    <row r="41" spans="1:19" s="9" customFormat="1" ht="23.4" customHeight="1">
      <c r="A41" s="180">
        <v>22</v>
      </c>
      <c r="B41" s="167" t="s">
        <v>223</v>
      </c>
      <c r="C41" s="179">
        <v>1</v>
      </c>
      <c r="D41" s="166" t="s">
        <v>57</v>
      </c>
      <c r="E41" s="166"/>
      <c r="F41" s="166" t="s">
        <v>105</v>
      </c>
      <c r="G41" s="170"/>
      <c r="H41" s="58">
        <v>28000</v>
      </c>
      <c r="I41" s="58">
        <f t="shared" si="0"/>
        <v>2495</v>
      </c>
      <c r="J41" s="170">
        <v>1766</v>
      </c>
      <c r="K41" s="170">
        <v>729</v>
      </c>
      <c r="L41" s="179">
        <v>1970</v>
      </c>
      <c r="M41" s="120"/>
      <c r="N41" s="181">
        <v>1650000</v>
      </c>
      <c r="O41" s="120"/>
      <c r="P41" s="120"/>
      <c r="Q41" s="136">
        <f>K41*500+100000</f>
        <v>464500</v>
      </c>
      <c r="R41" s="183">
        <f t="shared" si="3"/>
        <v>2114500</v>
      </c>
      <c r="S41" s="84" t="s">
        <v>381</v>
      </c>
    </row>
    <row r="42" spans="1:19" s="9" customFormat="1" ht="23.4" customHeight="1">
      <c r="A42" s="180">
        <v>23</v>
      </c>
      <c r="B42" s="167" t="s">
        <v>225</v>
      </c>
      <c r="C42" s="179">
        <v>15</v>
      </c>
      <c r="D42" s="166" t="s">
        <v>331</v>
      </c>
      <c r="E42" s="166"/>
      <c r="F42" s="166" t="s">
        <v>325</v>
      </c>
      <c r="G42" s="170">
        <v>8335</v>
      </c>
      <c r="H42" s="58"/>
      <c r="I42" s="58">
        <f t="shared" si="0"/>
        <v>8335</v>
      </c>
      <c r="J42" s="11"/>
      <c r="K42" s="11"/>
      <c r="L42" s="179"/>
      <c r="M42" s="120">
        <v>2200000</v>
      </c>
      <c r="N42" s="181"/>
      <c r="O42" s="120"/>
      <c r="P42" s="120"/>
      <c r="Q42" s="136"/>
      <c r="R42" s="183">
        <f t="shared" si="3"/>
        <v>2200000</v>
      </c>
      <c r="S42" s="84" t="s">
        <v>21</v>
      </c>
    </row>
    <row r="43" spans="1:19" s="9" customFormat="1" ht="23.4" customHeight="1">
      <c r="A43" s="328">
        <v>24</v>
      </c>
      <c r="B43" s="259" t="s">
        <v>382</v>
      </c>
      <c r="C43" s="179" t="s">
        <v>383</v>
      </c>
      <c r="D43" s="166" t="s">
        <v>288</v>
      </c>
      <c r="E43" s="166"/>
      <c r="F43" s="166" t="s">
        <v>277</v>
      </c>
      <c r="G43" s="170"/>
      <c r="H43" s="58">
        <f>248400+8000</f>
        <v>256400</v>
      </c>
      <c r="I43" s="58">
        <f t="shared" si="0"/>
        <v>4099</v>
      </c>
      <c r="J43" s="170">
        <f>129+3970</f>
        <v>4099</v>
      </c>
      <c r="K43" s="11"/>
      <c r="L43" s="179"/>
      <c r="M43" s="120"/>
      <c r="N43" s="325">
        <v>1350000</v>
      </c>
      <c r="O43" s="120"/>
      <c r="P43" s="120"/>
      <c r="Q43" s="136"/>
      <c r="R43" s="350">
        <f>SUM(M43:Q44)</f>
        <v>1350000</v>
      </c>
      <c r="S43" s="84" t="s">
        <v>21</v>
      </c>
    </row>
    <row r="44" spans="1:19" s="9" customFormat="1" ht="23.4" customHeight="1">
      <c r="A44" s="329"/>
      <c r="B44" s="261"/>
      <c r="C44" s="179">
        <v>10</v>
      </c>
      <c r="D44" s="166" t="s">
        <v>156</v>
      </c>
      <c r="E44" s="166"/>
      <c r="F44" s="166" t="s">
        <v>302</v>
      </c>
      <c r="G44" s="170"/>
      <c r="H44" s="58">
        <v>20000</v>
      </c>
      <c r="I44" s="58">
        <f t="shared" si="0"/>
        <v>442</v>
      </c>
      <c r="J44" s="170">
        <v>442</v>
      </c>
      <c r="K44" s="11"/>
      <c r="L44" s="179"/>
      <c r="M44" s="120"/>
      <c r="N44" s="326"/>
      <c r="O44" s="120"/>
      <c r="P44" s="120"/>
      <c r="Q44" s="136"/>
      <c r="R44" s="351"/>
      <c r="S44" s="84"/>
    </row>
    <row r="45" spans="1:19" s="9" customFormat="1" ht="23.4" customHeight="1">
      <c r="A45" s="12">
        <v>25</v>
      </c>
      <c r="B45" s="167" t="s">
        <v>384</v>
      </c>
      <c r="C45" s="179" t="s">
        <v>385</v>
      </c>
      <c r="D45" s="166" t="s">
        <v>297</v>
      </c>
      <c r="E45" s="166"/>
      <c r="F45" s="166" t="s">
        <v>130</v>
      </c>
      <c r="G45" s="170">
        <v>6000</v>
      </c>
      <c r="H45" s="58"/>
      <c r="I45" s="58">
        <f t="shared" si="0"/>
        <v>8715</v>
      </c>
      <c r="J45" s="170"/>
      <c r="K45" s="11">
        <v>2715</v>
      </c>
      <c r="L45" s="179"/>
      <c r="M45" s="120">
        <v>1700000</v>
      </c>
      <c r="N45" s="120"/>
      <c r="O45" s="120"/>
      <c r="P45" s="120"/>
      <c r="Q45" s="136">
        <f>K45*400</f>
        <v>1086000</v>
      </c>
      <c r="R45" s="159">
        <f t="shared" si="2"/>
        <v>2786000</v>
      </c>
      <c r="S45" s="84" t="s">
        <v>386</v>
      </c>
    </row>
    <row r="46" spans="1:19" s="9" customFormat="1" ht="23.4" customHeight="1">
      <c r="A46" s="12">
        <v>26</v>
      </c>
      <c r="B46" s="167" t="s">
        <v>387</v>
      </c>
      <c r="C46" s="166">
        <v>14</v>
      </c>
      <c r="D46" s="166" t="s">
        <v>112</v>
      </c>
      <c r="E46" s="166"/>
      <c r="F46" s="166" t="s">
        <v>286</v>
      </c>
      <c r="G46" s="170">
        <v>9000</v>
      </c>
      <c r="H46" s="58"/>
      <c r="I46" s="58">
        <f t="shared" si="0"/>
        <v>9000</v>
      </c>
      <c r="J46" s="170"/>
      <c r="K46" s="170"/>
      <c r="L46" s="166">
        <v>9100</v>
      </c>
      <c r="M46" s="120">
        <v>2100000</v>
      </c>
      <c r="N46" s="120"/>
      <c r="O46" s="120"/>
      <c r="P46" s="120"/>
      <c r="Q46" s="136" t="s">
        <v>388</v>
      </c>
      <c r="R46" s="159">
        <f t="shared" si="2"/>
        <v>2100000</v>
      </c>
      <c r="S46" s="84"/>
    </row>
    <row r="47" spans="1:19" s="9" customFormat="1" ht="23.4" customHeight="1">
      <c r="A47" s="12">
        <v>27</v>
      </c>
      <c r="B47" s="212" t="s">
        <v>389</v>
      </c>
      <c r="C47" s="166" t="s">
        <v>390</v>
      </c>
      <c r="D47" s="166" t="s">
        <v>85</v>
      </c>
      <c r="E47" s="166"/>
      <c r="F47" s="166" t="s">
        <v>83</v>
      </c>
      <c r="G47" s="170"/>
      <c r="H47" s="58">
        <v>407500</v>
      </c>
      <c r="I47" s="58">
        <f t="shared" si="0"/>
        <v>3061</v>
      </c>
      <c r="J47" s="218">
        <v>3061</v>
      </c>
      <c r="K47" s="11"/>
      <c r="L47" s="126"/>
      <c r="M47" s="120"/>
      <c r="N47" s="120">
        <v>2100000</v>
      </c>
      <c r="O47" s="143"/>
      <c r="P47" s="143"/>
      <c r="Q47" s="136"/>
      <c r="R47" s="159">
        <f t="shared" si="2"/>
        <v>2100000</v>
      </c>
      <c r="S47" s="59"/>
    </row>
    <row r="48" spans="1:19" s="9" customFormat="1" ht="23.4" customHeight="1">
      <c r="A48" s="328">
        <v>28</v>
      </c>
      <c r="B48" s="334" t="s">
        <v>391</v>
      </c>
      <c r="C48" s="166" t="s">
        <v>392</v>
      </c>
      <c r="D48" s="166" t="s">
        <v>297</v>
      </c>
      <c r="E48" s="166"/>
      <c r="F48" s="166" t="s">
        <v>130</v>
      </c>
      <c r="G48" s="170">
        <v>3500</v>
      </c>
      <c r="H48" s="58"/>
      <c r="I48" s="58">
        <f t="shared" si="0"/>
        <v>3500</v>
      </c>
      <c r="J48" s="170"/>
      <c r="K48" s="11"/>
      <c r="L48" s="126"/>
      <c r="M48" s="120">
        <v>1000000</v>
      </c>
      <c r="N48" s="104"/>
      <c r="O48" s="120"/>
      <c r="P48" s="120"/>
      <c r="Q48" s="136"/>
      <c r="R48" s="350">
        <f>SUM(M48:Q49)</f>
        <v>2050000</v>
      </c>
      <c r="S48" s="59"/>
    </row>
    <row r="49" spans="1:20" s="9" customFormat="1" ht="23.4" customHeight="1">
      <c r="A49" s="329"/>
      <c r="B49" s="335"/>
      <c r="C49" s="166">
        <v>3</v>
      </c>
      <c r="D49" s="166" t="s">
        <v>393</v>
      </c>
      <c r="E49" s="166"/>
      <c r="F49" s="166" t="s">
        <v>394</v>
      </c>
      <c r="G49" s="170"/>
      <c r="H49" s="170">
        <v>43740</v>
      </c>
      <c r="I49" s="58">
        <f t="shared" si="0"/>
        <v>639</v>
      </c>
      <c r="J49" s="170">
        <v>639</v>
      </c>
      <c r="K49" s="11"/>
      <c r="L49" s="126"/>
      <c r="M49" s="120"/>
      <c r="N49" s="120">
        <v>1050000</v>
      </c>
      <c r="O49" s="120"/>
      <c r="P49" s="120"/>
      <c r="Q49" s="136"/>
      <c r="R49" s="351"/>
      <c r="S49" s="84"/>
    </row>
    <row r="50" spans="1:20" s="30" customFormat="1" ht="27" customHeight="1">
      <c r="A50" s="318" t="s">
        <v>22</v>
      </c>
      <c r="B50" s="319"/>
      <c r="C50" s="319"/>
      <c r="D50" s="319"/>
      <c r="E50" s="319"/>
      <c r="F50" s="320"/>
      <c r="G50" s="28">
        <f>SUM(G8:G49)</f>
        <v>77054</v>
      </c>
      <c r="H50" s="28">
        <f>SUM(H8:H49)</f>
        <v>3821110</v>
      </c>
      <c r="I50" s="28"/>
      <c r="J50" s="28">
        <f>SUM(J8:J49)</f>
        <v>46440</v>
      </c>
      <c r="K50" s="89">
        <f>SUM(L8:L49)</f>
        <v>69140</v>
      </c>
      <c r="L50" s="28">
        <f t="shared" ref="L50:R50" si="4">SUM(L8:L49)</f>
        <v>69140</v>
      </c>
      <c r="M50" s="28">
        <f t="shared" si="4"/>
        <v>20550000</v>
      </c>
      <c r="N50" s="28">
        <f t="shared" si="4"/>
        <v>31950000</v>
      </c>
      <c r="O50" s="28">
        <f t="shared" si="4"/>
        <v>200000</v>
      </c>
      <c r="P50" s="28">
        <f t="shared" si="4"/>
        <v>1125000</v>
      </c>
      <c r="Q50" s="28">
        <f t="shared" si="4"/>
        <v>4148100</v>
      </c>
      <c r="R50" s="28">
        <f t="shared" si="4"/>
        <v>57973100</v>
      </c>
      <c r="S50" s="90"/>
      <c r="T50" s="30">
        <f>SUM(T8:T49)</f>
        <v>0</v>
      </c>
    </row>
    <row r="51" spans="1:20" s="30" customFormat="1" ht="26.4" customHeight="1">
      <c r="A51" s="289" t="s">
        <v>23</v>
      </c>
      <c r="B51" s="289"/>
      <c r="C51" s="289"/>
      <c r="D51" s="289"/>
      <c r="E51" s="289"/>
      <c r="F51" s="289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>
        <f>8%*R50</f>
        <v>4637848</v>
      </c>
      <c r="S51" s="91"/>
      <c r="T51" s="173"/>
    </row>
    <row r="52" spans="1:20" s="30" customFormat="1" ht="27" customHeight="1">
      <c r="A52" s="289" t="s">
        <v>24</v>
      </c>
      <c r="B52" s="289"/>
      <c r="C52" s="289"/>
      <c r="D52" s="289"/>
      <c r="E52" s="289"/>
      <c r="F52" s="289"/>
      <c r="G52" s="28"/>
      <c r="H52" s="28"/>
      <c r="I52" s="28"/>
      <c r="J52" s="28"/>
      <c r="K52" s="89"/>
      <c r="L52" s="28"/>
      <c r="M52" s="28"/>
      <c r="N52" s="28"/>
      <c r="O52" s="28"/>
      <c r="P52" s="28"/>
      <c r="Q52" s="28"/>
      <c r="R52" s="28">
        <f>R51+R50</f>
        <v>62610948</v>
      </c>
      <c r="S52" s="92"/>
    </row>
    <row r="53" spans="1:20" s="30" customFormat="1" ht="28.95" customHeight="1">
      <c r="A53" s="33"/>
      <c r="B53" s="33"/>
      <c r="C53" s="33"/>
      <c r="D53" s="33"/>
      <c r="E53" s="33"/>
      <c r="F53" s="33"/>
      <c r="G53" s="34"/>
      <c r="H53" s="34"/>
      <c r="I53" s="34"/>
      <c r="J53" s="34"/>
      <c r="K53" s="93"/>
      <c r="L53" s="34"/>
      <c r="M53" s="34"/>
      <c r="N53" s="34"/>
      <c r="O53" s="34"/>
      <c r="P53" s="34"/>
      <c r="Q53" s="34"/>
      <c r="R53" s="34"/>
      <c r="S53" s="60"/>
      <c r="T53" s="36"/>
    </row>
    <row r="54" spans="1:20" s="30" customFormat="1" ht="24.6" customHeight="1">
      <c r="A54" s="279" t="s">
        <v>25</v>
      </c>
      <c r="B54" s="279"/>
      <c r="C54" s="279"/>
      <c r="D54" s="279"/>
      <c r="E54" s="279"/>
      <c r="F54" s="279"/>
      <c r="G54" s="37">
        <f>G50</f>
        <v>77054</v>
      </c>
      <c r="H54" s="37"/>
      <c r="I54" s="37"/>
      <c r="J54" s="37"/>
      <c r="K54" s="94"/>
      <c r="L54" s="38">
        <f>G50+J50</f>
        <v>123494</v>
      </c>
      <c r="M54" s="37"/>
      <c r="N54" s="37"/>
      <c r="O54" s="37"/>
      <c r="P54" s="37"/>
      <c r="Q54" s="37"/>
      <c r="R54" s="37">
        <f>M50+O50</f>
        <v>20750000</v>
      </c>
      <c r="S54" s="95">
        <f>R54/G54</f>
        <v>269.29166558517403</v>
      </c>
      <c r="T54" s="40"/>
    </row>
    <row r="55" spans="1:20" s="30" customFormat="1" ht="24.6" customHeight="1">
      <c r="A55" s="279" t="s">
        <v>26</v>
      </c>
      <c r="B55" s="279"/>
      <c r="C55" s="279"/>
      <c r="D55" s="279"/>
      <c r="E55" s="279"/>
      <c r="F55" s="279"/>
      <c r="G55" s="37"/>
      <c r="H55" s="37"/>
      <c r="I55" s="37"/>
      <c r="J55" s="37">
        <f>J50</f>
        <v>46440</v>
      </c>
      <c r="K55" s="94"/>
      <c r="L55" s="37"/>
      <c r="M55" s="37"/>
      <c r="N55" s="37"/>
      <c r="O55" s="37"/>
      <c r="P55" s="37"/>
      <c r="Q55" s="37"/>
      <c r="R55" s="37">
        <f>N50+P50</f>
        <v>33075000</v>
      </c>
      <c r="S55" s="95">
        <f>R55/J55</f>
        <v>712.20930232558135</v>
      </c>
      <c r="T55" s="40"/>
    </row>
    <row r="56" spans="1:20" s="30" customFormat="1" ht="24.6" customHeight="1">
      <c r="A56" s="279" t="s">
        <v>27</v>
      </c>
      <c r="B56" s="279"/>
      <c r="C56" s="279"/>
      <c r="D56" s="279"/>
      <c r="E56" s="279"/>
      <c r="F56" s="279"/>
      <c r="G56" s="37"/>
      <c r="H56" s="37"/>
      <c r="I56" s="37"/>
      <c r="J56" s="37"/>
      <c r="K56" s="94"/>
      <c r="L56" s="37"/>
      <c r="M56" s="37"/>
      <c r="N56" s="37"/>
      <c r="O56" s="37"/>
      <c r="P56" s="37"/>
      <c r="Q56" s="37">
        <f>K50</f>
        <v>69140</v>
      </c>
      <c r="R56" s="37">
        <f>Q50</f>
        <v>4148100</v>
      </c>
      <c r="S56" s="95">
        <f>R56/Q56</f>
        <v>59.995660977726352</v>
      </c>
      <c r="T56" s="40">
        <f>R54+R55+R56</f>
        <v>57973100</v>
      </c>
    </row>
    <row r="57" spans="1:20" s="30" customFormat="1" ht="24.6" hidden="1" customHeight="1">
      <c r="A57" s="279" t="s">
        <v>28</v>
      </c>
      <c r="B57" s="279"/>
      <c r="C57" s="279"/>
      <c r="D57" s="279"/>
      <c r="E57" s="279"/>
      <c r="F57" s="279"/>
      <c r="G57" s="37"/>
      <c r="H57" s="37"/>
      <c r="I57" s="37"/>
      <c r="J57" s="37"/>
      <c r="K57" s="94"/>
      <c r="L57" s="37" t="e">
        <f>SUM(#REF!)</f>
        <v>#REF!</v>
      </c>
      <c r="M57" s="37"/>
      <c r="N57" s="37"/>
      <c r="O57" s="37"/>
      <c r="P57" s="37"/>
      <c r="Q57" s="37"/>
      <c r="R57" s="37" t="e">
        <f>SUM(#REF!)</f>
        <v>#REF!</v>
      </c>
      <c r="S57" s="95" t="e">
        <f>R57/Q57</f>
        <v>#REF!</v>
      </c>
      <c r="T57" s="40" t="e">
        <f>R55+R56+R57</f>
        <v>#REF!</v>
      </c>
    </row>
    <row r="58" spans="1:20" ht="21" customHeight="1">
      <c r="A58" s="41"/>
      <c r="B58" s="41"/>
      <c r="C58" s="3" t="s">
        <v>29</v>
      </c>
      <c r="D58" s="42"/>
      <c r="E58" s="43"/>
      <c r="F58" s="43"/>
      <c r="G58" s="44" t="s">
        <v>80</v>
      </c>
      <c r="H58" s="45"/>
      <c r="I58" s="45"/>
      <c r="J58" s="45"/>
      <c r="K58" s="96"/>
      <c r="L58" s="46"/>
      <c r="N58" s="7">
        <f>+R50-R54-R55-R56</f>
        <v>0</v>
      </c>
      <c r="O58" s="1"/>
      <c r="P58" s="1"/>
      <c r="Q58" s="1"/>
      <c r="R58" s="42" t="s">
        <v>30</v>
      </c>
    </row>
    <row r="59" spans="1:20" ht="21" customHeight="1">
      <c r="B59" s="1"/>
      <c r="D59" s="42"/>
      <c r="E59" s="47"/>
      <c r="F59" s="47"/>
      <c r="G59" s="48"/>
      <c r="H59" s="41"/>
      <c r="I59" s="41"/>
      <c r="J59" s="42"/>
      <c r="K59" s="97"/>
      <c r="L59" s="42"/>
    </row>
    <row r="60" spans="1:20" s="8" customFormat="1" ht="21" customHeight="1">
      <c r="A60" s="1"/>
      <c r="B60" s="1"/>
      <c r="C60" s="3"/>
      <c r="D60" s="3"/>
      <c r="E60" s="3"/>
      <c r="F60" s="3"/>
      <c r="G60" s="49"/>
      <c r="K60" s="98"/>
      <c r="M60" s="4"/>
      <c r="N60" s="4"/>
      <c r="S60" s="3"/>
    </row>
    <row r="61" spans="1:20">
      <c r="B61" s="1"/>
      <c r="E61" s="47"/>
      <c r="F61" s="47"/>
      <c r="G61" s="48"/>
      <c r="H61" s="41"/>
      <c r="I61" s="41"/>
      <c r="J61" s="42"/>
      <c r="K61" s="97"/>
      <c r="L61" s="42"/>
    </row>
    <row r="62" spans="1:20">
      <c r="H62" s="53"/>
      <c r="I62" s="53"/>
      <c r="R62" s="1"/>
    </row>
    <row r="63" spans="1:20">
      <c r="C63" s="55"/>
      <c r="G63" s="44" t="str">
        <f>'[1]A VIEN'!G55</f>
        <v>Đặng Thị Mỹ Tin</v>
      </c>
      <c r="H63" s="53"/>
      <c r="I63" s="53"/>
      <c r="R63" s="7" t="s">
        <v>38</v>
      </c>
    </row>
    <row r="66" spans="19:19">
      <c r="S66" s="61"/>
    </row>
  </sheetData>
  <mergeCells count="79">
    <mergeCell ref="A56:F56"/>
    <mergeCell ref="A57:F57"/>
    <mergeCell ref="A50:F50"/>
    <mergeCell ref="A51:F51"/>
    <mergeCell ref="A52:F52"/>
    <mergeCell ref="A54:F54"/>
    <mergeCell ref="A55:F55"/>
    <mergeCell ref="N43:N44"/>
    <mergeCell ref="R43:R44"/>
    <mergeCell ref="A48:A49"/>
    <mergeCell ref="B48:B49"/>
    <mergeCell ref="R48:R49"/>
    <mergeCell ref="A43:A44"/>
    <mergeCell ref="B43:B44"/>
    <mergeCell ref="M31:M32"/>
    <mergeCell ref="A33:A34"/>
    <mergeCell ref="B33:B34"/>
    <mergeCell ref="N33:N34"/>
    <mergeCell ref="R33:R34"/>
    <mergeCell ref="A30:A32"/>
    <mergeCell ref="B30:B32"/>
    <mergeCell ref="L30:L32"/>
    <mergeCell ref="R30:R32"/>
    <mergeCell ref="R8:R9"/>
    <mergeCell ref="A12:A13"/>
    <mergeCell ref="B12:B13"/>
    <mergeCell ref="L12:L13"/>
    <mergeCell ref="R12:R13"/>
    <mergeCell ref="A38:A39"/>
    <mergeCell ref="B38:B39"/>
    <mergeCell ref="M38:M39"/>
    <mergeCell ref="R38:R39"/>
    <mergeCell ref="A36:A37"/>
    <mergeCell ref="B36:B37"/>
    <mergeCell ref="L36:L37"/>
    <mergeCell ref="M36:M37"/>
    <mergeCell ref="R36:R37"/>
    <mergeCell ref="A27:A29"/>
    <mergeCell ref="B27:B29"/>
    <mergeCell ref="L27:L29"/>
    <mergeCell ref="N27:N28"/>
    <mergeCell ref="R27:R29"/>
    <mergeCell ref="R21:R22"/>
    <mergeCell ref="A10:A11"/>
    <mergeCell ref="B10:B11"/>
    <mergeCell ref="L10:L11"/>
    <mergeCell ref="R10:R11"/>
    <mergeCell ref="N10:N11"/>
    <mergeCell ref="A16:A17"/>
    <mergeCell ref="B16:B17"/>
    <mergeCell ref="L16:L17"/>
    <mergeCell ref="M16:M17"/>
    <mergeCell ref="R16:R17"/>
    <mergeCell ref="O5:P6"/>
    <mergeCell ref="E6:E7"/>
    <mergeCell ref="F6:F7"/>
    <mergeCell ref="A21:A22"/>
    <mergeCell ref="B21:B22"/>
    <mergeCell ref="L21:L22"/>
    <mergeCell ref="A8:A9"/>
    <mergeCell ref="B8:B9"/>
    <mergeCell ref="L8:L9"/>
    <mergeCell ref="N8:N9"/>
    <mergeCell ref="H6:J6"/>
    <mergeCell ref="Q5:Q7"/>
    <mergeCell ref="R5:R7"/>
    <mergeCell ref="S5:S7"/>
    <mergeCell ref="A1:T1"/>
    <mergeCell ref="A2:T2"/>
    <mergeCell ref="A3:T3"/>
    <mergeCell ref="A4:C4"/>
    <mergeCell ref="A5:A7"/>
    <mergeCell ref="B5:B7"/>
    <mergeCell ref="C5:C7"/>
    <mergeCell ref="D5:D7"/>
    <mergeCell ref="E5:F5"/>
    <mergeCell ref="G5:K5"/>
    <mergeCell ref="L5:L7"/>
    <mergeCell ref="M5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P5" sqref="P5"/>
    </sheetView>
  </sheetViews>
  <sheetFormatPr defaultRowHeight="14.4"/>
  <cols>
    <col min="1" max="1" width="5.6640625" customWidth="1"/>
    <col min="2" max="2" width="11.33203125" customWidth="1"/>
    <col min="3" max="3" width="19.77734375" customWidth="1"/>
    <col min="4" max="4" width="13.21875" customWidth="1"/>
    <col min="5" max="5" width="13.109375" customWidth="1"/>
  </cols>
  <sheetData>
    <row r="1" spans="1:5" ht="30.6" customHeight="1">
      <c r="A1" s="125" t="s">
        <v>63</v>
      </c>
      <c r="B1" s="125" t="s">
        <v>64</v>
      </c>
      <c r="C1" s="125" t="s">
        <v>65</v>
      </c>
      <c r="D1" s="125" t="s">
        <v>66</v>
      </c>
      <c r="E1" s="125" t="s">
        <v>67</v>
      </c>
    </row>
    <row r="2" spans="1:5" ht="22.8" customHeight="1">
      <c r="A2" s="121">
        <v>1</v>
      </c>
      <c r="B2" s="121" t="s">
        <v>117</v>
      </c>
      <c r="C2" s="122">
        <f>HIEU!Q55</f>
        <v>32400000</v>
      </c>
      <c r="D2" s="122">
        <f>C2*8%</f>
        <v>2592000</v>
      </c>
      <c r="E2" s="122">
        <f>C2+D2</f>
        <v>34992000</v>
      </c>
    </row>
    <row r="3" spans="1:5" ht="22.8" customHeight="1">
      <c r="A3" s="121">
        <v>2</v>
      </c>
      <c r="B3" s="121" t="s">
        <v>58</v>
      </c>
      <c r="C3" s="122">
        <f>NAM!Q50</f>
        <v>36805000</v>
      </c>
      <c r="D3" s="122">
        <f t="shared" ref="D3:D8" si="0">C3*8%</f>
        <v>2944400</v>
      </c>
      <c r="E3" s="122">
        <f t="shared" ref="E3:E8" si="1">C3+D3</f>
        <v>39749400</v>
      </c>
    </row>
    <row r="4" spans="1:5" ht="22.8" customHeight="1">
      <c r="A4" s="121">
        <v>3</v>
      </c>
      <c r="B4" s="121" t="s">
        <v>59</v>
      </c>
      <c r="C4" s="164">
        <f>TU!P43</f>
        <v>31910000</v>
      </c>
      <c r="D4" s="122">
        <f t="shared" si="0"/>
        <v>2552800</v>
      </c>
      <c r="E4" s="122">
        <f t="shared" si="1"/>
        <v>34462800</v>
      </c>
    </row>
    <row r="5" spans="1:5" ht="22.8" customHeight="1">
      <c r="A5" s="121">
        <v>4</v>
      </c>
      <c r="B5" s="121" t="s">
        <v>60</v>
      </c>
      <c r="C5" s="164">
        <f>HOANG!R50</f>
        <v>38632200</v>
      </c>
      <c r="D5" s="122">
        <f t="shared" si="0"/>
        <v>3090576</v>
      </c>
      <c r="E5" s="122">
        <f t="shared" si="1"/>
        <v>41722776</v>
      </c>
    </row>
    <row r="6" spans="1:5" ht="22.8" customHeight="1">
      <c r="A6" s="121">
        <v>5</v>
      </c>
      <c r="B6" s="121" t="s">
        <v>118</v>
      </c>
      <c r="C6" s="122">
        <f>TUAN!R54</f>
        <v>48269200</v>
      </c>
      <c r="D6" s="122">
        <f t="shared" si="0"/>
        <v>3861536</v>
      </c>
      <c r="E6" s="122">
        <f t="shared" si="1"/>
        <v>52130736</v>
      </c>
    </row>
    <row r="7" spans="1:5" ht="22.8" customHeight="1">
      <c r="A7" s="121">
        <v>6</v>
      </c>
      <c r="B7" s="121" t="s">
        <v>61</v>
      </c>
      <c r="C7" s="122">
        <f>TRON!R47</f>
        <v>43900000</v>
      </c>
      <c r="D7" s="122">
        <f t="shared" si="0"/>
        <v>3512000</v>
      </c>
      <c r="E7" s="122">
        <f t="shared" si="1"/>
        <v>47412000</v>
      </c>
    </row>
    <row r="8" spans="1:5" ht="22.8" customHeight="1">
      <c r="A8" s="121">
        <v>7</v>
      </c>
      <c r="B8" s="121" t="s">
        <v>62</v>
      </c>
      <c r="C8" s="122">
        <f>HUU!R50</f>
        <v>57973100</v>
      </c>
      <c r="D8" s="122">
        <f t="shared" si="0"/>
        <v>4637848</v>
      </c>
      <c r="E8" s="122">
        <f t="shared" si="1"/>
        <v>62610948</v>
      </c>
    </row>
    <row r="9" spans="1:5" ht="22.8" customHeight="1">
      <c r="A9" s="123" t="s">
        <v>68</v>
      </c>
      <c r="B9" s="123"/>
      <c r="C9" s="130">
        <f>SUM(C2:C8)</f>
        <v>289889500</v>
      </c>
      <c r="D9" s="124">
        <f t="shared" ref="D9:E9" si="2">SUM(D2:D8)</f>
        <v>23191160</v>
      </c>
      <c r="E9" s="130">
        <f t="shared" si="2"/>
        <v>313080660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HIEU</vt:lpstr>
      <vt:lpstr>NAM</vt:lpstr>
      <vt:lpstr>TU</vt:lpstr>
      <vt:lpstr>HOANG</vt:lpstr>
      <vt:lpstr>TUAN</vt:lpstr>
      <vt:lpstr>TRON</vt:lpstr>
      <vt:lpstr>HUU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MSI</cp:lastModifiedBy>
  <dcterms:created xsi:type="dcterms:W3CDTF">2023-12-29T07:26:22Z</dcterms:created>
  <dcterms:modified xsi:type="dcterms:W3CDTF">2024-04-26T18:10:56Z</dcterms:modified>
</cp:coreProperties>
</file>