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ynhquang2909/Documents/Bstat Assessment 2/"/>
    </mc:Choice>
  </mc:AlternateContent>
  <xr:revisionPtr revIDLastSave="0" documentId="13_ncr:1_{35FB1B4C-F75D-B044-8A01-0785A4F23C3D}" xr6:coauthVersionLast="47" xr6:coauthVersionMax="47" xr10:uidLastSave="{00000000-0000-0000-0000-000000000000}"/>
  <bookViews>
    <workbookView xWindow="1600" yWindow="2000" windowWidth="26840" windowHeight="14780" activeTab="1" xr2:uid="{DF700CF3-F81D-3B4C-9144-4E072DAD64D2}"/>
  </bookViews>
  <sheets>
    <sheet name="Low-Income Countries" sheetId="4" r:id="rId1"/>
    <sheet name="Dashboard" sheetId="2" r:id="rId2"/>
    <sheet name="High-Income Countries" sheetId="3" r:id="rId3"/>
    <sheet name="Middle-Income Countri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2" l="1" a="1"/>
  <c r="D43" i="2" s="1"/>
  <c r="B43" i="2" a="1"/>
  <c r="B43" i="2" s="1"/>
  <c r="C43" i="2" a="1"/>
  <c r="C43" i="2" s="1"/>
  <c r="B33" i="2"/>
  <c r="A2" i="3" l="1" a="1"/>
  <c r="A2" i="3" s="1"/>
  <c r="A2" i="5" a="1"/>
  <c r="A2" i="5" s="1"/>
  <c r="A2" i="4" a="1"/>
  <c r="B27" i="2"/>
  <c r="B28" i="2"/>
  <c r="C29" i="2"/>
  <c r="A2" i="4" l="1"/>
  <c r="B67" i="2"/>
  <c r="B34" i="2"/>
  <c r="B66" i="2"/>
  <c r="C39" i="2" l="1"/>
  <c r="F3" i="2"/>
  <c r="F4" i="2"/>
  <c r="F5" i="2"/>
  <c r="F6" i="2"/>
  <c r="F7" i="2"/>
  <c r="F8" i="2"/>
  <c r="F9" i="2"/>
  <c r="F10" i="2"/>
  <c r="C27" i="2"/>
  <c r="C28" i="2"/>
  <c r="B29" i="2"/>
  <c r="C30" i="2" l="1"/>
  <c r="D27" i="2"/>
  <c r="B30" i="2"/>
  <c r="D29" i="2"/>
  <c r="C33" i="2"/>
  <c r="C35" i="2"/>
  <c r="C34" i="2"/>
  <c r="B39" i="2"/>
  <c r="D39" i="2"/>
  <c r="B49" i="2"/>
  <c r="B46" i="2"/>
  <c r="C48" i="2"/>
  <c r="D49" i="2"/>
  <c r="D38" i="2"/>
  <c r="C49" i="2"/>
  <c r="D46" i="2"/>
  <c r="C38" i="2"/>
  <c r="D33" i="2"/>
  <c r="C46" i="2"/>
  <c r="B38" i="2"/>
  <c r="D28" i="2"/>
  <c r="D30" i="2" s="1"/>
  <c r="B68" i="2" s="1"/>
  <c r="B71" i="2" s="1"/>
  <c r="D48" i="2"/>
  <c r="D35" i="2"/>
  <c r="B48" i="2"/>
  <c r="B35" i="2"/>
  <c r="D34" i="2"/>
  <c r="B72" i="2" l="1"/>
  <c r="B70" i="2"/>
  <c r="C50" i="2"/>
  <c r="B40" i="2"/>
  <c r="B47" i="2" s="1"/>
  <c r="B50" i="2"/>
  <c r="C40" i="2"/>
  <c r="C47" i="2" s="1"/>
  <c r="D50" i="2"/>
  <c r="D40" i="2"/>
  <c r="B42" i="2" l="1"/>
  <c r="B41" i="2"/>
  <c r="D47" i="2"/>
  <c r="D41" i="2"/>
  <c r="C41" i="2"/>
  <c r="C42" i="2"/>
  <c r="D4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<sst xmlns="http://schemas.openxmlformats.org/spreadsheetml/2006/main" count="109" uniqueCount="77">
  <si>
    <t>Coefficient of Variation</t>
  </si>
  <si>
    <t>Standard Deviation</t>
  </si>
  <si>
    <t>Sample Variance</t>
  </si>
  <si>
    <t>IQR</t>
  </si>
  <si>
    <t>Range</t>
  </si>
  <si>
    <t>Outliers</t>
  </si>
  <si>
    <t>Lower Limit</t>
  </si>
  <si>
    <t>Upper Limit</t>
  </si>
  <si>
    <t>Q3</t>
  </si>
  <si>
    <t>Q1</t>
  </si>
  <si>
    <t>Mode</t>
  </si>
  <si>
    <t>Median</t>
  </si>
  <si>
    <t>Mean</t>
  </si>
  <si>
    <t>Central Tendency</t>
  </si>
  <si>
    <t>Total</t>
  </si>
  <si>
    <t>High-Income Countries (HI)</t>
  </si>
  <si>
    <t>Middle-Income Countries (MI)</t>
  </si>
  <si>
    <t>Low-Income Countries (LI)</t>
  </si>
  <si>
    <t>Total (X)</t>
  </si>
  <si>
    <t>High NMR</t>
  </si>
  <si>
    <t>Low NMR</t>
  </si>
  <si>
    <t>Zimbabwe [ZWE]</t>
  </si>
  <si>
    <t>Zambia [ZMB]</t>
  </si>
  <si>
    <t>Yemen, Rep. [YEM]</t>
  </si>
  <si>
    <t>West Bank and Gaza [PSE]</t>
  </si>
  <si>
    <t>Vietnam [VNM]</t>
  </si>
  <si>
    <t>Vanuatu [VUT]</t>
  </si>
  <si>
    <t>Uzbekistan [UZB]</t>
  </si>
  <si>
    <t>Uruguay [URY]</t>
  </si>
  <si>
    <t>United States [USA]</t>
  </si>
  <si>
    <t>United Kingdom [GBR]</t>
  </si>
  <si>
    <t>United Arab Emirates [ARE]</t>
  </si>
  <si>
    <t>Ukraine [UKR]</t>
  </si>
  <si>
    <t>Uganda [UGA]</t>
  </si>
  <si>
    <t>Turkmenistan [TKM]</t>
  </si>
  <si>
    <t>Turkey [TUR]</t>
  </si>
  <si>
    <t>Tunisia [TUN]</t>
  </si>
  <si>
    <t>Trinidad and Tobago [TTO]</t>
  </si>
  <si>
    <t>Tonga [TON]</t>
  </si>
  <si>
    <t>Togo [TGO]</t>
  </si>
  <si>
    <t>Timor-Leste [TLS]</t>
  </si>
  <si>
    <t>Thailand [THA]</t>
  </si>
  <si>
    <t>Tanzania [TZA]</t>
  </si>
  <si>
    <t>Tajikistan [TJK]</t>
  </si>
  <si>
    <t>GNI per capita (current US$)</t>
  </si>
  <si>
    <t>Mortality rate, neonatal (per 1,000 live births)</t>
  </si>
  <si>
    <t>Country</t>
  </si>
  <si>
    <t>More</t>
  </si>
  <si>
    <t>Frequency</t>
  </si>
  <si>
    <t>Bin</t>
  </si>
  <si>
    <t>Significance Level</t>
  </si>
  <si>
    <t>Confidence Level</t>
  </si>
  <si>
    <t>Population SD</t>
  </si>
  <si>
    <t>Sample SD (S)</t>
  </si>
  <si>
    <t>Sample Mean (X)</t>
  </si>
  <si>
    <t>Sample Size (n)</t>
  </si>
  <si>
    <t>t-value (two-tailed)</t>
  </si>
  <si>
    <t>Lower bound</t>
  </si>
  <si>
    <t>Upper bound</t>
  </si>
  <si>
    <t>Degree of freedom</t>
  </si>
  <si>
    <t>unknown</t>
  </si>
  <si>
    <t>Neonatal mortality rate</t>
  </si>
  <si>
    <t>From 0 to 4</t>
  </si>
  <si>
    <t>From 4 to 8</t>
  </si>
  <si>
    <t>From 8 to 12</t>
  </si>
  <si>
    <t>From 12 to 16</t>
  </si>
  <si>
    <t>From 16 to 20</t>
  </si>
  <si>
    <t>From 20 to 24</t>
  </si>
  <si>
    <t>From 24 to 28</t>
  </si>
  <si>
    <t>Low-Income (LI)</t>
  </si>
  <si>
    <t>Middle-Income (MI)</t>
  </si>
  <si>
    <t>High-Income (HI)</t>
  </si>
  <si>
    <t>Type of countries</t>
  </si>
  <si>
    <t>Contingency Table</t>
  </si>
  <si>
    <t>Identifying Outliers</t>
  </si>
  <si>
    <t>Variation</t>
  </si>
  <si>
    <t>Confidence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</si>
</sst>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0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00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2" fillId="0" borderId="0" xfId="1"/>
    <xf numFmtId="0" fontId="3" fillId="0" borderId="1" xfId="1" applyFont="1" applyBorder="1"/>
    <xf numFmtId="164" fontId="3" fillId="0" borderId="1" xfId="1" applyNumberFormat="1" applyFont="1" applyBorder="1"/>
    <xf numFmtId="0" fontId="4" fillId="0" borderId="1" xfId="1" applyFont="1" applyBorder="1"/>
    <xf numFmtId="164" fontId="5" fillId="0" borderId="2" xfId="1" applyNumberFormat="1" applyFont="1" applyBorder="1"/>
    <xf numFmtId="0" fontId="3" fillId="0" borderId="0" xfId="1" applyFont="1"/>
    <xf numFmtId="3" fontId="3" fillId="0" borderId="0" xfId="1" applyNumberFormat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6" fillId="0" borderId="1" xfId="1" applyFont="1" applyBorder="1" applyAlignment="1">
      <alignment horizontal="center"/>
    </xf>
    <xf numFmtId="165" fontId="3" fillId="0" borderId="1" xfId="1" applyNumberFormat="1" applyFont="1" applyBorder="1"/>
    <xf numFmtId="165" fontId="6" fillId="0" borderId="1" xfId="1" applyNumberFormat="1" applyFont="1" applyBorder="1" applyAlignment="1">
      <alignment horizontal="center" wrapText="1"/>
    </xf>
    <xf numFmtId="164" fontId="6" fillId="0" borderId="1" xfId="1" applyNumberFormat="1" applyFont="1" applyBorder="1" applyAlignment="1">
      <alignment horizontal="center" wrapText="1"/>
    </xf>
    <xf numFmtId="17" fontId="2" fillId="0" borderId="0" xfId="1" applyNumberFormat="1"/>
    <xf numFmtId="16" fontId="2" fillId="0" borderId="0" xfId="1" applyNumberFormat="1"/>
    <xf numFmtId="0" fontId="3" fillId="2" borderId="1" xfId="1" applyFont="1" applyFill="1" applyBorder="1"/>
    <xf numFmtId="0" fontId="0" fillId="0" borderId="3" xfId="0" applyBorder="1"/>
    <xf numFmtId="0" fontId="8" fillId="0" borderId="4" xfId="0" applyFont="1" applyBorder="1" applyAlignment="1">
      <alignment horizontal="center"/>
    </xf>
    <xf numFmtId="0" fontId="0" fillId="0" borderId="6" xfId="0" applyBorder="1"/>
    <xf numFmtId="0" fontId="9" fillId="0" borderId="0" xfId="1" applyFont="1"/>
    <xf numFmtId="164" fontId="5" fillId="0" borderId="7" xfId="1" applyNumberFormat="1" applyFont="1" applyBorder="1"/>
    <xf numFmtId="0" fontId="5" fillId="0" borderId="6" xfId="0" applyFont="1" applyBorder="1"/>
    <xf numFmtId="0" fontId="9" fillId="0" borderId="8" xfId="1" applyFont="1" applyBorder="1"/>
    <xf numFmtId="0" fontId="9" fillId="0" borderId="9" xfId="1" applyFont="1" applyBorder="1"/>
    <xf numFmtId="0" fontId="9" fillId="0" borderId="10" xfId="1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1" fillId="0" borderId="0" xfId="1" applyFont="1"/>
    <xf numFmtId="0" fontId="4" fillId="0" borderId="1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/>
    </xf>
    <xf numFmtId="164" fontId="6" fillId="0" borderId="17" xfId="1" applyNumberFormat="1" applyFont="1" applyBorder="1" applyAlignment="1">
      <alignment horizontal="center" wrapText="1"/>
    </xf>
    <xf numFmtId="165" fontId="6" fillId="0" borderId="18" xfId="1" applyNumberFormat="1" applyFont="1" applyBorder="1" applyAlignment="1">
      <alignment horizontal="center" wrapText="1"/>
    </xf>
    <xf numFmtId="0" fontId="5" fillId="0" borderId="19" xfId="1" applyFont="1" applyBorder="1"/>
    <xf numFmtId="165" fontId="5" fillId="0" borderId="20" xfId="1" applyNumberFormat="1" applyFont="1" applyBorder="1"/>
    <xf numFmtId="0" fontId="5" fillId="0" borderId="21" xfId="1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14" xfId="0" applyFont="1" applyBorder="1"/>
    <xf numFmtId="165" fontId="5" fillId="0" borderId="5" xfId="1" applyNumberFormat="1" applyFont="1" applyBorder="1"/>
    <xf numFmtId="0" fontId="4" fillId="0" borderId="16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0" borderId="16" xfId="1" applyFont="1" applyBorder="1" applyAlignment="1">
      <alignment horizontal="center" wrapText="1"/>
    </xf>
    <xf numFmtId="0" fontId="4" fillId="0" borderId="22" xfId="1" applyFont="1" applyBorder="1" applyAlignment="1">
      <alignment horizontal="center" wrapText="1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"/>
    </xf>
    <xf numFmtId="0" fontId="4" fillId="0" borderId="24" xfId="1" applyFont="1" applyBorder="1" applyAlignment="1">
      <alignment horizontal="center"/>
    </xf>
    <xf numFmtId="164" fontId="4" fillId="0" borderId="25" xfId="1" applyNumberFormat="1" applyFont="1" applyBorder="1" applyAlignment="1">
      <alignment horizontal="center"/>
    </xf>
    <xf numFmtId="0" fontId="4" fillId="0" borderId="26" xfId="1" applyFont="1" applyBorder="1" applyAlignment="1">
      <alignment horizontal="center"/>
    </xf>
    <xf numFmtId="0" fontId="4" fillId="0" borderId="27" xfId="1" applyFont="1" applyBorder="1" applyAlignment="1">
      <alignment horizontal="center"/>
    </xf>
    <xf numFmtId="0" fontId="4" fillId="0" borderId="28" xfId="1" applyFont="1" applyBorder="1" applyAlignment="1">
      <alignment horizontal="center"/>
    </xf>
    <xf numFmtId="0" fontId="4" fillId="0" borderId="16" xfId="1" applyFont="1" applyBorder="1"/>
    <xf numFmtId="0" fontId="4" fillId="0" borderId="22" xfId="1" applyFont="1" applyBorder="1"/>
    <xf numFmtId="0" fontId="4" fillId="0" borderId="23" xfId="1" applyFont="1" applyBorder="1"/>
    <xf numFmtId="0" fontId="4" fillId="0" borderId="24" xfId="1" applyFont="1" applyBorder="1"/>
    <xf numFmtId="0" fontId="4" fillId="0" borderId="25" xfId="1" applyFont="1" applyBorder="1"/>
    <xf numFmtId="0" fontId="4" fillId="0" borderId="26" xfId="1" applyFont="1" applyBorder="1"/>
    <xf numFmtId="0" fontId="4" fillId="0" borderId="27" xfId="1" applyFont="1" applyBorder="1"/>
    <xf numFmtId="0" fontId="4" fillId="0" borderId="28" xfId="1" applyFont="1" applyBorder="1"/>
    <xf numFmtId="0" fontId="11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165" fontId="5" fillId="3" borderId="20" xfId="1" applyNumberFormat="1" applyFont="1" applyFill="1" applyBorder="1"/>
    <xf numFmtId="2" fontId="4" fillId="0" borderId="1" xfId="1" applyNumberFormat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4" fillId="0" borderId="25" xfId="1" applyFont="1" applyBorder="1" applyAlignment="1">
      <alignment horizontal="center"/>
    </xf>
    <xf numFmtId="2" fontId="4" fillId="0" borderId="25" xfId="1" applyNumberFormat="1" applyFont="1" applyBorder="1" applyAlignment="1">
      <alignment horizontal="center"/>
    </xf>
    <xf numFmtId="2" fontId="4" fillId="0" borderId="27" xfId="1" applyNumberFormat="1" applyFont="1" applyBorder="1" applyAlignment="1">
      <alignment horizontal="center"/>
    </xf>
    <xf numFmtId="2" fontId="4" fillId="0" borderId="28" xfId="1" applyNumberFormat="1" applyFont="1" applyBorder="1" applyAlignment="1">
      <alignment horizontal="center"/>
    </xf>
    <xf numFmtId="0" fontId="10" fillId="0" borderId="8" xfId="1" applyFont="1" applyBorder="1" applyAlignment="1">
      <alignment horizontal="center"/>
    </xf>
    <xf numFmtId="9" fontId="10" fillId="0" borderId="10" xfId="1" applyNumberFormat="1" applyFont="1" applyBorder="1" applyAlignment="1">
      <alignment horizontal="center"/>
    </xf>
    <xf numFmtId="0" fontId="10" fillId="0" borderId="11" xfId="1" applyFont="1" applyBorder="1" applyAlignment="1">
      <alignment horizontal="center"/>
    </xf>
    <xf numFmtId="9" fontId="10" fillId="0" borderId="12" xfId="1" applyNumberFormat="1" applyFont="1" applyBorder="1" applyAlignment="1">
      <alignment horizontal="center"/>
    </xf>
    <xf numFmtId="2" fontId="10" fillId="0" borderId="12" xfId="1" applyNumberFormat="1" applyFont="1" applyBorder="1" applyAlignment="1">
      <alignment horizontal="center"/>
    </xf>
    <xf numFmtId="164" fontId="10" fillId="0" borderId="12" xfId="1" applyNumberFormat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43" fontId="10" fillId="0" borderId="12" xfId="1" applyNumberFormat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5" xfId="1" applyFont="1" applyBorder="1" applyAlignment="1">
      <alignment horizontal="center"/>
    </xf>
    <xf numFmtId="0" fontId="7" fillId="0" borderId="0" xfId="1" applyFont="1" applyAlignment="1">
      <alignment horizontal="center"/>
    </xf>
  </cellXfs>
  <cellStyles count="2">
    <cellStyle name="Normal" xfId="0" builtinId="0"/>
    <cellStyle name="Normal 2" xfId="1" xr:uid="{E9C2BA4E-E3C8-5E41-A017-A46355ACB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Neonatal</a:t>
            </a:r>
            <a:r>
              <a:rPr lang="en-US" baseline="0"/>
              <a:t> mortality rate in low-income countries in 2017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'Low-Income Countries'!$A$17:$A$25</c:f>
              <c:strCache>
                <c:ptCount val="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More</c:v>
                </c:pt>
              </c:strCache>
            </c:strRef>
          </c:cat>
          <c:val>
            <c:numRef>
              <c:f>'Low-Income Countries'!$B$17:$B$25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F6-7943-925D-4FF826F27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0791616"/>
        <c:axId val="369009680"/>
      </c:barChart>
      <c:catAx>
        <c:axId val="60079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Neonatal</a:t>
                </a:r>
                <a:r>
                  <a:rPr lang="en-US" baseline="0"/>
                  <a:t> mortality rate (deaths per 1000 live births)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9009680"/>
        <c:crosses val="autoZero"/>
        <c:auto val="1"/>
        <c:lblAlgn val="ctr"/>
        <c:lblOffset val="100"/>
        <c:noMultiLvlLbl val="0"/>
      </c:catAx>
      <c:valAx>
        <c:axId val="369009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07916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Neonatal</a:t>
            </a:r>
            <a:r>
              <a:rPr lang="en-US" baseline="0"/>
              <a:t> mortality rate in middle-income countries in 2017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'Middle-Income Countries'!$A$17:$A$25</c:f>
              <c:strCache>
                <c:ptCount val="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More</c:v>
                </c:pt>
              </c:strCache>
            </c:strRef>
          </c:cat>
          <c:val>
            <c:numRef>
              <c:f>'Middle-Income Countries'!$B$17:$B$25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E-8341-8FCC-52AA2D41C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920912"/>
        <c:axId val="660592031"/>
      </c:barChart>
      <c:catAx>
        <c:axId val="14292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Neonatal</a:t>
                </a:r>
                <a:r>
                  <a:rPr lang="en-US" baseline="0"/>
                  <a:t> mortality rate (deaths per 1000 live births)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0592031"/>
        <c:crosses val="autoZero"/>
        <c:auto val="1"/>
        <c:lblAlgn val="ctr"/>
        <c:lblOffset val="100"/>
        <c:noMultiLvlLbl val="0"/>
      </c:catAx>
      <c:valAx>
        <c:axId val="6605920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9209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Neonatal</a:t>
            </a:r>
            <a:r>
              <a:rPr lang="en-US" baseline="0"/>
              <a:t> mortality rate in high-income countries in 2017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'High-Income Countries'!$A$17:$A$25</c:f>
              <c:strCache>
                <c:ptCount val="9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More</c:v>
                </c:pt>
              </c:strCache>
            </c:strRef>
          </c:cat>
          <c:val>
            <c:numRef>
              <c:f>'High-Income Countries'!$B$17:$B$25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41-4A4F-9FEB-7C9941905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0450208"/>
        <c:axId val="359581696"/>
      </c:barChart>
      <c:catAx>
        <c:axId val="410450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Neonatal</a:t>
                </a:r>
                <a:r>
                  <a:rPr lang="en-US" baseline="0"/>
                  <a:t> mortality rate (deaths per 1000 live births)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9581696"/>
        <c:crosses val="autoZero"/>
        <c:auto val="1"/>
        <c:lblAlgn val="ctr"/>
        <c:lblOffset val="100"/>
        <c:noMultiLvlLbl val="0"/>
      </c:catAx>
      <c:valAx>
        <c:axId val="3595816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04502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635000</xdr:colOff>
      <xdr:row>58</xdr:row>
      <xdr:rowOff>114300</xdr:rowOff>
    </xdr:from>
    <xdr:ext cx="65" cy="1720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F27310-EA5A-0847-CE35-96B9168583F9}"/>
            </a:ext>
          </a:extLst>
        </xdr:cNvPr>
        <xdr:cNvSpPr txBox="1"/>
      </xdr:nvSpPr>
      <xdr:spPr>
        <a:xfrm>
          <a:off x="6007100" y="11391900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5</xdr:col>
      <xdr:colOff>47037</xdr:colOff>
      <xdr:row>1</xdr:row>
      <xdr:rowOff>11759</xdr:rowOff>
    </xdr:from>
    <xdr:to>
      <xdr:col>11</xdr:col>
      <xdr:colOff>5789</xdr:colOff>
      <xdr:row>10</xdr:row>
      <xdr:rowOff>178197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BE730C-D351-0140-B5ED-91E65329C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67734</xdr:colOff>
      <xdr:row>13</xdr:row>
      <xdr:rowOff>16933</xdr:rowOff>
    </xdr:from>
    <xdr:to>
      <xdr:col>11</xdr:col>
      <xdr:colOff>67734</xdr:colOff>
      <xdr:row>23</xdr:row>
      <xdr:rowOff>16934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F5EF58-53C8-2942-AE38-DE8263C87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939800</xdr:colOff>
      <xdr:row>25</xdr:row>
      <xdr:rowOff>12700</xdr:rowOff>
    </xdr:from>
    <xdr:to>
      <xdr:col>10</xdr:col>
      <xdr:colOff>904132</xdr:colOff>
      <xdr:row>34</xdr:row>
      <xdr:rowOff>138889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43DFF2D-B55D-F242-BD19-277BBE601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769749</xdr:colOff>
      <xdr:row>60</xdr:row>
      <xdr:rowOff>70172</xdr:rowOff>
    </xdr:from>
    <xdr:ext cx="65" cy="17209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6C0BA2-7AFB-AA9C-C2F9-733BF7F8CD73}"/>
            </a:ext>
          </a:extLst>
        </xdr:cNvPr>
        <xdr:cNvSpPr txBox="1"/>
      </xdr:nvSpPr>
      <xdr:spPr>
        <a:xfrm>
          <a:off x="6628523" y="12231021"/>
          <a:ext cx="65" cy="172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3487-48C8-3442-AAD6-FAC348B2178D}">
  <sheetPr>
    <outlinePr summaryBelow="0" summaryRight="0"/>
  </sheetPr>
  <dimension ref="A1:E25"/>
  <sheetViews>
    <sheetView topLeftCell="A15" zoomScale="163" zoomScaleNormal="144" workbookViewId="0">
      <selection activeCell="C8" sqref="C8"/>
    </sheetView>
  </sheetViews>
  <sheetFormatPr baseColWidth="10" defaultColWidth="12.6640625" defaultRowHeight="15.75" customHeight="1" x14ac:dyDescent="0.2"/>
  <cols>
    <col min="1" max="16384" width="12.6640625" style="1"/>
  </cols>
  <sheetData>
    <row r="1" spans="1:5" ht="64" x14ac:dyDescent="0.2">
      <c r="A1" s="10" t="s">
        <v>46</v>
      </c>
      <c r="B1" s="13" t="s">
        <v>45</v>
      </c>
      <c r="C1" s="12" t="s">
        <v>44</v>
      </c>
      <c r="E1" t="s">
        <v>49</v>
      </c>
    </row>
    <row r="2" spans="1:5" ht="15.75" customHeight="1" x14ac:dyDescent="0.2">
      <c r="A2" s="2" t="str" cm="1">
        <f t="array" ref="A2:C6">_xlfn._xlws.FILTER(Dashboard!A2:C24, Dashboard!C2:C24 &lt; 1000)</f>
        <v>Tajikistan [TJK]</v>
      </c>
      <c r="B2" s="3">
        <v>15.4</v>
      </c>
      <c r="C2" s="11">
        <v>942.89983404835505</v>
      </c>
      <c r="E2">
        <v>0</v>
      </c>
    </row>
    <row r="3" spans="1:5" ht="15.75" customHeight="1" x14ac:dyDescent="0.2">
      <c r="A3" s="2" t="str">
        <v>Tanzania [TZA]</v>
      </c>
      <c r="B3" s="3">
        <v>21.7</v>
      </c>
      <c r="C3" s="11">
        <v>981.96264243829899</v>
      </c>
      <c r="E3">
        <v>4</v>
      </c>
    </row>
    <row r="4" spans="1:5" ht="15.75" customHeight="1" x14ac:dyDescent="0.2">
      <c r="A4" s="2" t="str">
        <v>Togo [TGO]</v>
      </c>
      <c r="B4" s="3">
        <v>25.3</v>
      </c>
      <c r="C4" s="11">
        <v>626.74027263545304</v>
      </c>
      <c r="E4">
        <v>8</v>
      </c>
    </row>
    <row r="5" spans="1:5" ht="15.75" customHeight="1" x14ac:dyDescent="0.2">
      <c r="A5" s="2" t="str">
        <v>Uganda [UGA]</v>
      </c>
      <c r="B5" s="3">
        <v>20.399999999999999</v>
      </c>
      <c r="C5" s="11">
        <v>729.61522353165299</v>
      </c>
      <c r="E5">
        <v>12</v>
      </c>
    </row>
    <row r="6" spans="1:5" ht="15.75" customHeight="1" x14ac:dyDescent="0.2">
      <c r="A6" s="2" t="str">
        <v>Yemen, Rep. [YEM]</v>
      </c>
      <c r="B6" s="3">
        <v>27</v>
      </c>
      <c r="C6" s="11">
        <v>882.39575851096595</v>
      </c>
      <c r="E6">
        <v>16</v>
      </c>
    </row>
    <row r="7" spans="1:5" ht="15.75" customHeight="1" x14ac:dyDescent="0.2">
      <c r="E7">
        <v>20</v>
      </c>
    </row>
    <row r="8" spans="1:5" ht="15.75" customHeight="1" x14ac:dyDescent="0.2">
      <c r="A8" s="89"/>
      <c r="B8" s="89"/>
      <c r="E8">
        <v>24</v>
      </c>
    </row>
    <row r="9" spans="1:5" ht="15.75" customHeight="1" x14ac:dyDescent="0.2">
      <c r="E9">
        <v>28</v>
      </c>
    </row>
    <row r="15" spans="1:5" ht="15.75" customHeight="1" thickBot="1" x14ac:dyDescent="0.25"/>
    <row r="16" spans="1:5" ht="15.75" customHeight="1" x14ac:dyDescent="0.2">
      <c r="A16" s="18" t="s">
        <v>49</v>
      </c>
      <c r="B16" s="18" t="s">
        <v>48</v>
      </c>
    </row>
    <row r="17" spans="1:2" ht="15.75" customHeight="1" x14ac:dyDescent="0.2">
      <c r="A17">
        <v>0</v>
      </c>
      <c r="B17">
        <v>0</v>
      </c>
    </row>
    <row r="18" spans="1:2" ht="15.75" customHeight="1" x14ac:dyDescent="0.2">
      <c r="A18">
        <v>4</v>
      </c>
      <c r="B18">
        <v>0</v>
      </c>
    </row>
    <row r="19" spans="1:2" ht="15.75" customHeight="1" x14ac:dyDescent="0.2">
      <c r="A19">
        <v>8</v>
      </c>
      <c r="B19">
        <v>0</v>
      </c>
    </row>
    <row r="20" spans="1:2" ht="15.75" customHeight="1" x14ac:dyDescent="0.2">
      <c r="A20">
        <v>12</v>
      </c>
      <c r="B20">
        <v>0</v>
      </c>
    </row>
    <row r="21" spans="1:2" ht="15.75" customHeight="1" x14ac:dyDescent="0.2">
      <c r="A21">
        <v>16</v>
      </c>
      <c r="B21">
        <v>1</v>
      </c>
    </row>
    <row r="22" spans="1:2" ht="15.75" customHeight="1" x14ac:dyDescent="0.2">
      <c r="A22">
        <v>20</v>
      </c>
      <c r="B22">
        <v>0</v>
      </c>
    </row>
    <row r="23" spans="1:2" ht="15.75" customHeight="1" x14ac:dyDescent="0.2">
      <c r="A23">
        <v>24</v>
      </c>
      <c r="B23">
        <v>2</v>
      </c>
    </row>
    <row r="24" spans="1:2" ht="15.75" customHeight="1" x14ac:dyDescent="0.2">
      <c r="A24">
        <v>28</v>
      </c>
      <c r="B24">
        <v>2</v>
      </c>
    </row>
    <row r="25" spans="1:2" ht="15.75" customHeight="1" thickBot="1" x14ac:dyDescent="0.25">
      <c r="A25" s="17" t="s">
        <v>47</v>
      </c>
      <c r="B25" s="17">
        <v>0</v>
      </c>
    </row>
  </sheetData>
  <sortState xmlns:xlrd2="http://schemas.microsoft.com/office/spreadsheetml/2017/richdata2" ref="A17:A24">
    <sortCondition ref="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129A-7DD0-C444-AC68-97F9FA1DC118}">
  <sheetPr>
    <outlinePr summaryBelow="0" summaryRight="0"/>
  </sheetPr>
  <dimension ref="A1:H73"/>
  <sheetViews>
    <sheetView tabSelected="1" topLeftCell="A28" zoomScale="117" zoomScaleNormal="87" workbookViewId="0">
      <selection activeCell="B72" sqref="B72"/>
    </sheetView>
  </sheetViews>
  <sheetFormatPr baseColWidth="10" defaultColWidth="12.6640625" defaultRowHeight="15.75" customHeight="1" x14ac:dyDescent="0.2"/>
  <cols>
    <col min="1" max="1" width="23.33203125" style="1" customWidth="1"/>
    <col min="2" max="2" width="18.5" style="1" customWidth="1"/>
    <col min="3" max="3" width="19.33203125" style="1" customWidth="1"/>
    <col min="4" max="4" width="15.6640625" style="1" customWidth="1"/>
    <col min="5" max="16384" width="12.6640625" style="1"/>
  </cols>
  <sheetData>
    <row r="1" spans="1:8" ht="48" x14ac:dyDescent="0.2">
      <c r="A1" s="33" t="s">
        <v>46</v>
      </c>
      <c r="B1" s="34" t="s">
        <v>45</v>
      </c>
      <c r="C1" s="35" t="s">
        <v>44</v>
      </c>
      <c r="E1"/>
      <c r="F1" s="9"/>
      <c r="G1" s="8"/>
    </row>
    <row r="2" spans="1:8" ht="16" x14ac:dyDescent="0.2">
      <c r="A2" s="36" t="s">
        <v>43</v>
      </c>
      <c r="B2" s="5">
        <v>15.4</v>
      </c>
      <c r="C2" s="37">
        <v>942.89983404835505</v>
      </c>
      <c r="E2"/>
      <c r="H2" s="7"/>
    </row>
    <row r="3" spans="1:8" ht="16" x14ac:dyDescent="0.2">
      <c r="A3" s="36" t="s">
        <v>42</v>
      </c>
      <c r="B3" s="5">
        <v>21.7</v>
      </c>
      <c r="C3" s="37">
        <v>981.96264243829899</v>
      </c>
      <c r="E3"/>
      <c r="F3" s="6" t="str">
        <f t="shared" ref="F3:F10" si="0">IF(C3:C25 &lt; H$2, A2:A25, "")</f>
        <v/>
      </c>
    </row>
    <row r="4" spans="1:8" ht="16" x14ac:dyDescent="0.2">
      <c r="A4" s="36" t="s">
        <v>41</v>
      </c>
      <c r="B4" s="5">
        <v>5.3</v>
      </c>
      <c r="C4" s="72">
        <v>6297.5295316792899</v>
      </c>
      <c r="E4"/>
      <c r="F4" s="6" t="str">
        <f t="shared" si="0"/>
        <v/>
      </c>
    </row>
    <row r="5" spans="1:8" ht="16" x14ac:dyDescent="0.2">
      <c r="A5" s="36" t="s">
        <v>40</v>
      </c>
      <c r="B5" s="5">
        <v>20.9</v>
      </c>
      <c r="C5" s="37">
        <v>1835.84537854011</v>
      </c>
      <c r="E5"/>
      <c r="F5" s="6" t="str">
        <f t="shared" si="0"/>
        <v/>
      </c>
    </row>
    <row r="6" spans="1:8" ht="16" x14ac:dyDescent="0.2">
      <c r="A6" s="36" t="s">
        <v>39</v>
      </c>
      <c r="B6" s="5">
        <v>25.3</v>
      </c>
      <c r="C6" s="37">
        <v>626.74027263545304</v>
      </c>
      <c r="E6"/>
      <c r="F6" s="6" t="str">
        <f t="shared" si="0"/>
        <v/>
      </c>
    </row>
    <row r="7" spans="1:8" ht="16" x14ac:dyDescent="0.2">
      <c r="A7" s="36" t="s">
        <v>38</v>
      </c>
      <c r="B7" s="5">
        <v>6.7</v>
      </c>
      <c r="C7" s="72">
        <v>4283.8947762630496</v>
      </c>
      <c r="E7"/>
      <c r="F7" s="6" t="str">
        <f t="shared" si="0"/>
        <v/>
      </c>
    </row>
    <row r="8" spans="1:8" ht="16" x14ac:dyDescent="0.2">
      <c r="A8" s="36" t="s">
        <v>37</v>
      </c>
      <c r="B8" s="5">
        <v>12.1</v>
      </c>
      <c r="C8" s="37">
        <v>16272.1658934061</v>
      </c>
      <c r="E8"/>
      <c r="F8" s="6" t="str">
        <f t="shared" si="0"/>
        <v/>
      </c>
    </row>
    <row r="9" spans="1:8" ht="16" x14ac:dyDescent="0.2">
      <c r="A9" s="36" t="s">
        <v>36</v>
      </c>
      <c r="B9" s="5">
        <v>11.5</v>
      </c>
      <c r="C9" s="72">
        <v>3370.6911043955802</v>
      </c>
      <c r="E9"/>
      <c r="F9" s="6" t="str">
        <f t="shared" si="0"/>
        <v/>
      </c>
    </row>
    <row r="10" spans="1:8" ht="15" x14ac:dyDescent="0.2">
      <c r="A10" s="36" t="s">
        <v>35</v>
      </c>
      <c r="B10" s="5">
        <v>5.7</v>
      </c>
      <c r="C10" s="72">
        <v>10376.8809790998</v>
      </c>
      <c r="F10" s="6" t="str">
        <f t="shared" si="0"/>
        <v/>
      </c>
    </row>
    <row r="11" spans="1:8" ht="15" x14ac:dyDescent="0.2">
      <c r="A11" s="36" t="s">
        <v>34</v>
      </c>
      <c r="B11" s="5">
        <v>21.4</v>
      </c>
      <c r="C11" s="37">
        <v>6313.7157961469702</v>
      </c>
    </row>
    <row r="12" spans="1:8" ht="15" x14ac:dyDescent="0.2">
      <c r="A12" s="36" t="s">
        <v>33</v>
      </c>
      <c r="B12" s="5">
        <v>20.399999999999999</v>
      </c>
      <c r="C12" s="37">
        <v>729.61522353165299</v>
      </c>
    </row>
    <row r="13" spans="1:8" ht="15" x14ac:dyDescent="0.2">
      <c r="A13" s="36" t="s">
        <v>32</v>
      </c>
      <c r="B13" s="5">
        <v>5.3</v>
      </c>
      <c r="C13" s="72">
        <v>2701.3787928706602</v>
      </c>
    </row>
    <row r="14" spans="1:8" ht="15" x14ac:dyDescent="0.2">
      <c r="A14" s="36" t="s">
        <v>31</v>
      </c>
      <c r="B14" s="5">
        <v>4.0999999999999996</v>
      </c>
      <c r="C14" s="37">
        <v>40937.556247762397</v>
      </c>
    </row>
    <row r="15" spans="1:8" ht="15" x14ac:dyDescent="0.2">
      <c r="A15" s="38" t="s">
        <v>30</v>
      </c>
      <c r="B15" s="21">
        <v>2.6</v>
      </c>
      <c r="C15" s="37">
        <v>39880.217147875002</v>
      </c>
    </row>
    <row r="16" spans="1:8" ht="15" x14ac:dyDescent="0.2">
      <c r="A16" s="39" t="s">
        <v>29</v>
      </c>
      <c r="B16" s="22">
        <v>3.6</v>
      </c>
      <c r="C16" s="37">
        <v>61018.951984814303</v>
      </c>
    </row>
    <row r="17" spans="1:4" ht="15" x14ac:dyDescent="0.2">
      <c r="A17" s="39" t="s">
        <v>28</v>
      </c>
      <c r="B17" s="22">
        <v>4.7</v>
      </c>
      <c r="C17" s="37">
        <v>16291.3041222551</v>
      </c>
    </row>
    <row r="18" spans="1:4" ht="15" x14ac:dyDescent="0.2">
      <c r="A18" s="39" t="s">
        <v>27</v>
      </c>
      <c r="B18" s="22">
        <v>12.3</v>
      </c>
      <c r="C18" s="37">
        <v>1863.9529335817199</v>
      </c>
    </row>
    <row r="19" spans="1:4" ht="15" x14ac:dyDescent="0.2">
      <c r="A19" s="39" t="s">
        <v>26</v>
      </c>
      <c r="B19" s="22">
        <v>11.8</v>
      </c>
      <c r="C19" s="72">
        <v>3044.28449743285</v>
      </c>
    </row>
    <row r="20" spans="1:4" ht="15" x14ac:dyDescent="0.2">
      <c r="A20" s="39" t="s">
        <v>25</v>
      </c>
      <c r="B20" s="22">
        <v>10.8</v>
      </c>
      <c r="C20" s="72">
        <v>2187.3561083290101</v>
      </c>
    </row>
    <row r="21" spans="1:4" ht="15" x14ac:dyDescent="0.2">
      <c r="A21" s="39" t="s">
        <v>24</v>
      </c>
      <c r="B21" s="22">
        <v>11.1</v>
      </c>
      <c r="C21" s="72">
        <v>3701.62105860975</v>
      </c>
    </row>
    <row r="22" spans="1:4" ht="15" x14ac:dyDescent="0.2">
      <c r="A22" s="39" t="s">
        <v>23</v>
      </c>
      <c r="B22" s="22">
        <v>27</v>
      </c>
      <c r="C22" s="37">
        <v>882.39575851096595</v>
      </c>
    </row>
    <row r="23" spans="1:4" ht="15" x14ac:dyDescent="0.2">
      <c r="A23" s="39" t="s">
        <v>22</v>
      </c>
      <c r="B23" s="22">
        <v>24</v>
      </c>
      <c r="C23" s="37">
        <v>1466.9448896138299</v>
      </c>
    </row>
    <row r="24" spans="1:4" ht="16" thickBot="1" x14ac:dyDescent="0.25">
      <c r="A24" s="40" t="s">
        <v>21</v>
      </c>
      <c r="B24" s="41">
        <v>21.5</v>
      </c>
      <c r="C24" s="42">
        <v>1410.4064377074999</v>
      </c>
    </row>
    <row r="25" spans="1:4" ht="15.75" customHeight="1" thickBot="1" x14ac:dyDescent="0.25">
      <c r="A25"/>
      <c r="B25" s="71" t="s">
        <v>73</v>
      </c>
    </row>
    <row r="26" spans="1:4" ht="16" x14ac:dyDescent="0.2">
      <c r="A26" s="43" t="s">
        <v>72</v>
      </c>
      <c r="B26" s="44" t="s">
        <v>20</v>
      </c>
      <c r="C26" s="44" t="s">
        <v>19</v>
      </c>
      <c r="D26" s="45" t="s">
        <v>18</v>
      </c>
    </row>
    <row r="27" spans="1:4" ht="16" x14ac:dyDescent="0.2">
      <c r="A27" s="46" t="s">
        <v>17</v>
      </c>
      <c r="B27" s="32">
        <f>COUNTIFS(C2:C24, "&lt;1000", B2:B24, "&lt;15")</f>
        <v>0</v>
      </c>
      <c r="C27" s="32">
        <f>COUNTIFS(C2:C24, "&lt;1000", B2:B24, "&gt;= 15")</f>
        <v>5</v>
      </c>
      <c r="D27" s="47">
        <f>B27 +C27</f>
        <v>5</v>
      </c>
    </row>
    <row r="28" spans="1:4" ht="16" x14ac:dyDescent="0.2">
      <c r="A28" s="46" t="s">
        <v>16</v>
      </c>
      <c r="B28" s="32">
        <f>COUNTIFS(C2:C24, "&gt;=1000", C2:C24,"&lt;12,500", B2:B24, "&lt;15")</f>
        <v>9</v>
      </c>
      <c r="C28" s="32">
        <f>COUNTIFS(C2:C24, "&gt;=1000", C2:C24, "&lt;=12,500", B2:B24, "&gt;=15")</f>
        <v>4</v>
      </c>
      <c r="D28" s="47">
        <f>B28+C28</f>
        <v>13</v>
      </c>
    </row>
    <row r="29" spans="1:4" ht="16" x14ac:dyDescent="0.2">
      <c r="A29" s="46" t="s">
        <v>15</v>
      </c>
      <c r="B29" s="32">
        <f>COUNTIFS(C2:C24, "&gt;12,500", B2:B24, "&lt;15")</f>
        <v>5</v>
      </c>
      <c r="C29" s="32">
        <f>COUNTIFS(C4:C26, "&gt;12,500", B4:B26, "&gt;= 15")</f>
        <v>0</v>
      </c>
      <c r="D29" s="47">
        <f>B29 +C28:C29</f>
        <v>5</v>
      </c>
    </row>
    <row r="30" spans="1:4" ht="17" thickBot="1" x14ac:dyDescent="0.25">
      <c r="A30" s="48" t="s">
        <v>14</v>
      </c>
      <c r="B30" s="49">
        <f>B27+B28+B29</f>
        <v>14</v>
      </c>
      <c r="C30" s="49">
        <f>C27+C28+C29</f>
        <v>9</v>
      </c>
      <c r="D30" s="50">
        <f>D27+D28+D29</f>
        <v>23</v>
      </c>
    </row>
    <row r="31" spans="1:4" ht="15.75" customHeight="1" thickBot="1" x14ac:dyDescent="0.25">
      <c r="B31" s="70" t="s">
        <v>13</v>
      </c>
    </row>
    <row r="32" spans="1:4" ht="15.75" customHeight="1" x14ac:dyDescent="0.2">
      <c r="A32" s="53" t="s">
        <v>13</v>
      </c>
      <c r="B32" s="54" t="s">
        <v>69</v>
      </c>
      <c r="C32" s="55" t="s">
        <v>70</v>
      </c>
      <c r="D32" s="56" t="s">
        <v>71</v>
      </c>
    </row>
    <row r="33" spans="1:4" ht="15.75" customHeight="1" x14ac:dyDescent="0.2">
      <c r="A33" s="57" t="s">
        <v>12</v>
      </c>
      <c r="B33" s="52">
        <f>AVERAGE('Low-Income Countries'!B2:B6)</f>
        <v>21.96</v>
      </c>
      <c r="C33" s="52">
        <f>AVERAGE('Middle-Income Countries'!B2:B14)</f>
        <v>12.946153846153845</v>
      </c>
      <c r="D33" s="58">
        <f>AVERAGE('High-Income Countries'!B2:B6)</f>
        <v>5.42</v>
      </c>
    </row>
    <row r="34" spans="1:4" ht="15.75" customHeight="1" x14ac:dyDescent="0.2">
      <c r="A34" s="57" t="s">
        <v>11</v>
      </c>
      <c r="B34" s="52">
        <f>MEDIAN('Low-Income Countries'!B2:B6)</f>
        <v>21.7</v>
      </c>
      <c r="C34" s="52">
        <f>MEDIAN('Middle-Income Countries'!B2:B14)</f>
        <v>11.5</v>
      </c>
      <c r="D34" s="58">
        <f>MEDIAN('High-Income Countries'!B2:B6)</f>
        <v>4.0999999999999996</v>
      </c>
    </row>
    <row r="35" spans="1:4" ht="15.75" customHeight="1" thickBot="1" x14ac:dyDescent="0.25">
      <c r="A35" s="59" t="s">
        <v>10</v>
      </c>
      <c r="B35" s="60" t="e">
        <f>MODE('Low-Income Countries'!B2:B6)</f>
        <v>#N/A</v>
      </c>
      <c r="C35" s="60">
        <f>MODE('Middle-Income Countries'!B2:B14)</f>
        <v>5.3</v>
      </c>
      <c r="D35" s="61" t="e">
        <f>MODE('High-Income Countries'!B2:B6)</f>
        <v>#N/A</v>
      </c>
    </row>
    <row r="36" spans="1:4" ht="15.75" customHeight="1" thickBot="1" x14ac:dyDescent="0.25">
      <c r="B36" s="70" t="s">
        <v>74</v>
      </c>
    </row>
    <row r="37" spans="1:4" ht="15.75" customHeight="1" x14ac:dyDescent="0.2">
      <c r="A37" s="62"/>
      <c r="B37" s="63" t="s">
        <v>69</v>
      </c>
      <c r="C37" s="63" t="s">
        <v>70</v>
      </c>
      <c r="D37" s="64" t="s">
        <v>71</v>
      </c>
    </row>
    <row r="38" spans="1:4" ht="15.75" customHeight="1" x14ac:dyDescent="0.2">
      <c r="A38" s="65" t="s">
        <v>9</v>
      </c>
      <c r="B38" s="4">
        <f>QUARTILE('Low-Income Countries'!B2:B6, 1)</f>
        <v>20.399999999999999</v>
      </c>
      <c r="C38" s="4">
        <f>QUARTILE('Middle-Income Countries'!B2:B14, 1)</f>
        <v>6.7</v>
      </c>
      <c r="D38" s="66">
        <f>QUARTILE('High-Income Countries'!B2:B6, 1)</f>
        <v>3.6</v>
      </c>
    </row>
    <row r="39" spans="1:4" ht="15.75" customHeight="1" x14ac:dyDescent="0.2">
      <c r="A39" s="65" t="s">
        <v>8</v>
      </c>
      <c r="B39" s="4">
        <f>QUARTILE('Low-Income Countries'!B2:B6, 3)</f>
        <v>25.3</v>
      </c>
      <c r="C39" s="4">
        <f>QUARTILE('Middle-Income Countries'!B2:B14, 3)</f>
        <v>20.9</v>
      </c>
      <c r="D39" s="66">
        <f>QUARTILE('High-Income Countries'!B2:B6, 3)</f>
        <v>4.7</v>
      </c>
    </row>
    <row r="40" spans="1:4" ht="15.75" customHeight="1" x14ac:dyDescent="0.2">
      <c r="A40" s="65" t="s">
        <v>3</v>
      </c>
      <c r="B40" s="4">
        <f>B39-B38</f>
        <v>4.9000000000000021</v>
      </c>
      <c r="C40" s="4">
        <f>C39-C38</f>
        <v>14.2</v>
      </c>
      <c r="D40" s="66">
        <f>D39-D38</f>
        <v>1.1000000000000001</v>
      </c>
    </row>
    <row r="41" spans="1:4" ht="15.75" customHeight="1" x14ac:dyDescent="0.2">
      <c r="A41" s="65" t="s">
        <v>7</v>
      </c>
      <c r="B41" s="4">
        <f>B39+1.5*B40</f>
        <v>32.650000000000006</v>
      </c>
      <c r="C41" s="4">
        <f>C39+1.5*C40</f>
        <v>42.199999999999996</v>
      </c>
      <c r="D41" s="66">
        <f>D39+1.5*D40</f>
        <v>6.3500000000000005</v>
      </c>
    </row>
    <row r="42" spans="1:4" ht="15.75" customHeight="1" x14ac:dyDescent="0.2">
      <c r="A42" s="65" t="s">
        <v>6</v>
      </c>
      <c r="B42" s="4">
        <f>B38-1.5*B40</f>
        <v>13.049999999999995</v>
      </c>
      <c r="C42" s="4">
        <f>C38-1.5*C40</f>
        <v>-14.599999999999998</v>
      </c>
      <c r="D42" s="66">
        <f>D38-1.5*D40</f>
        <v>1.95</v>
      </c>
    </row>
    <row r="43" spans="1:4" ht="15.75" customHeight="1" thickBot="1" x14ac:dyDescent="0.25">
      <c r="A43" s="67" t="s">
        <v>5</v>
      </c>
      <c r="B43" s="68" t="str" cm="1">
        <f t="array" ref="B43">IF(OR('Low-Income Countries'!B2:B6&lt; Dashboard!B42, 'Low-Income Countries'!B2:B6&gt;Dashboard!B41), "Yes", "No")</f>
        <v>No</v>
      </c>
      <c r="C43" s="68" t="str" cm="1">
        <f t="array" ref="C43">IF(OR('Middle-Income Countries'!B2:B14 &lt; Dashboard!C42, 'Middle-Income Countries'!B2:B14 &gt; Dashboard!C41), "Yes", "No")</f>
        <v>No</v>
      </c>
      <c r="D43" s="69" t="str" cm="1">
        <f t="array" ref="D43">IF(OR('High-Income Countries'!B2:B6 &lt; Dashboard!D42, 'High-Income Countries'!B2:B6 &gt; Dashboard!D41), "Yes", "No")</f>
        <v>Yes</v>
      </c>
    </row>
    <row r="44" spans="1:4" ht="15.75" customHeight="1" thickBot="1" x14ac:dyDescent="0.25">
      <c r="B44" s="70" t="s">
        <v>75</v>
      </c>
    </row>
    <row r="45" spans="1:4" ht="15.75" customHeight="1" x14ac:dyDescent="0.2">
      <c r="A45" s="74"/>
      <c r="B45" s="55" t="s">
        <v>69</v>
      </c>
      <c r="C45" s="55" t="s">
        <v>70</v>
      </c>
      <c r="D45" s="56" t="s">
        <v>71</v>
      </c>
    </row>
    <row r="46" spans="1:4" ht="15.75" customHeight="1" x14ac:dyDescent="0.2">
      <c r="A46" s="57" t="s">
        <v>4</v>
      </c>
      <c r="B46" s="52">
        <f>MAX('Low-Income Countries'!B2:B6)-MIN('Low-Income Countries'!B2:B6)</f>
        <v>11.6</v>
      </c>
      <c r="C46" s="52">
        <f>MAX('Middle-Income Countries'!B2:B14)-MIN('Middle-Income Countries'!B2:B14)</f>
        <v>18.7</v>
      </c>
      <c r="D46" s="58">
        <f>MAX('High-Income Countries'!B2:B6)-MIN('High-Income Countries'!B2:B6)</f>
        <v>9.5</v>
      </c>
    </row>
    <row r="47" spans="1:4" ht="16" x14ac:dyDescent="0.2">
      <c r="A47" s="57" t="s">
        <v>3</v>
      </c>
      <c r="B47" s="51">
        <f>B40</f>
        <v>4.9000000000000021</v>
      </c>
      <c r="C47" s="51">
        <f>C40</f>
        <v>14.2</v>
      </c>
      <c r="D47" s="75">
        <f>D40</f>
        <v>1.1000000000000001</v>
      </c>
    </row>
    <row r="48" spans="1:4" ht="16" x14ac:dyDescent="0.2">
      <c r="A48" s="57" t="s">
        <v>2</v>
      </c>
      <c r="B48" s="73">
        <f>_xlfn.VAR.S('Low-Income Countries'!B2:B6)</f>
        <v>20.522999999999797</v>
      </c>
      <c r="C48" s="73">
        <f>_xlfn.VAR.S('Middle-Income Countries'!B2:B14)</f>
        <v>45.864358974358993</v>
      </c>
      <c r="D48" s="76">
        <f>_xlfn.VAR.S('High-Income Countries'!B2:B6)</f>
        <v>14.536999999999999</v>
      </c>
    </row>
    <row r="49" spans="1:4" ht="16" x14ac:dyDescent="0.2">
      <c r="A49" s="57" t="s">
        <v>1</v>
      </c>
      <c r="B49" s="73">
        <f>STDEV('Low-Income Countries'!B2:B6)</f>
        <v>4.5302317821497606</v>
      </c>
      <c r="C49" s="73">
        <f>STDEV('Middle-Income Countries'!B2:B14)</f>
        <v>6.7723230116673401</v>
      </c>
      <c r="D49" s="76">
        <f>STDEV('High-Income Countries'!B2:B6)</f>
        <v>3.812741795611132</v>
      </c>
    </row>
    <row r="50" spans="1:4" ht="17" thickBot="1" x14ac:dyDescent="0.25">
      <c r="A50" s="59" t="s">
        <v>0</v>
      </c>
      <c r="B50" s="77">
        <f>B49/B33</f>
        <v>0.20629470774816761</v>
      </c>
      <c r="C50" s="77">
        <f>C49/C33</f>
        <v>0.52311467113294974</v>
      </c>
      <c r="D50" s="78">
        <f>D49/D33</f>
        <v>0.70345789586921259</v>
      </c>
    </row>
    <row r="51" spans="1:4" ht="15.75" customHeight="1" thickBot="1" x14ac:dyDescent="0.25">
      <c r="B51" s="70" t="s">
        <v>48</v>
      </c>
    </row>
    <row r="52" spans="1:4" ht="15.75" customHeight="1" x14ac:dyDescent="0.2">
      <c r="A52" s="23" t="s">
        <v>61</v>
      </c>
      <c r="B52" s="24" t="s">
        <v>69</v>
      </c>
      <c r="C52" s="24" t="s">
        <v>70</v>
      </c>
      <c r="D52" s="25" t="s">
        <v>71</v>
      </c>
    </row>
    <row r="53" spans="1:4" ht="15.75" customHeight="1" x14ac:dyDescent="0.2">
      <c r="A53" s="26" t="s">
        <v>62</v>
      </c>
      <c r="B53" s="19">
        <v>0</v>
      </c>
      <c r="C53" s="19">
        <v>0</v>
      </c>
      <c r="D53" s="27">
        <v>0</v>
      </c>
    </row>
    <row r="54" spans="1:4" ht="15.75" customHeight="1" x14ac:dyDescent="0.2">
      <c r="A54" s="26" t="s">
        <v>63</v>
      </c>
      <c r="B54" s="19">
        <v>0</v>
      </c>
      <c r="C54" s="19">
        <v>0</v>
      </c>
      <c r="D54" s="27">
        <v>2</v>
      </c>
    </row>
    <row r="55" spans="1:4" ht="15.75" customHeight="1" x14ac:dyDescent="0.2">
      <c r="A55" s="26" t="s">
        <v>64</v>
      </c>
      <c r="B55" s="19">
        <v>0</v>
      </c>
      <c r="C55" s="19">
        <v>3</v>
      </c>
      <c r="D55" s="27">
        <v>2</v>
      </c>
    </row>
    <row r="56" spans="1:4" ht="15.75" customHeight="1" x14ac:dyDescent="0.2">
      <c r="A56" s="26" t="s">
        <v>65</v>
      </c>
      <c r="B56" s="19">
        <v>0</v>
      </c>
      <c r="C56" s="19">
        <v>1</v>
      </c>
      <c r="D56" s="27">
        <v>0</v>
      </c>
    </row>
    <row r="57" spans="1:4" ht="15.75" customHeight="1" x14ac:dyDescent="0.2">
      <c r="A57" s="26" t="s">
        <v>66</v>
      </c>
      <c r="B57" s="19">
        <v>1</v>
      </c>
      <c r="C57" s="19">
        <v>0</v>
      </c>
      <c r="D57" s="27">
        <v>1</v>
      </c>
    </row>
    <row r="58" spans="1:4" ht="15.75" customHeight="1" x14ac:dyDescent="0.2">
      <c r="A58" s="26" t="s">
        <v>67</v>
      </c>
      <c r="B58" s="19">
        <v>0</v>
      </c>
      <c r="C58" s="19">
        <v>0</v>
      </c>
      <c r="D58" s="27">
        <v>0</v>
      </c>
    </row>
    <row r="59" spans="1:4" ht="15.75" customHeight="1" x14ac:dyDescent="0.2">
      <c r="A59" s="26" t="s">
        <v>67</v>
      </c>
      <c r="B59" s="19">
        <v>2</v>
      </c>
      <c r="C59" s="19">
        <v>1</v>
      </c>
      <c r="D59" s="27">
        <v>0</v>
      </c>
    </row>
    <row r="60" spans="1:4" ht="15.75" customHeight="1" x14ac:dyDescent="0.2">
      <c r="A60" s="26" t="s">
        <v>68</v>
      </c>
      <c r="B60" s="19">
        <v>2</v>
      </c>
      <c r="C60" s="19">
        <v>0</v>
      </c>
      <c r="D60" s="27">
        <v>0</v>
      </c>
    </row>
    <row r="61" spans="1:4" ht="15.75" customHeight="1" thickBot="1" x14ac:dyDescent="0.25">
      <c r="A61" s="28" t="s">
        <v>47</v>
      </c>
      <c r="B61" s="29">
        <v>0</v>
      </c>
      <c r="C61" s="29">
        <v>0</v>
      </c>
      <c r="D61" s="30">
        <v>0</v>
      </c>
    </row>
    <row r="62" spans="1:4" ht="15.75" customHeight="1" thickBot="1" x14ac:dyDescent="0.25">
      <c r="B62" s="31" t="s">
        <v>76</v>
      </c>
    </row>
    <row r="63" spans="1:4" ht="15.75" customHeight="1" x14ac:dyDescent="0.2">
      <c r="A63" s="79" t="s">
        <v>50</v>
      </c>
      <c r="B63" s="80">
        <v>0.05</v>
      </c>
    </row>
    <row r="64" spans="1:4" ht="15.75" customHeight="1" x14ac:dyDescent="0.2">
      <c r="A64" s="81" t="s">
        <v>51</v>
      </c>
      <c r="B64" s="82">
        <v>0.95</v>
      </c>
    </row>
    <row r="65" spans="1:2" ht="15.75" customHeight="1" x14ac:dyDescent="0.2">
      <c r="A65" s="81" t="s">
        <v>52</v>
      </c>
      <c r="B65" s="83" t="s">
        <v>60</v>
      </c>
    </row>
    <row r="66" spans="1:2" ht="15.75" customHeight="1" x14ac:dyDescent="0.2">
      <c r="A66" s="81" t="s">
        <v>53</v>
      </c>
      <c r="B66" s="83">
        <f>_xlfn.STDEV.S(B2:B24)</f>
        <v>7.9133623920446166</v>
      </c>
    </row>
    <row r="67" spans="1:2" ht="15.75" customHeight="1" x14ac:dyDescent="0.2">
      <c r="A67" s="81" t="s">
        <v>54</v>
      </c>
      <c r="B67" s="84">
        <f>AVERAGE('Low-Income Countries'!B2:B6, 'Middle-Income Countries'!B2:B14, 'High-Income Countries'!B2:B6)</f>
        <v>13.269565217391309</v>
      </c>
    </row>
    <row r="68" spans="1:2" ht="15.75" customHeight="1" x14ac:dyDescent="0.2">
      <c r="A68" s="81" t="s">
        <v>55</v>
      </c>
      <c r="B68" s="85">
        <f>D30</f>
        <v>23</v>
      </c>
    </row>
    <row r="69" spans="1:2" ht="15.75" customHeight="1" x14ac:dyDescent="0.2">
      <c r="A69" s="81" t="s">
        <v>56</v>
      </c>
      <c r="B69" s="85">
        <v>2.0739999999999998</v>
      </c>
    </row>
    <row r="70" spans="1:2" ht="15.75" customHeight="1" x14ac:dyDescent="0.2">
      <c r="A70" s="81" t="s">
        <v>57</v>
      </c>
      <c r="B70" s="86">
        <f>B67 - B69*(B66/SQRT(B68))</f>
        <v>9.8473612635368717</v>
      </c>
    </row>
    <row r="71" spans="1:2" ht="15.75" customHeight="1" x14ac:dyDescent="0.2">
      <c r="A71" s="81" t="s">
        <v>58</v>
      </c>
      <c r="B71" s="86">
        <f>B67+B69*(B66/SQRT(B68))</f>
        <v>16.691769171245745</v>
      </c>
    </row>
    <row r="72" spans="1:2" ht="15.75" customHeight="1" thickBot="1" x14ac:dyDescent="0.25">
      <c r="A72" s="87" t="s">
        <v>59</v>
      </c>
      <c r="B72" s="88">
        <f>B68-1</f>
        <v>22</v>
      </c>
    </row>
    <row r="73" spans="1:2" ht="15.75" customHeight="1" x14ac:dyDescent="0.2">
      <c r="A73" s="20"/>
    </row>
  </sheetData>
  <sortState xmlns:xlrd2="http://schemas.microsoft.com/office/spreadsheetml/2017/richdata2" ref="A17:A24">
    <sortCondition ref="A17"/>
  </sortState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E247-8A81-BD40-8642-7986F64BA859}">
  <sheetPr>
    <outlinePr summaryBelow="0" summaryRight="0"/>
  </sheetPr>
  <dimension ref="A1:E27"/>
  <sheetViews>
    <sheetView zoomScale="150" workbookViewId="0">
      <selection activeCell="A3" sqref="A3"/>
    </sheetView>
  </sheetViews>
  <sheetFormatPr baseColWidth="10" defaultColWidth="12.6640625" defaultRowHeight="15.75" customHeight="1" x14ac:dyDescent="0.2"/>
  <cols>
    <col min="1" max="1" width="23.5" style="1" customWidth="1"/>
    <col min="2" max="2" width="16.1640625" style="1" customWidth="1"/>
    <col min="3" max="3" width="23.1640625" style="1" customWidth="1"/>
    <col min="4" max="16384" width="12.6640625" style="1"/>
  </cols>
  <sheetData>
    <row r="1" spans="1:5" ht="48" x14ac:dyDescent="0.2">
      <c r="A1" s="10" t="s">
        <v>46</v>
      </c>
      <c r="B1" s="13" t="s">
        <v>45</v>
      </c>
      <c r="C1" s="12" t="s">
        <v>44</v>
      </c>
      <c r="D1" s="9"/>
      <c r="E1" t="s">
        <v>49</v>
      </c>
    </row>
    <row r="2" spans="1:5" ht="15.75" customHeight="1" x14ac:dyDescent="0.2">
      <c r="A2" s="2" t="str" cm="1">
        <f t="array" ref="A2:C6">_xlfn._xlws.FILTER(Dashboard!A2:C24, Dashboard!C2:C24&gt;=12500, "")</f>
        <v>Trinidad and Tobago [TTO]</v>
      </c>
      <c r="B2" s="3">
        <v>12.1</v>
      </c>
      <c r="C2" s="11">
        <v>16272.1658934061</v>
      </c>
      <c r="E2">
        <v>0</v>
      </c>
    </row>
    <row r="3" spans="1:5" ht="15.75" customHeight="1" x14ac:dyDescent="0.2">
      <c r="A3" s="2" t="str">
        <v>United Arab Emirates [ARE]</v>
      </c>
      <c r="B3" s="3">
        <v>4.0999999999999996</v>
      </c>
      <c r="C3" s="11">
        <v>40937.556247762397</v>
      </c>
      <c r="E3">
        <v>4</v>
      </c>
    </row>
    <row r="4" spans="1:5" ht="15.75" customHeight="1" x14ac:dyDescent="0.2">
      <c r="A4" s="2" t="str">
        <v>United Kingdom [GBR]</v>
      </c>
      <c r="B4" s="3">
        <v>2.6</v>
      </c>
      <c r="C4" s="11">
        <v>39880.217147875002</v>
      </c>
      <c r="E4">
        <v>8</v>
      </c>
    </row>
    <row r="5" spans="1:5" ht="15.75" customHeight="1" x14ac:dyDescent="0.2">
      <c r="A5" s="2" t="str">
        <v>United States [USA]</v>
      </c>
      <c r="B5" s="3">
        <v>3.6</v>
      </c>
      <c r="C5" s="11">
        <v>61018.951984814303</v>
      </c>
      <c r="E5">
        <v>12</v>
      </c>
    </row>
    <row r="6" spans="1:5" ht="15.75" customHeight="1" x14ac:dyDescent="0.2">
      <c r="A6" s="2" t="str">
        <v>Uruguay [URY]</v>
      </c>
      <c r="B6" s="3">
        <v>4.7</v>
      </c>
      <c r="C6" s="11">
        <v>16291.3041222551</v>
      </c>
      <c r="E6">
        <v>16</v>
      </c>
    </row>
    <row r="7" spans="1:5" ht="15.75" customHeight="1" x14ac:dyDescent="0.2">
      <c r="E7">
        <v>20</v>
      </c>
    </row>
    <row r="8" spans="1:5" ht="15.75" customHeight="1" x14ac:dyDescent="0.2">
      <c r="E8">
        <v>24</v>
      </c>
    </row>
    <row r="9" spans="1:5" ht="15.75" customHeight="1" x14ac:dyDescent="0.2">
      <c r="E9">
        <v>28</v>
      </c>
    </row>
    <row r="15" spans="1:5" ht="15.75" customHeight="1" thickBot="1" x14ac:dyDescent="0.25"/>
    <row r="16" spans="1:5" ht="15.75" customHeight="1" x14ac:dyDescent="0.2">
      <c r="A16" s="18" t="s">
        <v>49</v>
      </c>
      <c r="B16" s="18" t="s">
        <v>48</v>
      </c>
    </row>
    <row r="17" spans="1:2" ht="15.75" customHeight="1" x14ac:dyDescent="0.2">
      <c r="A17">
        <v>0</v>
      </c>
      <c r="B17">
        <v>0</v>
      </c>
    </row>
    <row r="18" spans="1:2" ht="15.75" customHeight="1" x14ac:dyDescent="0.2">
      <c r="A18">
        <v>4</v>
      </c>
      <c r="B18">
        <v>2</v>
      </c>
    </row>
    <row r="19" spans="1:2" ht="15.75" customHeight="1" x14ac:dyDescent="0.2">
      <c r="A19">
        <v>8</v>
      </c>
      <c r="B19">
        <v>2</v>
      </c>
    </row>
    <row r="20" spans="1:2" ht="15.75" customHeight="1" x14ac:dyDescent="0.2">
      <c r="A20">
        <v>12</v>
      </c>
      <c r="B20">
        <v>0</v>
      </c>
    </row>
    <row r="21" spans="1:2" ht="15.75" customHeight="1" x14ac:dyDescent="0.2">
      <c r="A21">
        <v>16</v>
      </c>
      <c r="B21">
        <v>1</v>
      </c>
    </row>
    <row r="22" spans="1:2" ht="15.75" customHeight="1" x14ac:dyDescent="0.2">
      <c r="A22">
        <v>20</v>
      </c>
      <c r="B22">
        <v>0</v>
      </c>
    </row>
    <row r="23" spans="1:2" ht="15.75" customHeight="1" x14ac:dyDescent="0.2">
      <c r="A23">
        <v>24</v>
      </c>
      <c r="B23">
        <v>0</v>
      </c>
    </row>
    <row r="24" spans="1:2" ht="15.75" customHeight="1" x14ac:dyDescent="0.2">
      <c r="A24">
        <v>28</v>
      </c>
      <c r="B24">
        <v>0</v>
      </c>
    </row>
    <row r="25" spans="1:2" ht="15.75" customHeight="1" thickBot="1" x14ac:dyDescent="0.25">
      <c r="A25" s="17" t="s">
        <v>47</v>
      </c>
      <c r="B25" s="17">
        <v>0</v>
      </c>
    </row>
    <row r="26" spans="1:2" ht="15.75" customHeight="1" x14ac:dyDescent="0.2">
      <c r="A26"/>
      <c r="B26"/>
    </row>
    <row r="27" spans="1:2" ht="15.75" customHeight="1" x14ac:dyDescent="0.2">
      <c r="B27"/>
    </row>
  </sheetData>
  <sortState xmlns:xlrd2="http://schemas.microsoft.com/office/spreadsheetml/2017/richdata2" ref="A17:A24">
    <sortCondition ref="A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1C44-5D70-564C-9A83-00B5C0D943BE}">
  <sheetPr>
    <outlinePr summaryBelow="0" summaryRight="0"/>
  </sheetPr>
  <dimension ref="A1:F25"/>
  <sheetViews>
    <sheetView workbookViewId="0">
      <selection activeCell="C14" sqref="C14"/>
    </sheetView>
  </sheetViews>
  <sheetFormatPr baseColWidth="10" defaultColWidth="12.6640625" defaultRowHeight="15.75" customHeight="1" x14ac:dyDescent="0.2"/>
  <cols>
    <col min="1" max="16384" width="12.6640625" style="1"/>
  </cols>
  <sheetData>
    <row r="1" spans="1:6" ht="64" x14ac:dyDescent="0.2">
      <c r="A1" s="10" t="s">
        <v>46</v>
      </c>
      <c r="B1" s="13" t="s">
        <v>45</v>
      </c>
      <c r="C1" s="12" t="s">
        <v>44</v>
      </c>
      <c r="F1" t="s">
        <v>49</v>
      </c>
    </row>
    <row r="2" spans="1:6" ht="15.75" customHeight="1" x14ac:dyDescent="0.2">
      <c r="A2" s="16" t="str" cm="1">
        <f t="array" ref="A2:C14">_xlfn._xlws.FILTER(Dashboard!A2:C24, (Dashboard!C2:C24&gt;=1000) * (Dashboard!C2:C24&lt;=12500), "")</f>
        <v>Thailand [THA]</v>
      </c>
      <c r="B2" s="3">
        <v>5.3</v>
      </c>
      <c r="C2" s="11">
        <v>6297.5295316792899</v>
      </c>
      <c r="E2" s="15"/>
      <c r="F2">
        <v>0</v>
      </c>
    </row>
    <row r="3" spans="1:6" ht="15.75" customHeight="1" x14ac:dyDescent="0.2">
      <c r="A3" s="2" t="str">
        <v>Timor-Leste [TLS]</v>
      </c>
      <c r="B3" s="3">
        <v>20.9</v>
      </c>
      <c r="C3" s="11">
        <v>1835.84537854011</v>
      </c>
      <c r="E3" s="15"/>
      <c r="F3">
        <v>4</v>
      </c>
    </row>
    <row r="4" spans="1:6" ht="15.75" customHeight="1" x14ac:dyDescent="0.2">
      <c r="A4" s="2" t="str">
        <v>Tonga [TON]</v>
      </c>
      <c r="B4" s="3">
        <v>6.7</v>
      </c>
      <c r="C4" s="11">
        <v>4283.8947762630496</v>
      </c>
      <c r="E4" s="14"/>
      <c r="F4">
        <v>8</v>
      </c>
    </row>
    <row r="5" spans="1:6" ht="15.75" customHeight="1" x14ac:dyDescent="0.2">
      <c r="A5" s="2" t="str">
        <v>Tunisia [TUN]</v>
      </c>
      <c r="B5" s="3">
        <v>11.5</v>
      </c>
      <c r="C5" s="11">
        <v>3370.6911043955802</v>
      </c>
      <c r="F5">
        <v>12</v>
      </c>
    </row>
    <row r="6" spans="1:6" ht="15.75" customHeight="1" x14ac:dyDescent="0.2">
      <c r="A6" s="2" t="str">
        <v>Turkey [TUR]</v>
      </c>
      <c r="B6" s="3">
        <v>5.7</v>
      </c>
      <c r="C6" s="11">
        <v>10376.8809790998</v>
      </c>
      <c r="F6">
        <v>16</v>
      </c>
    </row>
    <row r="7" spans="1:6" ht="15.75" customHeight="1" x14ac:dyDescent="0.2">
      <c r="A7" s="2" t="str">
        <v>Turkmenistan [TKM]</v>
      </c>
      <c r="B7" s="3">
        <v>21.4</v>
      </c>
      <c r="C7" s="11">
        <v>6313.7157961469702</v>
      </c>
      <c r="F7">
        <v>20</v>
      </c>
    </row>
    <row r="8" spans="1:6" ht="15.75" customHeight="1" x14ac:dyDescent="0.2">
      <c r="A8" s="2" t="str">
        <v>Ukraine [UKR]</v>
      </c>
      <c r="B8" s="3">
        <v>5.3</v>
      </c>
      <c r="C8" s="11">
        <v>2701.3787928706602</v>
      </c>
      <c r="F8">
        <v>24</v>
      </c>
    </row>
    <row r="9" spans="1:6" ht="15.75" customHeight="1" x14ac:dyDescent="0.2">
      <c r="A9" s="2" t="str">
        <v>Uzbekistan [UZB]</v>
      </c>
      <c r="B9" s="3">
        <v>12.3</v>
      </c>
      <c r="C9" s="11">
        <v>1863.9529335817199</v>
      </c>
      <c r="F9">
        <v>28</v>
      </c>
    </row>
    <row r="10" spans="1:6" ht="15.75" customHeight="1" x14ac:dyDescent="0.2">
      <c r="A10" s="2" t="str">
        <v>Vanuatu [VUT]</v>
      </c>
      <c r="B10" s="3">
        <v>11.8</v>
      </c>
      <c r="C10" s="11">
        <v>3044.28449743285</v>
      </c>
    </row>
    <row r="11" spans="1:6" ht="15.75" customHeight="1" x14ac:dyDescent="0.2">
      <c r="A11" s="2" t="str">
        <v>Vietnam [VNM]</v>
      </c>
      <c r="B11" s="3">
        <v>10.8</v>
      </c>
      <c r="C11" s="11">
        <v>2187.3561083290101</v>
      </c>
    </row>
    <row r="12" spans="1:6" ht="15.75" customHeight="1" x14ac:dyDescent="0.2">
      <c r="A12" s="2" t="str">
        <v>West Bank and Gaza [PSE]</v>
      </c>
      <c r="B12" s="3">
        <v>11.1</v>
      </c>
      <c r="C12" s="11">
        <v>3701.62105860975</v>
      </c>
    </row>
    <row r="13" spans="1:6" ht="15.75" customHeight="1" x14ac:dyDescent="0.2">
      <c r="A13" s="2" t="str">
        <v>Zambia [ZMB]</v>
      </c>
      <c r="B13" s="3">
        <v>24</v>
      </c>
      <c r="C13" s="11">
        <v>1466.9448896138299</v>
      </c>
    </row>
    <row r="14" spans="1:6" ht="15.75" customHeight="1" x14ac:dyDescent="0.2">
      <c r="A14" s="2" t="str">
        <v>Zimbabwe [ZWE]</v>
      </c>
      <c r="B14" s="3">
        <v>21.5</v>
      </c>
      <c r="C14" s="11">
        <v>1410.4064377074999</v>
      </c>
    </row>
    <row r="15" spans="1:6" ht="15.75" customHeight="1" thickBot="1" x14ac:dyDescent="0.25"/>
    <row r="16" spans="1:6" ht="15.75" customHeight="1" x14ac:dyDescent="0.2">
      <c r="A16" s="18" t="s">
        <v>49</v>
      </c>
      <c r="B16" s="18" t="s">
        <v>48</v>
      </c>
    </row>
    <row r="17" spans="1:2" ht="15.75" customHeight="1" x14ac:dyDescent="0.2">
      <c r="A17">
        <v>0</v>
      </c>
      <c r="B17">
        <v>0</v>
      </c>
    </row>
    <row r="18" spans="1:2" ht="15.75" customHeight="1" x14ac:dyDescent="0.2">
      <c r="A18">
        <v>4</v>
      </c>
      <c r="B18">
        <v>0</v>
      </c>
    </row>
    <row r="19" spans="1:2" ht="15.75" customHeight="1" x14ac:dyDescent="0.2">
      <c r="A19">
        <v>8</v>
      </c>
      <c r="B19">
        <v>3</v>
      </c>
    </row>
    <row r="20" spans="1:2" ht="15.75" customHeight="1" x14ac:dyDescent="0.2">
      <c r="A20">
        <v>12</v>
      </c>
      <c r="B20">
        <v>1</v>
      </c>
    </row>
    <row r="21" spans="1:2" ht="15.75" customHeight="1" x14ac:dyDescent="0.2">
      <c r="A21">
        <v>16</v>
      </c>
      <c r="B21">
        <v>0</v>
      </c>
    </row>
    <row r="22" spans="1:2" ht="15.75" customHeight="1" x14ac:dyDescent="0.2">
      <c r="A22">
        <v>20</v>
      </c>
      <c r="B22">
        <v>0</v>
      </c>
    </row>
    <row r="23" spans="1:2" ht="15.75" customHeight="1" x14ac:dyDescent="0.2">
      <c r="A23">
        <v>24</v>
      </c>
      <c r="B23">
        <v>1</v>
      </c>
    </row>
    <row r="24" spans="1:2" ht="15.75" customHeight="1" x14ac:dyDescent="0.2">
      <c r="A24">
        <v>28</v>
      </c>
      <c r="B24">
        <v>0</v>
      </c>
    </row>
    <row r="25" spans="1:2" ht="15.75" customHeight="1" thickBot="1" x14ac:dyDescent="0.25">
      <c r="A25" s="17" t="s">
        <v>47</v>
      </c>
      <c r="B25" s="17">
        <v>0</v>
      </c>
    </row>
  </sheetData>
  <sortState xmlns:xlrd2="http://schemas.microsoft.com/office/spreadsheetml/2017/richdata2" ref="A17:A24">
    <sortCondition ref="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Low-Income Countries</vt:lpstr>
      <vt:lpstr>Dashboard</vt:lpstr>
      <vt:lpstr>High-Income Countries</vt:lpstr>
      <vt:lpstr>Middle-Income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2022-12-02T16:39:28Z</dcterms:created>
  <dcterms:modified xsi:type="dcterms:W3CDTF">2022-12-11T10:08:04Z</dcterms:modified>
</cp:coreProperties>
</file>