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5.xml" ContentType="application/vnd.openxmlformats-officedocument.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comments3.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4.xml" ContentType="application/vnd.openxmlformats-officedocument.drawing+xml"/>
  <Override PartName="/xl/comments4.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7.xml" ContentType="application/vnd.openxmlformats-officedocument.spreadsheetml.pivotTable+xml"/>
  <Override PartName="/xl/drawings/drawing15.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6.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7.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2.xml" ContentType="application/vnd.openxmlformats-officedocument.spreadsheetml.pivotTable+xml"/>
  <Override PartName="/xl/drawings/drawing18.xml" ContentType="application/vnd.openxmlformats-officedocument.drawing+xml"/>
  <Override PartName="/xl/comments5.xml" ContentType="application/vnd.openxmlformats-officedocument.spreadsheetml.comments+xml"/>
  <Override PartName="/xl/pivotTables/pivotTable23.xml" ContentType="application/vnd.openxmlformats-officedocument.spreadsheetml.pivotTable+xml"/>
  <Override PartName="/xl/drawings/drawing19.xml" ContentType="application/vnd.openxmlformats-officedocument.drawing+xml"/>
  <Override PartName="/xl/comments6.xml" ContentType="application/vnd.openxmlformats-officedocument.spreadsheetml.comments+xml"/>
  <Override PartName="/xl/pivotTables/pivotTable24.xml" ContentType="application/vnd.openxmlformats-officedocument.spreadsheetml.pivotTable+xml"/>
  <Override PartName="/xl/drawings/drawing20.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hidePivotFieldList="1"/>
  <mc:AlternateContent xmlns:mc="http://schemas.openxmlformats.org/markup-compatibility/2006">
    <mc:Choice Requires="x15">
      <x15ac:absPath xmlns:x15ac="http://schemas.microsoft.com/office/spreadsheetml/2010/11/ac" url="D:\Virtual Storages\Dropbox\SP52 17072016-30092016\BX2016-Business Modelling\Assignment\"/>
    </mc:Choice>
  </mc:AlternateContent>
  <bookViews>
    <workbookView xWindow="0" yWindow="0" windowWidth="8700" windowHeight="4470" tabRatio="857" firstSheet="1" activeTab="1"/>
  </bookViews>
  <sheets>
    <sheet name="Financial Performance -Start" sheetId="43" state="hidden" r:id="rId1"/>
    <sheet name="Omega Pty Ltd" sheetId="40" r:id="rId2"/>
    <sheet name="Model Assumptions" sheetId="29" r:id="rId3"/>
    <sheet name="Black Box Model" sheetId="41" r:id="rId4"/>
    <sheet name="Influence Diagram" sheetId="42" r:id="rId5"/>
    <sheet name="Average Inventories &amp; Cost" sheetId="2" r:id="rId6"/>
    <sheet name="Costs" sheetId="28" r:id="rId7"/>
    <sheet name="Sales Target &amp; Actual" sheetId="32" r:id="rId8"/>
    <sheet name="Labour Costs" sheetId="30" r:id="rId9"/>
    <sheet name="Location VUAOC Cost" sheetId="31" r:id="rId10"/>
    <sheet name="COGS" sheetId="33" r:id="rId11"/>
    <sheet name="Total Operating Cost" sheetId="34" r:id="rId12"/>
    <sheet name="Sales and Revenue" sheetId="3" r:id="rId13"/>
    <sheet name="Financial Performance - Profit$" sheetId="35" r:id="rId14"/>
    <sheet name="Sales Target Performance" sheetId="38" r:id="rId15"/>
    <sheet name="Product Profitability" sheetId="36" r:id="rId16"/>
    <sheet name="Inventory Turnover" sheetId="37" r:id="rId17"/>
    <sheet name="Forecast" sheetId="45" state="hidden" r:id="rId18"/>
    <sheet name="Profit - What-if-Analysis" sheetId="39" r:id="rId19"/>
    <sheet name="Maroochydore" sheetId="24" r:id="rId20"/>
    <sheet name="Scenario Summary" sheetId="58" r:id="rId21"/>
    <sheet name="Staff Performance Analysis" sheetId="22" r:id="rId22"/>
    <sheet name="VUAOC Generator" sheetId="25" r:id="rId23"/>
  </sheets>
  <definedNames>
    <definedName name="Brisbane" localSheetId="0">#REF!</definedName>
    <definedName name="Brisbane">#REF!</definedName>
    <definedName name="Cairns" localSheetId="0">#REF!</definedName>
    <definedName name="Cairns">#REF!</definedName>
    <definedName name="Days_In_A_Year">'Inventory Turnover'!$Y$7</definedName>
    <definedName name="Gold_Coast" localSheetId="0">#REF!</definedName>
    <definedName name="Gold_Coast">#REF!</definedName>
    <definedName name="Group_Assigned">'Location VUAOC Cost'!$D$2</definedName>
    <definedName name="OLE_LINK1" localSheetId="4">'Influence Diagram'!$B$4</definedName>
    <definedName name="OLE_LINK3" localSheetId="4">'Influence Diagram'!$B$30</definedName>
    <definedName name="_xlnm.Print_Area" localSheetId="5">'Average Inventories &amp; Cost'!$B$1:$O$36,'Average Inventories &amp; Cost'!$Q$1:$AB$42,'Average Inventories &amp; Cost'!$AC$1:$AK$33</definedName>
    <definedName name="_xlnm.Print_Area" localSheetId="3">'Black Box Model'!$B$1:$T$29</definedName>
    <definedName name="_xlnm.Print_Area" localSheetId="10">COGS!$B$1:$O$44,COGS!$Q$1:$AC$44</definedName>
    <definedName name="_xlnm.Print_Area" localSheetId="6">Costs!$A$1:$I$62</definedName>
    <definedName name="_xlnm.Print_Area" localSheetId="13">'Financial Performance - Profit$'!$A$1:$R$41,'Financial Performance - Profit$'!$B$43:$R$98,'Financial Performance - Profit$'!$T$1:$AF$47</definedName>
    <definedName name="_xlnm.Print_Area" localSheetId="16">'Inventory Turnover'!$A$1:$G$42,'Inventory Turnover'!$J$1:$AG$41,'Inventory Turnover'!$J$44:$AI$90</definedName>
    <definedName name="_xlnm.Print_Area" localSheetId="8">'Labour Costs'!$A$1:$Q$58</definedName>
    <definedName name="_xlnm.Print_Area" localSheetId="9">'Location VUAOC Cost'!$A$1:$M$46,'Location VUAOC Cost'!$O$1:$AH$41</definedName>
    <definedName name="_xlnm.Print_Area" localSheetId="15">'Product Profitability'!$B$1:$X$41,'Product Profitability'!$Y$3:$AG$39</definedName>
    <definedName name="_xlnm.Print_Area" localSheetId="18">'Profit - What-if-Analysis'!$B$1:$H$37,'Profit - What-if-Analysis'!$J$1:$V$40</definedName>
    <definedName name="_xlnm.Print_Area" localSheetId="12">'Sales and Revenue'!$A$1:$O$45,'Sales and Revenue'!$P$1:$AC$43</definedName>
    <definedName name="_xlnm.Print_Area" localSheetId="7">'Sales Target &amp; Actual'!$B$1:$U$37,'Sales Target &amp; Actual'!$W$1:$AW$36</definedName>
    <definedName name="_xlnm.Print_Area" localSheetId="21">'Staff Performance Analysis'!$P$1:$AB$33</definedName>
    <definedName name="_xlnm.Print_Area" localSheetId="11">'Total Operating Cost'!$B$3:$U$41</definedName>
    <definedName name="_xlnm.Print_Titles" localSheetId="19">Maroochydore!$B:$B</definedName>
    <definedName name="solver_adj" localSheetId="13" hidden="1">'Financial Performance - Profit$'!$E$64:$H$64</definedName>
    <definedName name="solver_adj" localSheetId="0" hidden="1">'Financial Performance -Start'!$E$61:$H$61</definedName>
    <definedName name="solver_cvg" localSheetId="13" hidden="1">0.0001</definedName>
    <definedName name="solver_cvg" localSheetId="0" hidden="1">0.0001</definedName>
    <definedName name="solver_drv" localSheetId="13" hidden="1">2</definedName>
    <definedName name="solver_drv" localSheetId="0" hidden="1">2</definedName>
    <definedName name="solver_eng" localSheetId="13" hidden="1">1</definedName>
    <definedName name="solver_eng" localSheetId="0" hidden="1">1</definedName>
    <definedName name="solver_est" localSheetId="13" hidden="1">1</definedName>
    <definedName name="solver_est" localSheetId="0" hidden="1">1</definedName>
    <definedName name="solver_itr" localSheetId="13" hidden="1">2147483647</definedName>
    <definedName name="solver_itr" localSheetId="0" hidden="1">2147483647</definedName>
    <definedName name="solver_mip" localSheetId="13" hidden="1">2147483647</definedName>
    <definedName name="solver_mip" localSheetId="0" hidden="1">2147483647</definedName>
    <definedName name="solver_mni" localSheetId="13" hidden="1">30</definedName>
    <definedName name="solver_mni" localSheetId="0" hidden="1">30</definedName>
    <definedName name="solver_mrt" localSheetId="13" hidden="1">0.075</definedName>
    <definedName name="solver_mrt" localSheetId="0" hidden="1">0.075</definedName>
    <definedName name="solver_msl" localSheetId="13" hidden="1">2</definedName>
    <definedName name="solver_msl" localSheetId="0" hidden="1">2</definedName>
    <definedName name="solver_neg" localSheetId="13" hidden="1">1</definedName>
    <definedName name="solver_neg" localSheetId="0" hidden="1">1</definedName>
    <definedName name="solver_nod" localSheetId="13" hidden="1">2147483647</definedName>
    <definedName name="solver_nod" localSheetId="0" hidden="1">2147483647</definedName>
    <definedName name="solver_num" localSheetId="13" hidden="1">0</definedName>
    <definedName name="solver_num" localSheetId="0" hidden="1">0</definedName>
    <definedName name="solver_nwt" localSheetId="13" hidden="1">1</definedName>
    <definedName name="solver_nwt" localSheetId="0" hidden="1">1</definedName>
    <definedName name="solver_opt" localSheetId="13" hidden="1">'Financial Performance - Profit$'!$I$74</definedName>
    <definedName name="solver_opt" localSheetId="0" hidden="1">'Financial Performance -Start'!$I$71</definedName>
    <definedName name="solver_pre" localSheetId="13" hidden="1">0.000001</definedName>
    <definedName name="solver_pre" localSheetId="0" hidden="1">0.000001</definedName>
    <definedName name="solver_rbv" localSheetId="13" hidden="1">2</definedName>
    <definedName name="solver_rbv" localSheetId="0" hidden="1">2</definedName>
    <definedName name="solver_rlx" localSheetId="13" hidden="1">2</definedName>
    <definedName name="solver_rlx" localSheetId="0" hidden="1">2</definedName>
    <definedName name="solver_rsd" localSheetId="13" hidden="1">0</definedName>
    <definedName name="solver_rsd" localSheetId="0" hidden="1">0</definedName>
    <definedName name="solver_scl" localSheetId="13" hidden="1">2</definedName>
    <definedName name="solver_scl" localSheetId="0" hidden="1">2</definedName>
    <definedName name="solver_sho" localSheetId="13" hidden="1">2</definedName>
    <definedName name="solver_sho" localSheetId="0" hidden="1">2</definedName>
    <definedName name="solver_ssz" localSheetId="13" hidden="1">100</definedName>
    <definedName name="solver_ssz" localSheetId="0" hidden="1">100</definedName>
    <definedName name="solver_tim" localSheetId="13" hidden="1">2147483647</definedName>
    <definedName name="solver_tim" localSheetId="0" hidden="1">2147483647</definedName>
    <definedName name="solver_tol" localSheetId="13" hidden="1">0.01</definedName>
    <definedName name="solver_tol" localSheetId="0" hidden="1">0.01</definedName>
    <definedName name="solver_typ" localSheetId="13" hidden="1">3</definedName>
    <definedName name="solver_typ" localSheetId="0" hidden="1">3</definedName>
    <definedName name="solver_val" localSheetId="13" hidden="1">0</definedName>
    <definedName name="solver_val" localSheetId="0" hidden="1">0</definedName>
    <definedName name="solver_ver" localSheetId="13" hidden="1">3</definedName>
    <definedName name="solver_ver" localSheetId="0" hidden="1">3</definedName>
    <definedName name="Townsville" localSheetId="0">#REF!</definedName>
    <definedName name="Townsville">#REF!</definedName>
  </definedNames>
  <calcPr calcId="171027"/>
  <pivotCaches>
    <pivotCache cacheId="0" r:id="rId24"/>
    <pivotCache cacheId="1" r:id="rId25"/>
    <pivotCache cacheId="2" r:id="rId26"/>
    <pivotCache cacheId="3" r:id="rId27"/>
    <pivotCache cacheId="4" r:id="rId28"/>
    <pivotCache cacheId="5" r:id="rId29"/>
    <pivotCache cacheId="6" r:id="rId30"/>
    <pivotCache cacheId="7" r:id="rId31"/>
    <pivotCache cacheId="8" r:id="rId32"/>
    <pivotCache cacheId="9" r:id="rId33"/>
    <pivotCache cacheId="10" r:id="rId34"/>
    <pivotCache cacheId="11" r:id="rId35"/>
    <pivotCache cacheId="12" r:id="rId36"/>
    <pivotCache cacheId="13" r:id="rId37"/>
  </pivotCaches>
</workbook>
</file>

<file path=xl/calcChain.xml><?xml version="1.0" encoding="utf-8"?>
<calcChain xmlns="http://schemas.openxmlformats.org/spreadsheetml/2006/main">
  <c r="N17" i="24" l="1"/>
  <c r="M17" i="24"/>
  <c r="L17" i="24"/>
  <c r="C6" i="30"/>
  <c r="C5" i="30"/>
  <c r="H21" i="39"/>
  <c r="H28" i="39"/>
  <c r="G12" i="22"/>
  <c r="F12" i="22"/>
  <c r="F11" i="22"/>
  <c r="F10" i="22"/>
  <c r="E12" i="22"/>
  <c r="E11" i="22"/>
  <c r="E10" i="22"/>
  <c r="E13" i="22" s="1"/>
  <c r="D12" i="22"/>
  <c r="D11" i="22"/>
  <c r="D10" i="22"/>
  <c r="D13" i="22" s="1"/>
  <c r="C12" i="22"/>
  <c r="C11" i="22"/>
  <c r="G11" i="22" s="1"/>
  <c r="C10" i="22"/>
  <c r="C13" i="22" s="1"/>
  <c r="AO32" i="32"/>
  <c r="AN32" i="32"/>
  <c r="AM32" i="32"/>
  <c r="AL32" i="32"/>
  <c r="AO31" i="32"/>
  <c r="AN31" i="32"/>
  <c r="AM31" i="32"/>
  <c r="AL31" i="32"/>
  <c r="AO30" i="32"/>
  <c r="AN30" i="32"/>
  <c r="AM30" i="32"/>
  <c r="AL30" i="32"/>
  <c r="AO29" i="32"/>
  <c r="AN29" i="32"/>
  <c r="AM29" i="32"/>
  <c r="AL29" i="32"/>
  <c r="AO28" i="32"/>
  <c r="AN28" i="32"/>
  <c r="AM28" i="32"/>
  <c r="AL28" i="32"/>
  <c r="AO27" i="32"/>
  <c r="AN27" i="32"/>
  <c r="AM27" i="32"/>
  <c r="AL27" i="32"/>
  <c r="AO26" i="32"/>
  <c r="AN26" i="32"/>
  <c r="AM26" i="32"/>
  <c r="AL26" i="32"/>
  <c r="AO21" i="32"/>
  <c r="AN21" i="32"/>
  <c r="AM21" i="32"/>
  <c r="AL21" i="32"/>
  <c r="AO20" i="32"/>
  <c r="AN20" i="32"/>
  <c r="AM20" i="32"/>
  <c r="AL20" i="32"/>
  <c r="AO19" i="32"/>
  <c r="AN19" i="32"/>
  <c r="AM19" i="32"/>
  <c r="AL19" i="32"/>
  <c r="AO18" i="32"/>
  <c r="AN18" i="32"/>
  <c r="AM18" i="32"/>
  <c r="AL18" i="32"/>
  <c r="AO17" i="32"/>
  <c r="AN17" i="32"/>
  <c r="AM17" i="32"/>
  <c r="AL17" i="32"/>
  <c r="AO16" i="32"/>
  <c r="AN16" i="32"/>
  <c r="AM16" i="32"/>
  <c r="AL16" i="32"/>
  <c r="AO15" i="32"/>
  <c r="AN15" i="32"/>
  <c r="AM15" i="32"/>
  <c r="AL15" i="32"/>
  <c r="AO10" i="32"/>
  <c r="AN10" i="32"/>
  <c r="AM10" i="32"/>
  <c r="AL10" i="32"/>
  <c r="AO9" i="32"/>
  <c r="AN9" i="32"/>
  <c r="AM9" i="32"/>
  <c r="AL9" i="32"/>
  <c r="AO8" i="32"/>
  <c r="AN8" i="32"/>
  <c r="AM8" i="32"/>
  <c r="AL8" i="32"/>
  <c r="AO7" i="32"/>
  <c r="AN7" i="32"/>
  <c r="AM7" i="32"/>
  <c r="AL7" i="32"/>
  <c r="AO6" i="32"/>
  <c r="AN6" i="32"/>
  <c r="AM6" i="32"/>
  <c r="AL6" i="32"/>
  <c r="AO5" i="32"/>
  <c r="AN5" i="32"/>
  <c r="AM5" i="32"/>
  <c r="AL5" i="32"/>
  <c r="AO4" i="32"/>
  <c r="AN4" i="32"/>
  <c r="AM4" i="32"/>
  <c r="AL4" i="32"/>
  <c r="AA50" i="37"/>
  <c r="AC56" i="37"/>
  <c r="AB56" i="37"/>
  <c r="AA56" i="37"/>
  <c r="Z56" i="37"/>
  <c r="AC55" i="37"/>
  <c r="AB55" i="37"/>
  <c r="AA55" i="37"/>
  <c r="Z55" i="37"/>
  <c r="AC54" i="37"/>
  <c r="AB54" i="37"/>
  <c r="AA54" i="37"/>
  <c r="Z54" i="37"/>
  <c r="AC53" i="37"/>
  <c r="AB53" i="37"/>
  <c r="AA53" i="37"/>
  <c r="Z53" i="37"/>
  <c r="AC52" i="37"/>
  <c r="AB52" i="37"/>
  <c r="AA52" i="37"/>
  <c r="Z52" i="37"/>
  <c r="AC51" i="37"/>
  <c r="AB51" i="37"/>
  <c r="AA51" i="37"/>
  <c r="Z51" i="37"/>
  <c r="AC50" i="37"/>
  <c r="AB50" i="37"/>
  <c r="Z50" i="37"/>
  <c r="R7" i="33"/>
  <c r="L14" i="24"/>
  <c r="N19" i="24"/>
  <c r="N20" i="24"/>
  <c r="L12" i="24"/>
  <c r="D14" i="24"/>
  <c r="E17" i="24"/>
  <c r="D17" i="24"/>
  <c r="C17" i="24"/>
  <c r="N12" i="24"/>
  <c r="M12" i="24"/>
  <c r="C18" i="24"/>
  <c r="E18" i="24"/>
  <c r="L20" i="24"/>
  <c r="M18" i="24"/>
  <c r="M19" i="24"/>
  <c r="E20" i="24"/>
  <c r="C12" i="24"/>
  <c r="C14" i="24"/>
  <c r="E12" i="24"/>
  <c r="E14" i="24"/>
  <c r="L19" i="24"/>
  <c r="M14" i="24"/>
  <c r="C19" i="24"/>
  <c r="D18" i="24"/>
  <c r="M20" i="24"/>
  <c r="N18" i="24"/>
  <c r="N14" i="24"/>
  <c r="L18" i="24"/>
  <c r="D19" i="24"/>
  <c r="D20" i="24"/>
  <c r="C20" i="24"/>
  <c r="E19" i="24"/>
  <c r="D12" i="24"/>
  <c r="AC14" i="37"/>
  <c r="AB14" i="37"/>
  <c r="AA14" i="37"/>
  <c r="Z14" i="37"/>
  <c r="AC13" i="37"/>
  <c r="AB13" i="37"/>
  <c r="AA13" i="37"/>
  <c r="Z13" i="37"/>
  <c r="AC12" i="37"/>
  <c r="AB12" i="37"/>
  <c r="AA12" i="37"/>
  <c r="Z12" i="37"/>
  <c r="AC11" i="37"/>
  <c r="AB11" i="37"/>
  <c r="AA11" i="37"/>
  <c r="Z11" i="37"/>
  <c r="S11" i="22"/>
  <c r="R10" i="22"/>
  <c r="T11" i="22"/>
  <c r="S10" i="22"/>
  <c r="Q12" i="22"/>
  <c r="T10" i="22"/>
  <c r="R12" i="22"/>
  <c r="Q11" i="22"/>
  <c r="R11" i="22"/>
  <c r="S12" i="22"/>
  <c r="T12" i="22"/>
  <c r="Q10" i="22"/>
  <c r="O17" i="24" l="1"/>
  <c r="S17" i="24" s="1"/>
  <c r="Q13" i="22"/>
  <c r="T13" i="22"/>
  <c r="S13" i="22"/>
  <c r="R13" i="22"/>
  <c r="U10" i="22"/>
  <c r="G10" i="22"/>
  <c r="G13" i="22" s="1"/>
  <c r="U11" i="22"/>
  <c r="F13" i="22"/>
  <c r="U12" i="22"/>
  <c r="F17" i="24"/>
  <c r="F20" i="24"/>
  <c r="J20" i="24" s="1"/>
  <c r="F14" i="24"/>
  <c r="J14" i="24" s="1"/>
  <c r="F19" i="24"/>
  <c r="J19" i="24" s="1"/>
  <c r="F12" i="24"/>
  <c r="J12" i="24" s="1"/>
  <c r="F18" i="24"/>
  <c r="J18" i="24" s="1"/>
  <c r="O12" i="24"/>
  <c r="S12" i="24" s="1"/>
  <c r="S15" i="24" s="1"/>
  <c r="O18" i="24"/>
  <c r="S18" i="24" s="1"/>
  <c r="O20" i="24"/>
  <c r="S20" i="24" s="1"/>
  <c r="O14" i="24"/>
  <c r="S14" i="24" s="1"/>
  <c r="O19" i="24"/>
  <c r="S19" i="24" s="1"/>
  <c r="L15" i="24"/>
  <c r="M15" i="24"/>
  <c r="M22" i="24" s="1"/>
  <c r="N15" i="24"/>
  <c r="N22" i="24" s="1"/>
  <c r="D15" i="24"/>
  <c r="D22" i="24" s="1"/>
  <c r="E15" i="24"/>
  <c r="E22" i="24" s="1"/>
  <c r="C15" i="24"/>
  <c r="F61" i="35"/>
  <c r="V32" i="2"/>
  <c r="U31" i="2"/>
  <c r="T30" i="2"/>
  <c r="R31" i="2"/>
  <c r="V31" i="2"/>
  <c r="U30" i="2"/>
  <c r="S32" i="2"/>
  <c r="R30" i="2"/>
  <c r="V30" i="2"/>
  <c r="T32" i="2"/>
  <c r="S31" i="2"/>
  <c r="R32" i="2"/>
  <c r="U32" i="2"/>
  <c r="T31" i="2"/>
  <c r="S30" i="2"/>
  <c r="U13" i="22" l="1"/>
  <c r="S22" i="24"/>
  <c r="J15" i="24"/>
  <c r="Q18" i="24"/>
  <c r="T18" i="24"/>
  <c r="R18" i="24"/>
  <c r="P18" i="24"/>
  <c r="C22" i="24"/>
  <c r="F15" i="24"/>
  <c r="R19" i="24"/>
  <c r="Q19" i="24"/>
  <c r="P19" i="24"/>
  <c r="T19" i="24"/>
  <c r="Q12" i="24"/>
  <c r="P12" i="24"/>
  <c r="T12" i="24"/>
  <c r="R12" i="24"/>
  <c r="R15" i="24" s="1"/>
  <c r="L22" i="24"/>
  <c r="O15" i="24"/>
  <c r="O22" i="24" s="1"/>
  <c r="R14" i="24"/>
  <c r="Q14" i="24"/>
  <c r="P14" i="24"/>
  <c r="T14" i="24"/>
  <c r="T20" i="24"/>
  <c r="R20" i="24"/>
  <c r="P20" i="24"/>
  <c r="Q20" i="24"/>
  <c r="J17" i="24"/>
  <c r="J22" i="24" s="1"/>
  <c r="K17" i="24"/>
  <c r="T17" i="24"/>
  <c r="R17" i="24"/>
  <c r="Q17" i="24"/>
  <c r="P17" i="24"/>
  <c r="Y10" i="35"/>
  <c r="Z10" i="35" s="1"/>
  <c r="Y9" i="35"/>
  <c r="Z9" i="35" s="1"/>
  <c r="Y8" i="35"/>
  <c r="Z8" i="35" s="1"/>
  <c r="Y7" i="35"/>
  <c r="Z7" i="35" s="1"/>
  <c r="Y6" i="35"/>
  <c r="Z6" i="35" s="1"/>
  <c r="Y5" i="35"/>
  <c r="Z5" i="35" s="1"/>
  <c r="Y4" i="35"/>
  <c r="Z4" i="35" s="1"/>
  <c r="T15" i="24" l="1"/>
  <c r="Q15" i="24"/>
  <c r="H12" i="24"/>
  <c r="K12" i="24"/>
  <c r="I12" i="24"/>
  <c r="G12" i="24"/>
  <c r="I18" i="24"/>
  <c r="G18" i="24"/>
  <c r="H18" i="24"/>
  <c r="K18" i="24"/>
  <c r="I17" i="24"/>
  <c r="G17" i="24"/>
  <c r="H17" i="24"/>
  <c r="H20" i="24"/>
  <c r="K20" i="24"/>
  <c r="I20" i="24"/>
  <c r="G20" i="24"/>
  <c r="I19" i="24"/>
  <c r="G19" i="24"/>
  <c r="H19" i="24"/>
  <c r="K19" i="24"/>
  <c r="AB37" i="24"/>
  <c r="F26" i="43"/>
  <c r="F77" i="43" s="1"/>
  <c r="F69" i="43"/>
  <c r="E63" i="43"/>
  <c r="E35" i="43"/>
  <c r="F67" i="43"/>
  <c r="F37" i="43"/>
  <c r="E31" i="43"/>
  <c r="F61" i="43"/>
  <c r="F34" i="43"/>
  <c r="G66" i="43"/>
  <c r="E66" i="43"/>
  <c r="E29" i="43"/>
  <c r="F31" i="43"/>
  <c r="G63" i="43"/>
  <c r="G67" i="43"/>
  <c r="F36" i="43"/>
  <c r="H69" i="43"/>
  <c r="G69" i="43"/>
  <c r="G31" i="43"/>
  <c r="E36" i="43"/>
  <c r="E68" i="43"/>
  <c r="G36" i="43"/>
  <c r="F29" i="43"/>
  <c r="E69" i="43"/>
  <c r="H66" i="43"/>
  <c r="H61" i="43"/>
  <c r="E67" i="43"/>
  <c r="E37" i="43"/>
  <c r="F68" i="43"/>
  <c r="E61" i="43"/>
  <c r="E34" i="43"/>
  <c r="G29" i="43"/>
  <c r="H68" i="43"/>
  <c r="F63" i="43"/>
  <c r="F35" i="43"/>
  <c r="G68" i="43"/>
  <c r="G37" i="43"/>
  <c r="G34" i="43"/>
  <c r="F66" i="43"/>
  <c r="G35" i="43"/>
  <c r="H67" i="43"/>
  <c r="G61" i="43"/>
  <c r="H63" i="43"/>
  <c r="R22" i="24" l="1"/>
  <c r="P15" i="24"/>
  <c r="T22" i="24"/>
  <c r="H14" i="24"/>
  <c r="K14" i="24"/>
  <c r="I14" i="24"/>
  <c r="G14" i="24"/>
  <c r="G15" i="24" s="1"/>
  <c r="Q22" i="24"/>
  <c r="H64" i="43"/>
  <c r="H71" i="43" s="1"/>
  <c r="E80" i="43"/>
  <c r="H29" i="43"/>
  <c r="I29" i="43" s="1"/>
  <c r="E32" i="43"/>
  <c r="E82" i="43"/>
  <c r="H31" i="43"/>
  <c r="H34" i="43"/>
  <c r="E85" i="43"/>
  <c r="E86" i="43"/>
  <c r="H35" i="43"/>
  <c r="E87" i="43"/>
  <c r="H36" i="43"/>
  <c r="E88" i="43"/>
  <c r="H37" i="43"/>
  <c r="G64" i="43"/>
  <c r="G71" i="43" s="1"/>
  <c r="F32" i="43"/>
  <c r="F39" i="43" s="1"/>
  <c r="F80" i="43"/>
  <c r="F82" i="43"/>
  <c r="F85" i="43"/>
  <c r="F86" i="43"/>
  <c r="F87" i="43"/>
  <c r="F88" i="43"/>
  <c r="E64" i="43"/>
  <c r="E71" i="43" s="1"/>
  <c r="G32" i="43"/>
  <c r="G39" i="43" s="1"/>
  <c r="K29" i="43"/>
  <c r="J29" i="43"/>
  <c r="G80" i="43"/>
  <c r="L29" i="43"/>
  <c r="G82" i="43"/>
  <c r="G85" i="43"/>
  <c r="G86" i="43"/>
  <c r="G87" i="43"/>
  <c r="G88" i="43"/>
  <c r="F64" i="43"/>
  <c r="F71" i="43" s="1"/>
  <c r="U32" i="32"/>
  <c r="T32" i="32"/>
  <c r="S32" i="32"/>
  <c r="R32" i="32"/>
  <c r="U31" i="32"/>
  <c r="T31" i="32"/>
  <c r="S31" i="32"/>
  <c r="R31" i="32"/>
  <c r="U30" i="32"/>
  <c r="T30" i="32"/>
  <c r="S30" i="32"/>
  <c r="R30" i="32"/>
  <c r="U29" i="32"/>
  <c r="T29" i="32"/>
  <c r="S29" i="32"/>
  <c r="R29" i="32"/>
  <c r="U28" i="32"/>
  <c r="T28" i="32"/>
  <c r="S28" i="32"/>
  <c r="R28" i="32"/>
  <c r="U27" i="32"/>
  <c r="T27" i="32"/>
  <c r="S27" i="32"/>
  <c r="R27" i="32"/>
  <c r="U26" i="32"/>
  <c r="T26" i="32"/>
  <c r="S26" i="32"/>
  <c r="R26" i="32"/>
  <c r="U21" i="32"/>
  <c r="T21" i="32"/>
  <c r="S21" i="32"/>
  <c r="R21" i="32"/>
  <c r="U20" i="32"/>
  <c r="T20" i="32"/>
  <c r="S20" i="32"/>
  <c r="R20" i="32"/>
  <c r="U19" i="32"/>
  <c r="T19" i="32"/>
  <c r="S19" i="32"/>
  <c r="R19" i="32"/>
  <c r="U18" i="32"/>
  <c r="T18" i="32"/>
  <c r="S18" i="32"/>
  <c r="R18" i="32"/>
  <c r="U17" i="32"/>
  <c r="T17" i="32"/>
  <c r="S17" i="32"/>
  <c r="R17" i="32"/>
  <c r="U16" i="32"/>
  <c r="T16" i="32"/>
  <c r="S16" i="32"/>
  <c r="R16" i="32"/>
  <c r="U15" i="32"/>
  <c r="T15" i="32"/>
  <c r="S15" i="32"/>
  <c r="R15" i="32"/>
  <c r="U10" i="32"/>
  <c r="T10" i="32"/>
  <c r="S10" i="32"/>
  <c r="U9" i="32"/>
  <c r="T9" i="32"/>
  <c r="S9" i="32"/>
  <c r="U8" i="32"/>
  <c r="T8" i="32"/>
  <c r="S8" i="32"/>
  <c r="U7" i="32"/>
  <c r="T7" i="32"/>
  <c r="S7" i="32"/>
  <c r="U6" i="32"/>
  <c r="T6" i="32"/>
  <c r="S6" i="32"/>
  <c r="U5" i="32"/>
  <c r="T5" i="32"/>
  <c r="S5" i="32"/>
  <c r="R10" i="32"/>
  <c r="R9" i="32"/>
  <c r="R8" i="32"/>
  <c r="R7" i="32"/>
  <c r="R6" i="32"/>
  <c r="R5" i="32"/>
  <c r="U4" i="32"/>
  <c r="T4" i="32"/>
  <c r="S4" i="32"/>
  <c r="R4" i="32"/>
  <c r="F61" i="28"/>
  <c r="F5" i="31" s="1"/>
  <c r="E61" i="28"/>
  <c r="E5" i="31" s="1"/>
  <c r="D61" i="28"/>
  <c r="D5" i="31" s="1"/>
  <c r="C61" i="28"/>
  <c r="C5" i="31" s="1"/>
  <c r="E31" i="25"/>
  <c r="D31" i="25"/>
  <c r="C31" i="25"/>
  <c r="P22" i="24" l="1"/>
  <c r="G83" i="43"/>
  <c r="G90" i="43" s="1"/>
  <c r="E72" i="43"/>
  <c r="H87" i="43"/>
  <c r="I87" i="43" s="1"/>
  <c r="G72" i="43"/>
  <c r="K34" i="43"/>
  <c r="J34" i="43"/>
  <c r="L34" i="43"/>
  <c r="I34" i="43"/>
  <c r="F72" i="43"/>
  <c r="K37" i="43"/>
  <c r="J37" i="43"/>
  <c r="L37" i="43"/>
  <c r="I37" i="43"/>
  <c r="K35" i="43"/>
  <c r="J35" i="43"/>
  <c r="L35" i="43"/>
  <c r="I35" i="43"/>
  <c r="K31" i="43"/>
  <c r="K32" i="43" s="1"/>
  <c r="J31" i="43"/>
  <c r="J32" i="43" s="1"/>
  <c r="L31" i="43"/>
  <c r="L32" i="43" s="1"/>
  <c r="I31" i="43"/>
  <c r="H80" i="43"/>
  <c r="I80" i="43" s="1"/>
  <c r="E83" i="43"/>
  <c r="F83" i="43"/>
  <c r="F90" i="43" s="1"/>
  <c r="H88" i="43"/>
  <c r="H86" i="43"/>
  <c r="H82" i="43"/>
  <c r="H72" i="43"/>
  <c r="K36" i="43"/>
  <c r="J36" i="43"/>
  <c r="L36" i="43"/>
  <c r="I36" i="43"/>
  <c r="H85" i="43"/>
  <c r="H32" i="43"/>
  <c r="I32" i="43" s="1"/>
  <c r="E39" i="43"/>
  <c r="H39" i="43" s="1"/>
  <c r="I39" i="43" s="1"/>
  <c r="B31" i="25"/>
  <c r="J39" i="43" l="1"/>
  <c r="L39" i="43"/>
  <c r="K39" i="43"/>
  <c r="J87" i="43"/>
  <c r="K87" i="43" s="1"/>
  <c r="J88" i="43"/>
  <c r="K88" i="43" s="1"/>
  <c r="I88" i="43"/>
  <c r="J82" i="43"/>
  <c r="K82" i="43" s="1"/>
  <c r="I82" i="43"/>
  <c r="J80" i="43"/>
  <c r="J85" i="43"/>
  <c r="K85" i="43" s="1"/>
  <c r="I85" i="43"/>
  <c r="I86" i="43"/>
  <c r="J86" i="43"/>
  <c r="K86" i="43" s="1"/>
  <c r="E90" i="43"/>
  <c r="H90" i="43" s="1"/>
  <c r="I90" i="43" s="1"/>
  <c r="H83" i="43"/>
  <c r="I83" i="43" s="1"/>
  <c r="K15" i="24"/>
  <c r="I15" i="24"/>
  <c r="H15" i="24"/>
  <c r="O32" i="2"/>
  <c r="N32" i="2"/>
  <c r="M32" i="2"/>
  <c r="L32" i="2"/>
  <c r="O31" i="2"/>
  <c r="N31" i="2"/>
  <c r="M31" i="2"/>
  <c r="L31" i="2"/>
  <c r="O30" i="2"/>
  <c r="N30" i="2"/>
  <c r="M30" i="2"/>
  <c r="L30" i="2"/>
  <c r="O29" i="2"/>
  <c r="N29" i="2"/>
  <c r="M29" i="2"/>
  <c r="L29" i="2"/>
  <c r="O28" i="2"/>
  <c r="N28" i="2"/>
  <c r="M28" i="2"/>
  <c r="L28" i="2"/>
  <c r="O27" i="2"/>
  <c r="N27" i="2"/>
  <c r="M27" i="2"/>
  <c r="L27" i="2"/>
  <c r="O26" i="2"/>
  <c r="N26" i="2"/>
  <c r="M26" i="2"/>
  <c r="L26" i="2"/>
  <c r="O21" i="2"/>
  <c r="O20" i="2"/>
  <c r="O19" i="2"/>
  <c r="O18" i="2"/>
  <c r="O17" i="2"/>
  <c r="O16" i="2"/>
  <c r="O15" i="2"/>
  <c r="N21" i="2"/>
  <c r="N20" i="2"/>
  <c r="N19" i="2"/>
  <c r="N18" i="2"/>
  <c r="N17" i="2"/>
  <c r="N16" i="2"/>
  <c r="N15" i="2"/>
  <c r="M21" i="2"/>
  <c r="M20" i="2"/>
  <c r="M19" i="2"/>
  <c r="M18" i="2"/>
  <c r="M17" i="2"/>
  <c r="M16" i="2"/>
  <c r="M15" i="2"/>
  <c r="L21" i="2"/>
  <c r="L20" i="2"/>
  <c r="L19" i="2"/>
  <c r="L18" i="2"/>
  <c r="L17" i="2"/>
  <c r="L16" i="2"/>
  <c r="L15" i="2"/>
  <c r="O10" i="2"/>
  <c r="O9" i="2"/>
  <c r="O8" i="2"/>
  <c r="O7" i="2"/>
  <c r="O6" i="2"/>
  <c r="O5" i="2"/>
  <c r="O4" i="2"/>
  <c r="N10" i="2"/>
  <c r="N9" i="2"/>
  <c r="N8" i="2"/>
  <c r="N7" i="2"/>
  <c r="N6" i="2"/>
  <c r="N5" i="2"/>
  <c r="N4" i="2"/>
  <c r="M10" i="2"/>
  <c r="M9" i="2"/>
  <c r="M8" i="2"/>
  <c r="M7" i="2"/>
  <c r="M6" i="2"/>
  <c r="M5" i="2"/>
  <c r="M4" i="2"/>
  <c r="L10" i="2"/>
  <c r="L9" i="2"/>
  <c r="L8" i="2"/>
  <c r="L7" i="2"/>
  <c r="L6" i="2"/>
  <c r="L5" i="2"/>
  <c r="L4" i="2"/>
  <c r="J83" i="43" l="1"/>
  <c r="K80" i="43"/>
  <c r="F22" i="24"/>
  <c r="G22" i="24" l="1"/>
  <c r="K83" i="43"/>
  <c r="J90" i="43"/>
  <c r="K90" i="43" s="1"/>
  <c r="H22" i="24"/>
  <c r="K22" i="24"/>
  <c r="I22" i="24"/>
  <c r="I11" i="3"/>
  <c r="I10" i="3"/>
  <c r="I9" i="3"/>
  <c r="I8" i="3"/>
  <c r="I7" i="3"/>
  <c r="I6" i="3"/>
  <c r="I5" i="3"/>
  <c r="F35" i="3"/>
  <c r="E35" i="3"/>
  <c r="D35" i="3"/>
  <c r="C35" i="3"/>
  <c r="F34" i="3"/>
  <c r="E34" i="3"/>
  <c r="D34" i="3"/>
  <c r="C34" i="3"/>
  <c r="F33" i="3"/>
  <c r="E33" i="3"/>
  <c r="D33" i="3"/>
  <c r="C33" i="3"/>
  <c r="F32" i="3"/>
  <c r="E32" i="3"/>
  <c r="D32" i="3"/>
  <c r="C32" i="3"/>
  <c r="F31" i="3"/>
  <c r="E31" i="3"/>
  <c r="D31" i="3"/>
  <c r="C31" i="3"/>
  <c r="F30" i="3"/>
  <c r="E30" i="3"/>
  <c r="D30" i="3"/>
  <c r="C30" i="3"/>
  <c r="F29" i="3"/>
  <c r="E29" i="3"/>
  <c r="D29" i="3"/>
  <c r="C29" i="3"/>
  <c r="F23" i="3"/>
  <c r="E23" i="3"/>
  <c r="D23" i="3"/>
  <c r="C23" i="3"/>
  <c r="F22" i="3"/>
  <c r="E22" i="3"/>
  <c r="D22" i="3"/>
  <c r="C22" i="3"/>
  <c r="F21" i="3"/>
  <c r="E21" i="3"/>
  <c r="D21" i="3"/>
  <c r="C21" i="3"/>
  <c r="F20" i="3"/>
  <c r="E20" i="3"/>
  <c r="D20" i="3"/>
  <c r="C20" i="3"/>
  <c r="F19" i="3"/>
  <c r="E19" i="3"/>
  <c r="D19" i="3"/>
  <c r="C19" i="3"/>
  <c r="F18" i="3"/>
  <c r="E18" i="3"/>
  <c r="D18" i="3"/>
  <c r="C18" i="3"/>
  <c r="F17" i="3"/>
  <c r="E17" i="3"/>
  <c r="D17" i="3"/>
  <c r="C17" i="3"/>
  <c r="L33" i="32"/>
  <c r="K33" i="32"/>
  <c r="J33" i="32"/>
  <c r="I33" i="32"/>
  <c r="L22" i="32"/>
  <c r="K22" i="32"/>
  <c r="J22" i="32"/>
  <c r="I22" i="32"/>
  <c r="L11" i="32"/>
  <c r="K11" i="32"/>
  <c r="J11" i="32"/>
  <c r="I11" i="32"/>
  <c r="F11" i="3"/>
  <c r="E11" i="3"/>
  <c r="F10" i="3"/>
  <c r="E10" i="3"/>
  <c r="F9" i="3"/>
  <c r="E9" i="3"/>
  <c r="F8" i="3"/>
  <c r="E8" i="3"/>
  <c r="F7" i="3"/>
  <c r="E7" i="3"/>
  <c r="F6" i="3"/>
  <c r="E6" i="3"/>
  <c r="F5" i="3"/>
  <c r="E5" i="3"/>
  <c r="D11" i="3"/>
  <c r="D10" i="3"/>
  <c r="D9" i="3"/>
  <c r="D8" i="3"/>
  <c r="D7" i="3"/>
  <c r="D6" i="3"/>
  <c r="D5" i="3"/>
  <c r="C11" i="3"/>
  <c r="C10" i="3"/>
  <c r="C9" i="3"/>
  <c r="C8" i="3"/>
  <c r="C7" i="3"/>
  <c r="C6" i="3"/>
  <c r="C5" i="3"/>
  <c r="F36" i="33"/>
  <c r="E36" i="33"/>
  <c r="D36" i="33"/>
  <c r="C36" i="33"/>
  <c r="F35" i="33"/>
  <c r="E35" i="33"/>
  <c r="D35" i="33"/>
  <c r="C35" i="33"/>
  <c r="F34" i="33"/>
  <c r="E34" i="33"/>
  <c r="D34" i="33"/>
  <c r="C34" i="33"/>
  <c r="F33" i="33"/>
  <c r="E33" i="33"/>
  <c r="D33" i="33"/>
  <c r="C33" i="33"/>
  <c r="F32" i="33"/>
  <c r="E32" i="33"/>
  <c r="D32" i="33"/>
  <c r="C32" i="33"/>
  <c r="F31" i="33"/>
  <c r="E31" i="33"/>
  <c r="D31" i="33"/>
  <c r="C31" i="33"/>
  <c r="F30" i="33"/>
  <c r="E30" i="33"/>
  <c r="D30" i="33"/>
  <c r="C30" i="33"/>
  <c r="F24" i="33"/>
  <c r="E24" i="33"/>
  <c r="D24" i="33"/>
  <c r="C24" i="33"/>
  <c r="F23" i="33"/>
  <c r="E23" i="33"/>
  <c r="D23" i="33"/>
  <c r="C23" i="33"/>
  <c r="F22" i="33"/>
  <c r="E22" i="33"/>
  <c r="D22" i="33"/>
  <c r="C22" i="33"/>
  <c r="F21" i="33"/>
  <c r="E21" i="33"/>
  <c r="D21" i="33"/>
  <c r="C21" i="33"/>
  <c r="F20" i="33"/>
  <c r="E20" i="33"/>
  <c r="D20" i="33"/>
  <c r="C20" i="33"/>
  <c r="F19" i="33"/>
  <c r="E19" i="33"/>
  <c r="D19" i="33"/>
  <c r="C19" i="33"/>
  <c r="F18" i="33"/>
  <c r="E18" i="33"/>
  <c r="D18" i="33"/>
  <c r="C18" i="33"/>
  <c r="F12" i="33"/>
  <c r="E12" i="33"/>
  <c r="D12" i="33"/>
  <c r="C12" i="33"/>
  <c r="F11" i="33"/>
  <c r="E11" i="33"/>
  <c r="D11" i="33"/>
  <c r="C11" i="33"/>
  <c r="F10" i="33"/>
  <c r="E10" i="33"/>
  <c r="D10" i="33"/>
  <c r="C10" i="33"/>
  <c r="F9" i="33"/>
  <c r="E9" i="33"/>
  <c r="D9" i="33"/>
  <c r="C9" i="33"/>
  <c r="F8" i="33"/>
  <c r="E8" i="33"/>
  <c r="D8" i="33"/>
  <c r="C8" i="33"/>
  <c r="F7" i="33"/>
  <c r="E7" i="33"/>
  <c r="D7" i="33"/>
  <c r="C7" i="33"/>
  <c r="F6" i="33"/>
  <c r="E6" i="33"/>
  <c r="D6" i="33"/>
  <c r="C6" i="33"/>
  <c r="I12" i="33"/>
  <c r="I11" i="33"/>
  <c r="I10" i="33"/>
  <c r="I9" i="33"/>
  <c r="I8" i="33"/>
  <c r="I7" i="33"/>
  <c r="I6" i="33"/>
  <c r="F33" i="2"/>
  <c r="E33" i="2"/>
  <c r="D33" i="2"/>
  <c r="C33" i="2"/>
  <c r="F40" i="31"/>
  <c r="L40" i="31" s="1"/>
  <c r="F39" i="31"/>
  <c r="F38" i="31"/>
  <c r="F37" i="31"/>
  <c r="L37" i="31" s="1"/>
  <c r="F36" i="31"/>
  <c r="L36" i="31" s="1"/>
  <c r="F35" i="31"/>
  <c r="F34" i="31"/>
  <c r="E40" i="31"/>
  <c r="E39" i="31"/>
  <c r="K39" i="31" s="1"/>
  <c r="E38" i="31"/>
  <c r="E37" i="31"/>
  <c r="E36" i="31"/>
  <c r="E35" i="31"/>
  <c r="K35" i="31" s="1"/>
  <c r="E34" i="31"/>
  <c r="D40" i="31"/>
  <c r="D39" i="31"/>
  <c r="D38" i="31"/>
  <c r="D37" i="31"/>
  <c r="D36" i="31"/>
  <c r="D35" i="31"/>
  <c r="D34" i="31"/>
  <c r="C40" i="31"/>
  <c r="C39" i="31"/>
  <c r="C38" i="31"/>
  <c r="C37" i="31"/>
  <c r="C36" i="31"/>
  <c r="C35" i="31"/>
  <c r="C34" i="31"/>
  <c r="F28" i="31"/>
  <c r="L28" i="31" s="1"/>
  <c r="F27" i="31"/>
  <c r="F26" i="31"/>
  <c r="F25" i="31"/>
  <c r="L25" i="31" s="1"/>
  <c r="F24" i="31"/>
  <c r="L24" i="31" s="1"/>
  <c r="F23" i="31"/>
  <c r="F22" i="31"/>
  <c r="E28" i="31"/>
  <c r="E27" i="31"/>
  <c r="K27" i="31" s="1"/>
  <c r="E26" i="31"/>
  <c r="E25" i="31"/>
  <c r="E24" i="31"/>
  <c r="E23" i="31"/>
  <c r="K23" i="31" s="1"/>
  <c r="E22" i="31"/>
  <c r="D28" i="31"/>
  <c r="D27" i="31"/>
  <c r="D26" i="31"/>
  <c r="D25" i="31"/>
  <c r="D24" i="31"/>
  <c r="D23" i="31"/>
  <c r="D22" i="31"/>
  <c r="C28" i="31"/>
  <c r="C27" i="31"/>
  <c r="C26" i="31"/>
  <c r="C25" i="31"/>
  <c r="C24" i="31"/>
  <c r="C23" i="31"/>
  <c r="C22" i="31"/>
  <c r="F16" i="31"/>
  <c r="L16" i="31" s="1"/>
  <c r="F15" i="31"/>
  <c r="F14" i="31"/>
  <c r="F13" i="31"/>
  <c r="F12" i="31"/>
  <c r="L12" i="31" s="1"/>
  <c r="F11" i="31"/>
  <c r="F10" i="31"/>
  <c r="E16" i="31"/>
  <c r="E15" i="31"/>
  <c r="K15" i="31" s="1"/>
  <c r="E14" i="31"/>
  <c r="E13" i="31"/>
  <c r="E12" i="31"/>
  <c r="E11" i="31"/>
  <c r="K11" i="31" s="1"/>
  <c r="E10" i="31"/>
  <c r="D16" i="31"/>
  <c r="D15" i="31"/>
  <c r="J15" i="31" s="1"/>
  <c r="D14" i="31"/>
  <c r="D13" i="31"/>
  <c r="D12" i="31"/>
  <c r="D11" i="31"/>
  <c r="D10" i="31"/>
  <c r="C10" i="31"/>
  <c r="C14" i="34"/>
  <c r="C16" i="31"/>
  <c r="C15" i="31"/>
  <c r="C14" i="31"/>
  <c r="C13" i="31"/>
  <c r="C12" i="31"/>
  <c r="C11" i="31"/>
  <c r="F30" i="34"/>
  <c r="E30" i="34"/>
  <c r="D30" i="34"/>
  <c r="C30" i="34"/>
  <c r="F29" i="34"/>
  <c r="E29" i="34"/>
  <c r="D29" i="34"/>
  <c r="C29" i="34"/>
  <c r="F28" i="34"/>
  <c r="E28" i="34"/>
  <c r="D28" i="34"/>
  <c r="C28" i="34"/>
  <c r="F16" i="34"/>
  <c r="E16" i="34"/>
  <c r="D16" i="34"/>
  <c r="C16" i="34"/>
  <c r="F15" i="34"/>
  <c r="E15" i="34"/>
  <c r="D15" i="34"/>
  <c r="C15" i="34"/>
  <c r="F14" i="34"/>
  <c r="E14" i="34"/>
  <c r="D14" i="34"/>
  <c r="T8" i="33"/>
  <c r="S7" i="33"/>
  <c r="R6" i="33"/>
  <c r="T6" i="33"/>
  <c r="S8" i="33"/>
  <c r="U8" i="33"/>
  <c r="T7" i="33"/>
  <c r="S6" i="33"/>
  <c r="U7" i="33"/>
  <c r="R8" i="33"/>
  <c r="U6" i="33"/>
  <c r="L5" i="31"/>
  <c r="K4" i="31"/>
  <c r="J3" i="31"/>
  <c r="L4" i="31"/>
  <c r="K3" i="31"/>
  <c r="I5" i="31"/>
  <c r="L3" i="31"/>
  <c r="J5" i="31"/>
  <c r="I4" i="31"/>
  <c r="K5" i="31"/>
  <c r="J4" i="31"/>
  <c r="I3" i="31"/>
  <c r="E24" i="39"/>
  <c r="G27" i="39"/>
  <c r="F23" i="39"/>
  <c r="E25" i="39"/>
  <c r="G23" i="39"/>
  <c r="E21" i="39"/>
  <c r="F25" i="39"/>
  <c r="F27" i="39"/>
  <c r="G21" i="39"/>
  <c r="E26" i="39"/>
  <c r="G24" i="39"/>
  <c r="F21" i="39"/>
  <c r="E27" i="39"/>
  <c r="F24" i="39"/>
  <c r="F26" i="39"/>
  <c r="G26" i="39"/>
  <c r="E23" i="39"/>
  <c r="G25" i="39"/>
  <c r="T6" i="3"/>
  <c r="S5" i="3"/>
  <c r="U7" i="3"/>
  <c r="T5" i="3"/>
  <c r="R7" i="3"/>
  <c r="U6" i="3"/>
  <c r="S7" i="3"/>
  <c r="R6" i="3"/>
  <c r="U5" i="3"/>
  <c r="T7" i="3"/>
  <c r="S6" i="3"/>
  <c r="R5" i="3"/>
  <c r="E72" i="35"/>
  <c r="F71" i="35"/>
  <c r="H72" i="35"/>
  <c r="G70" i="35"/>
  <c r="F69" i="35"/>
  <c r="E69" i="35"/>
  <c r="E66" i="35"/>
  <c r="E64" i="35"/>
  <c r="G69" i="35"/>
  <c r="E70" i="35"/>
  <c r="G66" i="35"/>
  <c r="F70" i="35"/>
  <c r="H66" i="35"/>
  <c r="F64" i="35"/>
  <c r="E71" i="35"/>
  <c r="H69" i="35"/>
  <c r="F66" i="35"/>
  <c r="H64" i="35"/>
  <c r="G72" i="35"/>
  <c r="F72" i="35"/>
  <c r="H71" i="35"/>
  <c r="G64" i="35"/>
  <c r="H70" i="35"/>
  <c r="G71" i="35"/>
  <c r="M9" i="34"/>
  <c r="J9" i="34"/>
  <c r="K9" i="34"/>
  <c r="L7" i="34"/>
  <c r="M7" i="34"/>
  <c r="J7" i="34"/>
  <c r="L9" i="34"/>
  <c r="K8" i="34"/>
  <c r="M8" i="34"/>
  <c r="J8" i="34"/>
  <c r="L8" i="34"/>
  <c r="K7" i="34"/>
  <c r="F28" i="39" l="1"/>
  <c r="E28" i="39"/>
  <c r="G28" i="39"/>
  <c r="C21" i="34"/>
  <c r="D22" i="34"/>
  <c r="E23" i="34"/>
  <c r="C22" i="34"/>
  <c r="D23" i="34"/>
  <c r="F21" i="34"/>
  <c r="C23" i="34"/>
  <c r="E21" i="34"/>
  <c r="F22" i="34"/>
  <c r="D21" i="34"/>
  <c r="E22" i="34"/>
  <c r="F23" i="34"/>
  <c r="E67" i="35"/>
  <c r="E74" i="35" s="1"/>
  <c r="F67" i="35"/>
  <c r="F74" i="35" s="1"/>
  <c r="G67" i="35"/>
  <c r="G74" i="35" s="1"/>
  <c r="H67" i="35"/>
  <c r="H74" i="35" s="1"/>
  <c r="R8" i="3"/>
  <c r="S8" i="3"/>
  <c r="T8" i="3"/>
  <c r="U8" i="3"/>
  <c r="V7" i="3"/>
  <c r="V6" i="3"/>
  <c r="V5" i="3"/>
  <c r="R9" i="33"/>
  <c r="S9" i="33"/>
  <c r="T9" i="33"/>
  <c r="U9" i="33"/>
  <c r="J10" i="34"/>
  <c r="K10" i="34"/>
  <c r="L10" i="34"/>
  <c r="M10" i="34"/>
  <c r="G29" i="34"/>
  <c r="N9" i="34"/>
  <c r="N8" i="34"/>
  <c r="N7" i="34"/>
  <c r="G30" i="34"/>
  <c r="G14" i="34"/>
  <c r="G15" i="34"/>
  <c r="G16" i="34"/>
  <c r="G28" i="34"/>
  <c r="I6" i="31"/>
  <c r="J6" i="31"/>
  <c r="K6" i="31"/>
  <c r="L6" i="31"/>
  <c r="K28" i="31"/>
  <c r="I38" i="31"/>
  <c r="K10" i="31"/>
  <c r="K14" i="31"/>
  <c r="I24" i="31"/>
  <c r="I28" i="31"/>
  <c r="J25" i="31"/>
  <c r="K22" i="31"/>
  <c r="K26" i="31"/>
  <c r="L23" i="31"/>
  <c r="L27" i="31"/>
  <c r="I36" i="31"/>
  <c r="I40" i="31"/>
  <c r="J37" i="31"/>
  <c r="K34" i="31"/>
  <c r="K38" i="31"/>
  <c r="L35" i="31"/>
  <c r="L39" i="31"/>
  <c r="K24" i="31"/>
  <c r="K36" i="31"/>
  <c r="K40" i="31"/>
  <c r="I11" i="31"/>
  <c r="I15" i="31"/>
  <c r="I10" i="31"/>
  <c r="I22" i="31"/>
  <c r="I26" i="31"/>
  <c r="I34" i="31"/>
  <c r="I12" i="31"/>
  <c r="I16" i="31"/>
  <c r="J10" i="31"/>
  <c r="J14" i="31"/>
  <c r="I25" i="31"/>
  <c r="J22" i="31"/>
  <c r="J26" i="31"/>
  <c r="I37" i="31"/>
  <c r="J34" i="31"/>
  <c r="J38" i="31"/>
  <c r="I13" i="31"/>
  <c r="K12" i="31"/>
  <c r="K16" i="31"/>
  <c r="J23" i="31"/>
  <c r="J27" i="31"/>
  <c r="J35" i="31"/>
  <c r="J39" i="31"/>
  <c r="L15" i="31"/>
  <c r="I14" i="31"/>
  <c r="J12" i="31"/>
  <c r="J16" i="31"/>
  <c r="K13" i="31"/>
  <c r="L10" i="31"/>
  <c r="L14" i="31"/>
  <c r="I23" i="31"/>
  <c r="I27" i="31"/>
  <c r="J24" i="31"/>
  <c r="J28" i="31"/>
  <c r="K25" i="31"/>
  <c r="L22" i="31"/>
  <c r="L26" i="31"/>
  <c r="I35" i="31"/>
  <c r="I39" i="31"/>
  <c r="J36" i="31"/>
  <c r="J40" i="31"/>
  <c r="K37" i="31"/>
  <c r="L34" i="31"/>
  <c r="L38" i="31"/>
  <c r="M5" i="31"/>
  <c r="M4" i="31"/>
  <c r="M3" i="31"/>
  <c r="L11" i="31"/>
  <c r="L13" i="31"/>
  <c r="J11" i="31"/>
  <c r="J13" i="31"/>
  <c r="E29" i="35"/>
  <c r="F37" i="35"/>
  <c r="G37" i="35"/>
  <c r="F35" i="35"/>
  <c r="F34" i="35"/>
  <c r="G36" i="35"/>
  <c r="E34" i="35"/>
  <c r="F29" i="35"/>
  <c r="F36" i="35"/>
  <c r="E35" i="35"/>
  <c r="E36" i="35"/>
  <c r="E37" i="35"/>
  <c r="G31" i="35"/>
  <c r="G29" i="35"/>
  <c r="G34" i="35"/>
  <c r="G35" i="35"/>
  <c r="E31" i="35"/>
  <c r="F31" i="35"/>
  <c r="J29" i="35" l="1"/>
  <c r="E75" i="35"/>
  <c r="I41" i="31"/>
  <c r="K41" i="31"/>
  <c r="I17" i="31"/>
  <c r="F75" i="35"/>
  <c r="H75" i="35"/>
  <c r="G75" i="35"/>
  <c r="V8" i="3"/>
  <c r="N10" i="34"/>
  <c r="M6" i="31"/>
  <c r="J41" i="31"/>
  <c r="K17" i="31"/>
  <c r="J17" i="31"/>
  <c r="L29" i="31"/>
  <c r="L41" i="31"/>
  <c r="K29" i="31"/>
  <c r="J29" i="31"/>
  <c r="I29" i="31"/>
  <c r="L17" i="31"/>
  <c r="D24" i="39"/>
  <c r="D25" i="39"/>
  <c r="D23" i="39"/>
  <c r="D27" i="39"/>
  <c r="D21" i="39"/>
  <c r="D26" i="39"/>
  <c r="F86" i="35" l="1"/>
  <c r="G86" i="35"/>
  <c r="G93" i="35" s="1"/>
  <c r="H89" i="35"/>
  <c r="I89" i="35" s="1"/>
  <c r="H85" i="35"/>
  <c r="I85" i="35" s="1"/>
  <c r="D28" i="39"/>
  <c r="H83" i="35"/>
  <c r="I83" i="35" s="1"/>
  <c r="E86" i="35"/>
  <c r="H88" i="35"/>
  <c r="F93" i="35"/>
  <c r="H90" i="35"/>
  <c r="H91" i="35"/>
  <c r="H23" i="39"/>
  <c r="H24" i="39"/>
  <c r="H25" i="39"/>
  <c r="H26" i="39"/>
  <c r="H27" i="39"/>
  <c r="D29" i="39"/>
  <c r="E29" i="39"/>
  <c r="F29" i="39"/>
  <c r="G29" i="39"/>
  <c r="H29" i="39" l="1"/>
  <c r="J89" i="35"/>
  <c r="K89" i="35" s="1"/>
  <c r="J85" i="35"/>
  <c r="K85" i="35" s="1"/>
  <c r="I90" i="35"/>
  <c r="J90" i="35"/>
  <c r="K90" i="35" s="1"/>
  <c r="I88" i="35"/>
  <c r="J88" i="35"/>
  <c r="K88" i="35" s="1"/>
  <c r="H86" i="35"/>
  <c r="I86" i="35" s="1"/>
  <c r="E93" i="35"/>
  <c r="H93" i="35" s="1"/>
  <c r="I93" i="35" s="1"/>
  <c r="I91" i="35"/>
  <c r="J91" i="35"/>
  <c r="K91" i="35" s="1"/>
  <c r="J83" i="35"/>
  <c r="L8" i="39" l="1"/>
  <c r="K83" i="35"/>
  <c r="J86" i="35"/>
  <c r="F26" i="35"/>
  <c r="F80" i="35" s="1"/>
  <c r="J93" i="35" l="1"/>
  <c r="K93" i="35" s="1"/>
  <c r="K86" i="35"/>
  <c r="H29" i="35"/>
  <c r="I29" i="35" s="1"/>
  <c r="L29" i="35"/>
  <c r="K29" i="35"/>
  <c r="H31" i="35"/>
  <c r="H34" i="35"/>
  <c r="H35" i="35"/>
  <c r="H36" i="35"/>
  <c r="H37" i="35"/>
  <c r="G32" i="35"/>
  <c r="F32" i="35"/>
  <c r="F39" i="35" s="1"/>
  <c r="I31" i="35" l="1"/>
  <c r="K31" i="35"/>
  <c r="K32" i="35" s="1"/>
  <c r="L31" i="35"/>
  <c r="L32" i="35" s="1"/>
  <c r="J31" i="35"/>
  <c r="J32" i="35" s="1"/>
  <c r="I37" i="35"/>
  <c r="K37" i="35"/>
  <c r="L37" i="35"/>
  <c r="J37" i="35"/>
  <c r="I36" i="35"/>
  <c r="K36" i="35"/>
  <c r="L36" i="35"/>
  <c r="J36" i="35"/>
  <c r="I35" i="35"/>
  <c r="K35" i="35"/>
  <c r="J35" i="35"/>
  <c r="L35" i="35"/>
  <c r="I34" i="35"/>
  <c r="J34" i="35"/>
  <c r="K34" i="35"/>
  <c r="L34" i="35"/>
  <c r="G39" i="35"/>
  <c r="M30" i="3"/>
  <c r="D31" i="38" s="1"/>
  <c r="N31" i="3"/>
  <c r="E32" i="38" s="1"/>
  <c r="O32" i="3"/>
  <c r="F33" i="38" s="1"/>
  <c r="L33" i="3"/>
  <c r="C34" i="38" s="1"/>
  <c r="M34" i="3"/>
  <c r="D35" i="38" s="1"/>
  <c r="N35" i="3"/>
  <c r="E36" i="38" s="1"/>
  <c r="L29" i="3"/>
  <c r="C30" i="38" s="1"/>
  <c r="M18" i="3"/>
  <c r="D19" i="38" s="1"/>
  <c r="N19" i="3"/>
  <c r="E20" i="38" s="1"/>
  <c r="O20" i="3"/>
  <c r="F21" i="38" s="1"/>
  <c r="L21" i="3"/>
  <c r="C22" i="38" s="1"/>
  <c r="M22" i="3"/>
  <c r="D23" i="38" s="1"/>
  <c r="N23" i="3"/>
  <c r="E24" i="38" s="1"/>
  <c r="L17" i="3"/>
  <c r="C18" i="38" s="1"/>
  <c r="M6" i="3"/>
  <c r="D7" i="38" s="1"/>
  <c r="N7" i="3"/>
  <c r="E8" i="38" s="1"/>
  <c r="O8" i="3"/>
  <c r="F9" i="38" s="1"/>
  <c r="L9" i="3"/>
  <c r="C10" i="38" s="1"/>
  <c r="M10" i="3"/>
  <c r="D11" i="38" s="1"/>
  <c r="N11" i="3"/>
  <c r="E12" i="38" s="1"/>
  <c r="L5" i="3"/>
  <c r="C6" i="38" s="1"/>
  <c r="M31" i="33"/>
  <c r="D33" i="37" s="1"/>
  <c r="V49" i="37" s="1"/>
  <c r="N32" i="33"/>
  <c r="E34" i="37" s="1"/>
  <c r="W50" i="37" s="1"/>
  <c r="O33" i="33"/>
  <c r="F35" i="37" s="1"/>
  <c r="X51" i="37" s="1"/>
  <c r="M34" i="33"/>
  <c r="D36" i="37" s="1"/>
  <c r="V52" i="37" s="1"/>
  <c r="N34" i="33"/>
  <c r="E36" i="37" s="1"/>
  <c r="W52" i="37" s="1"/>
  <c r="O34" i="33"/>
  <c r="F36" i="37" s="1"/>
  <c r="X52" i="37" s="1"/>
  <c r="M35" i="33"/>
  <c r="D37" i="37" s="1"/>
  <c r="V53" i="37" s="1"/>
  <c r="N35" i="33"/>
  <c r="E37" i="37" s="1"/>
  <c r="W53" i="37" s="1"/>
  <c r="N36" i="33"/>
  <c r="E38" i="37" s="1"/>
  <c r="W54" i="37" s="1"/>
  <c r="L30" i="33"/>
  <c r="C32" i="37" s="1"/>
  <c r="M19" i="33"/>
  <c r="D22" i="37" s="1"/>
  <c r="V22" i="37" s="1"/>
  <c r="O19" i="33"/>
  <c r="F22" i="37" s="1"/>
  <c r="X22" i="37" s="1"/>
  <c r="N20" i="33"/>
  <c r="E23" i="37" s="1"/>
  <c r="W23" i="37" s="1"/>
  <c r="O21" i="33"/>
  <c r="F24" i="37" s="1"/>
  <c r="X24" i="37" s="1"/>
  <c r="M22" i="33"/>
  <c r="D25" i="37" s="1"/>
  <c r="V25" i="37" s="1"/>
  <c r="N22" i="33"/>
  <c r="E25" i="37" s="1"/>
  <c r="W25" i="37" s="1"/>
  <c r="O22" i="33"/>
  <c r="F25" i="37" s="1"/>
  <c r="X25" i="37" s="1"/>
  <c r="M23" i="33"/>
  <c r="D26" i="37" s="1"/>
  <c r="V26" i="37" s="1"/>
  <c r="N23" i="33"/>
  <c r="E26" i="37" s="1"/>
  <c r="W26" i="37" s="1"/>
  <c r="O23" i="33"/>
  <c r="F26" i="37" s="1"/>
  <c r="X26" i="37" s="1"/>
  <c r="N24" i="33"/>
  <c r="E27" i="37" s="1"/>
  <c r="W27" i="37" s="1"/>
  <c r="L18" i="33"/>
  <c r="C21" i="37" s="1"/>
  <c r="O7" i="33"/>
  <c r="F10" i="37" s="1"/>
  <c r="X10" i="37" s="1"/>
  <c r="N8" i="33"/>
  <c r="E11" i="37" s="1"/>
  <c r="W11" i="37" s="1"/>
  <c r="O9" i="33"/>
  <c r="F12" i="37" s="1"/>
  <c r="X12" i="37" s="1"/>
  <c r="L10" i="33"/>
  <c r="C13" i="37" s="1"/>
  <c r="U13" i="37" s="1"/>
  <c r="M10" i="33"/>
  <c r="D13" i="37" s="1"/>
  <c r="V13" i="37" s="1"/>
  <c r="N10" i="33"/>
  <c r="E13" i="37" s="1"/>
  <c r="W13" i="37" s="1"/>
  <c r="O11" i="33"/>
  <c r="F14" i="37" s="1"/>
  <c r="X14" i="37" s="1"/>
  <c r="N12" i="33"/>
  <c r="E15" i="37" s="1"/>
  <c r="W15" i="37" s="1"/>
  <c r="L6" i="33"/>
  <c r="C9" i="37" s="1"/>
  <c r="U21" i="37" l="1"/>
  <c r="U48" i="37"/>
  <c r="U9" i="37"/>
  <c r="O12" i="33"/>
  <c r="F15" i="37" s="1"/>
  <c r="X15" i="37" s="1"/>
  <c r="O8" i="33"/>
  <c r="F11" i="37" s="1"/>
  <c r="X11" i="37" s="1"/>
  <c r="O24" i="33"/>
  <c r="F27" i="37" s="1"/>
  <c r="X27" i="37" s="1"/>
  <c r="O20" i="33"/>
  <c r="F23" i="37" s="1"/>
  <c r="X23" i="37" s="1"/>
  <c r="O36" i="33"/>
  <c r="F38" i="37" s="1"/>
  <c r="X54" i="37" s="1"/>
  <c r="O35" i="33"/>
  <c r="F37" i="37" s="1"/>
  <c r="X53" i="37" s="1"/>
  <c r="O32" i="33"/>
  <c r="F34" i="37" s="1"/>
  <c r="X50" i="37" s="1"/>
  <c r="O31" i="33"/>
  <c r="F33" i="37" s="1"/>
  <c r="X49" i="37" s="1"/>
  <c r="O6" i="33"/>
  <c r="F9" i="37" s="1"/>
  <c r="N21" i="33"/>
  <c r="E24" i="37" s="1"/>
  <c r="W24" i="37" s="1"/>
  <c r="N33" i="33"/>
  <c r="E35" i="37" s="1"/>
  <c r="W51" i="37" s="1"/>
  <c r="N6" i="33"/>
  <c r="E9" i="37" s="1"/>
  <c r="M12" i="33"/>
  <c r="D15" i="37" s="1"/>
  <c r="V15" i="37" s="1"/>
  <c r="M9" i="33"/>
  <c r="D12" i="37" s="1"/>
  <c r="V12" i="37" s="1"/>
  <c r="M8" i="33"/>
  <c r="D11" i="37" s="1"/>
  <c r="V11" i="37" s="1"/>
  <c r="N18" i="33"/>
  <c r="E21" i="37" s="1"/>
  <c r="M24" i="33"/>
  <c r="D27" i="37" s="1"/>
  <c r="V27" i="37" s="1"/>
  <c r="M21" i="33"/>
  <c r="D24" i="37" s="1"/>
  <c r="V24" i="37" s="1"/>
  <c r="M20" i="33"/>
  <c r="D23" i="37" s="1"/>
  <c r="V23" i="37" s="1"/>
  <c r="N30" i="33"/>
  <c r="E32" i="37" s="1"/>
  <c r="M36" i="33"/>
  <c r="D38" i="37" s="1"/>
  <c r="V54" i="37" s="1"/>
  <c r="M33" i="33"/>
  <c r="D35" i="37" s="1"/>
  <c r="V51" i="37" s="1"/>
  <c r="M32" i="33"/>
  <c r="D34" i="37" s="1"/>
  <c r="V50" i="37" s="1"/>
  <c r="L12" i="33"/>
  <c r="C15" i="37" s="1"/>
  <c r="U15" i="37" s="1"/>
  <c r="L9" i="33"/>
  <c r="C12" i="37" s="1"/>
  <c r="U12" i="37" s="1"/>
  <c r="L8" i="33"/>
  <c r="C11" i="37" s="1"/>
  <c r="U11" i="37" s="1"/>
  <c r="L24" i="33"/>
  <c r="C27" i="37" s="1"/>
  <c r="U27" i="37" s="1"/>
  <c r="L23" i="33"/>
  <c r="C26" i="37" s="1"/>
  <c r="U26" i="37" s="1"/>
  <c r="L21" i="33"/>
  <c r="C24" i="37" s="1"/>
  <c r="U24" i="37" s="1"/>
  <c r="L20" i="33"/>
  <c r="C23" i="37" s="1"/>
  <c r="U23" i="37" s="1"/>
  <c r="L36" i="33"/>
  <c r="C38" i="37" s="1"/>
  <c r="U54" i="37" s="1"/>
  <c r="L33" i="33"/>
  <c r="C35" i="37" s="1"/>
  <c r="U51" i="37" s="1"/>
  <c r="L32" i="33"/>
  <c r="C34" i="37" s="1"/>
  <c r="U50" i="37" s="1"/>
  <c r="C7" i="36"/>
  <c r="D25" i="33"/>
  <c r="D13" i="33"/>
  <c r="D14" i="33" s="1"/>
  <c r="D37" i="33"/>
  <c r="F25" i="33"/>
  <c r="F37" i="33"/>
  <c r="O18" i="33"/>
  <c r="F21" i="37" s="1"/>
  <c r="E13" i="36"/>
  <c r="E9" i="36"/>
  <c r="E25" i="36"/>
  <c r="E21" i="36"/>
  <c r="E37" i="36"/>
  <c r="E33" i="36"/>
  <c r="D24" i="36"/>
  <c r="D20" i="36"/>
  <c r="D36" i="36"/>
  <c r="D32" i="36"/>
  <c r="C11" i="36"/>
  <c r="L11" i="33"/>
  <c r="C14" i="37" s="1"/>
  <c r="U14" i="37" s="1"/>
  <c r="L7" i="33"/>
  <c r="C10" i="37" s="1"/>
  <c r="U10" i="37" s="1"/>
  <c r="O30" i="33"/>
  <c r="F32" i="37" s="1"/>
  <c r="F10" i="36"/>
  <c r="C19" i="36"/>
  <c r="F22" i="36"/>
  <c r="C31" i="36"/>
  <c r="F34" i="36"/>
  <c r="N10" i="3"/>
  <c r="E11" i="38" s="1"/>
  <c r="N6" i="3"/>
  <c r="E7" i="38" s="1"/>
  <c r="N22" i="3"/>
  <c r="N18" i="3"/>
  <c r="E19" i="38" s="1"/>
  <c r="N34" i="3"/>
  <c r="N30" i="3"/>
  <c r="E31" i="38" s="1"/>
  <c r="J39" i="35"/>
  <c r="L39" i="35"/>
  <c r="K39" i="35"/>
  <c r="N5" i="3"/>
  <c r="E6" i="38" s="1"/>
  <c r="O10" i="3"/>
  <c r="O6" i="3"/>
  <c r="O21" i="3"/>
  <c r="O5" i="3"/>
  <c r="F6" i="38" s="1"/>
  <c r="N9" i="3"/>
  <c r="N8" i="3"/>
  <c r="E9" i="38" s="1"/>
  <c r="O17" i="3"/>
  <c r="F18" i="38" s="1"/>
  <c r="N21" i="3"/>
  <c r="N20" i="3"/>
  <c r="O29" i="3"/>
  <c r="F30" i="38" s="1"/>
  <c r="N33" i="3"/>
  <c r="N32" i="3"/>
  <c r="E33" i="38" s="1"/>
  <c r="O35" i="3"/>
  <c r="F36" i="38" s="1"/>
  <c r="O31" i="3"/>
  <c r="F32" i="38" s="1"/>
  <c r="O9" i="3"/>
  <c r="F10" i="38" s="1"/>
  <c r="M9" i="3"/>
  <c r="M8" i="3"/>
  <c r="N17" i="3"/>
  <c r="E18" i="38" s="1"/>
  <c r="M21" i="3"/>
  <c r="M20" i="3"/>
  <c r="D21" i="38" s="1"/>
  <c r="N29" i="3"/>
  <c r="E30" i="38" s="1"/>
  <c r="M33" i="3"/>
  <c r="M32" i="3"/>
  <c r="D33" i="38" s="1"/>
  <c r="O34" i="3"/>
  <c r="F35" i="38" s="1"/>
  <c r="O30" i="3"/>
  <c r="F31" i="38" s="1"/>
  <c r="M23" i="3"/>
  <c r="D24" i="38" s="1"/>
  <c r="M19" i="3"/>
  <c r="D20" i="38" s="1"/>
  <c r="M35" i="3"/>
  <c r="D36" i="38" s="1"/>
  <c r="M31" i="3"/>
  <c r="D32" i="38" s="1"/>
  <c r="M5" i="3"/>
  <c r="D6" i="38" s="1"/>
  <c r="L10" i="3"/>
  <c r="L8" i="3"/>
  <c r="C9" i="38" s="1"/>
  <c r="L6" i="3"/>
  <c r="C7" i="38" s="1"/>
  <c r="M17" i="3"/>
  <c r="D18" i="38" s="1"/>
  <c r="L23" i="3"/>
  <c r="C24" i="38" s="1"/>
  <c r="L22" i="3"/>
  <c r="C23" i="38" s="1"/>
  <c r="L20" i="3"/>
  <c r="C21" i="38" s="1"/>
  <c r="L19" i="3"/>
  <c r="C20" i="38" s="1"/>
  <c r="L18" i="3"/>
  <c r="C19" i="38" s="1"/>
  <c r="C25" i="38" s="1"/>
  <c r="M29" i="3"/>
  <c r="D30" i="38" s="1"/>
  <c r="L35" i="3"/>
  <c r="C36" i="38" s="1"/>
  <c r="L34" i="3"/>
  <c r="C35" i="38" s="1"/>
  <c r="L32" i="3"/>
  <c r="C33" i="38" s="1"/>
  <c r="L31" i="3"/>
  <c r="C32" i="38" s="1"/>
  <c r="L30" i="3"/>
  <c r="C31" i="38" s="1"/>
  <c r="C37" i="38" s="1"/>
  <c r="O33" i="3"/>
  <c r="M11" i="3"/>
  <c r="D12" i="38" s="1"/>
  <c r="M7" i="3"/>
  <c r="D8" i="38" s="1"/>
  <c r="L11" i="3"/>
  <c r="C12" i="38" s="1"/>
  <c r="L7" i="3"/>
  <c r="C8" i="38" s="1"/>
  <c r="O11" i="3"/>
  <c r="F12" i="38" s="1"/>
  <c r="O7" i="3"/>
  <c r="F8" i="38" s="1"/>
  <c r="O18" i="3"/>
  <c r="O19" i="3"/>
  <c r="F20" i="38" s="1"/>
  <c r="O22" i="3"/>
  <c r="O23" i="3"/>
  <c r="F24" i="38" s="1"/>
  <c r="D12" i="3"/>
  <c r="D24" i="3"/>
  <c r="D36" i="3"/>
  <c r="F12" i="3"/>
  <c r="F24" i="3"/>
  <c r="F36" i="3"/>
  <c r="E12" i="3"/>
  <c r="E24" i="3"/>
  <c r="E36" i="3"/>
  <c r="C36" i="3"/>
  <c r="C24" i="3"/>
  <c r="C12" i="3"/>
  <c r="F13" i="33"/>
  <c r="F14" i="33" s="1"/>
  <c r="E13" i="33"/>
  <c r="E14" i="33" s="1"/>
  <c r="E37" i="33"/>
  <c r="O10" i="33"/>
  <c r="F13" i="37" s="1"/>
  <c r="X13" i="37" s="1"/>
  <c r="L19" i="33"/>
  <c r="C22" i="37" s="1"/>
  <c r="U22" i="37" s="1"/>
  <c r="L22" i="33"/>
  <c r="L31" i="33"/>
  <c r="C33" i="37" s="1"/>
  <c r="U49" i="37" s="1"/>
  <c r="L34" i="33"/>
  <c r="L35" i="33"/>
  <c r="C37" i="37" s="1"/>
  <c r="U53" i="37" s="1"/>
  <c r="M6" i="33"/>
  <c r="D9" i="37" s="1"/>
  <c r="N9" i="33"/>
  <c r="E12" i="37" s="1"/>
  <c r="W12" i="37" s="1"/>
  <c r="M18" i="33"/>
  <c r="D21" i="37" s="1"/>
  <c r="M30" i="33"/>
  <c r="D32" i="37" s="1"/>
  <c r="E25" i="33"/>
  <c r="C13" i="33"/>
  <c r="C14" i="33" s="1"/>
  <c r="C25" i="33"/>
  <c r="C37" i="33"/>
  <c r="N19" i="33"/>
  <c r="E22" i="37" s="1"/>
  <c r="W22" i="37" s="1"/>
  <c r="N31" i="33"/>
  <c r="E33" i="37" s="1"/>
  <c r="W49" i="37" s="1"/>
  <c r="N11" i="33"/>
  <c r="E14" i="37" s="1"/>
  <c r="W14" i="37" s="1"/>
  <c r="N7" i="33"/>
  <c r="E10" i="37" s="1"/>
  <c r="W10" i="37" s="1"/>
  <c r="M11" i="33"/>
  <c r="M7" i="33"/>
  <c r="D10" i="37" s="1"/>
  <c r="V10" i="37" s="1"/>
  <c r="F20" i="36" l="1"/>
  <c r="F19" i="38"/>
  <c r="F25" i="38" s="1"/>
  <c r="E37" i="38"/>
  <c r="D10" i="36"/>
  <c r="D9" i="38"/>
  <c r="E22" i="36"/>
  <c r="E21" i="38"/>
  <c r="E25" i="38" s="1"/>
  <c r="E11" i="36"/>
  <c r="E10" i="38"/>
  <c r="E13" i="38" s="1"/>
  <c r="F12" i="36"/>
  <c r="F11" i="38"/>
  <c r="E24" i="36"/>
  <c r="E23" i="38"/>
  <c r="D11" i="36"/>
  <c r="D10" i="38"/>
  <c r="E23" i="36"/>
  <c r="E22" i="38"/>
  <c r="F24" i="36"/>
  <c r="F23" i="38"/>
  <c r="C12" i="36"/>
  <c r="C11" i="38"/>
  <c r="C13" i="38" s="1"/>
  <c r="D23" i="36"/>
  <c r="D22" i="38"/>
  <c r="D25" i="38" s="1"/>
  <c r="E35" i="36"/>
  <c r="E34" i="38"/>
  <c r="F23" i="36"/>
  <c r="F22" i="38"/>
  <c r="E36" i="36"/>
  <c r="E35" i="38"/>
  <c r="F35" i="36"/>
  <c r="F34" i="38"/>
  <c r="F37" i="38" s="1"/>
  <c r="D13" i="38"/>
  <c r="D35" i="36"/>
  <c r="D34" i="38"/>
  <c r="D37" i="38" s="1"/>
  <c r="F8" i="36"/>
  <c r="F7" i="38"/>
  <c r="F13" i="38" s="1"/>
  <c r="V48" i="37"/>
  <c r="V55" i="37" s="1"/>
  <c r="D39" i="37"/>
  <c r="X48" i="37"/>
  <c r="X55" i="37" s="1"/>
  <c r="F39" i="37"/>
  <c r="V21" i="37"/>
  <c r="V28" i="37" s="1"/>
  <c r="D28" i="37"/>
  <c r="C35" i="36"/>
  <c r="C36" i="37"/>
  <c r="X9" i="37"/>
  <c r="F16" i="37"/>
  <c r="X21" i="37"/>
  <c r="X28" i="37" s="1"/>
  <c r="F28" i="37"/>
  <c r="W48" i="37"/>
  <c r="W55" i="37" s="1"/>
  <c r="E39" i="37"/>
  <c r="W21" i="37"/>
  <c r="W28" i="37" s="1"/>
  <c r="E28" i="37"/>
  <c r="W9" i="37"/>
  <c r="W16" i="37" s="1"/>
  <c r="E16" i="37"/>
  <c r="C16" i="37"/>
  <c r="D12" i="36"/>
  <c r="D14" i="37"/>
  <c r="V14" i="37" s="1"/>
  <c r="V9" i="37"/>
  <c r="C23" i="36"/>
  <c r="C25" i="37"/>
  <c r="U25" i="37" s="1"/>
  <c r="U28" i="37" s="1"/>
  <c r="U16" i="37"/>
  <c r="U18" i="37"/>
  <c r="D25" i="36"/>
  <c r="F37" i="36"/>
  <c r="D34" i="36"/>
  <c r="E31" i="36"/>
  <c r="F13" i="36"/>
  <c r="C13" i="36"/>
  <c r="F32" i="36"/>
  <c r="F9" i="36"/>
  <c r="F36" i="36"/>
  <c r="D22" i="36"/>
  <c r="O25" i="33"/>
  <c r="F36" i="34" s="1"/>
  <c r="C37" i="36"/>
  <c r="D33" i="36"/>
  <c r="O37" i="33"/>
  <c r="F37" i="34" s="1"/>
  <c r="F25" i="36"/>
  <c r="D9" i="36"/>
  <c r="E34" i="36"/>
  <c r="C9" i="36"/>
  <c r="C21" i="36"/>
  <c r="M37" i="33"/>
  <c r="D37" i="34" s="1"/>
  <c r="F21" i="36"/>
  <c r="E19" i="36"/>
  <c r="F33" i="36"/>
  <c r="O13" i="33"/>
  <c r="F35" i="34" s="1"/>
  <c r="M25" i="33"/>
  <c r="D36" i="34" s="1"/>
  <c r="C22" i="36"/>
  <c r="N37" i="33"/>
  <c r="E37" i="34" s="1"/>
  <c r="C33" i="36"/>
  <c r="C24" i="36"/>
  <c r="C10" i="36"/>
  <c r="D37" i="36"/>
  <c r="F7" i="36"/>
  <c r="E7" i="36"/>
  <c r="N25" i="33"/>
  <c r="E36" i="34" s="1"/>
  <c r="D13" i="36"/>
  <c r="C34" i="36"/>
  <c r="C25" i="36"/>
  <c r="D21" i="36"/>
  <c r="F19" i="36"/>
  <c r="L13" i="33"/>
  <c r="C35" i="34" s="1"/>
  <c r="C20" i="36"/>
  <c r="E12" i="36"/>
  <c r="C32" i="36"/>
  <c r="C8" i="36"/>
  <c r="F31" i="36"/>
  <c r="E10" i="36"/>
  <c r="L37" i="33"/>
  <c r="C37" i="34" s="1"/>
  <c r="C36" i="36"/>
  <c r="D19" i="36"/>
  <c r="D7" i="36"/>
  <c r="F11" i="36"/>
  <c r="E32" i="36"/>
  <c r="E8" i="36"/>
  <c r="M13" i="33"/>
  <c r="D35" i="34" s="1"/>
  <c r="N13" i="33"/>
  <c r="E35" i="34" s="1"/>
  <c r="L25" i="33"/>
  <c r="C36" i="34" s="1"/>
  <c r="D31" i="36"/>
  <c r="E20" i="36"/>
  <c r="D8" i="36"/>
  <c r="E26" i="36" l="1"/>
  <c r="C28" i="37"/>
  <c r="U52" i="37"/>
  <c r="U55" i="37" s="1"/>
  <c r="C39" i="37"/>
  <c r="D16" i="37"/>
  <c r="V16" i="37"/>
  <c r="X16" i="37"/>
  <c r="X18" i="37"/>
  <c r="E38" i="36"/>
  <c r="F14" i="36"/>
  <c r="F26" i="36"/>
  <c r="D38" i="36"/>
  <c r="D26" i="36"/>
  <c r="F38" i="36"/>
  <c r="C26" i="36"/>
  <c r="C14" i="36"/>
  <c r="E14" i="36"/>
  <c r="G37" i="34"/>
  <c r="C38" i="36"/>
  <c r="V8" i="33"/>
  <c r="G36" i="34"/>
  <c r="V7" i="33"/>
  <c r="G35" i="34"/>
  <c r="D14" i="36"/>
  <c r="V6" i="33"/>
  <c r="E32" i="35"/>
  <c r="F17" i="31"/>
  <c r="V9" i="33" l="1"/>
  <c r="E39" i="35"/>
  <c r="H32" i="35"/>
  <c r="I32" i="35" s="1"/>
  <c r="E17" i="31"/>
  <c r="D17" i="31"/>
  <c r="C17" i="31"/>
  <c r="C41" i="31"/>
  <c r="G23" i="34" s="1"/>
  <c r="F29" i="31"/>
  <c r="E29" i="31"/>
  <c r="F41" i="31"/>
  <c r="E41" i="31"/>
  <c r="D41" i="31"/>
  <c r="D29" i="31"/>
  <c r="C29" i="31"/>
  <c r="I5" i="30"/>
  <c r="J5" i="30"/>
  <c r="K5" i="30"/>
  <c r="I6" i="30"/>
  <c r="J6" i="30"/>
  <c r="K6" i="30"/>
  <c r="J4" i="30"/>
  <c r="K4" i="30"/>
  <c r="I4" i="30"/>
  <c r="E5" i="30"/>
  <c r="F5" i="30"/>
  <c r="E6" i="30"/>
  <c r="F6" i="30"/>
  <c r="I22" i="30" s="1"/>
  <c r="E4" i="30"/>
  <c r="D20" i="30" s="1"/>
  <c r="F4" i="30"/>
  <c r="C4" i="30"/>
  <c r="C12" i="30" l="1"/>
  <c r="G22" i="34"/>
  <c r="G21" i="34"/>
  <c r="H39" i="35"/>
  <c r="I14" i="30"/>
  <c r="D14" i="30"/>
  <c r="E13" i="30"/>
  <c r="J22" i="30"/>
  <c r="I20" i="30"/>
  <c r="E21" i="30"/>
  <c r="I21" i="30"/>
  <c r="J21" i="30"/>
  <c r="D22" i="30"/>
  <c r="H22" i="30"/>
  <c r="C13" i="30"/>
  <c r="J14" i="30"/>
  <c r="E14" i="30"/>
  <c r="E12" i="30"/>
  <c r="H21" i="30"/>
  <c r="H14" i="30"/>
  <c r="I13" i="30"/>
  <c r="H13" i="30"/>
  <c r="C22" i="30"/>
  <c r="D21" i="30"/>
  <c r="E29" i="30" s="1"/>
  <c r="E8" i="34" s="1"/>
  <c r="C14" i="30"/>
  <c r="J13" i="30"/>
  <c r="E22" i="30"/>
  <c r="E20" i="30"/>
  <c r="D13" i="30"/>
  <c r="C20" i="30"/>
  <c r="J20" i="30"/>
  <c r="F30" i="30" s="1"/>
  <c r="F9" i="34" s="1"/>
  <c r="D12" i="30"/>
  <c r="C21" i="30"/>
  <c r="H20" i="30"/>
  <c r="F28" i="30" l="1"/>
  <c r="E28" i="30"/>
  <c r="C29" i="30"/>
  <c r="C8" i="34" s="1"/>
  <c r="F29" i="30"/>
  <c r="F8" i="34" s="1"/>
  <c r="E30" i="30"/>
  <c r="E9" i="34" s="1"/>
  <c r="C28" i="30"/>
  <c r="C7" i="34" s="1"/>
  <c r="C30" i="30"/>
  <c r="C9" i="34" s="1"/>
  <c r="C31" i="30"/>
  <c r="I39" i="35"/>
  <c r="L12" i="3"/>
  <c r="N36" i="3"/>
  <c r="N24" i="3"/>
  <c r="L24" i="3"/>
  <c r="O36" i="3"/>
  <c r="N12" i="3"/>
  <c r="M36" i="3"/>
  <c r="M24" i="3"/>
  <c r="M12" i="3"/>
  <c r="L36" i="3"/>
  <c r="O24" i="3"/>
  <c r="O12" i="3"/>
  <c r="E31" i="30" l="1"/>
  <c r="E7" i="34"/>
  <c r="F31" i="30"/>
  <c r="F7" i="34"/>
  <c r="J12" i="30"/>
  <c r="D30" i="30" s="1"/>
  <c r="I12" i="30"/>
  <c r="D29" i="30" s="1"/>
  <c r="H12" i="30"/>
  <c r="D28" i="30" s="1"/>
  <c r="G30" i="30" l="1"/>
  <c r="D9" i="34"/>
  <c r="G9" i="34" s="1"/>
  <c r="G28" i="30"/>
  <c r="D31" i="30"/>
  <c r="D7" i="34"/>
  <c r="G7" i="34" s="1"/>
  <c r="D8" i="34"/>
  <c r="G8" i="34" s="1"/>
  <c r="G29" i="30"/>
  <c r="G31" i="30" l="1"/>
</calcChain>
</file>

<file path=xl/comments1.xml><?xml version="1.0" encoding="utf-8"?>
<comments xmlns="http://schemas.openxmlformats.org/spreadsheetml/2006/main">
  <authors>
    <author>Kim</author>
  </authors>
  <commentList>
    <comment ref="B72" authorId="0" shapeId="0">
      <text>
        <r>
          <rPr>
            <b/>
            <sz val="9"/>
            <color indexed="81"/>
            <rFont val="Tahoma"/>
            <family val="2"/>
          </rPr>
          <t>Kim:</t>
        </r>
        <r>
          <rPr>
            <sz val="9"/>
            <color indexed="81"/>
            <rFont val="Tahoma"/>
            <family val="2"/>
          </rPr>
          <t xml:space="preserve">
Revenue Contribution = Average Revenue / Total Average Revenue
</t>
        </r>
      </text>
    </comment>
  </commentList>
</comments>
</file>

<file path=xl/comments2.xml><?xml version="1.0" encoding="utf-8"?>
<comments xmlns="http://schemas.openxmlformats.org/spreadsheetml/2006/main">
  <authors>
    <author>Kim</author>
  </authors>
  <commentList>
    <comment ref="K2" authorId="0" shapeId="0">
      <text>
        <r>
          <rPr>
            <b/>
            <sz val="9"/>
            <color indexed="81"/>
            <rFont val="Tahoma"/>
            <family val="2"/>
          </rPr>
          <t>Kim:</t>
        </r>
        <r>
          <rPr>
            <sz val="9"/>
            <color indexed="81"/>
            <rFont val="Tahoma"/>
            <family val="2"/>
          </rPr>
          <t xml:space="preserve">
Immediate table to calculate Inventory Turnover</t>
        </r>
      </text>
    </comment>
    <comment ref="K13" authorId="0" shapeId="0">
      <text>
        <r>
          <rPr>
            <b/>
            <sz val="9"/>
            <color indexed="81"/>
            <rFont val="Tahoma"/>
            <family val="2"/>
          </rPr>
          <t>Kim:</t>
        </r>
        <r>
          <rPr>
            <sz val="9"/>
            <color indexed="81"/>
            <rFont val="Tahoma"/>
            <family val="2"/>
          </rPr>
          <t xml:space="preserve">
Immediate table to calculate Inventory Turnover</t>
        </r>
      </text>
    </comment>
    <comment ref="K24" authorId="0" shapeId="0">
      <text>
        <r>
          <rPr>
            <b/>
            <sz val="9"/>
            <color indexed="81"/>
            <rFont val="Tahoma"/>
            <family val="2"/>
          </rPr>
          <t>Kim:</t>
        </r>
        <r>
          <rPr>
            <sz val="9"/>
            <color indexed="81"/>
            <rFont val="Tahoma"/>
            <family val="2"/>
          </rPr>
          <t xml:space="preserve">
Immediate table to calculate Inventory Turnover</t>
        </r>
      </text>
    </comment>
  </commentList>
</comments>
</file>

<file path=xl/comments3.xml><?xml version="1.0" encoding="utf-8"?>
<comments xmlns="http://schemas.openxmlformats.org/spreadsheetml/2006/main">
  <authors>
    <author>Kim</author>
  </authors>
  <commentList>
    <comment ref="D2" authorId="0" shapeId="0">
      <text>
        <r>
          <rPr>
            <b/>
            <sz val="9"/>
            <color indexed="81"/>
            <rFont val="Tahoma"/>
            <family val="2"/>
          </rPr>
          <t>Kim:</t>
        </r>
        <r>
          <rPr>
            <sz val="9"/>
            <color indexed="81"/>
            <rFont val="Tahoma"/>
            <family val="2"/>
          </rPr>
          <t xml:space="preserve">
Note: Need to add a space between "Group" and Number</t>
        </r>
      </text>
    </comment>
  </commentList>
</comments>
</file>

<file path=xl/comments4.xml><?xml version="1.0" encoding="utf-8"?>
<comments xmlns="http://schemas.openxmlformats.org/spreadsheetml/2006/main">
  <authors>
    <author>Kim</author>
  </authors>
  <commentList>
    <comment ref="B75" authorId="0" shapeId="0">
      <text>
        <r>
          <rPr>
            <b/>
            <sz val="9"/>
            <color indexed="81"/>
            <rFont val="Tahoma"/>
            <family val="2"/>
          </rPr>
          <t>Kim:</t>
        </r>
        <r>
          <rPr>
            <sz val="9"/>
            <color indexed="81"/>
            <rFont val="Tahoma"/>
            <family val="2"/>
          </rPr>
          <t xml:space="preserve">
Revenue Contribution = Average Revenue / Total Average Revenue
</t>
        </r>
      </text>
    </comment>
  </commentList>
</comments>
</file>

<file path=xl/comments5.xml><?xml version="1.0" encoding="utf-8"?>
<comments xmlns="http://schemas.openxmlformats.org/spreadsheetml/2006/main">
  <authors>
    <author>Kim</author>
  </authors>
  <commentList>
    <comment ref="M8" authorId="0" shapeId="0">
      <text>
        <r>
          <rPr>
            <b/>
            <sz val="9"/>
            <color indexed="81"/>
            <rFont val="Tahoma"/>
            <family val="2"/>
          </rPr>
          <t>Kim:</t>
        </r>
        <r>
          <rPr>
            <sz val="9"/>
            <color indexed="81"/>
            <rFont val="Tahoma"/>
            <family val="2"/>
          </rPr>
          <t xml:space="preserve">
+(100%+M$7)*$H$21</t>
        </r>
      </text>
    </comment>
    <comment ref="L9" authorId="0" shapeId="0">
      <text>
        <r>
          <rPr>
            <b/>
            <sz val="9"/>
            <color indexed="81"/>
            <rFont val="Tahoma"/>
            <family val="2"/>
          </rPr>
          <t>Kim:</t>
        </r>
        <r>
          <rPr>
            <sz val="9"/>
            <color indexed="81"/>
            <rFont val="Tahoma"/>
            <family val="2"/>
          </rPr>
          <t xml:space="preserve">
(100%+$K9)*$H$28</t>
        </r>
      </text>
    </comment>
  </commentList>
</comments>
</file>

<file path=xl/comments6.xml><?xml version="1.0" encoding="utf-8"?>
<comments xmlns="http://schemas.openxmlformats.org/spreadsheetml/2006/main">
  <authors>
    <author>Kim</author>
  </authors>
  <commentList>
    <comment ref="F11" authorId="0" shapeId="0">
      <text>
        <r>
          <rPr>
            <b/>
            <sz val="9"/>
            <color indexed="81"/>
            <rFont val="Tahoma"/>
            <family val="2"/>
          </rPr>
          <t>Kim:</t>
        </r>
        <r>
          <rPr>
            <sz val="9"/>
            <color indexed="81"/>
            <rFont val="Tahoma"/>
            <family val="2"/>
          </rPr>
          <t xml:space="preserve">
Which year?????</t>
        </r>
      </text>
    </comment>
    <comment ref="O11" authorId="0" shapeId="0">
      <text>
        <r>
          <rPr>
            <b/>
            <sz val="9"/>
            <color indexed="81"/>
            <rFont val="Tahoma"/>
            <family val="2"/>
          </rPr>
          <t>Kim:</t>
        </r>
        <r>
          <rPr>
            <sz val="9"/>
            <color indexed="81"/>
            <rFont val="Tahoma"/>
            <family val="2"/>
          </rPr>
          <t xml:space="preserve">
Which year?????</t>
        </r>
      </text>
    </comment>
  </commentList>
</comments>
</file>

<file path=xl/sharedStrings.xml><?xml version="1.0" encoding="utf-8"?>
<sst xmlns="http://schemas.openxmlformats.org/spreadsheetml/2006/main" count="1617" uniqueCount="234">
  <si>
    <t>Staffing Levels</t>
  </si>
  <si>
    <t>Staff</t>
  </si>
  <si>
    <t>Brisbane</t>
  </si>
  <si>
    <t>Gold Coast</t>
  </si>
  <si>
    <t>Townsville</t>
  </si>
  <si>
    <t>Cairns</t>
  </si>
  <si>
    <t>Manager</t>
  </si>
  <si>
    <t>Admin staff</t>
  </si>
  <si>
    <t>Sales staff</t>
  </si>
  <si>
    <t>Labour cost for staff pa/person</t>
  </si>
  <si>
    <t>(including salary and all salary related overheads)</t>
  </si>
  <si>
    <t>Year</t>
  </si>
  <si>
    <t xml:space="preserve"> Total</t>
  </si>
  <si>
    <t>Fixed Admin &amp; Operation Cost(FAOC)</t>
  </si>
  <si>
    <t>(no increase in 3 years)</t>
  </si>
  <si>
    <t>Advertising and promotional cost (APC)</t>
  </si>
  <si>
    <t>Item</t>
  </si>
  <si>
    <t>Washing Machines</t>
  </si>
  <si>
    <t>Fridges</t>
  </si>
  <si>
    <t>Microwaves</t>
  </si>
  <si>
    <t>TVs</t>
  </si>
  <si>
    <t>VUAOC Cost for locations</t>
  </si>
  <si>
    <t xml:space="preserve"> </t>
  </si>
  <si>
    <t>($ per average item in inventory per year)</t>
  </si>
  <si>
    <t>Assumption :  Total Cost = Total Labour Cost + FAOC + VUAOC + APC + COGS</t>
  </si>
  <si>
    <t>TOTAL</t>
  </si>
  <si>
    <t>Assumption : Revenue = Actual Sales * Av sales price($/item)</t>
  </si>
  <si>
    <t>Assumption :  Revenue = Actual Sales * Av sales price($/item)</t>
  </si>
  <si>
    <t>Assumption :  Operation Income (Profit) = Revenue - Total Cost</t>
  </si>
  <si>
    <t>Total</t>
  </si>
  <si>
    <t>Location</t>
  </si>
  <si>
    <t>(All)</t>
  </si>
  <si>
    <t>Grand Total</t>
  </si>
  <si>
    <t xml:space="preserve">                           last  3 years figures(using FORECAST function).</t>
  </si>
  <si>
    <t>Actual</t>
  </si>
  <si>
    <t>Forecast</t>
  </si>
  <si>
    <t>10% Decrease</t>
  </si>
  <si>
    <t>10% Increase</t>
  </si>
  <si>
    <t>20% Increase</t>
  </si>
  <si>
    <t>% of Growth</t>
  </si>
  <si>
    <t>Less COGS</t>
  </si>
  <si>
    <t>Gross Margin</t>
  </si>
  <si>
    <t>Less Operating Cost</t>
  </si>
  <si>
    <t>Labour cost</t>
  </si>
  <si>
    <t>FAOC</t>
  </si>
  <si>
    <t>APC</t>
  </si>
  <si>
    <t>VUAOC</t>
  </si>
  <si>
    <t>Operating Income(Profit)</t>
  </si>
  <si>
    <t>Revenue</t>
  </si>
  <si>
    <t>Average</t>
  </si>
  <si>
    <t>Projected Income Statement for Maroochydore</t>
  </si>
  <si>
    <t>Income Statement - Maroochydore</t>
  </si>
  <si>
    <t>Forecast (Gold Coast)</t>
  </si>
  <si>
    <t>0% Growth</t>
  </si>
  <si>
    <t>EST_COST</t>
  </si>
  <si>
    <t>Assumption  : Creating a scenario by varying sales target (0% growth, 10% decrease, 10% increase and 20% increase)  AND</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</si>
  <si>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</si>
  <si>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</si>
  <si>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</si>
  <si>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</si>
  <si>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</si>
  <si>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</si>
  <si>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</si>
  <si>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</si>
  <si>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</si>
  <si>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</si>
  <si>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</si>
  <si>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</si>
  <si>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</si>
  <si>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</si>
  <si>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</si>
  <si>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</si>
  <si>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</si>
  <si>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</si>
  <si>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</si>
  <si>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</si>
  <si>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</si>
  <si>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</si>
  <si>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</si>
  <si>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</si>
  <si>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</si>
  <si>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Average Inventories(units) For Financial Year Ending June 2012</t>
  </si>
  <si>
    <t>Labour Cost for Brisbane</t>
  </si>
  <si>
    <t>Labour Cost for Gold Coast</t>
  </si>
  <si>
    <t>Labour Cost for Townsville</t>
  </si>
  <si>
    <t>Labour Cost for Cairns</t>
  </si>
  <si>
    <t>Labour cost for staff pa/person ((including salary and all salary related overheads))</t>
  </si>
  <si>
    <t>Total Labour Cost by Location by Year</t>
  </si>
  <si>
    <t>Sum of Value</t>
  </si>
  <si>
    <t>Column Labels</t>
  </si>
  <si>
    <t>Row Labels</t>
  </si>
  <si>
    <t>Page1</t>
  </si>
  <si>
    <t>Actual Sales(unit) For Financial Year Ending June 2012</t>
  </si>
  <si>
    <t>Average Wholesale Cost</t>
  </si>
  <si>
    <t>Average Saleprice</t>
  </si>
  <si>
    <t>Average Saleprice($/item)</t>
  </si>
  <si>
    <t>Average wholesale cost ($/item)</t>
  </si>
  <si>
    <t>Assumption : COGS  = Actual Sales * Av wholesale cost($/item)</t>
  </si>
  <si>
    <t>COGS for 2012</t>
  </si>
  <si>
    <t>Revenue  for 2012</t>
  </si>
  <si>
    <t>Fixed Admin &amp; Operation Cost(FAOC) (no incrrease in 3 years)</t>
  </si>
  <si>
    <t>Total Operating Cost</t>
  </si>
  <si>
    <t>COGS</t>
  </si>
  <si>
    <t>Total Revenue</t>
  </si>
  <si>
    <t>Note: Click the Column Filter to see each Location</t>
  </si>
  <si>
    <t>Income Statement by Year</t>
  </si>
  <si>
    <t>% of Profit Contribution</t>
  </si>
  <si>
    <t>Assumption :  Product Profitability = Revenue - COGS</t>
  </si>
  <si>
    <t>Product Profitability 2012</t>
  </si>
  <si>
    <t>AVERAGE</t>
  </si>
  <si>
    <t>Sales Target Pereformance for 2012</t>
  </si>
  <si>
    <t>Total Costs</t>
  </si>
  <si>
    <t>Labour Costs</t>
  </si>
  <si>
    <t>Sensitivity Analysis using Two-Way Data Table</t>
  </si>
  <si>
    <t>Staff Performance</t>
  </si>
  <si>
    <t>Staff Composition</t>
  </si>
  <si>
    <t>Revenue Contribution</t>
  </si>
  <si>
    <t>Total VUAOC Costs by Location by Year</t>
  </si>
  <si>
    <t>Total Cost of Good Sold(COGS) by location by Year</t>
  </si>
  <si>
    <t>Assumption :  Total Cost = Total Labour Cost + Total FAOC + Total VUAOC + Total APC + Total COGS</t>
  </si>
  <si>
    <t>Total Advertising and promotional costs (APC) by Location by Year</t>
  </si>
  <si>
    <t>Total Cost of Good Sold(COGS) by Location by Year</t>
  </si>
  <si>
    <t>Total Revenue by Location by Year</t>
  </si>
  <si>
    <t>Omega Pty Ltd</t>
  </si>
  <si>
    <t>The Black Box Model</t>
  </si>
  <si>
    <t xml:space="preserve">(Copy from B26:L40 as value) </t>
  </si>
  <si>
    <t>Break Even Analysis</t>
  </si>
  <si>
    <t>Scenario 1 (12 staff)</t>
  </si>
  <si>
    <t>Group 0</t>
  </si>
  <si>
    <t>Total Cost</t>
  </si>
  <si>
    <t>Computers and Tablets</t>
  </si>
  <si>
    <t>Mobile Phones</t>
  </si>
  <si>
    <t>Games and Consoles</t>
  </si>
  <si>
    <t>Average Inventories(units) For Financial Year Ending June 2013</t>
  </si>
  <si>
    <t>Average Inventories(units) For Financial Year Ending June 2014</t>
  </si>
  <si>
    <t>Sales Target(unit) For Financial Year Ending June 2013</t>
  </si>
  <si>
    <t>Actual Sales(unit) For Financial Year Ending June 2013</t>
  </si>
  <si>
    <t>Sales Target(unit) For Financial Year Ending June2014</t>
  </si>
  <si>
    <t>Actual Sales(unit) For Financial Year Ending June 2014</t>
  </si>
  <si>
    <t>COGS for 2014</t>
  </si>
  <si>
    <t>COGS for 2013</t>
  </si>
  <si>
    <t>Revenue  for 2014</t>
  </si>
  <si>
    <t>Revenue  for 2013</t>
  </si>
  <si>
    <t>Assumption :    The 2015 Forecast Income Statement  was forecast using the</t>
  </si>
  <si>
    <t>Product Profitability 2014</t>
  </si>
  <si>
    <t>Product Profitability 2013</t>
  </si>
  <si>
    <t>Sales Target Pereformance for 2014</t>
  </si>
  <si>
    <t>Sales Target Pereformance for 2013</t>
  </si>
  <si>
    <t>For Model Solution</t>
  </si>
  <si>
    <t>Influence Diagram</t>
  </si>
  <si>
    <t>Note: The Labour Cost has been Completed as a guide)</t>
  </si>
  <si>
    <t>Group Number #</t>
  </si>
  <si>
    <t xml:space="preserve">                        Scenario 1 : Setting staff level to 12 staff (1 Manager, 2 Admin Staff, 9 Sale Staff) </t>
  </si>
  <si>
    <t xml:space="preserve">                        Scenario 2 : Setting staff level to 6 staff (1 Manager, 1 Admin Staff, 4 Sale Staff) </t>
  </si>
  <si>
    <r>
      <t>Wholesale cost of goods sold (</t>
    </r>
    <r>
      <rPr>
        <b/>
        <sz val="12"/>
        <rFont val="Times New Roman"/>
        <family val="1"/>
      </rPr>
      <t>COGS</t>
    </r>
    <r>
      <rPr>
        <sz val="12"/>
        <rFont val="Times New Roman"/>
        <family val="1"/>
      </rPr>
      <t>)</t>
    </r>
  </si>
  <si>
    <r>
      <t>Fixed admin &amp; operating costs (</t>
    </r>
    <r>
      <rPr>
        <b/>
        <sz val="12"/>
        <rFont val="Times New Roman"/>
        <family val="1"/>
      </rPr>
      <t>FAOC</t>
    </r>
    <r>
      <rPr>
        <sz val="12"/>
        <rFont val="Times New Roman"/>
        <family val="1"/>
      </rPr>
      <t>) (no increases in the past 3 years)</t>
    </r>
  </si>
  <si>
    <r>
      <t>Variable unit admin &amp; operating costs (</t>
    </r>
    <r>
      <rPr>
        <b/>
        <sz val="12"/>
        <color rgb="FFFF0000"/>
        <rFont val="Times New Roman"/>
        <family val="1"/>
      </rPr>
      <t>VUAOC</t>
    </r>
    <r>
      <rPr>
        <sz val="8"/>
        <rFont val="Arial"/>
        <family val="2"/>
      </rPr>
      <t> </t>
    </r>
    <r>
      <rPr>
        <sz val="12"/>
        <rFont val="Times New Roman"/>
        <family val="1"/>
      </rPr>
      <t xml:space="preserve">) which is independent of location; where the total annual variable admin &amp; operating cost for a location = </t>
    </r>
    <r>
      <rPr>
        <i/>
        <sz val="12"/>
        <rFont val="Times New Roman"/>
        <family val="1"/>
      </rPr>
      <t>VUAOC*Average total inventory at that location for that year</t>
    </r>
    <r>
      <rPr>
        <sz val="12"/>
        <rFont val="Times New Roman"/>
        <family val="1"/>
      </rPr>
      <t>.</t>
    </r>
  </si>
  <si>
    <r>
      <t>Advertising and promotional costs (</t>
    </r>
    <r>
      <rPr>
        <b/>
        <sz val="12"/>
        <rFont val="Times New Roman"/>
        <family val="1"/>
      </rPr>
      <t>APC</t>
    </r>
    <r>
      <rPr>
        <sz val="12"/>
        <rFont val="Times New Roman"/>
        <family val="1"/>
      </rPr>
      <t>)</t>
    </r>
  </si>
  <si>
    <t>Row</t>
  </si>
  <si>
    <t>2012</t>
  </si>
  <si>
    <t>2013</t>
  </si>
  <si>
    <t>2014</t>
  </si>
  <si>
    <t>VUAOC Cost For Financial Year Ending June 2012</t>
  </si>
  <si>
    <t>VUAOC Cost For Financial Year Ending June 2013</t>
  </si>
  <si>
    <t>VUAOC Cost For Financial Year Ending June 2014</t>
  </si>
  <si>
    <t>Column</t>
  </si>
  <si>
    <t>Labour Cost</t>
  </si>
  <si>
    <t>Subtotal</t>
  </si>
  <si>
    <r>
      <t>Average Inventories</t>
    </r>
    <r>
      <rPr>
        <sz val="14"/>
        <color rgb="FFFF0000"/>
        <rFont val="Times New Roman"/>
        <family val="1"/>
      </rPr>
      <t xml:space="preserve"> Cost</t>
    </r>
    <r>
      <rPr>
        <sz val="14"/>
        <rFont val="Times New Roman"/>
        <family val="1"/>
      </rPr>
      <t xml:space="preserve"> For Financial Year Ending June 2012</t>
    </r>
  </si>
  <si>
    <r>
      <t>Average Inventories</t>
    </r>
    <r>
      <rPr>
        <sz val="14"/>
        <color rgb="FFFF0000"/>
        <rFont val="Times New Roman"/>
        <family val="1"/>
      </rPr>
      <t xml:space="preserve"> Cost</t>
    </r>
    <r>
      <rPr>
        <sz val="14"/>
        <rFont val="Times New Roman"/>
        <family val="1"/>
      </rPr>
      <t xml:space="preserve"> For Financial Year Ending June 2013</t>
    </r>
  </si>
  <si>
    <r>
      <t>Average Inventories</t>
    </r>
    <r>
      <rPr>
        <sz val="14"/>
        <color rgb="FFFF0000"/>
        <rFont val="Times New Roman"/>
        <family val="1"/>
      </rPr>
      <t xml:space="preserve"> Cost</t>
    </r>
    <r>
      <rPr>
        <sz val="14"/>
        <rFont val="Times New Roman"/>
        <family val="1"/>
      </rPr>
      <t xml:space="preserve"> For Financial Year Ending June 2014</t>
    </r>
  </si>
  <si>
    <t>Inventory Turnover 2012 (times p.a)</t>
  </si>
  <si>
    <t>Inventory Turnover 2013 (times p.a)</t>
  </si>
  <si>
    <t>Inventory Turnover 2014 (times p.a)</t>
  </si>
  <si>
    <t>Inventory Turnover 2012 (Number of Days)</t>
  </si>
  <si>
    <t>Inventory Turnover 2013 (Number of Days)</t>
  </si>
  <si>
    <t>Inventory Turnover 2014 (Number of Days)</t>
  </si>
  <si>
    <t>Average of Value</t>
  </si>
  <si>
    <t>Group 28</t>
  </si>
  <si>
    <t>Actual Sales</t>
  </si>
  <si>
    <r>
      <t xml:space="preserve">Sales </t>
    </r>
    <r>
      <rPr>
        <b/>
        <sz val="15"/>
        <color rgb="FFFF0000"/>
        <rFont val="Calibri"/>
        <family val="2"/>
        <scheme val="minor"/>
      </rPr>
      <t>Target</t>
    </r>
    <r>
      <rPr>
        <b/>
        <sz val="15"/>
        <color theme="3"/>
        <rFont val="Calibri"/>
        <family val="2"/>
        <scheme val="minor"/>
      </rPr>
      <t>(unit) For Financial Year Ending June 2012</t>
    </r>
  </si>
  <si>
    <r>
      <rPr>
        <b/>
        <sz val="15"/>
        <color rgb="FFFF0000"/>
        <rFont val="Calibri"/>
        <family val="2"/>
        <scheme val="minor"/>
      </rPr>
      <t>Actual</t>
    </r>
    <r>
      <rPr>
        <b/>
        <sz val="15"/>
        <color theme="3"/>
        <rFont val="Calibri"/>
        <family val="2"/>
        <scheme val="minor"/>
      </rPr>
      <t xml:space="preserve"> Sales(unit) For Financial Year Ending June 2012</t>
    </r>
  </si>
  <si>
    <t>Sales Target($) For Financial Year Ending June 2013</t>
  </si>
  <si>
    <t>Sales Target($) For Financial Year Ending June 2014</t>
  </si>
  <si>
    <r>
      <t xml:space="preserve">Sales </t>
    </r>
    <r>
      <rPr>
        <sz val="18"/>
        <color rgb="FFFF0000"/>
        <rFont val="Cambria"/>
        <family val="1"/>
        <scheme val="major"/>
      </rPr>
      <t>Target($)</t>
    </r>
    <r>
      <rPr>
        <sz val="18"/>
        <color theme="3"/>
        <rFont val="Cambria"/>
        <family val="2"/>
        <scheme val="major"/>
      </rPr>
      <t xml:space="preserve"> For Financial Year Ending June 2012</t>
    </r>
  </si>
  <si>
    <t>(Copy from B26:L40 as value) =&gt; Done</t>
  </si>
  <si>
    <t>Profit</t>
  </si>
  <si>
    <t>Gross Profit</t>
  </si>
  <si>
    <t>Operating Cost</t>
  </si>
  <si>
    <t>Cost structures</t>
  </si>
  <si>
    <t>Forcast</t>
  </si>
  <si>
    <t>% Growth</t>
  </si>
  <si>
    <t>Less</t>
  </si>
  <si>
    <t>Labor Cost</t>
  </si>
  <si>
    <t>Operating Income Profit</t>
  </si>
  <si>
    <t>Income Statement by Location</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</si>
  <si>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</si>
  <si>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</si>
  <si>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</si>
  <si>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</si>
  <si>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</si>
  <si>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</si>
  <si>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</si>
  <si>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r>
      <t>Average Inventories</t>
    </r>
    <r>
      <rPr>
        <b/>
        <sz val="15"/>
        <color rgb="FFFF0000"/>
        <rFont val="Calibri"/>
        <family val="2"/>
        <scheme val="minor"/>
      </rPr>
      <t>(units)</t>
    </r>
    <r>
      <rPr>
        <b/>
        <sz val="15"/>
        <color theme="3"/>
        <rFont val="Calibri"/>
        <family val="2"/>
        <scheme val="minor"/>
      </rPr>
      <t xml:space="preserve"> For Financial Year Ending June </t>
    </r>
    <r>
      <rPr>
        <b/>
        <sz val="15"/>
        <color rgb="FF0070C0"/>
        <rFont val="Calibri"/>
        <family val="2"/>
        <scheme val="minor"/>
      </rPr>
      <t>2012</t>
    </r>
  </si>
  <si>
    <t>For Inventory Analysis only</t>
  </si>
  <si>
    <t>For Analyze Total Cost and Profit</t>
  </si>
  <si>
    <t>Average Price</t>
  </si>
  <si>
    <t>Average Cost per item</t>
  </si>
  <si>
    <t>Total avarage costs in $</t>
  </si>
  <si>
    <t>Average inventory in units</t>
  </si>
  <si>
    <t>For Inventory Analysis</t>
  </si>
  <si>
    <t>Actual Sales in unit</t>
  </si>
  <si>
    <t>Inventory Turnover Report broken down by Product Categories (times per annual)</t>
  </si>
  <si>
    <t>Inventory Turnover Report broken down by Product Categories (days)</t>
  </si>
  <si>
    <t>Target Sales in unit</t>
  </si>
  <si>
    <t>Scenario 2 (6 staff)</t>
  </si>
  <si>
    <t>$D$4</t>
  </si>
  <si>
    <t>$D$5</t>
  </si>
  <si>
    <t>$D$6</t>
  </si>
  <si>
    <t>$D$28</t>
  </si>
  <si>
    <t>$D$29</t>
  </si>
  <si>
    <t>$D$30</t>
  </si>
  <si>
    <t>$D$31</t>
  </si>
  <si>
    <t>Change staffing levels for Maroochydore</t>
  </si>
  <si>
    <t>To test the scenario 2 with 6 staffs ( 1 Manager, 1 Admin, 4 Sales)
Modified by Kim on 9/11/2016</t>
  </si>
  <si>
    <t>19% Increase</t>
  </si>
  <si>
    <t>12% Increase</t>
  </si>
  <si>
    <t>Forecast (Maroochydore)</t>
  </si>
  <si>
    <t>Proportion of Cost component over Sales</t>
  </si>
  <si>
    <t>Product Profit by Year (used to generate Chart for Manager's report only)</t>
  </si>
  <si>
    <t>Income Statement used for fiter Gold Cost</t>
  </si>
  <si>
    <t>Sales report by Year by Location</t>
  </si>
  <si>
    <t>Times Inventory Turnover Report broken down by Location</t>
  </si>
  <si>
    <t>Days Inventory Turnover Report broken down by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</si>
</sst>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1" formatCode="_(* #,##0_);_(* \(#,##0\);_(* &quot;-&quot;_);_(@_)"/>
    <numFmt numFmtId="44" formatCode="_(&quot;$&quot;* #,##0.00_);_(&quot;$&quot;* \(#,##0.00\);_(&quot;$&quot;* &quot;-&quot;??_);_(@_)"/>
    <numFmt numFmtId="43" formatCode="_(* #,##0.00_);_(* \(#,##0.00\);_(* &quot;-&quot;??_);_(@_)"/>
    <numFmt numFmtId="164" formatCode="&quot;$&quot;#,##0;[Red]\-&quot;$&quot;#,##0"/>
    <numFmt numFmtId="165" formatCode="_(* #,##0_);_(* \(#,##0\);_(* &quot;-&quot;??_);_(@_)"/>
    <numFmt numFmtId="166" formatCode="&quot;$&quot;#,##0"/>
    <numFmt numFmtId="167" formatCode="0.0%"/>
    <numFmt numFmtId="168" formatCode="#,##0.0%;[Red]\-#,##0.0%"/>
    <numFmt numFmtId="169" formatCode="#,##0.0"/>
    <numFmt numFmtId="170" formatCode="_(* #,##0.0_);_(* \(#,##0.0\);_(* &quot;-&quot;??_);_(@_)"/>
  </numFmts>
  <fonts count="68" x14ac:knownFonts="1">
    <font>
      <sz val="10"/>
      <name val="Arial"/>
    </font>
    <font>
      <sz val="10"/>
      <name val="Arial"/>
      <family val="2"/>
    </font>
    <font>
      <sz val="12"/>
      <name val="Times New Roman"/>
      <family val="1"/>
    </font>
    <font>
      <sz val="14"/>
      <name val="Times New Roman"/>
      <family val="1"/>
    </font>
    <font>
      <b/>
      <sz val="14"/>
      <name val="Times New Roman"/>
      <family val="1"/>
    </font>
    <font>
      <b/>
      <sz val="14"/>
      <color indexed="8"/>
      <name val="Times New Roman"/>
      <family val="1"/>
    </font>
    <font>
      <b/>
      <sz val="12"/>
      <color indexed="8"/>
      <name val="Times New Roman"/>
      <family val="1"/>
    </font>
    <font>
      <sz val="10"/>
      <name val="Times New Roman"/>
      <family val="1"/>
    </font>
    <font>
      <sz val="12"/>
      <color indexed="8"/>
      <name val="Times New Roman"/>
      <family val="1"/>
    </font>
    <font>
      <b/>
      <sz val="14"/>
      <name val="Times New Roman"/>
      <family val="1"/>
    </font>
    <font>
      <b/>
      <i/>
      <sz val="12"/>
      <color indexed="8"/>
      <name val="Times New Roman"/>
      <family val="1"/>
    </font>
    <font>
      <b/>
      <sz val="12"/>
      <name val="Times New Roman"/>
      <family val="1"/>
    </font>
    <font>
      <b/>
      <sz val="16"/>
      <name val="Times New Roman"/>
      <family val="1"/>
    </font>
    <font>
      <sz val="8"/>
      <name val="Arial"/>
      <family val="2"/>
    </font>
    <font>
      <b/>
      <sz val="14"/>
      <name val="Arial"/>
      <family val="2"/>
    </font>
    <font>
      <b/>
      <sz val="12"/>
      <name val="Times New Roman"/>
      <family val="1"/>
    </font>
    <font>
      <sz val="14"/>
      <name val="Arial"/>
      <family val="2"/>
    </font>
    <font>
      <sz val="18"/>
      <name val="Times New Roman"/>
      <family val="1"/>
    </font>
    <font>
      <sz val="18"/>
      <name val="Arial"/>
      <family val="2"/>
    </font>
    <font>
      <b/>
      <sz val="20"/>
      <name val="Times New Roman"/>
      <family val="1"/>
    </font>
    <font>
      <b/>
      <sz val="18"/>
      <name val="Times New Roman"/>
      <family val="1"/>
    </font>
    <font>
      <b/>
      <i/>
      <sz val="12"/>
      <name val="Times New Roman"/>
      <family val="1"/>
    </font>
    <font>
      <i/>
      <sz val="12"/>
      <name val="Times New Roman"/>
      <family val="1"/>
    </font>
    <font>
      <b/>
      <sz val="16"/>
      <color rgb="FFFF0000"/>
      <name val="Arial"/>
      <family val="2"/>
    </font>
    <font>
      <sz val="10"/>
      <name val="Arial"/>
      <family val="2"/>
    </font>
    <font>
      <b/>
      <i/>
      <sz val="12"/>
      <color rgb="FFFF0066"/>
      <name val="Times New Roman"/>
      <family val="1"/>
    </font>
    <font>
      <sz val="12"/>
      <color rgb="FFFF0066"/>
      <name val="Times New Roman"/>
      <family val="1"/>
    </font>
    <font>
      <b/>
      <sz val="10"/>
      <color rgb="FFFF0066"/>
      <name val="Arial"/>
      <family val="2"/>
    </font>
    <font>
      <b/>
      <sz val="14"/>
      <color rgb="FFFF0066"/>
      <name val="Arial"/>
      <family val="2"/>
    </font>
    <font>
      <b/>
      <sz val="14"/>
      <color rgb="FFC00000"/>
      <name val="Arial"/>
      <family val="2"/>
    </font>
    <font>
      <b/>
      <sz val="14"/>
      <color rgb="FF002060"/>
      <name val="Arial"/>
      <family val="2"/>
    </font>
    <font>
      <b/>
      <sz val="12"/>
      <color theme="5" tint="-0.249977111117893"/>
      <name val="Times New Roman"/>
      <family val="1"/>
    </font>
    <font>
      <b/>
      <sz val="14"/>
      <color theme="8" tint="-0.499984740745262"/>
      <name val="Arial"/>
      <family val="2"/>
    </font>
    <font>
      <b/>
      <sz val="16"/>
      <name val="Calibri"/>
      <family val="2"/>
    </font>
    <font>
      <b/>
      <sz val="18"/>
      <name val="Calibri"/>
      <family val="2"/>
    </font>
    <font>
      <b/>
      <sz val="10"/>
      <name val="Times New Roman"/>
      <family val="1"/>
    </font>
    <font>
      <b/>
      <i/>
      <sz val="10"/>
      <color indexed="8"/>
      <name val="Times New Roman"/>
      <family val="1"/>
    </font>
    <font>
      <b/>
      <sz val="10"/>
      <color indexed="8"/>
      <name val="Times New Roman"/>
      <family val="1"/>
    </font>
    <font>
      <sz val="10"/>
      <color indexed="8"/>
      <name val="Times New Roman"/>
      <family val="1"/>
    </font>
    <font>
      <b/>
      <sz val="10"/>
      <color rgb="FFFF0000"/>
      <name val="Arial"/>
      <family val="2"/>
    </font>
    <font>
      <b/>
      <sz val="12"/>
      <color rgb="FFFF0000"/>
      <name val="Times New Roman"/>
      <family val="1"/>
    </font>
    <font>
      <b/>
      <sz val="10"/>
      <name val="Arial"/>
      <family val="2"/>
    </font>
    <font>
      <sz val="9"/>
      <color indexed="81"/>
      <name val="Tahoma"/>
      <family val="2"/>
    </font>
    <font>
      <b/>
      <sz val="9"/>
      <color indexed="81"/>
      <name val="Tahoma"/>
      <family val="2"/>
    </font>
    <font>
      <sz val="14"/>
      <color rgb="FFFF0000"/>
      <name val="Times New Roman"/>
      <family val="1"/>
    </font>
    <font>
      <b/>
      <sz val="14"/>
      <color rgb="FF00B050"/>
      <name val="Times New Roman"/>
      <family val="1"/>
    </font>
    <font>
      <b/>
      <sz val="14"/>
      <color rgb="FF0070C0"/>
      <name val="Times New Roman"/>
      <family val="1"/>
    </font>
    <font>
      <sz val="18"/>
      <color theme="3"/>
      <name val="Cambria"/>
      <family val="2"/>
      <scheme val="major"/>
    </font>
    <font>
      <b/>
      <sz val="15"/>
      <color theme="3"/>
      <name val="Calibri"/>
      <family val="2"/>
      <scheme val="minor"/>
    </font>
    <font>
      <b/>
      <sz val="15"/>
      <color rgb="FFFF0000"/>
      <name val="Calibri"/>
      <family val="2"/>
      <scheme val="minor"/>
    </font>
    <font>
      <sz val="18"/>
      <color rgb="FFFF0000"/>
      <name val="Cambria"/>
      <family val="1"/>
      <scheme val="major"/>
    </font>
    <font>
      <b/>
      <sz val="12"/>
      <color rgb="FF002060"/>
      <name val="Times New Roman"/>
      <family val="1"/>
    </font>
    <font>
      <b/>
      <sz val="12"/>
      <color rgb="FFC00000"/>
      <name val="Times New Roman"/>
      <family val="1"/>
    </font>
    <font>
      <b/>
      <sz val="10"/>
      <color rgb="FF00B050"/>
      <name val="Arial"/>
      <family val="2"/>
    </font>
    <font>
      <sz val="10"/>
      <color rgb="FFFF0000"/>
      <name val="Arial"/>
      <family val="2"/>
    </font>
    <font>
      <sz val="9"/>
      <color indexed="9"/>
      <name val="Arial"/>
      <family val="2"/>
    </font>
    <font>
      <b/>
      <sz val="10"/>
      <color theme="1"/>
      <name val="Arial"/>
      <family val="2"/>
    </font>
    <font>
      <b/>
      <sz val="15"/>
      <color rgb="FF0070C0"/>
      <name val="Calibri"/>
      <family val="2"/>
      <scheme val="minor"/>
    </font>
    <font>
      <b/>
      <sz val="15"/>
      <color rgb="FFC00000"/>
      <name val="Calibri"/>
      <family val="2"/>
      <scheme val="minor"/>
    </font>
    <font>
      <b/>
      <sz val="11"/>
      <color indexed="9"/>
      <name val="Arial"/>
      <family val="2"/>
    </font>
    <font>
      <b/>
      <sz val="10"/>
      <color indexed="8"/>
      <name val="Arial"/>
      <family val="2"/>
    </font>
    <font>
      <b/>
      <sz val="10"/>
      <color indexed="18"/>
      <name val="Arial"/>
      <family val="2"/>
    </font>
    <font>
      <b/>
      <sz val="12"/>
      <color rgb="FF00B050"/>
      <name val="Times New Roman"/>
      <family val="1"/>
    </font>
    <font>
      <b/>
      <sz val="11"/>
      <name val="Times New Roman"/>
      <family val="1"/>
    </font>
    <font>
      <b/>
      <sz val="11"/>
      <name val="Arial"/>
      <family val="2"/>
    </font>
    <font>
      <b/>
      <sz val="14"/>
      <color theme="0"/>
      <name val="Times New Roman"/>
      <family val="1"/>
    </font>
    <font>
      <b/>
      <sz val="14"/>
      <color theme="0"/>
      <name val="Arial"/>
      <family val="2"/>
    </font>
    <font>
      <b/>
      <sz val="16"/>
      <name val="Cambria"/>
      <family val="1"/>
      <scheme val="major"/>
    </font>
  </fonts>
  <fills count="25">
    <fill>
      <patternFill patternType="none"/>
    </fill>
    <fill>
      <patternFill patternType="gray125"/>
    </fill>
    <fill>
      <patternFill patternType="solid">
        <fgColor indexed="9"/>
        <bgColor indexed="24"/>
      </patternFill>
    </fill>
    <fill>
      <patternFill patternType="solid">
        <fgColor indexed="22"/>
        <bgColor indexed="24"/>
      </patternFill>
    </fill>
    <fill>
      <patternFill patternType="solid">
        <fgColor indexed="22"/>
        <bgColor indexed="64"/>
      </patternFill>
    </fill>
    <fill>
      <patternFill patternType="solid">
        <fgColor indexed="9"/>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249977111117893"/>
        <bgColor indexed="24"/>
      </patternFill>
    </fill>
    <fill>
      <patternFill patternType="solid">
        <fgColor theme="0"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00B050"/>
        <bgColor indexed="64"/>
      </patternFill>
    </fill>
    <fill>
      <patternFill patternType="solid">
        <fgColor indexed="20"/>
        <bgColor indexed="24"/>
      </patternFill>
    </fill>
    <fill>
      <patternFill patternType="solid">
        <fgColor indexed="22"/>
        <bgColor indexed="7"/>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s>
  <borders count="7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double">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double">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ck">
        <color theme="4"/>
      </bottom>
      <diagonal/>
    </border>
    <border>
      <left/>
      <right style="medium">
        <color indexed="64"/>
      </right>
      <top/>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style="hair">
        <color indexed="64"/>
      </left>
      <right style="hair">
        <color indexed="64"/>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top/>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24" fillId="0" borderId="0" applyFont="0" applyFill="0" applyBorder="0" applyAlignment="0" applyProtection="0"/>
    <xf numFmtId="0" fontId="47" fillId="0" borderId="0" applyNumberFormat="0" applyFill="0" applyBorder="0" applyAlignment="0" applyProtection="0"/>
    <xf numFmtId="0" fontId="48" fillId="0" borderId="48" applyNumberFormat="0" applyFill="0" applyAlignment="0" applyProtection="0"/>
  </cellStyleXfs>
  <cellXfs count="45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8" fillId="2" borderId="1" xfId="0" applyFont="1" applyFill="1" applyBorder="1" applyAlignment="1"/>
    <xf numFmtId="0" fontId="8" fillId="2" borderId="2" xfId="0" applyFont="1" applyFill="1" applyBorder="1" applyAlignment="1"/>
    <xf numFmtId="0" fontId="8" fillId="2" borderId="3" xfId="0" applyFont="1" applyFill="1" applyBorder="1" applyAlignment="1"/>
    <xf numFmtId="0" fontId="8" fillId="2" borderId="4" xfId="0" applyFont="1" applyFill="1" applyBorder="1" applyAlignment="1"/>
    <xf numFmtId="0" fontId="10" fillId="3" borderId="5" xfId="0" applyFont="1" applyFill="1" applyBorder="1" applyAlignment="1">
      <alignment horizontal="center"/>
    </xf>
    <xf numFmtId="0" fontId="10" fillId="3" borderId="6" xfId="0" applyFont="1" applyFill="1" applyBorder="1" applyAlignment="1">
      <alignment horizontal="center"/>
    </xf>
    <xf numFmtId="0" fontId="10" fillId="3" borderId="7" xfId="0" applyFont="1" applyFill="1" applyBorder="1" applyAlignment="1">
      <alignment horizontal="center"/>
    </xf>
    <xf numFmtId="0" fontId="6" fillId="3" borderId="8" xfId="0" applyFont="1" applyFill="1" applyBorder="1" applyAlignment="1"/>
    <xf numFmtId="0" fontId="6" fillId="3" borderId="9" xfId="0" applyFont="1" applyFill="1" applyBorder="1" applyAlignment="1"/>
    <xf numFmtId="0" fontId="10" fillId="4" borderId="1" xfId="0" applyFont="1" applyFill="1" applyBorder="1"/>
    <xf numFmtId="0" fontId="6" fillId="4" borderId="1" xfId="0" applyFont="1" applyFill="1" applyBorder="1"/>
    <xf numFmtId="165" fontId="8" fillId="5" borderId="1" xfId="1" applyNumberFormat="1" applyFont="1" applyFill="1" applyBorder="1"/>
    <xf numFmtId="165" fontId="8" fillId="5" borderId="3" xfId="1" applyNumberFormat="1" applyFont="1" applyFill="1" applyBorder="1"/>
    <xf numFmtId="165" fontId="8" fillId="5" borderId="4" xfId="1" applyNumberFormat="1" applyFont="1" applyFill="1" applyBorder="1"/>
    <xf numFmtId="0" fontId="10" fillId="4" borderId="5" xfId="0" applyFont="1" applyFill="1" applyBorder="1"/>
    <xf numFmtId="0" fontId="6" fillId="4" borderId="9" xfId="0" applyFont="1" applyFill="1" applyBorder="1"/>
    <xf numFmtId="41" fontId="8" fillId="2" borderId="1" xfId="0" applyNumberFormat="1" applyFont="1" applyFill="1" applyBorder="1" applyAlignment="1"/>
    <xf numFmtId="41" fontId="8" fillId="2" borderId="2" xfId="0" applyNumberFormat="1" applyFont="1" applyFill="1" applyBorder="1" applyAlignment="1"/>
    <xf numFmtId="41" fontId="8" fillId="2" borderId="3" xfId="0" applyNumberFormat="1" applyFont="1" applyFill="1" applyBorder="1" applyAlignment="1"/>
    <xf numFmtId="41" fontId="8" fillId="2" borderId="4" xfId="0" applyNumberFormat="1" applyFont="1" applyFill="1" applyBorder="1" applyAlignment="1"/>
    <xf numFmtId="41" fontId="8" fillId="5" borderId="1" xfId="2" applyNumberFormat="1" applyFont="1" applyFill="1" applyBorder="1" applyAlignment="1">
      <alignment horizontal="left"/>
    </xf>
    <xf numFmtId="0" fontId="8" fillId="5" borderId="1" xfId="0" applyFont="1" applyFill="1" applyBorder="1"/>
    <xf numFmtId="0" fontId="8" fillId="5" borderId="2" xfId="0" applyFont="1" applyFill="1" applyBorder="1"/>
    <xf numFmtId="0" fontId="6" fillId="4" borderId="8" xfId="0" applyFont="1" applyFill="1" applyBorder="1"/>
    <xf numFmtId="0" fontId="8" fillId="4" borderId="3" xfId="0" applyFont="1" applyFill="1" applyBorder="1"/>
    <xf numFmtId="0" fontId="8" fillId="4" borderId="4" xfId="0" applyFont="1" applyFill="1" applyBorder="1"/>
    <xf numFmtId="0" fontId="10" fillId="3" borderId="1" xfId="0" applyFont="1" applyFill="1" applyBorder="1" applyAlignment="1">
      <alignment horizontal="center"/>
    </xf>
    <xf numFmtId="0" fontId="11" fillId="0" borderId="0" xfId="0" applyFont="1"/>
    <xf numFmtId="0" fontId="14" fillId="0" borderId="0" xfId="0" applyFont="1"/>
    <xf numFmtId="0" fontId="2" fillId="0" borderId="10" xfId="0" applyFont="1" applyBorder="1"/>
    <xf numFmtId="0" fontId="2" fillId="0" borderId="0" xfId="0" applyFont="1" applyBorder="1"/>
    <xf numFmtId="0" fontId="2" fillId="0" borderId="11" xfId="0" applyFont="1" applyBorder="1"/>
    <xf numFmtId="0" fontId="2" fillId="0" borderId="12" xfId="0" applyFont="1" applyBorder="1"/>
    <xf numFmtId="0" fontId="2" fillId="0" borderId="14" xfId="0" applyFont="1" applyBorder="1"/>
    <xf numFmtId="0" fontId="2" fillId="0" borderId="15" xfId="0" applyFont="1" applyBorder="1"/>
    <xf numFmtId="0" fontId="2" fillId="0" borderId="17" xfId="0" applyFont="1" applyBorder="1"/>
    <xf numFmtId="0" fontId="2" fillId="0" borderId="19" xfId="0" applyFont="1" applyBorder="1"/>
    <xf numFmtId="0" fontId="2" fillId="0" borderId="20" xfId="0" applyFont="1" applyBorder="1"/>
    <xf numFmtId="0" fontId="15" fillId="0" borderId="0" xfId="0" applyFont="1"/>
    <xf numFmtId="38" fontId="0" fillId="0" borderId="0" xfId="0" applyNumberFormat="1"/>
    <xf numFmtId="38" fontId="2" fillId="0" borderId="1" xfId="1" applyNumberFormat="1" applyFont="1" applyBorder="1"/>
    <xf numFmtId="38" fontId="2" fillId="0" borderId="1" xfId="0" applyNumberFormat="1" applyFont="1" applyBorder="1"/>
    <xf numFmtId="0" fontId="16" fillId="0" borderId="0" xfId="0" applyFont="1"/>
    <xf numFmtId="0" fontId="10" fillId="3" borderId="31" xfId="0" applyFont="1" applyFill="1" applyBorder="1" applyAlignment="1">
      <alignment horizontal="center"/>
    </xf>
    <xf numFmtId="41" fontId="8" fillId="2" borderId="32" xfId="0" applyNumberFormat="1" applyFont="1" applyFill="1" applyBorder="1" applyAlignment="1"/>
    <xf numFmtId="0" fontId="10" fillId="4" borderId="33" xfId="0" applyFont="1" applyFill="1" applyBorder="1"/>
    <xf numFmtId="0" fontId="10" fillId="4" borderId="33" xfId="0" applyFont="1" applyFill="1" applyBorder="1" applyAlignment="1">
      <alignment horizontal="center"/>
    </xf>
    <xf numFmtId="9" fontId="3" fillId="0" borderId="1" xfId="0" applyNumberFormat="1" applyFont="1" applyBorder="1" applyAlignment="1">
      <alignment horizontal="center"/>
    </xf>
    <xf numFmtId="0" fontId="3" fillId="0" borderId="15" xfId="0" applyFont="1" applyBorder="1"/>
    <xf numFmtId="0" fontId="3" fillId="4" borderId="16" xfId="0" applyFont="1" applyFill="1" applyBorder="1" applyAlignment="1">
      <alignment horizontal="center"/>
    </xf>
    <xf numFmtId="0" fontId="3" fillId="4" borderId="6" xfId="0" applyFont="1" applyFill="1" applyBorder="1" applyAlignment="1">
      <alignment horizontal="center"/>
    </xf>
    <xf numFmtId="0" fontId="3" fillId="4" borderId="7" xfId="0" applyFont="1" applyFill="1" applyBorder="1" applyAlignment="1">
      <alignment horizontal="center"/>
    </xf>
    <xf numFmtId="0" fontId="3" fillId="0" borderId="10" xfId="0" applyFont="1" applyBorder="1"/>
    <xf numFmtId="0" fontId="3" fillId="0" borderId="19" xfId="0" applyFont="1" applyBorder="1"/>
    <xf numFmtId="0" fontId="3" fillId="0" borderId="11" xfId="0" applyFont="1" applyBorder="1"/>
    <xf numFmtId="38" fontId="3" fillId="0" borderId="29" xfId="0" applyNumberFormat="1" applyFont="1" applyBorder="1"/>
    <xf numFmtId="38" fontId="3" fillId="0" borderId="26" xfId="0" applyNumberFormat="1" applyFont="1" applyBorder="1"/>
    <xf numFmtId="38" fontId="3" fillId="0" borderId="27" xfId="0" applyNumberFormat="1" applyFont="1" applyBorder="1"/>
    <xf numFmtId="0" fontId="18" fillId="0" borderId="0" xfId="0" applyFont="1"/>
    <xf numFmtId="0" fontId="7" fillId="0" borderId="0" xfId="0" applyFont="1" applyAlignment="1">
      <alignment horizontal="centerContinuous"/>
    </xf>
    <xf numFmtId="0" fontId="0" fillId="0" borderId="0" xfId="0" applyAlignment="1">
      <alignment horizontal="centerContinuous"/>
    </xf>
    <xf numFmtId="38" fontId="2" fillId="0" borderId="0" xfId="1" applyNumberFormat="1" applyFont="1" applyBorder="1"/>
    <xf numFmtId="40" fontId="2" fillId="0" borderId="0" xfId="1" applyNumberFormat="1" applyFont="1" applyBorder="1"/>
    <xf numFmtId="38" fontId="2" fillId="0" borderId="0" xfId="0" applyNumberFormat="1" applyFont="1" applyBorder="1"/>
    <xf numFmtId="0" fontId="17" fillId="0" borderId="0" xfId="0" applyFont="1" applyAlignment="1">
      <alignment horizontal="centerContinuous"/>
    </xf>
    <xf numFmtId="0" fontId="18" fillId="0" borderId="0" xfId="0" applyFont="1" applyAlignment="1">
      <alignment horizontal="centerContinuous"/>
    </xf>
    <xf numFmtId="0" fontId="1" fillId="0" borderId="0" xfId="0" applyFont="1"/>
    <xf numFmtId="0" fontId="1" fillId="0" borderId="0" xfId="0" quotePrefix="1" applyFont="1" applyAlignment="1">
      <alignment horizontal="center"/>
    </xf>
    <xf numFmtId="0" fontId="0" fillId="0" borderId="0" xfId="0" pivotButton="1"/>
    <xf numFmtId="0" fontId="0" fillId="0" borderId="0" xfId="0" applyAlignment="1">
      <alignment horizontal="left"/>
    </xf>
    <xf numFmtId="166" fontId="0" fillId="0" borderId="0" xfId="0" applyNumberFormat="1"/>
    <xf numFmtId="0" fontId="6" fillId="3" borderId="8" xfId="0" applyFont="1" applyFill="1" applyBorder="1" applyAlignment="1">
      <alignment horizontal="left" vertical="center"/>
    </xf>
    <xf numFmtId="0" fontId="6" fillId="3" borderId="9" xfId="0" applyFont="1" applyFill="1" applyBorder="1" applyAlignment="1">
      <alignment horizontal="left"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11" fillId="0" borderId="10" xfId="0" applyFont="1" applyBorder="1"/>
    <xf numFmtId="0" fontId="21" fillId="0" borderId="10" xfId="0" applyFont="1" applyBorder="1"/>
    <xf numFmtId="0" fontId="11" fillId="0" borderId="13" xfId="0" applyFont="1" applyBorder="1"/>
    <xf numFmtId="0" fontId="22" fillId="0" borderId="20" xfId="0" applyFont="1" applyBorder="1"/>
    <xf numFmtId="0" fontId="22" fillId="0" borderId="0" xfId="0" applyFont="1" applyBorder="1"/>
    <xf numFmtId="0" fontId="2" fillId="4" borderId="1" xfId="1" applyNumberFormat="1" applyFont="1" applyFill="1" applyBorder="1" applyAlignment="1">
      <alignment horizontal="center"/>
    </xf>
    <xf numFmtId="0" fontId="25" fillId="0" borderId="11" xfId="0" applyFont="1" applyBorder="1"/>
    <xf numFmtId="0" fontId="27" fillId="0" borderId="0" xfId="0" applyFont="1"/>
    <xf numFmtId="166" fontId="27" fillId="0" borderId="0" xfId="0" applyNumberFormat="1" applyFont="1"/>
    <xf numFmtId="0" fontId="2" fillId="0" borderId="1" xfId="0" applyFont="1" applyBorder="1"/>
    <xf numFmtId="0" fontId="11" fillId="0" borderId="1" xfId="0" applyFont="1" applyBorder="1"/>
    <xf numFmtId="0" fontId="22" fillId="0" borderId="1" xfId="0" applyFont="1" applyBorder="1"/>
    <xf numFmtId="0" fontId="21" fillId="0" borderId="1" xfId="0" applyFont="1" applyBorder="1"/>
    <xf numFmtId="167" fontId="26" fillId="0" borderId="1" xfId="3" applyNumberFormat="1" applyFont="1" applyBorder="1"/>
    <xf numFmtId="0" fontId="28" fillId="0" borderId="0" xfId="0" applyFont="1"/>
    <xf numFmtId="0" fontId="4" fillId="0" borderId="40" xfId="0" applyFont="1" applyBorder="1" applyAlignment="1">
      <alignment vertical="center"/>
    </xf>
    <xf numFmtId="0" fontId="2" fillId="6" borderId="1" xfId="1" applyNumberFormat="1" applyFont="1" applyFill="1" applyBorder="1" applyAlignment="1">
      <alignment horizontal="center"/>
    </xf>
    <xf numFmtId="38" fontId="2" fillId="7" borderId="8" xfId="1" applyNumberFormat="1" applyFont="1" applyFill="1" applyBorder="1"/>
    <xf numFmtId="40" fontId="2" fillId="7" borderId="1" xfId="1" applyNumberFormat="1" applyFont="1" applyFill="1" applyBorder="1"/>
    <xf numFmtId="38" fontId="2" fillId="7" borderId="28" xfId="1" applyNumberFormat="1" applyFont="1" applyFill="1" applyBorder="1"/>
    <xf numFmtId="40" fontId="2" fillId="7" borderId="26" xfId="1" applyNumberFormat="1" applyFont="1" applyFill="1" applyBorder="1"/>
    <xf numFmtId="0" fontId="2" fillId="10" borderId="43" xfId="0" applyFont="1" applyFill="1" applyBorder="1" applyAlignment="1">
      <alignment horizontal="center"/>
    </xf>
    <xf numFmtId="0" fontId="2" fillId="10" borderId="34" xfId="0" applyFont="1" applyFill="1" applyBorder="1" applyAlignment="1">
      <alignment horizontal="center"/>
    </xf>
    <xf numFmtId="0" fontId="2" fillId="10" borderId="35" xfId="0" applyFont="1" applyFill="1" applyBorder="1" applyAlignment="1">
      <alignment horizontal="center"/>
    </xf>
    <xf numFmtId="0" fontId="2" fillId="10" borderId="25" xfId="0" applyFont="1" applyFill="1" applyBorder="1" applyAlignment="1">
      <alignment horizontal="center"/>
    </xf>
    <xf numFmtId="0" fontId="2" fillId="10" borderId="6" xfId="0" applyFont="1" applyFill="1" applyBorder="1" applyAlignment="1">
      <alignment horizontal="center"/>
    </xf>
    <xf numFmtId="0" fontId="2" fillId="10" borderId="7" xfId="0" applyFont="1" applyFill="1" applyBorder="1" applyAlignment="1">
      <alignment horizontal="center"/>
    </xf>
    <xf numFmtId="38" fontId="2" fillId="9" borderId="21" xfId="1" applyNumberFormat="1" applyFont="1" applyFill="1" applyBorder="1"/>
    <xf numFmtId="38" fontId="2" fillId="9" borderId="1" xfId="1" applyNumberFormat="1" applyFont="1" applyFill="1" applyBorder="1"/>
    <xf numFmtId="38" fontId="2" fillId="9" borderId="2" xfId="1" applyNumberFormat="1" applyFont="1" applyFill="1" applyBorder="1"/>
    <xf numFmtId="38" fontId="2" fillId="9" borderId="21" xfId="0" applyNumberFormat="1" applyFont="1" applyFill="1" applyBorder="1"/>
    <xf numFmtId="38" fontId="2" fillId="9" borderId="1" xfId="0" applyNumberFormat="1" applyFont="1" applyFill="1" applyBorder="1"/>
    <xf numFmtId="38" fontId="2" fillId="9" borderId="2" xfId="0" applyNumberFormat="1" applyFont="1" applyFill="1" applyBorder="1"/>
    <xf numFmtId="38" fontId="2" fillId="9" borderId="8" xfId="1" applyNumberFormat="1" applyFont="1" applyFill="1" applyBorder="1"/>
    <xf numFmtId="38" fontId="2" fillId="9" borderId="16" xfId="1" applyNumberFormat="1" applyFont="1" applyFill="1" applyBorder="1"/>
    <xf numFmtId="38" fontId="2" fillId="9" borderId="29" xfId="0" applyNumberFormat="1" applyFont="1" applyFill="1" applyBorder="1"/>
    <xf numFmtId="38" fontId="2" fillId="9" borderId="26" xfId="0" applyNumberFormat="1" applyFont="1" applyFill="1" applyBorder="1"/>
    <xf numFmtId="38" fontId="2" fillId="9" borderId="30" xfId="0" applyNumberFormat="1" applyFont="1" applyFill="1" applyBorder="1"/>
    <xf numFmtId="38" fontId="2" fillId="8" borderId="1" xfId="1" applyNumberFormat="1" applyFont="1" applyFill="1" applyBorder="1"/>
    <xf numFmtId="38" fontId="2" fillId="8" borderId="2" xfId="1" applyNumberFormat="1" applyFont="1" applyFill="1" applyBorder="1"/>
    <xf numFmtId="38" fontId="2" fillId="8" borderId="22" xfId="1" applyNumberFormat="1" applyFont="1" applyFill="1" applyBorder="1"/>
    <xf numFmtId="38" fontId="2" fillId="8" borderId="23" xfId="1" applyNumberFormat="1" applyFont="1" applyFill="1" applyBorder="1"/>
    <xf numFmtId="38" fontId="2" fillId="8" borderId="1" xfId="0" applyNumberFormat="1" applyFont="1" applyFill="1" applyBorder="1"/>
    <xf numFmtId="38" fontId="2" fillId="8" borderId="6" xfId="1" applyNumberFormat="1" applyFont="1" applyFill="1" applyBorder="1"/>
    <xf numFmtId="38" fontId="2" fillId="8" borderId="7" xfId="1" applyNumberFormat="1" applyFont="1" applyFill="1" applyBorder="1"/>
    <xf numFmtId="167" fontId="26" fillId="8" borderId="26" xfId="3" applyNumberFormat="1" applyFont="1" applyFill="1" applyBorder="1"/>
    <xf numFmtId="0" fontId="29" fillId="0" borderId="0" xfId="0" applyFont="1"/>
    <xf numFmtId="3" fontId="0" fillId="0" borderId="0" xfId="0" applyNumberFormat="1"/>
    <xf numFmtId="168" fontId="8" fillId="5" borderId="1" xfId="3" applyNumberFormat="1" applyFont="1" applyFill="1" applyBorder="1"/>
    <xf numFmtId="10" fontId="0" fillId="0" borderId="0" xfId="0" applyNumberFormat="1"/>
    <xf numFmtId="167" fontId="0" fillId="0" borderId="0" xfId="0" applyNumberFormat="1"/>
    <xf numFmtId="0" fontId="22" fillId="0" borderId="40" xfId="0" applyFont="1" applyBorder="1" applyAlignment="1">
      <alignment vertical="center"/>
    </xf>
    <xf numFmtId="0" fontId="2" fillId="0" borderId="1" xfId="0" applyFont="1" applyBorder="1" applyAlignment="1">
      <alignment horizontal="right"/>
    </xf>
    <xf numFmtId="0" fontId="32" fillId="0" borderId="0" xfId="0" applyFont="1"/>
    <xf numFmtId="0" fontId="6" fillId="3" borderId="1" xfId="0" applyFont="1" applyFill="1" applyBorder="1" applyAlignment="1"/>
    <xf numFmtId="0" fontId="8"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3" fillId="4" borderId="1" xfId="0" applyFont="1" applyFill="1" applyBorder="1"/>
    <xf numFmtId="164" fontId="3" fillId="0" borderId="36" xfId="1" applyNumberFormat="1" applyFont="1" applyBorder="1"/>
    <xf numFmtId="164" fontId="3" fillId="0" borderId="1" xfId="1" applyNumberFormat="1" applyFont="1" applyBorder="1"/>
    <xf numFmtId="164" fontId="3" fillId="0" borderId="2" xfId="1" applyNumberFormat="1" applyFont="1" applyBorder="1"/>
    <xf numFmtId="164" fontId="3" fillId="0" borderId="36" xfId="0" applyNumberFormat="1" applyFont="1" applyBorder="1"/>
    <xf numFmtId="164" fontId="3" fillId="0" borderId="1" xfId="0" applyNumberFormat="1" applyFont="1" applyBorder="1"/>
    <xf numFmtId="164" fontId="3" fillId="0" borderId="2" xfId="0" applyNumberFormat="1" applyFont="1" applyBorder="1"/>
    <xf numFmtId="164" fontId="3" fillId="0" borderId="37" xfId="1" applyNumberFormat="1" applyFont="1" applyBorder="1"/>
    <xf numFmtId="164" fontId="3" fillId="0" borderId="6" xfId="1" applyNumberFormat="1" applyFont="1" applyBorder="1"/>
    <xf numFmtId="164" fontId="3" fillId="0" borderId="7" xfId="1" applyNumberFormat="1" applyFont="1" applyBorder="1"/>
    <xf numFmtId="0" fontId="4" fillId="0" borderId="10" xfId="0" applyFont="1" applyBorder="1"/>
    <xf numFmtId="0" fontId="4" fillId="0" borderId="13" xfId="0" applyFont="1" applyBorder="1"/>
    <xf numFmtId="0" fontId="19" fillId="0" borderId="0" xfId="0" applyFont="1" applyAlignment="1">
      <alignment horizontal="left" vertical="top"/>
    </xf>
    <xf numFmtId="0" fontId="34" fillId="0" borderId="0" xfId="0" applyFont="1" applyAlignment="1">
      <alignment vertical="center"/>
    </xf>
    <xf numFmtId="0" fontId="2" fillId="4" borderId="1" xfId="1" applyNumberFormat="1" applyFont="1" applyFill="1" applyBorder="1" applyAlignment="1">
      <alignment horizontal="center"/>
    </xf>
    <xf numFmtId="0" fontId="23" fillId="0" borderId="14" xfId="0" applyFont="1" applyBorder="1" applyAlignment="1">
      <alignment vertical="center"/>
    </xf>
    <xf numFmtId="40" fontId="2" fillId="9" borderId="1" xfId="0" applyNumberFormat="1" applyFont="1" applyFill="1" applyBorder="1"/>
    <xf numFmtId="0" fontId="35" fillId="0" borderId="0" xfId="0" applyFont="1"/>
    <xf numFmtId="0" fontId="36" fillId="4" borderId="1" xfId="0" applyFont="1" applyFill="1" applyBorder="1"/>
    <xf numFmtId="0" fontId="36" fillId="3" borderId="1" xfId="0" applyFont="1" applyFill="1" applyBorder="1" applyAlignment="1">
      <alignment horizontal="center"/>
    </xf>
    <xf numFmtId="0" fontId="36" fillId="4" borderId="33" xfId="0" applyFont="1" applyFill="1" applyBorder="1"/>
    <xf numFmtId="0" fontId="36" fillId="4" borderId="33" xfId="0" applyFont="1" applyFill="1" applyBorder="1" applyAlignment="1">
      <alignment horizontal="center"/>
    </xf>
    <xf numFmtId="0" fontId="37" fillId="4" borderId="1" xfId="0" applyFont="1" applyFill="1" applyBorder="1"/>
    <xf numFmtId="165" fontId="38" fillId="5" borderId="1" xfId="1" applyNumberFormat="1" applyFont="1" applyFill="1" applyBorder="1"/>
    <xf numFmtId="0" fontId="37" fillId="4" borderId="33" xfId="0" applyFont="1" applyFill="1" applyBorder="1"/>
    <xf numFmtId="41" fontId="38" fillId="5" borderId="1" xfId="2" applyNumberFormat="1" applyFont="1" applyFill="1" applyBorder="1" applyAlignment="1">
      <alignment horizontal="left"/>
    </xf>
    <xf numFmtId="165" fontId="37" fillId="5" borderId="1" xfId="1" applyNumberFormat="1" applyFont="1" applyFill="1" applyBorder="1"/>
    <xf numFmtId="0" fontId="36" fillId="3" borderId="6" xfId="0" applyFont="1" applyFill="1" applyBorder="1" applyAlignment="1">
      <alignment horizontal="center"/>
    </xf>
    <xf numFmtId="0" fontId="36" fillId="3" borderId="7" xfId="0" applyFont="1" applyFill="1" applyBorder="1" applyAlignment="1">
      <alignment horizontal="center"/>
    </xf>
    <xf numFmtId="41" fontId="38" fillId="2" borderId="1" xfId="0" applyNumberFormat="1" applyFont="1" applyFill="1" applyBorder="1" applyAlignment="1"/>
    <xf numFmtId="0" fontId="39" fillId="0" borderId="0" xfId="0" applyFont="1"/>
    <xf numFmtId="0" fontId="0" fillId="0" borderId="0" xfId="0" applyNumberFormat="1"/>
    <xf numFmtId="0" fontId="2"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41" fillId="0" borderId="0" xfId="0" applyFont="1"/>
    <xf numFmtId="43" fontId="0" fillId="0" borderId="0" xfId="1" applyFont="1"/>
    <xf numFmtId="43" fontId="0" fillId="0" borderId="0" xfId="0" applyNumberFormat="1"/>
    <xf numFmtId="0" fontId="6" fillId="13" borderId="8" xfId="0" applyFont="1" applyFill="1" applyBorder="1" applyAlignment="1"/>
    <xf numFmtId="0" fontId="6" fillId="13" borderId="9" xfId="0" applyFont="1" applyFill="1" applyBorder="1" applyAlignment="1"/>
    <xf numFmtId="41" fontId="8" fillId="2" borderId="0" xfId="0" applyNumberFormat="1" applyFont="1" applyFill="1" applyBorder="1" applyAlignment="1"/>
    <xf numFmtId="0" fontId="41" fillId="0" borderId="0" xfId="0" pivotButton="1" applyFont="1"/>
    <xf numFmtId="0" fontId="10" fillId="3" borderId="15" xfId="0" applyFont="1" applyFill="1" applyBorder="1" applyAlignment="1">
      <alignment horizontal="center"/>
    </xf>
    <xf numFmtId="165" fontId="0" fillId="0" borderId="0" xfId="0" applyNumberFormat="1"/>
    <xf numFmtId="165" fontId="1" fillId="0" borderId="0" xfId="0" applyNumberFormat="1" applyFont="1"/>
    <xf numFmtId="165" fontId="8" fillId="5" borderId="2" xfId="1" applyNumberFormat="1" applyFont="1" applyFill="1" applyBorder="1"/>
    <xf numFmtId="165" fontId="8" fillId="4" borderId="3" xfId="1" applyNumberFormat="1" applyFont="1" applyFill="1" applyBorder="1"/>
    <xf numFmtId="165" fontId="8" fillId="4" borderId="4" xfId="1" applyNumberFormat="1" applyFont="1" applyFill="1" applyBorder="1"/>
    <xf numFmtId="0" fontId="10" fillId="0" borderId="0" xfId="0" applyFont="1" applyFill="1" applyBorder="1" applyAlignment="1">
      <alignment horizontal="center"/>
    </xf>
    <xf numFmtId="165" fontId="41" fillId="0" borderId="3" xfId="1" applyNumberFormat="1" applyFont="1" applyBorder="1"/>
    <xf numFmtId="165" fontId="41" fillId="0" borderId="4" xfId="1" applyNumberFormat="1" applyFont="1" applyBorder="1"/>
    <xf numFmtId="0" fontId="37" fillId="3" borderId="1" xfId="0" applyFont="1" applyFill="1" applyBorder="1" applyAlignment="1"/>
    <xf numFmtId="41" fontId="6" fillId="2" borderId="3" xfId="0" applyNumberFormat="1" applyFont="1" applyFill="1" applyBorder="1" applyAlignment="1"/>
    <xf numFmtId="41" fontId="6" fillId="2" borderId="4" xfId="0" applyNumberFormat="1" applyFont="1" applyFill="1" applyBorder="1" applyAlignment="1"/>
    <xf numFmtId="165" fontId="6" fillId="4" borderId="3" xfId="1" applyNumberFormat="1" applyFont="1" applyFill="1" applyBorder="1"/>
    <xf numFmtId="165" fontId="6" fillId="4" borderId="4" xfId="1" applyNumberFormat="1" applyFont="1" applyFill="1" applyBorder="1"/>
    <xf numFmtId="41" fontId="37" fillId="2" borderId="1" xfId="0" applyNumberFormat="1" applyFont="1" applyFill="1" applyBorder="1" applyAlignment="1"/>
    <xf numFmtId="41" fontId="6" fillId="2" borderId="0" xfId="0" applyNumberFormat="1" applyFont="1" applyFill="1" applyBorder="1" applyAlignment="1"/>
    <xf numFmtId="165" fontId="6" fillId="4" borderId="1" xfId="1" applyNumberFormat="1" applyFont="1" applyFill="1" applyBorder="1"/>
    <xf numFmtId="41" fontId="41" fillId="14" borderId="3" xfId="0" applyNumberFormat="1" applyFont="1" applyFill="1" applyBorder="1"/>
    <xf numFmtId="41" fontId="41" fillId="14" borderId="4" xfId="0" applyNumberFormat="1" applyFont="1" applyFill="1" applyBorder="1"/>
    <xf numFmtId="165" fontId="0" fillId="0" borderId="0" xfId="1" applyNumberFormat="1" applyFont="1"/>
    <xf numFmtId="0" fontId="37" fillId="4" borderId="5" xfId="0" applyFont="1" applyFill="1" applyBorder="1" applyAlignment="1">
      <alignment horizontal="center"/>
    </xf>
    <xf numFmtId="0" fontId="37" fillId="4" borderId="8" xfId="0" applyFont="1" applyFill="1" applyBorder="1" applyAlignment="1">
      <alignment horizontal="center"/>
    </xf>
    <xf numFmtId="41" fontId="38" fillId="2" borderId="2" xfId="0" applyNumberFormat="1" applyFont="1" applyFill="1" applyBorder="1" applyAlignment="1"/>
    <xf numFmtId="0" fontId="37" fillId="4" borderId="9" xfId="0" applyFont="1" applyFill="1" applyBorder="1" applyAlignment="1">
      <alignment horizontal="center"/>
    </xf>
    <xf numFmtId="38" fontId="11" fillId="0" borderId="1" xfId="1" applyNumberFormat="1" applyFont="1" applyBorder="1"/>
    <xf numFmtId="0" fontId="1" fillId="16" borderId="0" xfId="0" applyFont="1" applyFill="1"/>
    <xf numFmtId="38" fontId="2" fillId="16" borderId="21" xfId="1" applyNumberFormat="1" applyFont="1" applyFill="1" applyBorder="1"/>
    <xf numFmtId="43" fontId="2" fillId="0" borderId="1" xfId="1" applyFont="1" applyBorder="1"/>
    <xf numFmtId="43" fontId="2" fillId="11" borderId="1" xfId="1" applyFont="1" applyFill="1" applyBorder="1"/>
    <xf numFmtId="43" fontId="2" fillId="6" borderId="1" xfId="1" applyFont="1" applyFill="1" applyBorder="1"/>
    <xf numFmtId="0" fontId="3" fillId="16" borderId="0" xfId="0" applyFont="1" applyFill="1"/>
    <xf numFmtId="165" fontId="6" fillId="5" borderId="1" xfId="1" applyNumberFormat="1" applyFont="1" applyFill="1" applyBorder="1"/>
    <xf numFmtId="0" fontId="45" fillId="0" borderId="0" xfId="0" applyFont="1"/>
    <xf numFmtId="43" fontId="8" fillId="5" borderId="1" xfId="1" applyNumberFormat="1" applyFont="1" applyFill="1" applyBorder="1"/>
    <xf numFmtId="43" fontId="6" fillId="5" borderId="1" xfId="1" applyNumberFormat="1" applyFont="1" applyFill="1" applyBorder="1"/>
    <xf numFmtId="0" fontId="46" fillId="0" borderId="0" xfId="0" applyFont="1"/>
    <xf numFmtId="169" fontId="0" fillId="0" borderId="0" xfId="0" applyNumberFormat="1"/>
    <xf numFmtId="0" fontId="48" fillId="0" borderId="48" xfId="5"/>
    <xf numFmtId="0" fontId="47" fillId="0" borderId="48" xfId="4" applyFill="1" applyBorder="1"/>
    <xf numFmtId="168" fontId="6" fillId="5" borderId="1" xfId="3" applyNumberFormat="1" applyFont="1" applyFill="1" applyBorder="1"/>
    <xf numFmtId="4" fontId="0" fillId="0" borderId="0" xfId="0" applyNumberFormat="1"/>
    <xf numFmtId="0" fontId="44" fillId="4" borderId="5" xfId="1" applyNumberFormat="1" applyFont="1" applyFill="1" applyBorder="1" applyAlignment="1">
      <alignment horizontal="center"/>
    </xf>
    <xf numFmtId="0" fontId="2" fillId="4" borderId="1" xfId="1" applyNumberFormat="1" applyFont="1" applyFill="1" applyBorder="1" applyAlignment="1">
      <alignment horizontal="center"/>
    </xf>
    <xf numFmtId="0" fontId="48" fillId="0" borderId="48" xfId="5" applyFill="1"/>
    <xf numFmtId="38" fontId="51" fillId="0" borderId="1" xfId="1" applyNumberFormat="1" applyFont="1" applyBorder="1"/>
    <xf numFmtId="38" fontId="52" fillId="0" borderId="1" xfId="1" applyNumberFormat="1" applyFont="1" applyBorder="1"/>
    <xf numFmtId="0" fontId="0" fillId="0" borderId="0" xfId="0" applyFill="1" applyBorder="1"/>
    <xf numFmtId="40" fontId="0" fillId="0" borderId="0" xfId="0" applyNumberFormat="1"/>
    <xf numFmtId="10" fontId="0" fillId="0" borderId="0" xfId="3" applyNumberFormat="1" applyFont="1"/>
    <xf numFmtId="0" fontId="1" fillId="0" borderId="15" xfId="0" applyFont="1" applyBorder="1"/>
    <xf numFmtId="0" fontId="0" fillId="0" borderId="17" xfId="0" applyBorder="1"/>
    <xf numFmtId="0" fontId="0" fillId="0" borderId="18" xfId="0" applyBorder="1"/>
    <xf numFmtId="0" fontId="0" fillId="0" borderId="10" xfId="0" applyBorder="1"/>
    <xf numFmtId="165" fontId="0" fillId="0" borderId="0" xfId="1" applyNumberFormat="1" applyFont="1" applyBorder="1"/>
    <xf numFmtId="0" fontId="0" fillId="0" borderId="0" xfId="0" applyBorder="1"/>
    <xf numFmtId="10" fontId="0" fillId="0" borderId="0" xfId="3" applyNumberFormat="1" applyFont="1" applyBorder="1"/>
    <xf numFmtId="10" fontId="0" fillId="0" borderId="49" xfId="3" applyNumberFormat="1" applyFont="1" applyBorder="1"/>
    <xf numFmtId="0" fontId="0" fillId="0" borderId="11" xfId="0" applyBorder="1"/>
    <xf numFmtId="165" fontId="0" fillId="0" borderId="12" xfId="1" applyNumberFormat="1" applyFont="1" applyBorder="1"/>
    <xf numFmtId="0" fontId="0" fillId="0" borderId="12" xfId="0" applyBorder="1"/>
    <xf numFmtId="10" fontId="0" fillId="0" borderId="12" xfId="3" applyNumberFormat="1" applyFont="1" applyBorder="1"/>
    <xf numFmtId="10" fontId="0" fillId="0" borderId="30" xfId="3" applyNumberFormat="1" applyFont="1" applyBorder="1"/>
    <xf numFmtId="0" fontId="1" fillId="0" borderId="17" xfId="0" applyFont="1" applyBorder="1"/>
    <xf numFmtId="43" fontId="0" fillId="0" borderId="0" xfId="1" applyNumberFormat="1" applyFont="1" applyBorder="1"/>
    <xf numFmtId="0" fontId="0" fillId="0" borderId="50" xfId="0" applyBorder="1"/>
    <xf numFmtId="0" fontId="1" fillId="0" borderId="50" xfId="0" applyFont="1" applyBorder="1"/>
    <xf numFmtId="165" fontId="0" fillId="0" borderId="51" xfId="1" applyNumberFormat="1" applyFont="1" applyBorder="1"/>
    <xf numFmtId="43" fontId="0" fillId="0" borderId="51" xfId="1" applyFont="1" applyBorder="1"/>
    <xf numFmtId="0" fontId="41" fillId="0" borderId="53" xfId="0" applyFont="1" applyBorder="1"/>
    <xf numFmtId="165" fontId="41" fillId="0" borderId="54" xfId="1" applyNumberFormat="1" applyFont="1" applyBorder="1"/>
    <xf numFmtId="43" fontId="41" fillId="0" borderId="54" xfId="1" applyFont="1" applyBorder="1"/>
    <xf numFmtId="0" fontId="41" fillId="0" borderId="50" xfId="0" applyFont="1" applyBorder="1"/>
    <xf numFmtId="165" fontId="41" fillId="0" borderId="51" xfId="1" applyNumberFormat="1" applyFont="1" applyBorder="1"/>
    <xf numFmtId="43" fontId="41" fillId="0" borderId="51" xfId="1" applyFont="1" applyBorder="1"/>
    <xf numFmtId="0" fontId="41" fillId="0" borderId="56" xfId="0" applyFont="1" applyBorder="1"/>
    <xf numFmtId="165" fontId="41" fillId="0" borderId="57" xfId="1" applyNumberFormat="1" applyFont="1" applyBorder="1"/>
    <xf numFmtId="43" fontId="41" fillId="0" borderId="57" xfId="1" applyFont="1" applyBorder="1"/>
    <xf numFmtId="0" fontId="41" fillId="12" borderId="1" xfId="0" applyFont="1" applyFill="1" applyBorder="1"/>
    <xf numFmtId="0" fontId="41" fillId="12" borderId="1" xfId="0" applyFont="1" applyFill="1" applyBorder="1" applyAlignment="1">
      <alignment horizontal="center"/>
    </xf>
    <xf numFmtId="0" fontId="41" fillId="0" borderId="0" xfId="0" applyFont="1" applyAlignment="1">
      <alignment horizontal="center"/>
    </xf>
    <xf numFmtId="0" fontId="41" fillId="12" borderId="40" xfId="0" applyFont="1" applyFill="1" applyBorder="1" applyAlignment="1">
      <alignment horizontal="center"/>
    </xf>
    <xf numFmtId="43" fontId="41" fillId="0" borderId="58" xfId="1" applyNumberFormat="1" applyFont="1" applyBorder="1"/>
    <xf numFmtId="43" fontId="0" fillId="0" borderId="59" xfId="1" applyNumberFormat="1" applyFont="1" applyBorder="1"/>
    <xf numFmtId="43" fontId="41" fillId="0" borderId="59" xfId="1" applyNumberFormat="1" applyFont="1" applyBorder="1"/>
    <xf numFmtId="43" fontId="41" fillId="0" borderId="60" xfId="1" applyNumberFormat="1" applyFont="1" applyBorder="1"/>
    <xf numFmtId="0" fontId="41" fillId="12" borderId="5" xfId="0" applyFont="1" applyFill="1" applyBorder="1" applyAlignment="1">
      <alignment horizontal="center"/>
    </xf>
    <xf numFmtId="0" fontId="41" fillId="12" borderId="6" xfId="0" applyFont="1" applyFill="1" applyBorder="1" applyAlignment="1">
      <alignment horizontal="center"/>
    </xf>
    <xf numFmtId="0" fontId="41" fillId="12" borderId="7" xfId="0" applyFont="1" applyFill="1" applyBorder="1" applyAlignment="1">
      <alignment horizontal="center"/>
    </xf>
    <xf numFmtId="0" fontId="41" fillId="12" borderId="8" xfId="0" applyFont="1" applyFill="1" applyBorder="1"/>
    <xf numFmtId="0" fontId="41" fillId="12" borderId="2" xfId="0" applyFont="1" applyFill="1" applyBorder="1"/>
    <xf numFmtId="165" fontId="0" fillId="0" borderId="61" xfId="1" applyNumberFormat="1" applyFont="1" applyBorder="1"/>
    <xf numFmtId="165" fontId="0" fillId="0" borderId="62" xfId="1" applyNumberFormat="1" applyFont="1" applyBorder="1"/>
    <xf numFmtId="165" fontId="0" fillId="0" borderId="63" xfId="1" applyNumberFormat="1" applyFont="1" applyBorder="1"/>
    <xf numFmtId="165" fontId="41" fillId="0" borderId="50" xfId="1" applyNumberFormat="1" applyFont="1" applyBorder="1"/>
    <xf numFmtId="165" fontId="41" fillId="0" borderId="52" xfId="1" applyNumberFormat="1" applyFont="1" applyBorder="1"/>
    <xf numFmtId="165" fontId="0" fillId="0" borderId="50" xfId="1" applyNumberFormat="1" applyFont="1" applyBorder="1"/>
    <xf numFmtId="165" fontId="0" fillId="0" borderId="52" xfId="1" applyNumberFormat="1" applyFont="1" applyBorder="1"/>
    <xf numFmtId="165" fontId="54" fillId="0" borderId="53" xfId="1" applyNumberFormat="1" applyFont="1" applyBorder="1"/>
    <xf numFmtId="165" fontId="0" fillId="0" borderId="54" xfId="1" applyNumberFormat="1" applyFont="1" applyBorder="1"/>
    <xf numFmtId="165" fontId="0" fillId="0" borderId="55" xfId="1" applyNumberFormat="1" applyFont="1" applyBorder="1"/>
    <xf numFmtId="0" fontId="23" fillId="0" borderId="0" xfId="0" applyFont="1" applyBorder="1" applyAlignment="1">
      <alignment vertical="center"/>
    </xf>
    <xf numFmtId="164" fontId="0" fillId="0" borderId="0" xfId="0" applyNumberFormat="1"/>
    <xf numFmtId="0" fontId="0" fillId="0" borderId="0" xfId="0" applyFill="1" applyBorder="1" applyAlignment="1"/>
    <xf numFmtId="0" fontId="0" fillId="0" borderId="14" xfId="0" applyFill="1" applyBorder="1" applyAlignment="1"/>
    <xf numFmtId="0" fontId="55" fillId="18" borderId="17" xfId="0" applyFont="1" applyFill="1" applyBorder="1" applyAlignment="1">
      <alignment horizontal="right"/>
    </xf>
    <xf numFmtId="0" fontId="55" fillId="18" borderId="39" xfId="0" applyFont="1" applyFill="1" applyBorder="1" applyAlignment="1">
      <alignment horizontal="right"/>
    </xf>
    <xf numFmtId="0" fontId="0" fillId="19" borderId="0" xfId="0" applyFill="1" applyBorder="1" applyAlignment="1"/>
    <xf numFmtId="0" fontId="13" fillId="0" borderId="0" xfId="0" applyFont="1" applyFill="1" applyBorder="1" applyAlignment="1">
      <alignment vertical="top" wrapText="1"/>
    </xf>
    <xf numFmtId="0" fontId="0" fillId="0" borderId="0" xfId="0" applyFill="1"/>
    <xf numFmtId="165" fontId="8" fillId="0" borderId="0" xfId="1" applyNumberFormat="1" applyFont="1" applyFill="1" applyBorder="1"/>
    <xf numFmtId="0" fontId="0" fillId="0" borderId="15" xfId="0" applyFont="1" applyBorder="1" applyAlignment="1">
      <alignment horizontal="left"/>
    </xf>
    <xf numFmtId="43" fontId="0" fillId="0" borderId="17" xfId="1" applyFont="1" applyBorder="1"/>
    <xf numFmtId="43" fontId="0" fillId="0" borderId="18" xfId="1" applyFont="1" applyBorder="1"/>
    <xf numFmtId="43" fontId="0" fillId="0" borderId="0" xfId="1" applyFont="1" applyBorder="1"/>
    <xf numFmtId="43" fontId="0" fillId="0" borderId="49" xfId="1" applyFont="1" applyBorder="1"/>
    <xf numFmtId="43" fontId="0" fillId="0" borderId="12" xfId="1" applyFont="1" applyBorder="1"/>
    <xf numFmtId="43" fontId="0" fillId="0" borderId="30" xfId="1" applyFont="1" applyBorder="1"/>
    <xf numFmtId="170" fontId="8" fillId="5" borderId="64" xfId="1" applyNumberFormat="1" applyFont="1" applyFill="1" applyBorder="1"/>
    <xf numFmtId="43" fontId="8" fillId="5" borderId="40" xfId="1" applyNumberFormat="1" applyFont="1" applyFill="1" applyBorder="1"/>
    <xf numFmtId="0" fontId="56" fillId="20" borderId="65" xfId="0" applyFont="1" applyFill="1" applyBorder="1"/>
    <xf numFmtId="0" fontId="56" fillId="20" borderId="66" xfId="0" applyFont="1" applyFill="1" applyBorder="1"/>
    <xf numFmtId="0" fontId="56" fillId="20" borderId="67" xfId="0" applyFont="1" applyFill="1" applyBorder="1"/>
    <xf numFmtId="170" fontId="0" fillId="0" borderId="0" xfId="1" applyNumberFormat="1" applyFont="1" applyBorder="1"/>
    <xf numFmtId="170" fontId="0" fillId="0" borderId="49" xfId="1" applyNumberFormat="1" applyFont="1" applyBorder="1"/>
    <xf numFmtId="170" fontId="8" fillId="5" borderId="68" xfId="1" applyNumberFormat="1" applyFont="1" applyFill="1" applyBorder="1"/>
    <xf numFmtId="170" fontId="0" fillId="0" borderId="12" xfId="1" applyNumberFormat="1" applyFont="1" applyBorder="1"/>
    <xf numFmtId="170" fontId="0" fillId="0" borderId="30" xfId="1" applyNumberFormat="1" applyFont="1" applyBorder="1"/>
    <xf numFmtId="43" fontId="6" fillId="5" borderId="40" xfId="1" applyNumberFormat="1" applyFont="1" applyFill="1" applyBorder="1"/>
    <xf numFmtId="0" fontId="0" fillId="0" borderId="10" xfId="0" applyBorder="1" applyAlignment="1">
      <alignment horizontal="left"/>
    </xf>
    <xf numFmtId="170" fontId="8" fillId="5" borderId="69" xfId="1" applyNumberFormat="1" applyFont="1" applyFill="1" applyBorder="1"/>
    <xf numFmtId="0" fontId="0" fillId="0" borderId="11" xfId="0" applyBorder="1" applyAlignment="1">
      <alignment horizontal="left"/>
    </xf>
    <xf numFmtId="170" fontId="8" fillId="5" borderId="27" xfId="1" applyNumberFormat="1" applyFont="1" applyFill="1" applyBorder="1"/>
    <xf numFmtId="0" fontId="0" fillId="0" borderId="15" xfId="0" applyBorder="1"/>
    <xf numFmtId="9" fontId="0" fillId="0" borderId="0" xfId="3" applyNumberFormat="1" applyFont="1" applyBorder="1" applyAlignment="1">
      <alignment horizontal="center"/>
    </xf>
    <xf numFmtId="9" fontId="0" fillId="0" borderId="49" xfId="3" applyNumberFormat="1" applyFont="1" applyBorder="1" applyAlignment="1">
      <alignment horizontal="center"/>
    </xf>
    <xf numFmtId="38" fontId="31" fillId="0" borderId="0" xfId="0" applyNumberFormat="1" applyFont="1" applyBorder="1"/>
    <xf numFmtId="43" fontId="2" fillId="0" borderId="2" xfId="1" applyFont="1" applyBorder="1"/>
    <xf numFmtId="40" fontId="0" fillId="0" borderId="0" xfId="1" applyNumberFormat="1" applyFont="1" applyBorder="1" applyAlignment="1">
      <alignment vertical="center"/>
    </xf>
    <xf numFmtId="40" fontId="53" fillId="0" borderId="49" xfId="1" applyNumberFormat="1" applyFont="1" applyBorder="1" applyAlignment="1">
      <alignment vertical="center"/>
    </xf>
    <xf numFmtId="40" fontId="0" fillId="0" borderId="49" xfId="1" applyNumberFormat="1" applyFont="1" applyBorder="1" applyAlignment="1">
      <alignment vertical="center"/>
    </xf>
    <xf numFmtId="40" fontId="1" fillId="17" borderId="0" xfId="1" applyNumberFormat="1" applyFont="1" applyFill="1" applyBorder="1" applyAlignment="1">
      <alignment vertical="center"/>
    </xf>
    <xf numFmtId="40" fontId="1" fillId="0" borderId="0" xfId="1" applyNumberFormat="1" applyFont="1" applyBorder="1" applyAlignment="1">
      <alignment vertical="center"/>
    </xf>
    <xf numFmtId="9" fontId="0" fillId="0" borderId="12" xfId="3" applyNumberFormat="1" applyFont="1" applyBorder="1" applyAlignment="1">
      <alignment horizontal="center"/>
    </xf>
    <xf numFmtId="43" fontId="2" fillId="0" borderId="3" xfId="1" applyFont="1" applyBorder="1"/>
    <xf numFmtId="40" fontId="0" fillId="0" borderId="12" xfId="1" applyNumberFormat="1" applyFont="1" applyBorder="1" applyAlignment="1">
      <alignment vertical="center"/>
    </xf>
    <xf numFmtId="40" fontId="0" fillId="0" borderId="30" xfId="1" applyNumberFormat="1" applyFont="1" applyBorder="1" applyAlignment="1">
      <alignment vertical="center"/>
    </xf>
    <xf numFmtId="0" fontId="41" fillId="15" borderId="0" xfId="0" applyFont="1" applyFill="1"/>
    <xf numFmtId="0" fontId="0" fillId="15" borderId="0" xfId="0" applyFill="1"/>
    <xf numFmtId="0" fontId="58" fillId="0" borderId="48" xfId="5" applyFont="1"/>
    <xf numFmtId="40" fontId="8" fillId="5" borderId="1" xfId="1" applyNumberFormat="1" applyFont="1" applyFill="1" applyBorder="1"/>
    <xf numFmtId="165" fontId="8" fillId="2" borderId="1" xfId="1" applyNumberFormat="1" applyFont="1" applyFill="1" applyBorder="1" applyAlignment="1"/>
    <xf numFmtId="9" fontId="0" fillId="0" borderId="0" xfId="0" applyNumberFormat="1"/>
    <xf numFmtId="0" fontId="0" fillId="0" borderId="0" xfId="0" applyAlignment="1">
      <alignment wrapText="1"/>
    </xf>
    <xf numFmtId="0" fontId="59" fillId="18" borderId="39" xfId="0" applyFont="1" applyFill="1" applyBorder="1" applyAlignment="1">
      <alignment horizontal="left"/>
    </xf>
    <xf numFmtId="0" fontId="59" fillId="18" borderId="17" xfId="0" applyFont="1" applyFill="1" applyBorder="1" applyAlignment="1">
      <alignment horizontal="left"/>
    </xf>
    <xf numFmtId="0" fontId="60" fillId="3" borderId="0" xfId="0" applyFont="1" applyFill="1" applyBorder="1" applyAlignment="1">
      <alignment horizontal="left"/>
    </xf>
    <xf numFmtId="0" fontId="61" fillId="3" borderId="14" xfId="0" applyFont="1" applyFill="1" applyBorder="1" applyAlignment="1">
      <alignment horizontal="left"/>
    </xf>
    <xf numFmtId="0" fontId="60" fillId="3" borderId="12" xfId="0" applyFont="1" applyFill="1" applyBorder="1" applyAlignment="1">
      <alignment horizontal="left"/>
    </xf>
    <xf numFmtId="41" fontId="0" fillId="0" borderId="0" xfId="0" applyNumberFormat="1"/>
    <xf numFmtId="41" fontId="0" fillId="0" borderId="0" xfId="0" applyNumberFormat="1" applyFill="1" applyBorder="1" applyAlignment="1"/>
    <xf numFmtId="41" fontId="0" fillId="0" borderId="12" xfId="0" applyNumberFormat="1" applyFill="1" applyBorder="1" applyAlignment="1"/>
    <xf numFmtId="0" fontId="2" fillId="4" borderId="34" xfId="1" applyNumberFormat="1" applyFont="1" applyFill="1" applyBorder="1" applyAlignment="1">
      <alignment horizontal="center"/>
    </xf>
    <xf numFmtId="38" fontId="2" fillId="8" borderId="14" xfId="1" applyNumberFormat="1" applyFont="1" applyFill="1" applyBorder="1"/>
    <xf numFmtId="167" fontId="26" fillId="8" borderId="12" xfId="3" applyNumberFormat="1" applyFont="1" applyFill="1" applyBorder="1"/>
    <xf numFmtId="38" fontId="62" fillId="8" borderId="1" xfId="0" applyNumberFormat="1" applyFont="1" applyFill="1" applyBorder="1"/>
    <xf numFmtId="38" fontId="62" fillId="8" borderId="14" xfId="1" applyNumberFormat="1" applyFont="1" applyFill="1" applyBorder="1"/>
    <xf numFmtId="164" fontId="45" fillId="0" borderId="36" xfId="1" applyNumberFormat="1" applyFont="1" applyBorder="1"/>
    <xf numFmtId="0" fontId="3" fillId="0" borderId="15" xfId="0" applyFont="1" applyBorder="1" applyAlignment="1">
      <alignment horizontal="left" wrapText="1"/>
    </xf>
    <xf numFmtId="0" fontId="3" fillId="4" borderId="15" xfId="0" applyFont="1" applyFill="1" applyBorder="1" applyAlignment="1">
      <alignment horizontal="center" wrapText="1"/>
    </xf>
    <xf numFmtId="0" fontId="3" fillId="4" borderId="16"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0" fillId="0" borderId="0" xfId="0" applyAlignment="1">
      <alignment horizontal="left" wrapText="1"/>
    </xf>
    <xf numFmtId="3" fontId="0" fillId="0" borderId="0" xfId="0" applyNumberFormat="1" applyAlignment="1">
      <alignment wrapText="1"/>
    </xf>
    <xf numFmtId="164" fontId="3" fillId="23" borderId="5" xfId="1" applyNumberFormat="1" applyFont="1" applyFill="1" applyBorder="1"/>
    <xf numFmtId="0" fontId="3" fillId="4" borderId="70" xfId="0" applyFont="1" applyFill="1" applyBorder="1" applyAlignment="1">
      <alignment horizontal="center" wrapText="1"/>
    </xf>
    <xf numFmtId="0" fontId="3" fillId="4" borderId="70" xfId="0" applyFont="1" applyFill="1" applyBorder="1" applyAlignment="1">
      <alignment horizontal="center"/>
    </xf>
    <xf numFmtId="164" fontId="3" fillId="0" borderId="40" xfId="0" applyNumberFormat="1" applyFont="1" applyBorder="1"/>
    <xf numFmtId="164" fontId="3" fillId="0" borderId="70" xfId="1" applyNumberFormat="1" applyFont="1" applyBorder="1"/>
    <xf numFmtId="38" fontId="3" fillId="0" borderId="68" xfId="0" applyNumberFormat="1" applyFont="1" applyBorder="1"/>
    <xf numFmtId="0" fontId="3" fillId="4" borderId="17" xfId="0" applyFont="1" applyFill="1" applyBorder="1" applyAlignment="1">
      <alignment horizontal="center" wrapText="1"/>
    </xf>
    <xf numFmtId="0" fontId="44" fillId="4" borderId="25" xfId="1" applyNumberFormat="1" applyFont="1" applyFill="1" applyBorder="1" applyAlignment="1">
      <alignment horizontal="center"/>
    </xf>
    <xf numFmtId="164" fontId="3" fillId="0" borderId="41" xfId="1" applyNumberFormat="1" applyFont="1" applyBorder="1"/>
    <xf numFmtId="164" fontId="3" fillId="0" borderId="25" xfId="1" applyNumberFormat="1" applyFont="1" applyBorder="1"/>
    <xf numFmtId="38" fontId="3" fillId="0" borderId="71" xfId="1" applyNumberFormat="1" applyFont="1" applyBorder="1"/>
    <xf numFmtId="0" fontId="2" fillId="4" borderId="35" xfId="1" applyNumberFormat="1" applyFont="1" applyFill="1" applyBorder="1" applyAlignment="1">
      <alignment horizontal="center"/>
    </xf>
    <xf numFmtId="0" fontId="3" fillId="0" borderId="72" xfId="0" applyFont="1" applyBorder="1" applyAlignment="1">
      <alignment horizontal="left"/>
    </xf>
    <xf numFmtId="38" fontId="2" fillId="8" borderId="2" xfId="0" applyNumberFormat="1" applyFont="1" applyFill="1" applyBorder="1"/>
    <xf numFmtId="167" fontId="26" fillId="8" borderId="27" xfId="3" applyNumberFormat="1" applyFont="1" applyFill="1" applyBorder="1"/>
    <xf numFmtId="164" fontId="3" fillId="0" borderId="40" xfId="1" applyNumberFormat="1" applyFont="1" applyBorder="1"/>
    <xf numFmtId="0" fontId="2" fillId="4" borderId="73" xfId="1" applyNumberFormat="1" applyFont="1" applyFill="1" applyBorder="1" applyAlignment="1">
      <alignment horizontal="center"/>
    </xf>
    <xf numFmtId="38" fontId="2" fillId="8" borderId="8" xfId="1" applyNumberFormat="1" applyFont="1" applyFill="1" applyBorder="1"/>
    <xf numFmtId="164" fontId="3" fillId="0" borderId="74" xfId="1" applyNumberFormat="1" applyFont="1" applyBorder="1"/>
    <xf numFmtId="38" fontId="2" fillId="8" borderId="24" xfId="1" applyNumberFormat="1" applyFont="1" applyFill="1" applyBorder="1"/>
    <xf numFmtId="38" fontId="62" fillId="8" borderId="8" xfId="0" applyNumberFormat="1" applyFont="1" applyFill="1" applyBorder="1"/>
    <xf numFmtId="164" fontId="45" fillId="0" borderId="74" xfId="1" applyNumberFormat="1" applyFont="1" applyBorder="1"/>
    <xf numFmtId="38" fontId="2" fillId="8" borderId="8" xfId="0" applyNumberFormat="1" applyFont="1" applyFill="1" applyBorder="1"/>
    <xf numFmtId="38" fontId="2" fillId="8" borderId="5" xfId="1" applyNumberFormat="1" applyFont="1" applyFill="1" applyBorder="1"/>
    <xf numFmtId="167" fontId="26" fillId="8" borderId="28" xfId="3" applyNumberFormat="1" applyFont="1" applyFill="1" applyBorder="1"/>
    <xf numFmtId="43" fontId="0" fillId="0" borderId="12" xfId="1" applyNumberFormat="1" applyFont="1" applyBorder="1"/>
    <xf numFmtId="9" fontId="63" fillId="24" borderId="38" xfId="0" applyNumberFormat="1" applyFont="1" applyFill="1" applyBorder="1"/>
    <xf numFmtId="9" fontId="64" fillId="24" borderId="44" xfId="0" applyNumberFormat="1" applyFont="1" applyFill="1" applyBorder="1"/>
    <xf numFmtId="9" fontId="64" fillId="24" borderId="75" xfId="0" applyNumberFormat="1" applyFont="1" applyFill="1" applyBorder="1"/>
    <xf numFmtId="9" fontId="64" fillId="24" borderId="45" xfId="0" applyNumberFormat="1" applyFont="1" applyFill="1" applyBorder="1"/>
    <xf numFmtId="9" fontId="4" fillId="24" borderId="38" xfId="0" applyNumberFormat="1" applyFont="1" applyFill="1" applyBorder="1"/>
    <xf numFmtId="9" fontId="41" fillId="24" borderId="44" xfId="0" applyNumberFormat="1" applyFont="1" applyFill="1" applyBorder="1"/>
    <xf numFmtId="9" fontId="41" fillId="24" borderId="45" xfId="0" applyNumberFormat="1" applyFont="1" applyFill="1" applyBorder="1"/>
    <xf numFmtId="0" fontId="65" fillId="17" borderId="1" xfId="0" applyFont="1" applyFill="1" applyBorder="1"/>
    <xf numFmtId="43" fontId="66" fillId="17" borderId="1" xfId="1" applyFont="1" applyFill="1" applyBorder="1"/>
    <xf numFmtId="0" fontId="67" fillId="0" borderId="0" xfId="0" applyFont="1"/>
    <xf numFmtId="0" fontId="65" fillId="17" borderId="9" xfId="0" applyFont="1" applyFill="1" applyBorder="1"/>
    <xf numFmtId="165" fontId="65" fillId="17" borderId="3" xfId="1" applyNumberFormat="1" applyFont="1" applyFill="1" applyBorder="1"/>
    <xf numFmtId="165" fontId="65" fillId="17" borderId="4" xfId="1" applyNumberFormat="1" applyFont="1" applyFill="1" applyBorder="1"/>
    <xf numFmtId="0" fontId="65" fillId="17" borderId="0" xfId="0" applyFont="1" applyFill="1"/>
    <xf numFmtId="0" fontId="25" fillId="0" borderId="0" xfId="0" applyFont="1" applyBorder="1"/>
    <xf numFmtId="0" fontId="2" fillId="0" borderId="0" xfId="0" applyFont="1" applyFill="1" applyBorder="1"/>
    <xf numFmtId="167" fontId="26" fillId="0" borderId="0" xfId="3" applyNumberFormat="1" applyFont="1" applyFill="1" applyBorder="1"/>
    <xf numFmtId="38" fontId="2" fillId="0" borderId="0" xfId="1" applyNumberFormat="1" applyFont="1" applyFill="1" applyBorder="1"/>
    <xf numFmtId="40" fontId="2" fillId="0" borderId="0" xfId="1" applyNumberFormat="1" applyFont="1" applyFill="1" applyBorder="1"/>
    <xf numFmtId="38" fontId="2" fillId="0" borderId="0" xfId="0" applyNumberFormat="1" applyFont="1" applyFill="1" applyBorder="1"/>
    <xf numFmtId="165" fontId="6" fillId="0" borderId="0" xfId="1" applyNumberFormat="1" applyFont="1" applyFill="1" applyBorder="1"/>
    <xf numFmtId="0" fontId="3" fillId="0" borderId="0" xfId="0" applyFont="1" applyFill="1"/>
    <xf numFmtId="0" fontId="0" fillId="0" borderId="38" xfId="0" applyBorder="1"/>
    <xf numFmtId="0" fontId="0" fillId="0" borderId="44" xfId="0" applyBorder="1"/>
    <xf numFmtId="0" fontId="0" fillId="0" borderId="45" xfId="0" applyBorder="1"/>
    <xf numFmtId="164" fontId="3" fillId="16" borderId="36" xfId="1" applyNumberFormat="1" applyFont="1" applyFill="1" applyBorder="1"/>
    <xf numFmtId="0" fontId="2" fillId="10" borderId="46" xfId="0" applyFont="1" applyFill="1" applyBorder="1" applyAlignment="1">
      <alignment horizontal="center"/>
    </xf>
    <xf numFmtId="0" fontId="2" fillId="10" borderId="47" xfId="0" applyFont="1" applyFill="1" applyBorder="1" applyAlignment="1">
      <alignment horizontal="center"/>
    </xf>
    <xf numFmtId="0" fontId="4" fillId="0" borderId="40" xfId="0" applyFont="1" applyBorder="1" applyAlignment="1">
      <alignment horizontal="left" vertical="center"/>
    </xf>
    <xf numFmtId="0" fontId="4" fillId="0" borderId="14" xfId="0" applyFont="1" applyBorder="1" applyAlignment="1">
      <alignment horizontal="left" vertical="center"/>
    </xf>
    <xf numFmtId="0" fontId="4" fillId="0" borderId="41" xfId="0" applyFont="1" applyBorder="1" applyAlignment="1">
      <alignment horizontal="left" vertical="center"/>
    </xf>
    <xf numFmtId="0" fontId="23" fillId="0" borderId="14" xfId="0" applyFont="1" applyBorder="1" applyAlignment="1">
      <alignment horizontal="center" vertical="center"/>
    </xf>
    <xf numFmtId="0" fontId="23" fillId="0" borderId="41" xfId="0" applyFont="1" applyBorder="1" applyAlignment="1">
      <alignment horizontal="center" vertical="center"/>
    </xf>
    <xf numFmtId="0" fontId="2" fillId="4" borderId="42" xfId="1" applyNumberFormat="1" applyFont="1" applyFill="1" applyBorder="1" applyAlignment="1">
      <alignment horizontal="center"/>
    </xf>
    <xf numFmtId="0" fontId="2" fillId="4" borderId="39" xfId="1" applyNumberFormat="1" applyFont="1" applyFill="1" applyBorder="1" applyAlignment="1">
      <alignment horizontal="center"/>
    </xf>
    <xf numFmtId="0" fontId="2" fillId="4" borderId="43" xfId="1" applyNumberFormat="1" applyFont="1" applyFill="1" applyBorder="1" applyAlignment="1">
      <alignment horizontal="center"/>
    </xf>
    <xf numFmtId="0" fontId="2" fillId="6" borderId="42" xfId="1" applyNumberFormat="1" applyFont="1" applyFill="1" applyBorder="1" applyAlignment="1">
      <alignment horizontal="center"/>
    </xf>
    <xf numFmtId="0" fontId="2" fillId="6" borderId="43" xfId="1" applyNumberFormat="1" applyFont="1" applyFill="1" applyBorder="1" applyAlignment="1">
      <alignment horizontal="center"/>
    </xf>
    <xf numFmtId="0" fontId="2" fillId="4" borderId="40" xfId="1" applyNumberFormat="1" applyFont="1" applyFill="1" applyBorder="1" applyAlignment="1">
      <alignment horizontal="center"/>
    </xf>
    <xf numFmtId="0" fontId="2" fillId="4" borderId="14" xfId="1" applyNumberFormat="1" applyFont="1" applyFill="1" applyBorder="1" applyAlignment="1">
      <alignment horizontal="center"/>
    </xf>
    <xf numFmtId="0" fontId="2" fillId="4" borderId="41" xfId="1" applyNumberFormat="1" applyFont="1" applyFill="1" applyBorder="1" applyAlignment="1">
      <alignment horizontal="center"/>
    </xf>
    <xf numFmtId="0" fontId="25" fillId="0" borderId="40" xfId="0" applyFont="1" applyBorder="1" applyAlignment="1">
      <alignment horizontal="left"/>
    </xf>
    <xf numFmtId="0" fontId="25" fillId="0" borderId="14" xfId="0" applyFont="1" applyBorder="1" applyAlignment="1">
      <alignment horizontal="left"/>
    </xf>
    <xf numFmtId="0" fontId="25" fillId="0" borderId="41" xfId="0" applyFont="1" applyBorder="1" applyAlignment="1">
      <alignment horizontal="left"/>
    </xf>
    <xf numFmtId="0" fontId="2" fillId="0" borderId="0" xfId="0" applyFont="1" applyAlignment="1">
      <alignment horizontal="left" vertical="center" wrapText="1"/>
    </xf>
    <xf numFmtId="0" fontId="33" fillId="0" borderId="0" xfId="0" applyFont="1" applyAlignment="1">
      <alignment horizontal="center" vertical="center"/>
    </xf>
    <xf numFmtId="0" fontId="1" fillId="21" borderId="44" xfId="0" applyFont="1" applyFill="1" applyBorder="1" applyAlignment="1">
      <alignment horizontal="center"/>
    </xf>
    <xf numFmtId="0" fontId="1" fillId="21" borderId="45" xfId="0" applyFont="1" applyFill="1" applyBorder="1" applyAlignment="1">
      <alignment horizontal="center"/>
    </xf>
    <xf numFmtId="0" fontId="1" fillId="24" borderId="38" xfId="0" applyFont="1" applyFill="1" applyBorder="1" applyAlignment="1">
      <alignment horizontal="center"/>
    </xf>
    <xf numFmtId="0" fontId="0" fillId="24" borderId="44" xfId="0" applyFill="1" applyBorder="1" applyAlignment="1">
      <alignment horizontal="center"/>
    </xf>
    <xf numFmtId="0" fontId="0" fillId="24" borderId="45" xfId="0" applyFill="1" applyBorder="1" applyAlignment="1">
      <alignment horizontal="center"/>
    </xf>
    <xf numFmtId="0" fontId="1" fillId="22" borderId="38" xfId="0" applyFont="1" applyFill="1" applyBorder="1" applyAlignment="1">
      <alignment horizontal="center"/>
    </xf>
    <xf numFmtId="0" fontId="1" fillId="22" borderId="44" xfId="0" applyFont="1" applyFill="1" applyBorder="1" applyAlignment="1">
      <alignment horizontal="center"/>
    </xf>
    <xf numFmtId="0" fontId="41" fillId="12" borderId="1" xfId="0" applyFont="1" applyFill="1" applyBorder="1" applyAlignment="1">
      <alignment horizontal="center"/>
    </xf>
    <xf numFmtId="0" fontId="41" fillId="12" borderId="40" xfId="0" applyFont="1" applyFill="1" applyBorder="1" applyAlignment="1">
      <alignment horizontal="center"/>
    </xf>
    <xf numFmtId="0" fontId="29" fillId="12" borderId="17" xfId="0" applyFont="1" applyFill="1" applyBorder="1" applyAlignment="1">
      <alignment horizontal="center"/>
    </xf>
    <xf numFmtId="0" fontId="29" fillId="12" borderId="18" xfId="0" applyFont="1" applyFill="1" applyBorder="1" applyAlignment="1">
      <alignment horizontal="center"/>
    </xf>
    <xf numFmtId="49" fontId="30" fillId="12" borderId="10" xfId="0" applyNumberFormat="1" applyFont="1" applyFill="1" applyBorder="1" applyAlignment="1">
      <alignment horizontal="center" vertical="center" textRotation="90"/>
    </xf>
    <xf numFmtId="49" fontId="30" fillId="12" borderId="11" xfId="0" applyNumberFormat="1" applyFont="1" applyFill="1" applyBorder="1" applyAlignment="1">
      <alignment horizontal="center" vertical="center" textRotation="90"/>
    </xf>
    <xf numFmtId="0" fontId="2" fillId="4" borderId="1" xfId="1" applyNumberFormat="1" applyFont="1" applyFill="1" applyBorder="1" applyAlignment="1">
      <alignment horizontal="center"/>
    </xf>
    <xf numFmtId="0" fontId="2" fillId="4" borderId="38" xfId="1" applyNumberFormat="1" applyFont="1" applyFill="1" applyBorder="1" applyAlignment="1">
      <alignment horizontal="center" wrapText="1"/>
    </xf>
    <xf numFmtId="0" fontId="2" fillId="4" borderId="44" xfId="1" applyNumberFormat="1" applyFont="1" applyFill="1" applyBorder="1" applyAlignment="1">
      <alignment horizontal="center" wrapText="1"/>
    </xf>
    <xf numFmtId="0" fontId="2" fillId="4" borderId="45" xfId="1" applyNumberFormat="1" applyFont="1" applyFill="1" applyBorder="1" applyAlignment="1">
      <alignment horizontal="center" wrapText="1"/>
    </xf>
    <xf numFmtId="0" fontId="12" fillId="22" borderId="38" xfId="0" applyFont="1" applyFill="1" applyBorder="1" applyAlignment="1">
      <alignment horizontal="center" vertical="center"/>
    </xf>
    <xf numFmtId="0" fontId="12" fillId="22" borderId="44" xfId="0" applyFont="1" applyFill="1" applyBorder="1" applyAlignment="1">
      <alignment horizontal="center" vertical="center"/>
    </xf>
    <xf numFmtId="0" fontId="12" fillId="22" borderId="45" xfId="0" applyFont="1" applyFill="1" applyBorder="1" applyAlignment="1">
      <alignment horizontal="center" vertical="center"/>
    </xf>
    <xf numFmtId="0" fontId="12" fillId="21" borderId="44" xfId="0" applyFont="1" applyFill="1" applyBorder="1" applyAlignment="1">
      <alignment horizontal="center" vertical="center"/>
    </xf>
    <xf numFmtId="0" fontId="20" fillId="0" borderId="38" xfId="0" applyFont="1" applyBorder="1" applyAlignment="1">
      <alignment horizontal="left"/>
    </xf>
    <xf numFmtId="0" fontId="20" fillId="0" borderId="44" xfId="0" applyFont="1" applyBorder="1" applyAlignment="1">
      <alignment horizontal="left"/>
    </xf>
    <xf numFmtId="0" fontId="20" fillId="0" borderId="45" xfId="0" applyFont="1" applyBorder="1" applyAlignment="1">
      <alignment horizontal="left"/>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top" wrapText="1"/>
    </xf>
  </cellXfs>
  <cellStyles count="6">
    <cellStyle name="Comma" xfId="1" builtinId="3"/>
    <cellStyle name="Currency" xfId="2" builtinId="4"/>
    <cellStyle name="Heading 1" xfId="5" builtinId="16"/>
    <cellStyle name="Normal" xfId="0" builtinId="0"/>
    <cellStyle name="Percent" xfId="3" builtinId="5"/>
    <cellStyle name="Title" xfId="4" builtinId="15"/>
  </cellStyles>
  <dxfs count="3">
    <dxf>
      <alignment wrapText="1"/>
    </dxf>
    <dxf>
      <alignment wrapText="1"/>
    </dxf>
    <dxf>
      <font>
        <b/>
        <family val="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00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1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pivotCacheDefinition" Target="pivotCache/pivotCacheDefinition10.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pivotCacheDefinition" Target="pivotCache/pivotCacheDefinition9.xml"/><Relationship Id="rId37" Type="http://schemas.openxmlformats.org/officeDocument/2006/relationships/pivotCacheDefinition" Target="pivotCache/pivotCacheDefinition1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36" Type="http://schemas.openxmlformats.org/officeDocument/2006/relationships/pivotCacheDefinition" Target="pivotCache/pivotCacheDefinition1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openxmlformats.org/officeDocument/2006/relationships/pivotCacheDefinition" Target="pivotCache/pivotCacheDefinition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[Kim_Omega_Business_Modelling.xlsx]Financial Performance -Start!PivotTable12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Financial Performance by Components and Year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barChart>
        <c:barDir val="col"/>
        <c:grouping val="clustered"/>
        <c:varyColors val="0"/>
        <c:ser>
          <c:idx val="0"/>
          <c:order val="0"/>
          <c:tx>
            <c:strRef>
              <c:f>'Financial Performance -Start'!$C$11:$C$12</c:f>
              <c:strCache>
                <c:ptCount val="1"/>
                <c:pt idx="0">
                  <c:v>2012</c:v>
                </c:pt>
              </c:strCache>
            </c:strRef>
          </c:tx>
          <c:spPr>
            <a:solidFill>
              <a:schemeClr val="accent1"/>
            </a:solidFill>
            <a:ln>
              <a:noFill/>
            </a:ln>
            <a:effectLst/>
          </c:spPr>
          <c:invertIfNegative val="0"/>
          <c:cat>
            <c:strRef>
              <c:f>'Financial Performance -Start'!$B$13:$B$23</c:f>
              <c:strCache>
                <c:ptCount val="10"/>
                <c:pt idx="0">
                  <c:v>Revenue</c:v>
                </c:pt>
                <c:pt idx="1">
                  <c:v>COGS</c:v>
                </c:pt>
                <c:pt idx="2">
                  <c:v>Labour Cost</c:v>
                </c:pt>
                <c:pt idx="3">
                  <c:v>FAOC</c:v>
                </c:pt>
                <c:pt idx="4">
                  <c:v>APC</c:v>
                </c:pt>
                <c:pt idx="5">
                  <c:v>VUAOC</c:v>
                </c:pt>
                <c:pt idx="6">
                  <c:v>Profit</c:v>
                </c:pt>
                <c:pt idx="7">
                  <c:v>Gross Profit</c:v>
                </c:pt>
                <c:pt idx="8">
                  <c:v>Operating Cost</c:v>
                </c:pt>
                <c:pt idx="9">
                  <c:v>Total Cost</c:v>
                </c:pt>
              </c:strCache>
            </c:strRef>
          </c:cat>
          <c:val>
            <c:numRef>
              <c:f>'Financial Performance -Start'!$C$13:$C$23</c:f>
              <c:numCache>
                <c:formatCode>#,##0</c:formatCode>
                <c:ptCount val="10"/>
                <c:pt idx="0">
                  <c:v>25175400</c:v>
                </c:pt>
                <c:pt idx="1">
                  <c:v>19204775</c:v>
                </c:pt>
                <c:pt idx="2">
                  <c:v>2164000</c:v>
                </c:pt>
                <c:pt idx="3">
                  <c:v>830000</c:v>
                </c:pt>
                <c:pt idx="4">
                  <c:v>285000</c:v>
                </c:pt>
                <c:pt idx="5">
                  <c:v>1684021</c:v>
                </c:pt>
                <c:pt idx="6">
                  <c:v>1007604</c:v>
                </c:pt>
                <c:pt idx="7">
                  <c:v>5970625</c:v>
                </c:pt>
                <c:pt idx="8">
                  <c:v>4963021</c:v>
                </c:pt>
                <c:pt idx="9">
                  <c:v>24167796</c:v>
                </c:pt>
              </c:numCache>
            </c:numRef>
          </c:val>
          <c:extLst>
            <c:ext xmlns:c16="http://schemas.microsoft.com/office/drawing/2014/chart" uri="{C3380CC4-5D6E-409C-BE32-E72D297353CC}">
              <c16:uniqueId val="{00000000-BB90-4CD8-A47F-DD566A9FBF54}"/>
            </c:ext>
          </c:extLst>
        </c:ser>
        <c:ser>
          <c:idx val="1"/>
          <c:order val="1"/>
          <c:tx>
            <c:strRef>
              <c:f>'Financial Performance -Start'!$D$11:$D$12</c:f>
              <c:strCache>
                <c:ptCount val="1"/>
                <c:pt idx="0">
                  <c:v>2013</c:v>
                </c:pt>
              </c:strCache>
            </c:strRef>
          </c:tx>
          <c:spPr>
            <a:solidFill>
              <a:schemeClr val="accent2"/>
            </a:solidFill>
            <a:ln>
              <a:noFill/>
            </a:ln>
            <a:effectLst/>
          </c:spPr>
          <c:invertIfNegative val="0"/>
          <c:cat>
            <c:strRef>
              <c:f>'Financial Performance -Start'!$B$13:$B$23</c:f>
              <c:strCache>
                <c:ptCount val="10"/>
                <c:pt idx="0">
                  <c:v>Revenue</c:v>
                </c:pt>
                <c:pt idx="1">
                  <c:v>COGS</c:v>
                </c:pt>
                <c:pt idx="2">
                  <c:v>Labour Cost</c:v>
                </c:pt>
                <c:pt idx="3">
                  <c:v>FAOC</c:v>
                </c:pt>
                <c:pt idx="4">
                  <c:v>APC</c:v>
                </c:pt>
                <c:pt idx="5">
                  <c:v>VUAOC</c:v>
                </c:pt>
                <c:pt idx="6">
                  <c:v>Profit</c:v>
                </c:pt>
                <c:pt idx="7">
                  <c:v>Gross Profit</c:v>
                </c:pt>
                <c:pt idx="8">
                  <c:v>Operating Cost</c:v>
                </c:pt>
                <c:pt idx="9">
                  <c:v>Total Cost</c:v>
                </c:pt>
              </c:strCache>
            </c:strRef>
          </c:cat>
          <c:val>
            <c:numRef>
              <c:f>'Financial Performance -Start'!$D$13:$D$23</c:f>
              <c:numCache>
                <c:formatCode>#,##0</c:formatCode>
                <c:ptCount val="10"/>
                <c:pt idx="0">
                  <c:v>25672640</c:v>
                </c:pt>
                <c:pt idx="1">
                  <c:v>19609195</c:v>
                </c:pt>
                <c:pt idx="2">
                  <c:v>2238000</c:v>
                </c:pt>
                <c:pt idx="3">
                  <c:v>830000</c:v>
                </c:pt>
                <c:pt idx="4">
                  <c:v>290000</c:v>
                </c:pt>
                <c:pt idx="5">
                  <c:v>1720275</c:v>
                </c:pt>
                <c:pt idx="6">
                  <c:v>985170</c:v>
                </c:pt>
                <c:pt idx="7">
                  <c:v>6063445</c:v>
                </c:pt>
                <c:pt idx="8">
                  <c:v>5078275</c:v>
                </c:pt>
                <c:pt idx="9">
                  <c:v>24687470</c:v>
                </c:pt>
              </c:numCache>
            </c:numRef>
          </c:val>
          <c:extLst>
            <c:ext xmlns:c16="http://schemas.microsoft.com/office/drawing/2014/chart" uri="{C3380CC4-5D6E-409C-BE32-E72D297353CC}">
              <c16:uniqueId val="{00000001-BB90-4CD8-A47F-DD566A9FBF54}"/>
            </c:ext>
          </c:extLst>
        </c:ser>
        <c:ser>
          <c:idx val="2"/>
          <c:order val="2"/>
          <c:tx>
            <c:strRef>
              <c:f>'Financial Performance -Start'!$E$11:$E$12</c:f>
              <c:strCache>
                <c:ptCount val="1"/>
                <c:pt idx="0">
                  <c:v>2014</c:v>
                </c:pt>
              </c:strCache>
            </c:strRef>
          </c:tx>
          <c:spPr>
            <a:solidFill>
              <a:schemeClr val="accent3"/>
            </a:solidFill>
            <a:ln>
              <a:noFill/>
            </a:ln>
            <a:effectLst/>
          </c:spPr>
          <c:invertIfNegative val="0"/>
          <c:cat>
            <c:strRef>
              <c:f>'Financial Performance -Start'!$B$13:$B$23</c:f>
              <c:strCache>
                <c:ptCount val="10"/>
                <c:pt idx="0">
                  <c:v>Revenue</c:v>
                </c:pt>
                <c:pt idx="1">
                  <c:v>COGS</c:v>
                </c:pt>
                <c:pt idx="2">
                  <c:v>Labour Cost</c:v>
                </c:pt>
                <c:pt idx="3">
                  <c:v>FAOC</c:v>
                </c:pt>
                <c:pt idx="4">
                  <c:v>APC</c:v>
                </c:pt>
                <c:pt idx="5">
                  <c:v>VUAOC</c:v>
                </c:pt>
                <c:pt idx="6">
                  <c:v>Profit</c:v>
                </c:pt>
                <c:pt idx="7">
                  <c:v>Gross Profit</c:v>
                </c:pt>
                <c:pt idx="8">
                  <c:v>Operating Cost</c:v>
                </c:pt>
                <c:pt idx="9">
                  <c:v>Total Cost</c:v>
                </c:pt>
              </c:strCache>
            </c:strRef>
          </c:cat>
          <c:val>
            <c:numRef>
              <c:f>'Financial Performance -Start'!$E$13:$E$23</c:f>
              <c:numCache>
                <c:formatCode>#,##0</c:formatCode>
                <c:ptCount val="10"/>
                <c:pt idx="0">
                  <c:v>28918270</c:v>
                </c:pt>
                <c:pt idx="1">
                  <c:v>22074155</c:v>
                </c:pt>
                <c:pt idx="2">
                  <c:v>2336000</c:v>
                </c:pt>
                <c:pt idx="3">
                  <c:v>830000</c:v>
                </c:pt>
                <c:pt idx="4">
                  <c:v>302000</c:v>
                </c:pt>
                <c:pt idx="5">
                  <c:v>2083267</c:v>
                </c:pt>
                <c:pt idx="6">
                  <c:v>1292848</c:v>
                </c:pt>
                <c:pt idx="7">
                  <c:v>6844115</c:v>
                </c:pt>
                <c:pt idx="8">
                  <c:v>5551267</c:v>
                </c:pt>
                <c:pt idx="9">
                  <c:v>27625422</c:v>
                </c:pt>
              </c:numCache>
            </c:numRef>
          </c:val>
          <c:extLst>
            <c:ext xmlns:c16="http://schemas.microsoft.com/office/drawing/2014/chart" uri="{C3380CC4-5D6E-409C-BE32-E72D297353CC}">
              <c16:uniqueId val="{00000002-BB90-4CD8-A47F-DD566A9FBF54}"/>
            </c:ext>
          </c:extLst>
        </c:ser>
        <c:dLbls>
          <c:showLegendKey val="0"/>
          <c:showVal val="0"/>
          <c:showCatName val="0"/>
          <c:showSerName val="0"/>
          <c:showPercent val="0"/>
          <c:showBubbleSize val="0"/>
        </c:dLbls>
        <c:gapWidth val="219"/>
        <c:overlap val="-27"/>
        <c:axId val="412631928"/>
        <c:axId val="412628320"/>
      </c:barChart>
      <c:catAx>
        <c:axId val="412631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28320"/>
        <c:crosses val="autoZero"/>
        <c:auto val="1"/>
        <c:lblAlgn val="ctr"/>
        <c:lblOffset val="100"/>
        <c:noMultiLvlLbl val="0"/>
      </c:catAx>
      <c:valAx>
        <c:axId val="412628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31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[Kim_Omega_Business_Modelling.xlsx]Average Inventories &amp; Cost!PivotTable1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Inventory Unit by Location in 2012 - 2014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'Average Inventories &amp; Cost'!$R$5:$R$6</c:f>
              <c:strCache>
                <c:ptCount val="1"/>
                <c:pt idx="0">
                  <c:v>Brisbane</c:v>
                </c:pt>
              </c:strCache>
            </c:strRef>
          </c:tx>
          <c:spPr>
            <a:solidFill>
              <a:schemeClr val="accent1"/>
            </a:solidFill>
            <a:ln>
              <a:noFill/>
            </a:ln>
            <a:effectLst/>
          </c:spPr>
          <c:invertIfNegative val="0"/>
          <c:cat>
            <c:strRef>
              <c:f>'Average Inventories &amp; Cost'!$Q$7:$Q$10</c:f>
              <c:strCache>
                <c:ptCount val="3"/>
                <c:pt idx="0">
                  <c:v>2012</c:v>
                </c:pt>
                <c:pt idx="1">
                  <c:v>2013</c:v>
                </c:pt>
                <c:pt idx="2">
                  <c:v>2014</c:v>
                </c:pt>
              </c:strCache>
            </c:strRef>
          </c:cat>
          <c:val>
            <c:numRef>
              <c:f>'Average Inventories &amp; Cost'!$R$7:$R$10</c:f>
              <c:numCache>
                <c:formatCode>General</c:formatCode>
                <c:ptCount val="3"/>
                <c:pt idx="0">
                  <c:v>160</c:v>
                </c:pt>
                <c:pt idx="1">
                  <c:v>154</c:v>
                </c:pt>
                <c:pt idx="2">
                  <c:v>193</c:v>
                </c:pt>
              </c:numCache>
            </c:numRef>
          </c:val>
          <c:extLst>
            <c:ext xmlns:c16="http://schemas.microsoft.com/office/drawing/2014/chart" uri="{C3380CC4-5D6E-409C-BE32-E72D297353CC}">
              <c16:uniqueId val="{00000000-70D9-47F3-9E24-4EEA2F5AD9E2}"/>
            </c:ext>
          </c:extLst>
        </c:ser>
        <c:ser>
          <c:idx val="1"/>
          <c:order val="1"/>
          <c:tx>
            <c:strRef>
              <c:f>'Average Inventories &amp; Cost'!$S$5:$S$6</c:f>
              <c:strCache>
                <c:ptCount val="1"/>
                <c:pt idx="0">
                  <c:v>Gold Coast</c:v>
                </c:pt>
              </c:strCache>
            </c:strRef>
          </c:tx>
          <c:spPr>
            <a:solidFill>
              <a:schemeClr val="accent2"/>
            </a:solidFill>
            <a:ln>
              <a:noFill/>
            </a:ln>
            <a:effectLst/>
          </c:spPr>
          <c:invertIfNegative val="0"/>
          <c:cat>
            <c:strRef>
              <c:f>'Average Inventories &amp; Cost'!$Q$7:$Q$10</c:f>
              <c:strCache>
                <c:ptCount val="3"/>
                <c:pt idx="0">
                  <c:v>2012</c:v>
                </c:pt>
                <c:pt idx="1">
                  <c:v>2013</c:v>
                </c:pt>
                <c:pt idx="2">
                  <c:v>2014</c:v>
                </c:pt>
              </c:strCache>
            </c:strRef>
          </c:cat>
          <c:val>
            <c:numRef>
              <c:f>'Average Inventories &amp; Cost'!$S$7:$S$10</c:f>
              <c:numCache>
                <c:formatCode>General</c:formatCode>
                <c:ptCount val="3"/>
                <c:pt idx="0">
                  <c:v>137</c:v>
                </c:pt>
                <c:pt idx="1">
                  <c:v>139</c:v>
                </c:pt>
                <c:pt idx="2">
                  <c:v>138</c:v>
                </c:pt>
              </c:numCache>
            </c:numRef>
          </c:val>
          <c:extLst>
            <c:ext xmlns:c16="http://schemas.microsoft.com/office/drawing/2014/chart" uri="{C3380CC4-5D6E-409C-BE32-E72D297353CC}">
              <c16:uniqueId val="{00000001-70D9-47F3-9E24-4EEA2F5AD9E2}"/>
            </c:ext>
          </c:extLst>
        </c:ser>
        <c:ser>
          <c:idx val="2"/>
          <c:order val="2"/>
          <c:tx>
            <c:strRef>
              <c:f>'Average Inventories &amp; Cost'!$T$5:$T$6</c:f>
              <c:strCache>
                <c:ptCount val="1"/>
                <c:pt idx="0">
                  <c:v>Townsville</c:v>
                </c:pt>
              </c:strCache>
            </c:strRef>
          </c:tx>
          <c:spPr>
            <a:solidFill>
              <a:schemeClr val="accent3"/>
            </a:solidFill>
            <a:ln>
              <a:noFill/>
            </a:ln>
            <a:effectLst/>
          </c:spPr>
          <c:invertIfNegative val="0"/>
          <c:cat>
            <c:strRef>
              <c:f>'Average Inventories &amp; Cost'!$Q$7:$Q$10</c:f>
              <c:strCache>
                <c:ptCount val="3"/>
                <c:pt idx="0">
                  <c:v>2012</c:v>
                </c:pt>
                <c:pt idx="1">
                  <c:v>2013</c:v>
                </c:pt>
                <c:pt idx="2">
                  <c:v>2014</c:v>
                </c:pt>
              </c:strCache>
            </c:strRef>
          </c:cat>
          <c:val>
            <c:numRef>
              <c:f>'Average Inventories &amp; Cost'!$T$7:$T$10</c:f>
              <c:numCache>
                <c:formatCode>General</c:formatCode>
                <c:ptCount val="3"/>
                <c:pt idx="0">
                  <c:v>98</c:v>
                </c:pt>
                <c:pt idx="1">
                  <c:v>95</c:v>
                </c:pt>
                <c:pt idx="2">
                  <c:v>144</c:v>
                </c:pt>
              </c:numCache>
            </c:numRef>
          </c:val>
          <c:extLst>
            <c:ext xmlns:c16="http://schemas.microsoft.com/office/drawing/2014/chart" uri="{C3380CC4-5D6E-409C-BE32-E72D297353CC}">
              <c16:uniqueId val="{00000002-70D9-47F3-9E24-4EEA2F5AD9E2}"/>
            </c:ext>
          </c:extLst>
        </c:ser>
        <c:ser>
          <c:idx val="3"/>
          <c:order val="3"/>
          <c:tx>
            <c:strRef>
              <c:f>'Average Inventories &amp; Cost'!$U$5:$U$6</c:f>
              <c:strCache>
                <c:ptCount val="1"/>
                <c:pt idx="0">
                  <c:v>Cairns</c:v>
                </c:pt>
              </c:strCache>
            </c:strRef>
          </c:tx>
          <c:spPr>
            <a:solidFill>
              <a:schemeClr val="accent4"/>
            </a:solidFill>
            <a:ln>
              <a:noFill/>
            </a:ln>
            <a:effectLst/>
          </c:spPr>
          <c:invertIfNegative val="0"/>
          <c:cat>
            <c:strRef>
              <c:f>'Average Inventories &amp; Cost'!$Q$7:$Q$10</c:f>
              <c:strCache>
                <c:ptCount val="3"/>
                <c:pt idx="0">
                  <c:v>2012</c:v>
                </c:pt>
                <c:pt idx="1">
                  <c:v>2013</c:v>
                </c:pt>
                <c:pt idx="2">
                  <c:v>2014</c:v>
                </c:pt>
              </c:strCache>
            </c:strRef>
          </c:cat>
          <c:val>
            <c:numRef>
              <c:f>'Average Inventories &amp; Cost'!$U$7:$U$10</c:f>
              <c:numCache>
                <c:formatCode>General</c:formatCode>
                <c:ptCount val="3"/>
                <c:pt idx="0">
                  <c:v>72</c:v>
                </c:pt>
                <c:pt idx="1">
                  <c:v>95</c:v>
                </c:pt>
                <c:pt idx="2">
                  <c:v>109</c:v>
                </c:pt>
              </c:numCache>
            </c:numRef>
          </c:val>
          <c:extLst>
            <c:ext xmlns:c16="http://schemas.microsoft.com/office/drawing/2014/chart" uri="{C3380CC4-5D6E-409C-BE32-E72D297353CC}">
              <c16:uniqueId val="{00000003-70D9-47F3-9E24-4EEA2F5AD9E2}"/>
            </c:ext>
          </c:extLst>
        </c:ser>
        <c:dLbls>
          <c:showLegendKey val="0"/>
          <c:showVal val="0"/>
          <c:showCatName val="0"/>
          <c:showSerName val="0"/>
          <c:showPercent val="0"/>
          <c:showBubbleSize val="0"/>
        </c:dLbls>
        <c:gapWidth val="150"/>
        <c:axId val="107983720"/>
        <c:axId val="107984048"/>
      </c:barChart>
      <c:catAx>
        <c:axId val="10798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84048"/>
        <c:crosses val="autoZero"/>
        <c:auto val="1"/>
        <c:lblAlgn val="ctr"/>
        <c:lblOffset val="100"/>
        <c:noMultiLvlLbl val="0"/>
      </c:catAx>
      <c:valAx>
        <c:axId val="107984048"/>
        <c:scaling>
          <c:orientation val="minMax"/>
          <c:max val="2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8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[Kim_Omega_Business_Modelling.xlsx]Average Inventories &amp; Cost!PivotTable3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Inventory Values by Location in 2012 - 2014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'Average Inventories &amp; Cost'!$R$18:$R$19</c:f>
              <c:strCache>
                <c:ptCount val="1"/>
                <c:pt idx="0">
                  <c:v>Brisbane</c:v>
                </c:pt>
              </c:strCache>
            </c:strRef>
          </c:tx>
          <c:spPr>
            <a:solidFill>
              <a:schemeClr val="accent1"/>
            </a:solidFill>
            <a:ln>
              <a:noFill/>
            </a:ln>
            <a:effectLst/>
          </c:spPr>
          <c:invertIfNegative val="0"/>
          <c:cat>
            <c:strRef>
              <c:f>'Average Inventories &amp; Cost'!$Q$20:$Q$23</c:f>
              <c:strCache>
                <c:ptCount val="3"/>
                <c:pt idx="0">
                  <c:v>2012</c:v>
                </c:pt>
                <c:pt idx="1">
                  <c:v>2013</c:v>
                </c:pt>
                <c:pt idx="2">
                  <c:v>2014</c:v>
                </c:pt>
              </c:strCache>
            </c:strRef>
          </c:cat>
          <c:val>
            <c:numRef>
              <c:f>'Average Inventories &amp; Cost'!$R$20:$R$23</c:f>
              <c:numCache>
                <c:formatCode>#,##0.00</c:formatCode>
                <c:ptCount val="3"/>
                <c:pt idx="0">
                  <c:v>76955</c:v>
                </c:pt>
                <c:pt idx="1">
                  <c:v>75480</c:v>
                </c:pt>
                <c:pt idx="2">
                  <c:v>95280</c:v>
                </c:pt>
              </c:numCache>
            </c:numRef>
          </c:val>
          <c:extLst>
            <c:ext xmlns:c16="http://schemas.microsoft.com/office/drawing/2014/chart" uri="{C3380CC4-5D6E-409C-BE32-E72D297353CC}">
              <c16:uniqueId val="{00000000-96F3-4A0B-B0CB-EC137F544AEF}"/>
            </c:ext>
          </c:extLst>
        </c:ser>
        <c:ser>
          <c:idx val="1"/>
          <c:order val="1"/>
          <c:tx>
            <c:strRef>
              <c:f>'Average Inventories &amp; Cost'!$S$18:$S$19</c:f>
              <c:strCache>
                <c:ptCount val="1"/>
                <c:pt idx="0">
                  <c:v>Gold Coast</c:v>
                </c:pt>
              </c:strCache>
            </c:strRef>
          </c:tx>
          <c:spPr>
            <a:solidFill>
              <a:schemeClr val="accent2"/>
            </a:solidFill>
            <a:ln>
              <a:noFill/>
            </a:ln>
            <a:effectLst/>
          </c:spPr>
          <c:invertIfNegative val="0"/>
          <c:cat>
            <c:strRef>
              <c:f>'Average Inventories &amp; Cost'!$Q$20:$Q$23</c:f>
              <c:strCache>
                <c:ptCount val="3"/>
                <c:pt idx="0">
                  <c:v>2012</c:v>
                </c:pt>
                <c:pt idx="1">
                  <c:v>2013</c:v>
                </c:pt>
                <c:pt idx="2">
                  <c:v>2014</c:v>
                </c:pt>
              </c:strCache>
            </c:strRef>
          </c:cat>
          <c:val>
            <c:numRef>
              <c:f>'Average Inventories &amp; Cost'!$S$20:$S$23</c:f>
              <c:numCache>
                <c:formatCode>#,##0.00</c:formatCode>
                <c:ptCount val="3"/>
                <c:pt idx="0">
                  <c:v>69035</c:v>
                </c:pt>
                <c:pt idx="1">
                  <c:v>70015</c:v>
                </c:pt>
                <c:pt idx="2">
                  <c:v>69260</c:v>
                </c:pt>
              </c:numCache>
            </c:numRef>
          </c:val>
          <c:extLst>
            <c:ext xmlns:c16="http://schemas.microsoft.com/office/drawing/2014/chart" uri="{C3380CC4-5D6E-409C-BE32-E72D297353CC}">
              <c16:uniqueId val="{00000001-96F3-4A0B-B0CB-EC137F544AEF}"/>
            </c:ext>
          </c:extLst>
        </c:ser>
        <c:ser>
          <c:idx val="2"/>
          <c:order val="2"/>
          <c:tx>
            <c:strRef>
              <c:f>'Average Inventories &amp; Cost'!$T$18:$T$19</c:f>
              <c:strCache>
                <c:ptCount val="1"/>
                <c:pt idx="0">
                  <c:v>Townsville</c:v>
                </c:pt>
              </c:strCache>
            </c:strRef>
          </c:tx>
          <c:spPr>
            <a:solidFill>
              <a:schemeClr val="accent3"/>
            </a:solidFill>
            <a:ln>
              <a:noFill/>
            </a:ln>
            <a:effectLst/>
          </c:spPr>
          <c:invertIfNegative val="0"/>
          <c:cat>
            <c:strRef>
              <c:f>'Average Inventories &amp; Cost'!$Q$20:$Q$23</c:f>
              <c:strCache>
                <c:ptCount val="3"/>
                <c:pt idx="0">
                  <c:v>2012</c:v>
                </c:pt>
                <c:pt idx="1">
                  <c:v>2013</c:v>
                </c:pt>
                <c:pt idx="2">
                  <c:v>2014</c:v>
                </c:pt>
              </c:strCache>
            </c:strRef>
          </c:cat>
          <c:val>
            <c:numRef>
              <c:f>'Average Inventories &amp; Cost'!$T$20:$T$23</c:f>
              <c:numCache>
                <c:formatCode>#,##0.00</c:formatCode>
                <c:ptCount val="3"/>
                <c:pt idx="0">
                  <c:v>49090</c:v>
                </c:pt>
                <c:pt idx="1">
                  <c:v>46655</c:v>
                </c:pt>
                <c:pt idx="2">
                  <c:v>68755</c:v>
                </c:pt>
              </c:numCache>
            </c:numRef>
          </c:val>
          <c:extLst>
            <c:ext xmlns:c16="http://schemas.microsoft.com/office/drawing/2014/chart" uri="{C3380CC4-5D6E-409C-BE32-E72D297353CC}">
              <c16:uniqueId val="{00000002-96F3-4A0B-B0CB-EC137F544AEF}"/>
            </c:ext>
          </c:extLst>
        </c:ser>
        <c:ser>
          <c:idx val="3"/>
          <c:order val="3"/>
          <c:tx>
            <c:strRef>
              <c:f>'Average Inventories &amp; Cost'!$U$18:$U$19</c:f>
              <c:strCache>
                <c:ptCount val="1"/>
                <c:pt idx="0">
                  <c:v>Cairns</c:v>
                </c:pt>
              </c:strCache>
            </c:strRef>
          </c:tx>
          <c:spPr>
            <a:solidFill>
              <a:schemeClr val="accent4"/>
            </a:solidFill>
            <a:ln>
              <a:noFill/>
            </a:ln>
            <a:effectLst/>
          </c:spPr>
          <c:invertIfNegative val="0"/>
          <c:cat>
            <c:strRef>
              <c:f>'Average Inventories &amp; Cost'!$Q$20:$Q$23</c:f>
              <c:strCache>
                <c:ptCount val="3"/>
                <c:pt idx="0">
                  <c:v>2012</c:v>
                </c:pt>
                <c:pt idx="1">
                  <c:v>2013</c:v>
                </c:pt>
                <c:pt idx="2">
                  <c:v>2014</c:v>
                </c:pt>
              </c:strCache>
            </c:strRef>
          </c:cat>
          <c:val>
            <c:numRef>
              <c:f>'Average Inventories &amp; Cost'!$U$20:$U$23</c:f>
              <c:numCache>
                <c:formatCode>#,##0.00</c:formatCode>
                <c:ptCount val="3"/>
                <c:pt idx="0">
                  <c:v>36695</c:v>
                </c:pt>
                <c:pt idx="1">
                  <c:v>45375</c:v>
                </c:pt>
                <c:pt idx="2">
                  <c:v>52395</c:v>
                </c:pt>
              </c:numCache>
            </c:numRef>
          </c:val>
          <c:extLst>
            <c:ext xmlns:c16="http://schemas.microsoft.com/office/drawing/2014/chart" uri="{C3380CC4-5D6E-409C-BE32-E72D297353CC}">
              <c16:uniqueId val="{00000003-96F3-4A0B-B0CB-EC137F544AEF}"/>
            </c:ext>
          </c:extLst>
        </c:ser>
        <c:dLbls>
          <c:showLegendKey val="0"/>
          <c:showVal val="0"/>
          <c:showCatName val="0"/>
          <c:showSerName val="0"/>
          <c:showPercent val="0"/>
          <c:showBubbleSize val="0"/>
        </c:dLbls>
        <c:gapWidth val="150"/>
        <c:axId val="398513816"/>
        <c:axId val="398514144"/>
      </c:barChart>
      <c:catAx>
        <c:axId val="398513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514144"/>
        <c:crosses val="autoZero"/>
        <c:auto val="1"/>
        <c:lblAlgn val="ctr"/>
        <c:lblOffset val="100"/>
        <c:noMultiLvlLbl val="0"/>
      </c:catAx>
      <c:valAx>
        <c:axId val="398514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513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Cost per Item by Location in 2012 - 2014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'Average Inventories &amp; Cost'!$R$29</c:f>
              <c:strCache>
                <c:ptCount val="1"/>
                <c:pt idx="0">
                  <c:v>Brisbane</c:v>
                </c:pt>
              </c:strCache>
            </c:strRef>
          </c:tx>
          <c:spPr>
            <a:solidFill>
              <a:schemeClr val="accent2"/>
            </a:solidFill>
            <a:ln>
              <a:noFill/>
            </a:ln>
            <a:effectLst/>
          </c:spPr>
          <c:invertIfNegative val="0"/>
          <c:cat>
            <c:numRef>
              <c:f>'Average Inventories &amp; Cost'!$Q$30:$Q$32</c:f>
              <c:numCache>
                <c:formatCode>General</c:formatCode>
                <c:ptCount val="3"/>
                <c:pt idx="0">
                  <c:v>2012</c:v>
                </c:pt>
                <c:pt idx="1">
                  <c:v>2013</c:v>
                </c:pt>
                <c:pt idx="2">
                  <c:v>2014</c:v>
                </c:pt>
              </c:numCache>
            </c:numRef>
          </c:cat>
          <c:val>
            <c:numRef>
              <c:f>'Average Inventories &amp; Cost'!$R$30:$R$32</c:f>
              <c:numCache>
                <c:formatCode>_(* #,##0.00_);_(* \(#,##0.00\);_(* "-"??_);_(@_)</c:formatCode>
                <c:ptCount val="3"/>
                <c:pt idx="0">
                  <c:v>480.96875</c:v>
                </c:pt>
                <c:pt idx="1">
                  <c:v>490.12987012987014</c:v>
                </c:pt>
                <c:pt idx="2">
                  <c:v>493.67875647668393</c:v>
                </c:pt>
              </c:numCache>
            </c:numRef>
          </c:val>
          <c:extLst>
            <c:ext xmlns:c16="http://schemas.microsoft.com/office/drawing/2014/chart" uri="{C3380CC4-5D6E-409C-BE32-E72D297353CC}">
              <c16:uniqueId val="{00000001-1B22-48CD-8F22-0DAF644DC000}"/>
            </c:ext>
          </c:extLst>
        </c:ser>
        <c:ser>
          <c:idx val="2"/>
          <c:order val="2"/>
          <c:tx>
            <c:strRef>
              <c:f>'Average Inventories &amp; Cost'!$S$29</c:f>
              <c:strCache>
                <c:ptCount val="1"/>
                <c:pt idx="0">
                  <c:v>Gold Coast</c:v>
                </c:pt>
              </c:strCache>
            </c:strRef>
          </c:tx>
          <c:spPr>
            <a:solidFill>
              <a:schemeClr val="accent3"/>
            </a:solidFill>
            <a:ln>
              <a:noFill/>
            </a:ln>
            <a:effectLst/>
          </c:spPr>
          <c:invertIfNegative val="0"/>
          <c:cat>
            <c:numRef>
              <c:f>'Average Inventories &amp; Cost'!$Q$30:$Q$32</c:f>
              <c:numCache>
                <c:formatCode>General</c:formatCode>
                <c:ptCount val="3"/>
                <c:pt idx="0">
                  <c:v>2012</c:v>
                </c:pt>
                <c:pt idx="1">
                  <c:v>2013</c:v>
                </c:pt>
                <c:pt idx="2">
                  <c:v>2014</c:v>
                </c:pt>
              </c:numCache>
            </c:numRef>
          </c:cat>
          <c:val>
            <c:numRef>
              <c:f>'Average Inventories &amp; Cost'!$S$30:$S$32</c:f>
              <c:numCache>
                <c:formatCode>_(* #,##0.00_);_(* \(#,##0.00\);_(* "-"??_);_(@_)</c:formatCode>
                <c:ptCount val="3"/>
                <c:pt idx="0">
                  <c:v>503.90510948905109</c:v>
                </c:pt>
                <c:pt idx="1">
                  <c:v>503.70503597122303</c:v>
                </c:pt>
                <c:pt idx="2">
                  <c:v>501.8840579710145</c:v>
                </c:pt>
              </c:numCache>
            </c:numRef>
          </c:val>
          <c:extLst>
            <c:ext xmlns:c16="http://schemas.microsoft.com/office/drawing/2014/chart" uri="{C3380CC4-5D6E-409C-BE32-E72D297353CC}">
              <c16:uniqueId val="{00000002-1B22-48CD-8F22-0DAF644DC000}"/>
            </c:ext>
          </c:extLst>
        </c:ser>
        <c:ser>
          <c:idx val="3"/>
          <c:order val="3"/>
          <c:tx>
            <c:strRef>
              <c:f>'Average Inventories &amp; Cost'!$T$29</c:f>
              <c:strCache>
                <c:ptCount val="1"/>
                <c:pt idx="0">
                  <c:v>Townsville</c:v>
                </c:pt>
              </c:strCache>
            </c:strRef>
          </c:tx>
          <c:spPr>
            <a:solidFill>
              <a:schemeClr val="accent4"/>
            </a:solidFill>
            <a:ln>
              <a:noFill/>
            </a:ln>
            <a:effectLst/>
          </c:spPr>
          <c:invertIfNegative val="0"/>
          <c:cat>
            <c:numRef>
              <c:f>'Average Inventories &amp; Cost'!$Q$30:$Q$32</c:f>
              <c:numCache>
                <c:formatCode>General</c:formatCode>
                <c:ptCount val="3"/>
                <c:pt idx="0">
                  <c:v>2012</c:v>
                </c:pt>
                <c:pt idx="1">
                  <c:v>2013</c:v>
                </c:pt>
                <c:pt idx="2">
                  <c:v>2014</c:v>
                </c:pt>
              </c:numCache>
            </c:numRef>
          </c:cat>
          <c:val>
            <c:numRef>
              <c:f>'Average Inventories &amp; Cost'!$T$30:$T$32</c:f>
              <c:numCache>
                <c:formatCode>_(* #,##0.00_);_(* \(#,##0.00\);_(* "-"??_);_(@_)</c:formatCode>
                <c:ptCount val="3"/>
                <c:pt idx="0">
                  <c:v>500.91836734693879</c:v>
                </c:pt>
                <c:pt idx="1">
                  <c:v>491.10526315789474</c:v>
                </c:pt>
                <c:pt idx="2">
                  <c:v>477.46527777777777</c:v>
                </c:pt>
              </c:numCache>
            </c:numRef>
          </c:val>
          <c:extLst>
            <c:ext xmlns:c16="http://schemas.microsoft.com/office/drawing/2014/chart" uri="{C3380CC4-5D6E-409C-BE32-E72D297353CC}">
              <c16:uniqueId val="{00000005-1B22-48CD-8F22-0DAF644DC000}"/>
            </c:ext>
          </c:extLst>
        </c:ser>
        <c:ser>
          <c:idx val="4"/>
          <c:order val="4"/>
          <c:tx>
            <c:strRef>
              <c:f>'Average Inventories &amp; Cost'!$U$29</c:f>
              <c:strCache>
                <c:ptCount val="1"/>
                <c:pt idx="0">
                  <c:v>Cairns</c:v>
                </c:pt>
              </c:strCache>
            </c:strRef>
          </c:tx>
          <c:spPr>
            <a:solidFill>
              <a:schemeClr val="accent5"/>
            </a:solidFill>
            <a:ln>
              <a:noFill/>
            </a:ln>
            <a:effectLst/>
          </c:spPr>
          <c:invertIfNegative val="0"/>
          <c:cat>
            <c:numRef>
              <c:f>'Average Inventories &amp; Cost'!$Q$30:$Q$32</c:f>
              <c:numCache>
                <c:formatCode>General</c:formatCode>
                <c:ptCount val="3"/>
                <c:pt idx="0">
                  <c:v>2012</c:v>
                </c:pt>
                <c:pt idx="1">
                  <c:v>2013</c:v>
                </c:pt>
                <c:pt idx="2">
                  <c:v>2014</c:v>
                </c:pt>
              </c:numCache>
            </c:numRef>
          </c:cat>
          <c:val>
            <c:numRef>
              <c:f>'Average Inventories &amp; Cost'!$U$30:$U$32</c:f>
              <c:numCache>
                <c:formatCode>_(* #,##0.00_);_(* \(#,##0.00\);_(* "-"??_);_(@_)</c:formatCode>
                <c:ptCount val="3"/>
                <c:pt idx="0">
                  <c:v>509.65277777777777</c:v>
                </c:pt>
                <c:pt idx="1">
                  <c:v>477.63157894736844</c:v>
                </c:pt>
                <c:pt idx="2">
                  <c:v>480.6880733944954</c:v>
                </c:pt>
              </c:numCache>
            </c:numRef>
          </c:val>
          <c:extLst>
            <c:ext xmlns:c16="http://schemas.microsoft.com/office/drawing/2014/chart" uri="{C3380CC4-5D6E-409C-BE32-E72D297353CC}">
              <c16:uniqueId val="{00000006-1B22-48CD-8F22-0DAF644DC000}"/>
            </c:ext>
          </c:extLst>
        </c:ser>
        <c:dLbls>
          <c:showLegendKey val="0"/>
          <c:showVal val="0"/>
          <c:showCatName val="0"/>
          <c:showSerName val="0"/>
          <c:showPercent val="0"/>
          <c:showBubbleSize val="0"/>
        </c:dLbls>
        <c:gapWidth val="150"/>
        <c:axId val="365056328"/>
        <c:axId val="365056656"/>
        <c:extLst>
          <c:ext xmlns:c15="http://schemas.microsoft.com/office/drawing/2012/chart" uri="{02D57815-91ED-43cb-92C2-25804820EDAC}">
            <c15:filteredBarSeries>
              <c15:ser>
                <c:idx val="0"/>
                <c:order val="0"/>
                <c:tx>
                  <c:strRef>
                    <c:extLst>
                      <c:ext uri="{02D57815-91ED-43cb-92C2-25804820EDAC}">
                        <c15:formulaRef>
                          <c15:sqref>'Average Inventories &amp; Cost'!$Q$29</c15:sqref>
                        </c15:formulaRef>
                      </c:ext>
                    </c:extLst>
                    <c:strCache>
                      <c:ptCount val="1"/>
                      <c:pt idx="0">
                        <c:v>Average Price</c:v>
                      </c:pt>
                    </c:strCache>
                  </c:strRef>
                </c:tx>
                <c:spPr>
                  <a:solidFill>
                    <a:schemeClr val="accent1"/>
                  </a:solidFill>
                  <a:ln>
                    <a:noFill/>
                  </a:ln>
                  <a:effectLst/>
                </c:spPr>
                <c:invertIfNegative val="0"/>
                <c:cat>
                  <c:numRef>
                    <c:extLst>
                      <c:ext uri="{02D57815-91ED-43cb-92C2-25804820EDAC}">
                        <c15:formulaRef>
                          <c15:sqref>'Average Inventories &amp; Cost'!$Q$30:$Q$32</c15:sqref>
                        </c15:formulaRef>
                      </c:ext>
                    </c:extLst>
                    <c:numCache>
                      <c:formatCode>General</c:formatCode>
                      <c:ptCount val="3"/>
                      <c:pt idx="0">
                        <c:v>2012</c:v>
                      </c:pt>
                      <c:pt idx="1">
                        <c:v>2013</c:v>
                      </c:pt>
                      <c:pt idx="2">
                        <c:v>2014</c:v>
                      </c:pt>
                    </c:numCache>
                  </c:numRef>
                </c:cat>
                <c:val>
                  <c:numRef>
                    <c:extLst>
                      <c:ext uri="{02D57815-91ED-43cb-92C2-25804820EDAC}">
                        <c15:formulaRef>
                          <c15:sqref>'Average Inventories &amp; Cost'!$Q$30:$Q$32</c15:sqref>
                        </c15:formulaRef>
                      </c:ext>
                    </c:extLst>
                    <c:numCache>
                      <c:formatCode>General</c:formatCode>
                      <c:ptCount val="3"/>
                      <c:pt idx="0">
                        <c:v>2012</c:v>
                      </c:pt>
                      <c:pt idx="1">
                        <c:v>2013</c:v>
                      </c:pt>
                      <c:pt idx="2">
                        <c:v>2014</c:v>
                      </c:pt>
                    </c:numCache>
                  </c:numRef>
                </c:val>
                <c:extLst>
                  <c:ext xmlns:c16="http://schemas.microsoft.com/office/drawing/2014/chart" uri="{C3380CC4-5D6E-409C-BE32-E72D297353CC}">
                    <c16:uniqueId val="{00000000-1B22-48CD-8F22-0DAF644DC000}"/>
                  </c:ext>
                </c:extLst>
              </c15:ser>
            </c15:filteredBarSeries>
          </c:ext>
        </c:extLst>
      </c:barChart>
      <c:catAx>
        <c:axId val="36505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56656"/>
        <c:crosses val="autoZero"/>
        <c:auto val="1"/>
        <c:lblAlgn val="ctr"/>
        <c:lblOffset val="100"/>
        <c:noMultiLvlLbl val="0"/>
      </c:catAx>
      <c:valAx>
        <c:axId val="365056656"/>
        <c:scaling>
          <c:orientation val="minMax"/>
          <c:max val="51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056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[Kim_Omega_Business_Modelling.xlsx]Average Inventories &amp; Cost!PivotTable7</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Inventory in Year 2012 by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'Average Inventories &amp; Cost'!$AD$20:$AD$21</c:f>
              <c:strCache>
                <c:ptCount val="1"/>
                <c:pt idx="0">
                  <c:v>Computers and Tablets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Cost'!$AD$22:$AD$26</c:f>
              <c:numCache>
                <c:formatCode>0.00%</c:formatCode>
                <c:ptCount val="4"/>
                <c:pt idx="0">
                  <c:v>0.12007017087908518</c:v>
                </c:pt>
                <c:pt idx="1">
                  <c:v>0.12428478308104585</c:v>
                </c:pt>
                <c:pt idx="2">
                  <c:v>0.13444693420248524</c:v>
                </c:pt>
                <c:pt idx="3">
                  <c:v>0.16187491483853386</c:v>
                </c:pt>
              </c:numCache>
            </c:numRef>
          </c:val>
          <c:extLst>
            <c:ext xmlns:c16="http://schemas.microsoft.com/office/drawing/2014/chart" uri="{C3380CC4-5D6E-409C-BE32-E72D297353CC}">
              <c16:uniqueId val="{00000000-853F-4924-B252-865B25D274A2}"/>
            </c:ext>
          </c:extLst>
        </c:ser>
        <c:ser>
          <c:idx val="1"/>
          <c:order val="1"/>
          <c:tx>
            <c:strRef>
              <c:f>'Average Inventories &amp; Cost'!$AE$20:$AE$21</c:f>
              <c:strCache>
                <c:ptCount val="1"/>
                <c:pt idx="0">
                  <c:v>Fridges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Cost'!$AE$22:$AE$26</c:f>
              <c:numCache>
                <c:formatCode>0.00%</c:formatCode>
                <c:ptCount val="4"/>
                <c:pt idx="0">
                  <c:v>0.22155805340783574</c:v>
                </c:pt>
                <c:pt idx="1">
                  <c:v>0.20714130513507642</c:v>
                </c:pt>
                <c:pt idx="2">
                  <c:v>0.1904664901201874</c:v>
                </c:pt>
                <c:pt idx="3">
                  <c:v>0.20983785256846982</c:v>
                </c:pt>
              </c:numCache>
            </c:numRef>
          </c:val>
          <c:extLst>
            <c:ext xmlns:c16="http://schemas.microsoft.com/office/drawing/2014/chart" uri="{C3380CC4-5D6E-409C-BE32-E72D297353CC}">
              <c16:uniqueId val="{00000007-853F-4924-B252-865B25D274A2}"/>
            </c:ext>
          </c:extLst>
        </c:ser>
        <c:ser>
          <c:idx val="2"/>
          <c:order val="2"/>
          <c:tx>
            <c:strRef>
              <c:f>'Average Inventories &amp; Cost'!$AF$20:$AF$21</c:f>
              <c:strCache>
                <c:ptCount val="1"/>
                <c:pt idx="0">
                  <c:v>Games and Consoles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Cost'!$AF$22:$AF$26</c:f>
              <c:numCache>
                <c:formatCode>0.00%</c:formatCode>
                <c:ptCount val="4"/>
                <c:pt idx="0">
                  <c:v>0.11045416152296797</c:v>
                </c:pt>
                <c:pt idx="1">
                  <c:v>8.3725646411240681E-2</c:v>
                </c:pt>
                <c:pt idx="2">
                  <c:v>6.23344876756977E-2</c:v>
                </c:pt>
                <c:pt idx="3">
                  <c:v>7.4124540128082839E-2</c:v>
                </c:pt>
              </c:numCache>
            </c:numRef>
          </c:val>
          <c:extLst>
            <c:ext xmlns:c16="http://schemas.microsoft.com/office/drawing/2014/chart" uri="{C3380CC4-5D6E-409C-BE32-E72D297353CC}">
              <c16:uniqueId val="{00000008-853F-4924-B252-865B25D274A2}"/>
            </c:ext>
          </c:extLst>
        </c:ser>
        <c:ser>
          <c:idx val="3"/>
          <c:order val="3"/>
          <c:tx>
            <c:strRef>
              <c:f>'Average Inventories &amp; Cost'!$AG$20:$AG$21</c:f>
              <c:strCache>
                <c:ptCount val="1"/>
                <c:pt idx="0">
                  <c:v>Microwaves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Cost'!$AG$22:$AG$26</c:f>
              <c:numCache>
                <c:formatCode>0.00%</c:formatCode>
                <c:ptCount val="4"/>
                <c:pt idx="0">
                  <c:v>0.12084984731336496</c:v>
                </c:pt>
                <c:pt idx="1">
                  <c:v>8.691243572101108E-2</c:v>
                </c:pt>
                <c:pt idx="2">
                  <c:v>0.1161132613566918</c:v>
                </c:pt>
                <c:pt idx="3">
                  <c:v>9.8106008993050831E-2</c:v>
                </c:pt>
              </c:numCache>
            </c:numRef>
          </c:val>
          <c:extLst>
            <c:ext xmlns:c16="http://schemas.microsoft.com/office/drawing/2014/chart" uri="{C3380CC4-5D6E-409C-BE32-E72D297353CC}">
              <c16:uniqueId val="{00000009-853F-4924-B252-865B25D274A2}"/>
            </c:ext>
          </c:extLst>
        </c:ser>
        <c:ser>
          <c:idx val="4"/>
          <c:order val="4"/>
          <c:tx>
            <c:strRef>
              <c:f>'Average Inventories &amp; Cost'!$AH$20:$AH$21</c:f>
              <c:strCache>
                <c:ptCount val="1"/>
                <c:pt idx="0">
                  <c:v>Mobile Phones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Cost'!$AH$22:$AH$26</c:f>
              <c:numCache>
                <c:formatCode>0.00%</c:formatCode>
                <c:ptCount val="4"/>
                <c:pt idx="0">
                  <c:v>0.16841010980443116</c:v>
                </c:pt>
                <c:pt idx="1">
                  <c:v>0.17990874194249293</c:v>
                </c:pt>
                <c:pt idx="2">
                  <c:v>0.15400285190466489</c:v>
                </c:pt>
                <c:pt idx="3">
                  <c:v>0.10301130944270337</c:v>
                </c:pt>
              </c:numCache>
            </c:numRef>
          </c:val>
          <c:extLst>
            <c:ext xmlns:c16="http://schemas.microsoft.com/office/drawing/2014/chart" uri="{C3380CC4-5D6E-409C-BE32-E72D297353CC}">
              <c16:uniqueId val="{0000000A-853F-4924-B252-865B25D274A2}"/>
            </c:ext>
          </c:extLst>
        </c:ser>
        <c:ser>
          <c:idx val="5"/>
          <c:order val="5"/>
          <c:tx>
            <c:strRef>
              <c:f>'Average Inventories &amp; Cost'!$AI$20:$AI$21</c:f>
              <c:strCache>
                <c:ptCount val="1"/>
                <c:pt idx="0">
                  <c:v>TVs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Cost'!$AI$22:$AI$26</c:f>
              <c:numCache>
                <c:formatCode>0.00%</c:formatCode>
                <c:ptCount val="4"/>
                <c:pt idx="0">
                  <c:v>0.10187772074589045</c:v>
                </c:pt>
                <c:pt idx="1">
                  <c:v>0.10646773375823858</c:v>
                </c:pt>
                <c:pt idx="2">
                  <c:v>0.10979832959869627</c:v>
                </c:pt>
                <c:pt idx="3">
                  <c:v>9.3473225235045643E-2</c:v>
                </c:pt>
              </c:numCache>
            </c:numRef>
          </c:val>
          <c:extLst>
            <c:ext xmlns:c16="http://schemas.microsoft.com/office/drawing/2014/chart" uri="{C3380CC4-5D6E-409C-BE32-E72D297353CC}">
              <c16:uniqueId val="{0000000B-853F-4924-B252-865B25D274A2}"/>
            </c:ext>
          </c:extLst>
        </c:ser>
        <c:ser>
          <c:idx val="6"/>
          <c:order val="6"/>
          <c:tx>
            <c:strRef>
              <c:f>'Average Inventories &amp; Cost'!$AJ$20:$AJ$21</c:f>
              <c:strCache>
                <c:ptCount val="1"/>
                <c:pt idx="0">
                  <c:v>Washing Machines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Inventories &amp; Cost'!$AC$22:$AC$26</c:f>
              <c:strCache>
                <c:ptCount val="4"/>
                <c:pt idx="0">
                  <c:v>Brisbane</c:v>
                </c:pt>
                <c:pt idx="1">
                  <c:v>Gold Coast</c:v>
                </c:pt>
                <c:pt idx="2">
                  <c:v>Townsville</c:v>
                </c:pt>
                <c:pt idx="3">
                  <c:v>Cairns</c:v>
                </c:pt>
              </c:strCache>
            </c:strRef>
          </c:cat>
          <c:val>
            <c:numRef>
              <c:f>'Average Inventories &amp; Cost'!$AJ$22:$AJ$26</c:f>
              <c:numCache>
                <c:formatCode>0.00%</c:formatCode>
                <c:ptCount val="4"/>
                <c:pt idx="0">
                  <c:v>0.15677993632642453</c:v>
                </c:pt>
                <c:pt idx="1">
                  <c:v>0.21155935395089448</c:v>
                </c:pt>
                <c:pt idx="2">
                  <c:v>0.2328376451415767</c:v>
                </c:pt>
                <c:pt idx="3">
                  <c:v>0.25957214879411367</c:v>
                </c:pt>
              </c:numCache>
            </c:numRef>
          </c:val>
          <c:extLst>
            <c:ext xmlns:c16="http://schemas.microsoft.com/office/drawing/2014/chart" uri="{C3380CC4-5D6E-409C-BE32-E72D297353CC}">
              <c16:uniqueId val="{0000000C-853F-4924-B252-865B25D274A2}"/>
            </c:ext>
          </c:extLst>
        </c:ser>
        <c:dLbls>
          <c:showLegendKey val="0"/>
          <c:showVal val="1"/>
          <c:showCatName val="0"/>
          <c:showSerName val="0"/>
          <c:showPercent val="0"/>
          <c:showBubbleSize val="0"/>
        </c:dLbls>
        <c:gapWidth val="75"/>
        <c:overlap val="100"/>
        <c:axId val="475419112"/>
        <c:axId val="475418784"/>
      </c:barChart>
      <c:catAx>
        <c:axId val="475419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18784"/>
        <c:crosses val="autoZero"/>
        <c:auto val="1"/>
        <c:lblAlgn val="ctr"/>
        <c:lblOffset val="100"/>
        <c:noMultiLvlLbl val="0"/>
      </c:catAx>
      <c:valAx>
        <c:axId val="4754187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19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[Kim_Omega_Business_Modelling.xlsx]Sales Target &amp; Actual!PivotTable6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Sales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s>
    <c:plotArea>
      <c:layout/>
      <c:barChart>
        <c:barDir val="col"/>
        <c:grouping val="clustered"/>
        <c:varyColors val="0"/>
        <c:ser>
          <c:idx val="0"/>
          <c:order val="0"/>
          <c:tx>
            <c:strRef>
              <c:f>'Sales Target &amp; Actual'!$X$5:$X$6</c:f>
              <c:strCache>
                <c:ptCount val="1"/>
                <c:pt idx="0">
                  <c:v>Brisbane</c:v>
                </c:pt>
              </c:strCache>
            </c:strRef>
          </c:tx>
          <c:spPr>
            <a:solidFill>
              <a:schemeClr val="accent1"/>
            </a:solidFill>
            <a:ln>
              <a:noFill/>
            </a:ln>
            <a:effectLst/>
          </c:spPr>
          <c:invertIfNegative val="0"/>
          <c:cat>
            <c:strRef>
              <c:f>'Sales Target &amp; Actual'!$W$7:$W$10</c:f>
              <c:strCache>
                <c:ptCount val="3"/>
                <c:pt idx="0">
                  <c:v>2012</c:v>
                </c:pt>
                <c:pt idx="1">
                  <c:v>2013</c:v>
                </c:pt>
                <c:pt idx="2">
                  <c:v>2014</c:v>
                </c:pt>
              </c:strCache>
            </c:strRef>
          </c:cat>
          <c:val>
            <c:numRef>
              <c:f>'Sales Target &amp; Actual'!$X$7:$X$10</c:f>
              <c:numCache>
                <c:formatCode>#,##0</c:formatCode>
                <c:ptCount val="3"/>
                <c:pt idx="0">
                  <c:v>14837</c:v>
                </c:pt>
                <c:pt idx="1">
                  <c:v>14850</c:v>
                </c:pt>
                <c:pt idx="2">
                  <c:v>16913</c:v>
                </c:pt>
              </c:numCache>
            </c:numRef>
          </c:val>
          <c:extLst>
            <c:ext xmlns:c16="http://schemas.microsoft.com/office/drawing/2014/chart" uri="{C3380CC4-5D6E-409C-BE32-E72D297353CC}">
              <c16:uniqueId val="{00000000-7DF4-4CFB-8877-8AF5B1C43A9C}"/>
            </c:ext>
          </c:extLst>
        </c:ser>
        <c:ser>
          <c:idx val="1"/>
          <c:order val="1"/>
          <c:tx>
            <c:strRef>
              <c:f>'Sales Target &amp; Actual'!$Y$5:$Y$6</c:f>
              <c:strCache>
                <c:ptCount val="1"/>
                <c:pt idx="0">
                  <c:v>Gold Coast</c:v>
                </c:pt>
              </c:strCache>
            </c:strRef>
          </c:tx>
          <c:spPr>
            <a:solidFill>
              <a:schemeClr val="accent2"/>
            </a:solidFill>
            <a:ln>
              <a:noFill/>
            </a:ln>
            <a:effectLst/>
          </c:spPr>
          <c:invertIfNegative val="0"/>
          <c:cat>
            <c:strRef>
              <c:f>'Sales Target &amp; Actual'!$W$7:$W$10</c:f>
              <c:strCache>
                <c:ptCount val="3"/>
                <c:pt idx="0">
                  <c:v>2012</c:v>
                </c:pt>
                <c:pt idx="1">
                  <c:v>2013</c:v>
                </c:pt>
                <c:pt idx="2">
                  <c:v>2014</c:v>
                </c:pt>
              </c:strCache>
            </c:strRef>
          </c:cat>
          <c:val>
            <c:numRef>
              <c:f>'Sales Target &amp; Actual'!$Y$7:$Y$10</c:f>
              <c:numCache>
                <c:formatCode>#,##0</c:formatCode>
                <c:ptCount val="3"/>
                <c:pt idx="0">
                  <c:v>11418</c:v>
                </c:pt>
                <c:pt idx="1">
                  <c:v>10578</c:v>
                </c:pt>
                <c:pt idx="2">
                  <c:v>8968</c:v>
                </c:pt>
              </c:numCache>
            </c:numRef>
          </c:val>
          <c:extLst>
            <c:ext xmlns:c16="http://schemas.microsoft.com/office/drawing/2014/chart" uri="{C3380CC4-5D6E-409C-BE32-E72D297353CC}">
              <c16:uniqueId val="{0000001E-7DF4-4CFB-8877-8AF5B1C43A9C}"/>
            </c:ext>
          </c:extLst>
        </c:ser>
        <c:ser>
          <c:idx val="2"/>
          <c:order val="2"/>
          <c:tx>
            <c:strRef>
              <c:f>'Sales Target &amp; Actual'!$Z$5:$Z$6</c:f>
              <c:strCache>
                <c:ptCount val="1"/>
                <c:pt idx="0">
                  <c:v>Townsville</c:v>
                </c:pt>
              </c:strCache>
            </c:strRef>
          </c:tx>
          <c:spPr>
            <a:solidFill>
              <a:schemeClr val="accent3"/>
            </a:solidFill>
            <a:ln>
              <a:noFill/>
            </a:ln>
            <a:effectLst/>
          </c:spPr>
          <c:invertIfNegative val="0"/>
          <c:cat>
            <c:strRef>
              <c:f>'Sales Target &amp; Actual'!$W$7:$W$10</c:f>
              <c:strCache>
                <c:ptCount val="3"/>
                <c:pt idx="0">
                  <c:v>2012</c:v>
                </c:pt>
                <c:pt idx="1">
                  <c:v>2013</c:v>
                </c:pt>
                <c:pt idx="2">
                  <c:v>2014</c:v>
                </c:pt>
              </c:strCache>
            </c:strRef>
          </c:cat>
          <c:val>
            <c:numRef>
              <c:f>'Sales Target &amp; Actual'!$Z$7:$Z$10</c:f>
              <c:numCache>
                <c:formatCode>#,##0</c:formatCode>
                <c:ptCount val="3"/>
                <c:pt idx="0">
                  <c:v>7152</c:v>
                </c:pt>
                <c:pt idx="1">
                  <c:v>7894</c:v>
                </c:pt>
                <c:pt idx="2">
                  <c:v>9616</c:v>
                </c:pt>
              </c:numCache>
            </c:numRef>
          </c:val>
          <c:extLst>
            <c:ext xmlns:c16="http://schemas.microsoft.com/office/drawing/2014/chart" uri="{C3380CC4-5D6E-409C-BE32-E72D297353CC}">
              <c16:uniqueId val="{0000001F-7DF4-4CFB-8877-8AF5B1C43A9C}"/>
            </c:ext>
          </c:extLst>
        </c:ser>
        <c:ser>
          <c:idx val="3"/>
          <c:order val="3"/>
          <c:tx>
            <c:strRef>
              <c:f>'Sales Target &amp; Actual'!$AA$5:$AA$6</c:f>
              <c:strCache>
                <c:ptCount val="1"/>
                <c:pt idx="0">
                  <c:v>Cairns</c:v>
                </c:pt>
              </c:strCache>
            </c:strRef>
          </c:tx>
          <c:spPr>
            <a:solidFill>
              <a:schemeClr val="accent4"/>
            </a:solidFill>
            <a:ln>
              <a:noFill/>
            </a:ln>
            <a:effectLst/>
          </c:spPr>
          <c:invertIfNegative val="0"/>
          <c:cat>
            <c:strRef>
              <c:f>'Sales Target &amp; Actual'!$W$7:$W$10</c:f>
              <c:strCache>
                <c:ptCount val="3"/>
                <c:pt idx="0">
                  <c:v>2012</c:v>
                </c:pt>
                <c:pt idx="1">
                  <c:v>2013</c:v>
                </c:pt>
                <c:pt idx="2">
                  <c:v>2014</c:v>
                </c:pt>
              </c:strCache>
            </c:strRef>
          </c:cat>
          <c:val>
            <c:numRef>
              <c:f>'Sales Target &amp; Actual'!$AA$7:$AA$10</c:f>
              <c:numCache>
                <c:formatCode>#,##0</c:formatCode>
                <c:ptCount val="3"/>
                <c:pt idx="0">
                  <c:v>6291</c:v>
                </c:pt>
                <c:pt idx="1">
                  <c:v>6981</c:v>
                </c:pt>
                <c:pt idx="2">
                  <c:v>9715</c:v>
                </c:pt>
              </c:numCache>
            </c:numRef>
          </c:val>
          <c:extLst>
            <c:ext xmlns:c16="http://schemas.microsoft.com/office/drawing/2014/chart" uri="{C3380CC4-5D6E-409C-BE32-E72D297353CC}">
              <c16:uniqueId val="{00000020-7DF4-4CFB-8877-8AF5B1C43A9C}"/>
            </c:ext>
          </c:extLst>
        </c:ser>
        <c:dLbls>
          <c:showLegendKey val="0"/>
          <c:showVal val="0"/>
          <c:showCatName val="0"/>
          <c:showSerName val="0"/>
          <c:showPercent val="0"/>
          <c:showBubbleSize val="0"/>
        </c:dLbls>
        <c:gapWidth val="300"/>
        <c:axId val="277843344"/>
        <c:axId val="277844328"/>
      </c:barChart>
      <c:catAx>
        <c:axId val="27784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844328"/>
        <c:crosses val="autoZero"/>
        <c:auto val="1"/>
        <c:lblAlgn val="ctr"/>
        <c:lblOffset val="100"/>
        <c:noMultiLvlLbl val="0"/>
      </c:catAx>
      <c:valAx>
        <c:axId val="2778443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843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[Kim_Omega_Business_Modelling.xlsx]Sales Target &amp; Actual!PivotTable10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Target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'Sales Target &amp; Actual'!$AE$5:$AE$6</c:f>
              <c:strCache>
                <c:ptCount val="1"/>
                <c:pt idx="0">
                  <c:v>Brisbane</c:v>
                </c:pt>
              </c:strCache>
            </c:strRef>
          </c:tx>
          <c:spPr>
            <a:solidFill>
              <a:schemeClr val="accent1"/>
            </a:solidFill>
            <a:ln>
              <a:noFill/>
            </a:ln>
            <a:effectLst/>
          </c:spPr>
          <c:invertIfNegative val="0"/>
          <c:cat>
            <c:strRef>
              <c:f>'Sales Target &amp; Actual'!$AD$7:$AD$10</c:f>
              <c:strCache>
                <c:ptCount val="3"/>
                <c:pt idx="0">
                  <c:v>2012</c:v>
                </c:pt>
                <c:pt idx="1">
                  <c:v>2013</c:v>
                </c:pt>
                <c:pt idx="2">
                  <c:v>2014</c:v>
                </c:pt>
              </c:strCache>
            </c:strRef>
          </c:cat>
          <c:val>
            <c:numRef>
              <c:f>'Sales Target &amp; Actual'!$AE$7:$AE$10</c:f>
              <c:numCache>
                <c:formatCode>General</c:formatCode>
                <c:ptCount val="3"/>
                <c:pt idx="0">
                  <c:v>13500</c:v>
                </c:pt>
                <c:pt idx="1">
                  <c:v>13500</c:v>
                </c:pt>
                <c:pt idx="2">
                  <c:v>14445</c:v>
                </c:pt>
              </c:numCache>
            </c:numRef>
          </c:val>
          <c:extLst>
            <c:ext xmlns:c16="http://schemas.microsoft.com/office/drawing/2014/chart" uri="{C3380CC4-5D6E-409C-BE32-E72D297353CC}">
              <c16:uniqueId val="{00000000-B5A1-404B-8F97-6D30AE5093C4}"/>
            </c:ext>
          </c:extLst>
        </c:ser>
        <c:ser>
          <c:idx val="1"/>
          <c:order val="1"/>
          <c:tx>
            <c:strRef>
              <c:f>'Sales Target &amp; Actual'!$AF$5:$AF$6</c:f>
              <c:strCache>
                <c:ptCount val="1"/>
                <c:pt idx="0">
                  <c:v>Gold Coast</c:v>
                </c:pt>
              </c:strCache>
            </c:strRef>
          </c:tx>
          <c:spPr>
            <a:solidFill>
              <a:schemeClr val="accent2"/>
            </a:solidFill>
            <a:ln>
              <a:noFill/>
            </a:ln>
            <a:effectLst/>
          </c:spPr>
          <c:invertIfNegative val="0"/>
          <c:cat>
            <c:strRef>
              <c:f>'Sales Target &amp; Actual'!$AD$7:$AD$10</c:f>
              <c:strCache>
                <c:ptCount val="3"/>
                <c:pt idx="0">
                  <c:v>2012</c:v>
                </c:pt>
                <c:pt idx="1">
                  <c:v>2013</c:v>
                </c:pt>
                <c:pt idx="2">
                  <c:v>2014</c:v>
                </c:pt>
              </c:strCache>
            </c:strRef>
          </c:cat>
          <c:val>
            <c:numRef>
              <c:f>'Sales Target &amp; Actual'!$AF$7:$AF$10</c:f>
              <c:numCache>
                <c:formatCode>General</c:formatCode>
                <c:ptCount val="3"/>
                <c:pt idx="0">
                  <c:v>11900</c:v>
                </c:pt>
                <c:pt idx="1">
                  <c:v>10700</c:v>
                </c:pt>
                <c:pt idx="2">
                  <c:v>9600</c:v>
                </c:pt>
              </c:numCache>
            </c:numRef>
          </c:val>
          <c:extLst>
            <c:ext xmlns:c16="http://schemas.microsoft.com/office/drawing/2014/chart" uri="{C3380CC4-5D6E-409C-BE32-E72D297353CC}">
              <c16:uniqueId val="{00000001-B5A1-404B-8F97-6D30AE5093C4}"/>
            </c:ext>
          </c:extLst>
        </c:ser>
        <c:ser>
          <c:idx val="2"/>
          <c:order val="2"/>
          <c:tx>
            <c:strRef>
              <c:f>'Sales Target &amp; Actual'!$AG$5:$AG$6</c:f>
              <c:strCache>
                <c:ptCount val="1"/>
                <c:pt idx="0">
                  <c:v>Townsville</c:v>
                </c:pt>
              </c:strCache>
            </c:strRef>
          </c:tx>
          <c:spPr>
            <a:solidFill>
              <a:schemeClr val="accent3"/>
            </a:solidFill>
            <a:ln>
              <a:noFill/>
            </a:ln>
            <a:effectLst/>
          </c:spPr>
          <c:invertIfNegative val="0"/>
          <c:cat>
            <c:strRef>
              <c:f>'Sales Target &amp; Actual'!$AD$7:$AD$10</c:f>
              <c:strCache>
                <c:ptCount val="3"/>
                <c:pt idx="0">
                  <c:v>2012</c:v>
                </c:pt>
                <c:pt idx="1">
                  <c:v>2013</c:v>
                </c:pt>
                <c:pt idx="2">
                  <c:v>2014</c:v>
                </c:pt>
              </c:strCache>
            </c:strRef>
          </c:cat>
          <c:val>
            <c:numRef>
              <c:f>'Sales Target &amp; Actual'!$AG$7:$AG$10</c:f>
              <c:numCache>
                <c:formatCode>General</c:formatCode>
                <c:ptCount val="3"/>
                <c:pt idx="0">
                  <c:v>7400</c:v>
                </c:pt>
                <c:pt idx="1">
                  <c:v>7500</c:v>
                </c:pt>
                <c:pt idx="2">
                  <c:v>8600</c:v>
                </c:pt>
              </c:numCache>
            </c:numRef>
          </c:val>
          <c:extLst>
            <c:ext xmlns:c16="http://schemas.microsoft.com/office/drawing/2014/chart" uri="{C3380CC4-5D6E-409C-BE32-E72D297353CC}">
              <c16:uniqueId val="{00000002-B5A1-404B-8F97-6D30AE5093C4}"/>
            </c:ext>
          </c:extLst>
        </c:ser>
        <c:ser>
          <c:idx val="3"/>
          <c:order val="3"/>
          <c:tx>
            <c:strRef>
              <c:f>'Sales Target &amp; Actual'!$AH$5:$AH$6</c:f>
              <c:strCache>
                <c:ptCount val="1"/>
                <c:pt idx="0">
                  <c:v>Cairns</c:v>
                </c:pt>
              </c:strCache>
            </c:strRef>
          </c:tx>
          <c:spPr>
            <a:solidFill>
              <a:schemeClr val="accent4"/>
            </a:solidFill>
            <a:ln>
              <a:noFill/>
            </a:ln>
            <a:effectLst/>
          </c:spPr>
          <c:invertIfNegative val="0"/>
          <c:cat>
            <c:strRef>
              <c:f>'Sales Target &amp; Actual'!$AD$7:$AD$10</c:f>
              <c:strCache>
                <c:ptCount val="3"/>
                <c:pt idx="0">
                  <c:v>2012</c:v>
                </c:pt>
                <c:pt idx="1">
                  <c:v>2013</c:v>
                </c:pt>
                <c:pt idx="2">
                  <c:v>2014</c:v>
                </c:pt>
              </c:strCache>
            </c:strRef>
          </c:cat>
          <c:val>
            <c:numRef>
              <c:f>'Sales Target &amp; Actual'!$AH$7:$AH$10</c:f>
              <c:numCache>
                <c:formatCode>General</c:formatCode>
                <c:ptCount val="3"/>
                <c:pt idx="0">
                  <c:v>5100</c:v>
                </c:pt>
                <c:pt idx="1">
                  <c:v>5900</c:v>
                </c:pt>
                <c:pt idx="2">
                  <c:v>7600</c:v>
                </c:pt>
              </c:numCache>
            </c:numRef>
          </c:val>
          <c:extLst>
            <c:ext xmlns:c16="http://schemas.microsoft.com/office/drawing/2014/chart" uri="{C3380CC4-5D6E-409C-BE32-E72D297353CC}">
              <c16:uniqueId val="{00000003-B5A1-404B-8F97-6D30AE5093C4}"/>
            </c:ext>
          </c:extLst>
        </c:ser>
        <c:dLbls>
          <c:showLegendKey val="0"/>
          <c:showVal val="0"/>
          <c:showCatName val="0"/>
          <c:showSerName val="0"/>
          <c:showPercent val="0"/>
          <c:showBubbleSize val="0"/>
        </c:dLbls>
        <c:gapWidth val="300"/>
        <c:axId val="280718824"/>
        <c:axId val="280715872"/>
      </c:barChart>
      <c:catAx>
        <c:axId val="280718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15872"/>
        <c:crosses val="autoZero"/>
        <c:auto val="1"/>
        <c:lblAlgn val="ctr"/>
        <c:lblOffset val="100"/>
        <c:noMultiLvlLbl val="0"/>
      </c:catAx>
      <c:valAx>
        <c:axId val="280715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18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[Kim_Omega_Business_Modelling.xlsx]Sales Target &amp; Actual!PivotTable12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Target Performance in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'Sales Target &amp; Actual'!$AS$5:$AS$6</c:f>
              <c:strCache>
                <c:ptCount val="1"/>
                <c:pt idx="0">
                  <c:v>Brisbane</c:v>
                </c:pt>
              </c:strCache>
            </c:strRef>
          </c:tx>
          <c:spPr>
            <a:solidFill>
              <a:schemeClr val="accent1"/>
            </a:solidFill>
            <a:ln>
              <a:noFill/>
            </a:ln>
            <a:effectLst/>
          </c:spPr>
          <c:invertIfNegative val="0"/>
          <c:cat>
            <c:strRef>
              <c:f>'Sales Target &amp; Actual'!$AR$7:$AR$10</c:f>
              <c:strCache>
                <c:ptCount val="3"/>
                <c:pt idx="0">
                  <c:v>2012</c:v>
                </c:pt>
                <c:pt idx="1">
                  <c:v>2013</c:v>
                </c:pt>
                <c:pt idx="2">
                  <c:v>2014</c:v>
                </c:pt>
              </c:strCache>
            </c:strRef>
          </c:cat>
          <c:val>
            <c:numRef>
              <c:f>'Sales Target &amp; Actual'!$AS$7:$AS$10</c:f>
              <c:numCache>
                <c:formatCode>#,##0.00_);[Red]\(#,##0.00\)</c:formatCode>
                <c:ptCount val="3"/>
                <c:pt idx="0">
                  <c:v>0.73480012531328309</c:v>
                </c:pt>
                <c:pt idx="1">
                  <c:v>0.67362969924812022</c:v>
                </c:pt>
                <c:pt idx="2">
                  <c:v>1.17996627081723</c:v>
                </c:pt>
              </c:numCache>
            </c:numRef>
          </c:val>
          <c:extLst>
            <c:ext xmlns:c16="http://schemas.microsoft.com/office/drawing/2014/chart" uri="{C3380CC4-5D6E-409C-BE32-E72D297353CC}">
              <c16:uniqueId val="{00000000-FF1D-43B5-B05D-59E136697489}"/>
            </c:ext>
          </c:extLst>
        </c:ser>
        <c:ser>
          <c:idx val="1"/>
          <c:order val="1"/>
          <c:tx>
            <c:strRef>
              <c:f>'Sales Target &amp; Actual'!$AT$5:$AT$6</c:f>
              <c:strCache>
                <c:ptCount val="1"/>
                <c:pt idx="0">
                  <c:v>Gold Coast</c:v>
                </c:pt>
              </c:strCache>
            </c:strRef>
          </c:tx>
          <c:spPr>
            <a:solidFill>
              <a:schemeClr val="accent2"/>
            </a:solidFill>
            <a:ln>
              <a:noFill/>
            </a:ln>
            <a:effectLst/>
          </c:spPr>
          <c:invertIfNegative val="0"/>
          <c:cat>
            <c:strRef>
              <c:f>'Sales Target &amp; Actual'!$AR$7:$AR$10</c:f>
              <c:strCache>
                <c:ptCount val="3"/>
                <c:pt idx="0">
                  <c:v>2012</c:v>
                </c:pt>
                <c:pt idx="1">
                  <c:v>2013</c:v>
                </c:pt>
                <c:pt idx="2">
                  <c:v>2014</c:v>
                </c:pt>
              </c:strCache>
            </c:strRef>
          </c:cat>
          <c:val>
            <c:numRef>
              <c:f>'Sales Target &amp; Actual'!$AT$7:$AT$10</c:f>
              <c:numCache>
                <c:formatCode>#,##0.00_);[Red]\(#,##0.00\)</c:formatCode>
                <c:ptCount val="3"/>
                <c:pt idx="0">
                  <c:v>-0.38121345974287146</c:v>
                </c:pt>
                <c:pt idx="1">
                  <c:v>-9.773002045627921E-2</c:v>
                </c:pt>
                <c:pt idx="2">
                  <c:v>-0.64954621848739491</c:v>
                </c:pt>
              </c:numCache>
            </c:numRef>
          </c:val>
          <c:extLst>
            <c:ext xmlns:c16="http://schemas.microsoft.com/office/drawing/2014/chart" uri="{C3380CC4-5D6E-409C-BE32-E72D297353CC}">
              <c16:uniqueId val="{00000001-FF1D-43B5-B05D-59E136697489}"/>
            </c:ext>
          </c:extLst>
        </c:ser>
        <c:ser>
          <c:idx val="2"/>
          <c:order val="2"/>
          <c:tx>
            <c:strRef>
              <c:f>'Sales Target &amp; Actual'!$AU$5:$AU$6</c:f>
              <c:strCache>
                <c:ptCount val="1"/>
                <c:pt idx="0">
                  <c:v>Townsville</c:v>
                </c:pt>
              </c:strCache>
            </c:strRef>
          </c:tx>
          <c:spPr>
            <a:solidFill>
              <a:schemeClr val="accent3"/>
            </a:solidFill>
            <a:ln>
              <a:noFill/>
            </a:ln>
            <a:effectLst/>
          </c:spPr>
          <c:invertIfNegative val="0"/>
          <c:cat>
            <c:strRef>
              <c:f>'Sales Target &amp; Actual'!$AR$7:$AR$10</c:f>
              <c:strCache>
                <c:ptCount val="3"/>
                <c:pt idx="0">
                  <c:v>2012</c:v>
                </c:pt>
                <c:pt idx="1">
                  <c:v>2013</c:v>
                </c:pt>
                <c:pt idx="2">
                  <c:v>2014</c:v>
                </c:pt>
              </c:strCache>
            </c:strRef>
          </c:cat>
          <c:val>
            <c:numRef>
              <c:f>'Sales Target &amp; Actual'!$AU$7:$AU$10</c:f>
              <c:numCache>
                <c:formatCode>#,##0.00_);[Red]\(#,##0.00\)</c:formatCode>
                <c:ptCount val="3"/>
                <c:pt idx="0">
                  <c:v>-0.21178583916083904</c:v>
                </c:pt>
                <c:pt idx="1">
                  <c:v>0.41171503496503492</c:v>
                </c:pt>
                <c:pt idx="2">
                  <c:v>0.72927013045434108</c:v>
                </c:pt>
              </c:numCache>
            </c:numRef>
          </c:val>
          <c:extLst>
            <c:ext xmlns:c16="http://schemas.microsoft.com/office/drawing/2014/chart" uri="{C3380CC4-5D6E-409C-BE32-E72D297353CC}">
              <c16:uniqueId val="{00000002-FF1D-43B5-B05D-59E136697489}"/>
            </c:ext>
          </c:extLst>
        </c:ser>
        <c:ser>
          <c:idx val="3"/>
          <c:order val="3"/>
          <c:tx>
            <c:strRef>
              <c:f>'Sales Target &amp; Actual'!$AV$5:$AV$6</c:f>
              <c:strCache>
                <c:ptCount val="1"/>
                <c:pt idx="0">
                  <c:v>Cairns</c:v>
                </c:pt>
              </c:strCache>
            </c:strRef>
          </c:tx>
          <c:spPr>
            <a:solidFill>
              <a:schemeClr val="accent4"/>
            </a:solidFill>
            <a:ln>
              <a:noFill/>
            </a:ln>
            <a:effectLst/>
          </c:spPr>
          <c:invertIfNegative val="0"/>
          <c:cat>
            <c:strRef>
              <c:f>'Sales Target &amp; Actual'!$AR$7:$AR$10</c:f>
              <c:strCache>
                <c:ptCount val="3"/>
                <c:pt idx="0">
                  <c:v>2012</c:v>
                </c:pt>
                <c:pt idx="1">
                  <c:v>2013</c:v>
                </c:pt>
                <c:pt idx="2">
                  <c:v>2014</c:v>
                </c:pt>
              </c:strCache>
            </c:strRef>
          </c:cat>
          <c:val>
            <c:numRef>
              <c:f>'Sales Target &amp; Actual'!$AV$7:$AV$10</c:f>
              <c:numCache>
                <c:formatCode>#,##0.00_);[Red]\(#,##0.00\)</c:formatCode>
                <c:ptCount val="3"/>
                <c:pt idx="0">
                  <c:v>2.2903026695526698</c:v>
                </c:pt>
                <c:pt idx="1">
                  <c:v>1.5310641025641027</c:v>
                </c:pt>
                <c:pt idx="2">
                  <c:v>2.1158931509666807</c:v>
                </c:pt>
              </c:numCache>
            </c:numRef>
          </c:val>
          <c:extLst>
            <c:ext xmlns:c16="http://schemas.microsoft.com/office/drawing/2014/chart" uri="{C3380CC4-5D6E-409C-BE32-E72D297353CC}">
              <c16:uniqueId val="{00000003-FF1D-43B5-B05D-59E136697489}"/>
            </c:ext>
          </c:extLst>
        </c:ser>
        <c:dLbls>
          <c:showLegendKey val="0"/>
          <c:showVal val="0"/>
          <c:showCatName val="0"/>
          <c:showSerName val="0"/>
          <c:showPercent val="0"/>
          <c:showBubbleSize val="0"/>
        </c:dLbls>
        <c:gapWidth val="150"/>
        <c:axId val="528929200"/>
        <c:axId val="528915424"/>
      </c:barChart>
      <c:catAx>
        <c:axId val="52892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915424"/>
        <c:crosses val="autoZero"/>
        <c:auto val="1"/>
        <c:lblAlgn val="ctr"/>
        <c:lblOffset val="100"/>
        <c:noMultiLvlLbl val="0"/>
      </c:catAx>
      <c:valAx>
        <c:axId val="528915424"/>
        <c:scaling>
          <c:orientation val="minMax"/>
        </c:scaling>
        <c:delete val="0"/>
        <c:axPos val="l"/>
        <c:majorGridlines>
          <c:spPr>
            <a:ln w="9525" cap="flat" cmpd="sng" algn="ctr">
              <a:solidFill>
                <a:schemeClr val="tx1">
                  <a:lumMod val="15000"/>
                  <a:lumOff val="85000"/>
                </a:schemeClr>
              </a:solidFill>
              <a:round/>
            </a:ln>
            <a:effectLst/>
          </c:spPr>
        </c:majorGridlines>
        <c:numFmt formatCode="#,##0.00_);[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92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[Kim_Omega_Business_Modelling.xlsx]Labour Costs!PivotTable4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Labour Cost by Location by Year</a:t>
            </a:r>
          </a:p>
        </c:rich>
      </c:tx>
      <c:layout>
        <c:manualLayout>
          <c:xMode val="edge"/>
          <c:yMode val="edge"/>
          <c:x val="0.23152402408802034"/>
          <c:y val="6.77247903182060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'Labour Costs'!$C$38:$C$39</c:f>
              <c:strCache>
                <c:ptCount val="1"/>
                <c:pt idx="0">
                  <c:v>Brisbane</c:v>
                </c:pt>
              </c:strCache>
            </c:strRef>
          </c:tx>
          <c:spPr>
            <a:solidFill>
              <a:schemeClr val="accent1"/>
            </a:solidFill>
            <a:ln>
              <a:noFill/>
            </a:ln>
            <a:effectLst/>
          </c:spPr>
          <c:invertIfNegative val="0"/>
          <c:cat>
            <c:strRef>
              <c:f>'Labour Costs'!$B$40:$B$43</c:f>
              <c:strCache>
                <c:ptCount val="3"/>
                <c:pt idx="0">
                  <c:v>2012</c:v>
                </c:pt>
                <c:pt idx="1">
                  <c:v>2013</c:v>
                </c:pt>
                <c:pt idx="2">
                  <c:v>2014</c:v>
                </c:pt>
              </c:strCache>
            </c:strRef>
          </c:cat>
          <c:val>
            <c:numRef>
              <c:f>'Labour Costs'!$C$40:$C$43</c:f>
              <c:numCache>
                <c:formatCode>"$"#,##0</c:formatCode>
                <c:ptCount val="3"/>
                <c:pt idx="0">
                  <c:v>735000</c:v>
                </c:pt>
                <c:pt idx="1">
                  <c:v>760000</c:v>
                </c:pt>
                <c:pt idx="2">
                  <c:v>794000</c:v>
                </c:pt>
              </c:numCache>
            </c:numRef>
          </c:val>
          <c:extLst>
            <c:ext xmlns:c16="http://schemas.microsoft.com/office/drawing/2014/chart" uri="{C3380CC4-5D6E-409C-BE32-E72D297353CC}">
              <c16:uniqueId val="{00000000-852C-46F8-B8C2-7C5C0C1B0E72}"/>
            </c:ext>
          </c:extLst>
        </c:ser>
        <c:ser>
          <c:idx val="1"/>
          <c:order val="1"/>
          <c:tx>
            <c:strRef>
              <c:f>'Labour Costs'!$D$38:$D$39</c:f>
              <c:strCache>
                <c:ptCount val="1"/>
                <c:pt idx="0">
                  <c:v>Gold Coast</c:v>
                </c:pt>
              </c:strCache>
            </c:strRef>
          </c:tx>
          <c:spPr>
            <a:solidFill>
              <a:schemeClr val="accent2"/>
            </a:solidFill>
            <a:ln>
              <a:noFill/>
            </a:ln>
            <a:effectLst/>
          </c:spPr>
          <c:invertIfNegative val="0"/>
          <c:cat>
            <c:strRef>
              <c:f>'Labour Costs'!$B$40:$B$43</c:f>
              <c:strCache>
                <c:ptCount val="3"/>
                <c:pt idx="0">
                  <c:v>2012</c:v>
                </c:pt>
                <c:pt idx="1">
                  <c:v>2013</c:v>
                </c:pt>
                <c:pt idx="2">
                  <c:v>2014</c:v>
                </c:pt>
              </c:strCache>
            </c:strRef>
          </c:cat>
          <c:val>
            <c:numRef>
              <c:f>'Labour Costs'!$D$40:$D$43</c:f>
              <c:numCache>
                <c:formatCode>"$"#,##0</c:formatCode>
                <c:ptCount val="3"/>
                <c:pt idx="0">
                  <c:v>677000</c:v>
                </c:pt>
                <c:pt idx="1">
                  <c:v>700000</c:v>
                </c:pt>
                <c:pt idx="2">
                  <c:v>731000</c:v>
                </c:pt>
              </c:numCache>
            </c:numRef>
          </c:val>
          <c:extLst>
            <c:ext xmlns:c16="http://schemas.microsoft.com/office/drawing/2014/chart" uri="{C3380CC4-5D6E-409C-BE32-E72D297353CC}">
              <c16:uniqueId val="{00000001-852C-46F8-B8C2-7C5C0C1B0E72}"/>
            </c:ext>
          </c:extLst>
        </c:ser>
        <c:ser>
          <c:idx val="2"/>
          <c:order val="2"/>
          <c:tx>
            <c:strRef>
              <c:f>'Labour Costs'!$E$38:$E$39</c:f>
              <c:strCache>
                <c:ptCount val="1"/>
                <c:pt idx="0">
                  <c:v>Townsville</c:v>
                </c:pt>
              </c:strCache>
            </c:strRef>
          </c:tx>
          <c:spPr>
            <a:solidFill>
              <a:schemeClr val="accent3"/>
            </a:solidFill>
            <a:ln>
              <a:noFill/>
            </a:ln>
            <a:effectLst/>
          </c:spPr>
          <c:invertIfNegative val="0"/>
          <c:cat>
            <c:strRef>
              <c:f>'Labour Costs'!$B$40:$B$43</c:f>
              <c:strCache>
                <c:ptCount val="3"/>
                <c:pt idx="0">
                  <c:v>2012</c:v>
                </c:pt>
                <c:pt idx="1">
                  <c:v>2013</c:v>
                </c:pt>
                <c:pt idx="2">
                  <c:v>2014</c:v>
                </c:pt>
              </c:strCache>
            </c:strRef>
          </c:cat>
          <c:val>
            <c:numRef>
              <c:f>'Labour Costs'!$E$40:$E$43</c:f>
              <c:numCache>
                <c:formatCode>"$"#,##0</c:formatCode>
                <c:ptCount val="3"/>
                <c:pt idx="0">
                  <c:v>405000</c:v>
                </c:pt>
                <c:pt idx="1">
                  <c:v>419000</c:v>
                </c:pt>
                <c:pt idx="2">
                  <c:v>437000</c:v>
                </c:pt>
              </c:numCache>
            </c:numRef>
          </c:val>
          <c:extLst>
            <c:ext xmlns:c16="http://schemas.microsoft.com/office/drawing/2014/chart" uri="{C3380CC4-5D6E-409C-BE32-E72D297353CC}">
              <c16:uniqueId val="{00000002-852C-46F8-B8C2-7C5C0C1B0E72}"/>
            </c:ext>
          </c:extLst>
        </c:ser>
        <c:ser>
          <c:idx val="3"/>
          <c:order val="3"/>
          <c:tx>
            <c:strRef>
              <c:f>'Labour Costs'!$F$38:$F$39</c:f>
              <c:strCache>
                <c:ptCount val="1"/>
                <c:pt idx="0">
                  <c:v>Cairns</c:v>
                </c:pt>
              </c:strCache>
            </c:strRef>
          </c:tx>
          <c:spPr>
            <a:solidFill>
              <a:schemeClr val="accent4"/>
            </a:solidFill>
            <a:ln>
              <a:noFill/>
            </a:ln>
            <a:effectLst/>
          </c:spPr>
          <c:invertIfNegative val="0"/>
          <c:cat>
            <c:strRef>
              <c:f>'Labour Costs'!$B$40:$B$43</c:f>
              <c:strCache>
                <c:ptCount val="3"/>
                <c:pt idx="0">
                  <c:v>2012</c:v>
                </c:pt>
                <c:pt idx="1">
                  <c:v>2013</c:v>
                </c:pt>
                <c:pt idx="2">
                  <c:v>2014</c:v>
                </c:pt>
              </c:strCache>
            </c:strRef>
          </c:cat>
          <c:val>
            <c:numRef>
              <c:f>'Labour Costs'!$F$40:$F$43</c:f>
              <c:numCache>
                <c:formatCode>"$"#,##0</c:formatCode>
                <c:ptCount val="3"/>
                <c:pt idx="0">
                  <c:v>347000</c:v>
                </c:pt>
                <c:pt idx="1">
                  <c:v>359000</c:v>
                </c:pt>
                <c:pt idx="2">
                  <c:v>374000</c:v>
                </c:pt>
              </c:numCache>
            </c:numRef>
          </c:val>
          <c:extLst>
            <c:ext xmlns:c16="http://schemas.microsoft.com/office/drawing/2014/chart" uri="{C3380CC4-5D6E-409C-BE32-E72D297353CC}">
              <c16:uniqueId val="{00000003-852C-46F8-B8C2-7C5C0C1B0E72}"/>
            </c:ext>
          </c:extLst>
        </c:ser>
        <c:dLbls>
          <c:showLegendKey val="0"/>
          <c:showVal val="0"/>
          <c:showCatName val="0"/>
          <c:showSerName val="0"/>
          <c:showPercent val="0"/>
          <c:showBubbleSize val="0"/>
        </c:dLbls>
        <c:gapWidth val="219"/>
        <c:overlap val="-27"/>
        <c:axId val="37663208"/>
        <c:axId val="37667472"/>
      </c:barChart>
      <c:catAx>
        <c:axId val="37663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7472"/>
        <c:crosses val="autoZero"/>
        <c:auto val="1"/>
        <c:lblAlgn val="ctr"/>
        <c:lblOffset val="100"/>
        <c:noMultiLvlLbl val="0"/>
      </c:catAx>
      <c:valAx>
        <c:axId val="376674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63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[Kim_Omega_Business_Modelling.xlsx]Location VUAOC Cost!PivotTable8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Total VUAOC Costs by Location by Year</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'Location VUAOC Cost'!$P$3:$P$4</c:f>
              <c:strCache>
                <c:ptCount val="1"/>
                <c:pt idx="0">
                  <c:v>Brisbane</c:v>
                </c:pt>
              </c:strCache>
            </c:strRef>
          </c:tx>
          <c:spPr>
            <a:solidFill>
              <a:schemeClr val="accent1"/>
            </a:solidFill>
            <a:ln>
              <a:noFill/>
            </a:ln>
            <a:effectLst/>
          </c:spPr>
          <c:invertIfNegative val="0"/>
          <c:cat>
            <c:strRef>
              <c:f>'Location VUAOC Cost'!$O$5:$O$8</c:f>
              <c:strCache>
                <c:ptCount val="3"/>
                <c:pt idx="0">
                  <c:v>2012</c:v>
                </c:pt>
                <c:pt idx="1">
                  <c:v>2013</c:v>
                </c:pt>
                <c:pt idx="2">
                  <c:v>2014</c:v>
                </c:pt>
              </c:strCache>
            </c:strRef>
          </c:cat>
          <c:val>
            <c:numRef>
              <c:f>'Location VUAOC Cost'!$P$5:$P$8</c:f>
              <c:numCache>
                <c:formatCode>#,##0</c:formatCode>
                <c:ptCount val="3"/>
                <c:pt idx="0">
                  <c:v>638080</c:v>
                </c:pt>
                <c:pt idx="1">
                  <c:v>614152</c:v>
                </c:pt>
                <c:pt idx="2">
                  <c:v>769684</c:v>
                </c:pt>
              </c:numCache>
            </c:numRef>
          </c:val>
          <c:extLst>
            <c:ext xmlns:c16="http://schemas.microsoft.com/office/drawing/2014/chart" uri="{C3380CC4-5D6E-409C-BE32-E72D297353CC}">
              <c16:uniqueId val="{00000000-9AA5-45E0-BD82-1BEA47B4D8C7}"/>
            </c:ext>
          </c:extLst>
        </c:ser>
        <c:ser>
          <c:idx val="1"/>
          <c:order val="1"/>
          <c:tx>
            <c:strRef>
              <c:f>'Location VUAOC Cost'!$Q$3:$Q$4</c:f>
              <c:strCache>
                <c:ptCount val="1"/>
                <c:pt idx="0">
                  <c:v>Gold Coast</c:v>
                </c:pt>
              </c:strCache>
            </c:strRef>
          </c:tx>
          <c:spPr>
            <a:solidFill>
              <a:schemeClr val="accent2"/>
            </a:solidFill>
            <a:ln>
              <a:noFill/>
            </a:ln>
            <a:effectLst/>
          </c:spPr>
          <c:invertIfNegative val="0"/>
          <c:cat>
            <c:strRef>
              <c:f>'Location VUAOC Cost'!$O$5:$O$8</c:f>
              <c:strCache>
                <c:ptCount val="3"/>
                <c:pt idx="0">
                  <c:v>2012</c:v>
                </c:pt>
                <c:pt idx="1">
                  <c:v>2013</c:v>
                </c:pt>
                <c:pt idx="2">
                  <c:v>2014</c:v>
                </c:pt>
              </c:strCache>
            </c:strRef>
          </c:cat>
          <c:val>
            <c:numRef>
              <c:f>'Location VUAOC Cost'!$Q$5:$Q$8</c:f>
              <c:numCache>
                <c:formatCode>#,##0</c:formatCode>
                <c:ptCount val="3"/>
                <c:pt idx="0">
                  <c:v>502379</c:v>
                </c:pt>
                <c:pt idx="1">
                  <c:v>509713</c:v>
                </c:pt>
                <c:pt idx="2">
                  <c:v>506046</c:v>
                </c:pt>
              </c:numCache>
            </c:numRef>
          </c:val>
          <c:extLst>
            <c:ext xmlns:c16="http://schemas.microsoft.com/office/drawing/2014/chart" uri="{C3380CC4-5D6E-409C-BE32-E72D297353CC}">
              <c16:uniqueId val="{00000001-9AA5-45E0-BD82-1BEA47B4D8C7}"/>
            </c:ext>
          </c:extLst>
        </c:ser>
        <c:ser>
          <c:idx val="2"/>
          <c:order val="2"/>
          <c:tx>
            <c:strRef>
              <c:f>'Location VUAOC Cost'!$R$3:$R$4</c:f>
              <c:strCache>
                <c:ptCount val="1"/>
                <c:pt idx="0">
                  <c:v>Townsville</c:v>
                </c:pt>
              </c:strCache>
            </c:strRef>
          </c:tx>
          <c:spPr>
            <a:solidFill>
              <a:schemeClr val="accent3"/>
            </a:solidFill>
            <a:ln>
              <a:noFill/>
            </a:ln>
            <a:effectLst/>
          </c:spPr>
          <c:invertIfNegative val="0"/>
          <c:cat>
            <c:strRef>
              <c:f>'Location VUAOC Cost'!$O$5:$O$8</c:f>
              <c:strCache>
                <c:ptCount val="3"/>
                <c:pt idx="0">
                  <c:v>2012</c:v>
                </c:pt>
                <c:pt idx="1">
                  <c:v>2013</c:v>
                </c:pt>
                <c:pt idx="2">
                  <c:v>2014</c:v>
                </c:pt>
              </c:strCache>
            </c:strRef>
          </c:cat>
          <c:val>
            <c:numRef>
              <c:f>'Location VUAOC Cost'!$R$5:$R$8</c:f>
              <c:numCache>
                <c:formatCode>#,##0</c:formatCode>
                <c:ptCount val="3"/>
                <c:pt idx="0">
                  <c:v>345058</c:v>
                </c:pt>
                <c:pt idx="1">
                  <c:v>334495</c:v>
                </c:pt>
                <c:pt idx="2">
                  <c:v>507024</c:v>
                </c:pt>
              </c:numCache>
            </c:numRef>
          </c:val>
          <c:extLst>
            <c:ext xmlns:c16="http://schemas.microsoft.com/office/drawing/2014/chart" uri="{C3380CC4-5D6E-409C-BE32-E72D297353CC}">
              <c16:uniqueId val="{00000002-9AA5-45E0-BD82-1BEA47B4D8C7}"/>
            </c:ext>
          </c:extLst>
        </c:ser>
        <c:ser>
          <c:idx val="3"/>
          <c:order val="3"/>
          <c:tx>
            <c:strRef>
              <c:f>'Location VUAOC Cost'!$S$3:$S$4</c:f>
              <c:strCache>
                <c:ptCount val="1"/>
                <c:pt idx="0">
                  <c:v>Cairns</c:v>
                </c:pt>
              </c:strCache>
            </c:strRef>
          </c:tx>
          <c:spPr>
            <a:solidFill>
              <a:schemeClr val="accent4"/>
            </a:solidFill>
            <a:ln>
              <a:noFill/>
            </a:ln>
            <a:effectLst/>
          </c:spPr>
          <c:invertIfNegative val="0"/>
          <c:cat>
            <c:strRef>
              <c:f>'Location VUAOC Cost'!$O$5:$O$8</c:f>
              <c:strCache>
                <c:ptCount val="3"/>
                <c:pt idx="0">
                  <c:v>2012</c:v>
                </c:pt>
                <c:pt idx="1">
                  <c:v>2013</c:v>
                </c:pt>
                <c:pt idx="2">
                  <c:v>2014</c:v>
                </c:pt>
              </c:strCache>
            </c:strRef>
          </c:cat>
          <c:val>
            <c:numRef>
              <c:f>'Location VUAOC Cost'!$S$5:$S$8</c:f>
              <c:numCache>
                <c:formatCode>#,##0</c:formatCode>
                <c:ptCount val="3"/>
                <c:pt idx="0">
                  <c:v>198504</c:v>
                </c:pt>
                <c:pt idx="1">
                  <c:v>261915</c:v>
                </c:pt>
                <c:pt idx="2">
                  <c:v>300513</c:v>
                </c:pt>
              </c:numCache>
            </c:numRef>
          </c:val>
          <c:extLst>
            <c:ext xmlns:c16="http://schemas.microsoft.com/office/drawing/2014/chart" uri="{C3380CC4-5D6E-409C-BE32-E72D297353CC}">
              <c16:uniqueId val="{00000003-9AA5-45E0-BD82-1BEA47B4D8C7}"/>
            </c:ext>
          </c:extLst>
        </c:ser>
        <c:dLbls>
          <c:showLegendKey val="0"/>
          <c:showVal val="0"/>
          <c:showCatName val="0"/>
          <c:showSerName val="0"/>
          <c:showPercent val="0"/>
          <c:showBubbleSize val="0"/>
        </c:dLbls>
        <c:gapWidth val="219"/>
        <c:overlap val="-27"/>
        <c:axId val="463627160"/>
        <c:axId val="463628800"/>
      </c:barChart>
      <c:catAx>
        <c:axId val="463627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28800"/>
        <c:crosses val="autoZero"/>
        <c:auto val="1"/>
        <c:lblAlgn val="ctr"/>
        <c:lblOffset val="100"/>
        <c:noMultiLvlLbl val="0"/>
      </c:catAx>
      <c:valAx>
        <c:axId val="463628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627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[Kim_Omega_Business_Modelling.xlsx]Location VUAOC Cost!PivotTable2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Variable Unit Admin Operating Cost (VUAOC ) by Location in 2012 -2014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'Location VUAOC Cost'!$Z$4:$Z$5</c:f>
              <c:strCache>
                <c:ptCount val="1"/>
                <c:pt idx="0">
                  <c:v>Brisbane</c:v>
                </c:pt>
              </c:strCache>
            </c:strRef>
          </c:tx>
          <c:spPr>
            <a:solidFill>
              <a:schemeClr val="accent1"/>
            </a:solidFill>
            <a:ln>
              <a:noFill/>
            </a:ln>
            <a:effectLst/>
          </c:spPr>
          <c:invertIfNegative val="0"/>
          <c:cat>
            <c:strRef>
              <c:f>'Location VUAOC Cost'!$Y$6:$Y$9</c:f>
              <c:strCache>
                <c:ptCount val="3"/>
                <c:pt idx="0">
                  <c:v>2012</c:v>
                </c:pt>
                <c:pt idx="1">
                  <c:v>2013</c:v>
                </c:pt>
                <c:pt idx="2">
                  <c:v>2014</c:v>
                </c:pt>
              </c:strCache>
            </c:strRef>
          </c:cat>
          <c:val>
            <c:numRef>
              <c:f>'Location VUAOC Cost'!$Z$6:$Z$9</c:f>
              <c:numCache>
                <c:formatCode>#,##0</c:formatCode>
                <c:ptCount val="3"/>
                <c:pt idx="0">
                  <c:v>638080</c:v>
                </c:pt>
                <c:pt idx="1">
                  <c:v>614152</c:v>
                </c:pt>
                <c:pt idx="2">
                  <c:v>769684</c:v>
                </c:pt>
              </c:numCache>
            </c:numRef>
          </c:val>
          <c:extLst>
            <c:ext xmlns:c16="http://schemas.microsoft.com/office/drawing/2014/chart" uri="{C3380CC4-5D6E-409C-BE32-E72D297353CC}">
              <c16:uniqueId val="{00000000-2D3B-494E-8E3B-6722B935D3CF}"/>
            </c:ext>
          </c:extLst>
        </c:ser>
        <c:ser>
          <c:idx val="1"/>
          <c:order val="1"/>
          <c:tx>
            <c:strRef>
              <c:f>'Location VUAOC Cost'!$AA$4:$AA$5</c:f>
              <c:strCache>
                <c:ptCount val="1"/>
                <c:pt idx="0">
                  <c:v>Gold Coast</c:v>
                </c:pt>
              </c:strCache>
            </c:strRef>
          </c:tx>
          <c:spPr>
            <a:solidFill>
              <a:schemeClr val="accent2"/>
            </a:solidFill>
            <a:ln>
              <a:noFill/>
            </a:ln>
            <a:effectLst/>
          </c:spPr>
          <c:invertIfNegative val="0"/>
          <c:cat>
            <c:strRef>
              <c:f>'Location VUAOC Cost'!$Y$6:$Y$9</c:f>
              <c:strCache>
                <c:ptCount val="3"/>
                <c:pt idx="0">
                  <c:v>2012</c:v>
                </c:pt>
                <c:pt idx="1">
                  <c:v>2013</c:v>
                </c:pt>
                <c:pt idx="2">
                  <c:v>2014</c:v>
                </c:pt>
              </c:strCache>
            </c:strRef>
          </c:cat>
          <c:val>
            <c:numRef>
              <c:f>'Location VUAOC Cost'!$AA$6:$AA$9</c:f>
              <c:numCache>
                <c:formatCode>#,##0</c:formatCode>
                <c:ptCount val="3"/>
                <c:pt idx="0">
                  <c:v>502379</c:v>
                </c:pt>
                <c:pt idx="1">
                  <c:v>509713</c:v>
                </c:pt>
                <c:pt idx="2">
                  <c:v>506046</c:v>
                </c:pt>
              </c:numCache>
            </c:numRef>
          </c:val>
          <c:extLst>
            <c:ext xmlns:c16="http://schemas.microsoft.com/office/drawing/2014/chart" uri="{C3380CC4-5D6E-409C-BE32-E72D297353CC}">
              <c16:uniqueId val="{00000001-2D3B-494E-8E3B-6722B935D3CF}"/>
            </c:ext>
          </c:extLst>
        </c:ser>
        <c:ser>
          <c:idx val="2"/>
          <c:order val="2"/>
          <c:tx>
            <c:strRef>
              <c:f>'Location VUAOC Cost'!$AB$4:$AB$5</c:f>
              <c:strCache>
                <c:ptCount val="1"/>
                <c:pt idx="0">
                  <c:v>Townsville</c:v>
                </c:pt>
              </c:strCache>
            </c:strRef>
          </c:tx>
          <c:spPr>
            <a:solidFill>
              <a:schemeClr val="accent3"/>
            </a:solidFill>
            <a:ln>
              <a:noFill/>
            </a:ln>
            <a:effectLst/>
          </c:spPr>
          <c:invertIfNegative val="0"/>
          <c:cat>
            <c:strRef>
              <c:f>'Location VUAOC Cost'!$Y$6:$Y$9</c:f>
              <c:strCache>
                <c:ptCount val="3"/>
                <c:pt idx="0">
                  <c:v>2012</c:v>
                </c:pt>
                <c:pt idx="1">
                  <c:v>2013</c:v>
                </c:pt>
                <c:pt idx="2">
                  <c:v>2014</c:v>
                </c:pt>
              </c:strCache>
            </c:strRef>
          </c:cat>
          <c:val>
            <c:numRef>
              <c:f>'Location VUAOC Cost'!$AB$6:$AB$9</c:f>
              <c:numCache>
                <c:formatCode>#,##0</c:formatCode>
                <c:ptCount val="3"/>
                <c:pt idx="0">
                  <c:v>345058</c:v>
                </c:pt>
                <c:pt idx="1">
                  <c:v>334495</c:v>
                </c:pt>
                <c:pt idx="2">
                  <c:v>507024</c:v>
                </c:pt>
              </c:numCache>
            </c:numRef>
          </c:val>
          <c:extLst>
            <c:ext xmlns:c16="http://schemas.microsoft.com/office/drawing/2014/chart" uri="{C3380CC4-5D6E-409C-BE32-E72D297353CC}">
              <c16:uniqueId val="{00000002-2D3B-494E-8E3B-6722B935D3CF}"/>
            </c:ext>
          </c:extLst>
        </c:ser>
        <c:ser>
          <c:idx val="3"/>
          <c:order val="3"/>
          <c:tx>
            <c:strRef>
              <c:f>'Location VUAOC Cost'!$AC$4:$AC$5</c:f>
              <c:strCache>
                <c:ptCount val="1"/>
                <c:pt idx="0">
                  <c:v>Cairns</c:v>
                </c:pt>
              </c:strCache>
            </c:strRef>
          </c:tx>
          <c:spPr>
            <a:solidFill>
              <a:schemeClr val="accent4"/>
            </a:solidFill>
            <a:ln>
              <a:noFill/>
            </a:ln>
            <a:effectLst/>
          </c:spPr>
          <c:invertIfNegative val="0"/>
          <c:cat>
            <c:strRef>
              <c:f>'Location VUAOC Cost'!$Y$6:$Y$9</c:f>
              <c:strCache>
                <c:ptCount val="3"/>
                <c:pt idx="0">
                  <c:v>2012</c:v>
                </c:pt>
                <c:pt idx="1">
                  <c:v>2013</c:v>
                </c:pt>
                <c:pt idx="2">
                  <c:v>2014</c:v>
                </c:pt>
              </c:strCache>
            </c:strRef>
          </c:cat>
          <c:val>
            <c:numRef>
              <c:f>'Location VUAOC Cost'!$AC$6:$AC$9</c:f>
              <c:numCache>
                <c:formatCode>#,##0</c:formatCode>
                <c:ptCount val="3"/>
                <c:pt idx="0">
                  <c:v>198504</c:v>
                </c:pt>
                <c:pt idx="1">
                  <c:v>261915</c:v>
                </c:pt>
                <c:pt idx="2">
                  <c:v>300513</c:v>
                </c:pt>
              </c:numCache>
            </c:numRef>
          </c:val>
          <c:extLst>
            <c:ext xmlns:c16="http://schemas.microsoft.com/office/drawing/2014/chart" uri="{C3380CC4-5D6E-409C-BE32-E72D297353CC}">
              <c16:uniqueId val="{00000003-2D3B-494E-8E3B-6722B935D3CF}"/>
            </c:ext>
          </c:extLst>
        </c:ser>
        <c:dLbls>
          <c:showLegendKey val="0"/>
          <c:showVal val="0"/>
          <c:showCatName val="0"/>
          <c:showSerName val="0"/>
          <c:showPercent val="0"/>
          <c:showBubbleSize val="0"/>
        </c:dLbls>
        <c:gapWidth val="219"/>
        <c:overlap val="-27"/>
        <c:axId val="398554192"/>
        <c:axId val="398553208"/>
      </c:barChart>
      <c:catAx>
        <c:axId val="39855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553208"/>
        <c:crosses val="autoZero"/>
        <c:auto val="1"/>
        <c:lblAlgn val="ctr"/>
        <c:lblOffset val="100"/>
        <c:noMultiLvlLbl val="0"/>
      </c:catAx>
      <c:valAx>
        <c:axId val="398553208"/>
        <c:scaling>
          <c:orientation val="minMax"/>
          <c:max val="80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55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[Kim_Omega_Business_Modelling.xlsx]COGS!PivotTable6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Total Cost of Good Sold(COGS) by location by Year</a:t>
            </a:r>
            <a:r>
              <a:rPr lang="en-US" sz="1400" b="1" i="0" u="none" strike="noStrike" baseline="0"/>
              <a:t>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COGS!$Y$4:$Y$5</c:f>
              <c:strCache>
                <c:ptCount val="1"/>
                <c:pt idx="0">
                  <c:v>Brisbane</c:v>
                </c:pt>
              </c:strCache>
            </c:strRef>
          </c:tx>
          <c:spPr>
            <a:solidFill>
              <a:schemeClr val="accent1"/>
            </a:solidFill>
            <a:ln>
              <a:noFill/>
            </a:ln>
            <a:effectLst/>
          </c:spPr>
          <c:invertIfNegative val="0"/>
          <c:cat>
            <c:strRef>
              <c:f>COGS!$X$6:$X$9</c:f>
              <c:strCache>
                <c:ptCount val="3"/>
                <c:pt idx="0">
                  <c:v>2012</c:v>
                </c:pt>
                <c:pt idx="1">
                  <c:v>2013</c:v>
                </c:pt>
                <c:pt idx="2">
                  <c:v>2014</c:v>
                </c:pt>
              </c:strCache>
            </c:strRef>
          </c:cat>
          <c:val>
            <c:numRef>
              <c:f>COGS!$Y$6:$Y$9</c:f>
              <c:numCache>
                <c:formatCode>#,##0</c:formatCode>
                <c:ptCount val="3"/>
                <c:pt idx="0">
                  <c:v>7187875</c:v>
                </c:pt>
                <c:pt idx="1">
                  <c:v>7127170</c:v>
                </c:pt>
                <c:pt idx="2">
                  <c:v>8252900</c:v>
                </c:pt>
              </c:numCache>
            </c:numRef>
          </c:val>
          <c:extLst>
            <c:ext xmlns:c16="http://schemas.microsoft.com/office/drawing/2014/chart" uri="{C3380CC4-5D6E-409C-BE32-E72D297353CC}">
              <c16:uniqueId val="{00000000-136C-4BEA-9822-5886FEC22758}"/>
            </c:ext>
          </c:extLst>
        </c:ser>
        <c:ser>
          <c:idx val="1"/>
          <c:order val="1"/>
          <c:tx>
            <c:strRef>
              <c:f>COGS!$Z$4:$Z$5</c:f>
              <c:strCache>
                <c:ptCount val="1"/>
                <c:pt idx="0">
                  <c:v>Gold Coast</c:v>
                </c:pt>
              </c:strCache>
            </c:strRef>
          </c:tx>
          <c:spPr>
            <a:solidFill>
              <a:schemeClr val="accent2"/>
            </a:solidFill>
            <a:ln>
              <a:noFill/>
            </a:ln>
            <a:effectLst/>
          </c:spPr>
          <c:invertIfNegative val="0"/>
          <c:cat>
            <c:strRef>
              <c:f>COGS!$X$6:$X$9</c:f>
              <c:strCache>
                <c:ptCount val="3"/>
                <c:pt idx="0">
                  <c:v>2012</c:v>
                </c:pt>
                <c:pt idx="1">
                  <c:v>2013</c:v>
                </c:pt>
                <c:pt idx="2">
                  <c:v>2014</c:v>
                </c:pt>
              </c:strCache>
            </c:strRef>
          </c:cat>
          <c:val>
            <c:numRef>
              <c:f>COGS!$Z$6:$Z$9</c:f>
              <c:numCache>
                <c:formatCode>#,##0</c:formatCode>
                <c:ptCount val="3"/>
                <c:pt idx="0">
                  <c:v>5497360</c:v>
                </c:pt>
                <c:pt idx="1">
                  <c:v>5131710</c:v>
                </c:pt>
                <c:pt idx="2">
                  <c:v>4357940</c:v>
                </c:pt>
              </c:numCache>
            </c:numRef>
          </c:val>
          <c:extLst>
            <c:ext xmlns:c16="http://schemas.microsoft.com/office/drawing/2014/chart" uri="{C3380CC4-5D6E-409C-BE32-E72D297353CC}">
              <c16:uniqueId val="{00000001-136C-4BEA-9822-5886FEC22758}"/>
            </c:ext>
          </c:extLst>
        </c:ser>
        <c:ser>
          <c:idx val="2"/>
          <c:order val="2"/>
          <c:tx>
            <c:strRef>
              <c:f>COGS!$AA$4:$AA$5</c:f>
              <c:strCache>
                <c:ptCount val="1"/>
                <c:pt idx="0">
                  <c:v>Townsville</c:v>
                </c:pt>
              </c:strCache>
            </c:strRef>
          </c:tx>
          <c:spPr>
            <a:solidFill>
              <a:schemeClr val="accent3"/>
            </a:solidFill>
            <a:ln>
              <a:noFill/>
            </a:ln>
            <a:effectLst/>
          </c:spPr>
          <c:invertIfNegative val="0"/>
          <c:cat>
            <c:strRef>
              <c:f>COGS!$X$6:$X$9</c:f>
              <c:strCache>
                <c:ptCount val="3"/>
                <c:pt idx="0">
                  <c:v>2012</c:v>
                </c:pt>
                <c:pt idx="1">
                  <c:v>2013</c:v>
                </c:pt>
                <c:pt idx="2">
                  <c:v>2014</c:v>
                </c:pt>
              </c:strCache>
            </c:strRef>
          </c:cat>
          <c:val>
            <c:numRef>
              <c:f>COGS!$AA$6:$AA$9</c:f>
              <c:numCache>
                <c:formatCode>#,##0</c:formatCode>
                <c:ptCount val="3"/>
                <c:pt idx="0">
                  <c:v>3461355</c:v>
                </c:pt>
                <c:pt idx="1">
                  <c:v>3863560</c:v>
                </c:pt>
                <c:pt idx="2">
                  <c:v>4680620</c:v>
                </c:pt>
              </c:numCache>
            </c:numRef>
          </c:val>
          <c:extLst>
            <c:ext xmlns:c16="http://schemas.microsoft.com/office/drawing/2014/chart" uri="{C3380CC4-5D6E-409C-BE32-E72D297353CC}">
              <c16:uniqueId val="{00000002-136C-4BEA-9822-5886FEC22758}"/>
            </c:ext>
          </c:extLst>
        </c:ser>
        <c:ser>
          <c:idx val="3"/>
          <c:order val="3"/>
          <c:tx>
            <c:strRef>
              <c:f>COGS!$AB$4:$AB$5</c:f>
              <c:strCache>
                <c:ptCount val="1"/>
                <c:pt idx="0">
                  <c:v>Cairns</c:v>
                </c:pt>
              </c:strCache>
            </c:strRef>
          </c:tx>
          <c:spPr>
            <a:solidFill>
              <a:schemeClr val="accent4"/>
            </a:solidFill>
            <a:ln>
              <a:noFill/>
            </a:ln>
            <a:effectLst/>
          </c:spPr>
          <c:invertIfNegative val="0"/>
          <c:cat>
            <c:strRef>
              <c:f>COGS!$X$6:$X$9</c:f>
              <c:strCache>
                <c:ptCount val="3"/>
                <c:pt idx="0">
                  <c:v>2012</c:v>
                </c:pt>
                <c:pt idx="1">
                  <c:v>2013</c:v>
                </c:pt>
                <c:pt idx="2">
                  <c:v>2014</c:v>
                </c:pt>
              </c:strCache>
            </c:strRef>
          </c:cat>
          <c:val>
            <c:numRef>
              <c:f>COGS!$AB$6:$AB$9</c:f>
              <c:numCache>
                <c:formatCode>#,##0</c:formatCode>
                <c:ptCount val="3"/>
                <c:pt idx="0">
                  <c:v>3058185</c:v>
                </c:pt>
                <c:pt idx="1">
                  <c:v>3486755</c:v>
                </c:pt>
                <c:pt idx="2">
                  <c:v>4782695</c:v>
                </c:pt>
              </c:numCache>
            </c:numRef>
          </c:val>
          <c:extLst>
            <c:ext xmlns:c16="http://schemas.microsoft.com/office/drawing/2014/chart" uri="{C3380CC4-5D6E-409C-BE32-E72D297353CC}">
              <c16:uniqueId val="{00000003-136C-4BEA-9822-5886FEC22758}"/>
            </c:ext>
          </c:extLst>
        </c:ser>
        <c:dLbls>
          <c:showLegendKey val="0"/>
          <c:showVal val="0"/>
          <c:showCatName val="0"/>
          <c:showSerName val="0"/>
          <c:showPercent val="0"/>
          <c:showBubbleSize val="0"/>
        </c:dLbls>
        <c:gapWidth val="150"/>
        <c:axId val="450541312"/>
        <c:axId val="408045016"/>
      </c:barChart>
      <c:catAx>
        <c:axId val="4505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045016"/>
        <c:crosses val="autoZero"/>
        <c:auto val="1"/>
        <c:lblAlgn val="ctr"/>
        <c:lblOffset val="100"/>
        <c:noMultiLvlLbl val="0"/>
      </c:catAx>
      <c:valAx>
        <c:axId val="408045016"/>
        <c:scaling>
          <c:orientation val="minMax"/>
          <c:max val="850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4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[Kim_Omega_Business_Modelling.xlsx]Total Operating Cost!PivotTable9</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baseline="0">
                <a:effectLst/>
              </a:rPr>
              <a:t>Total Operating Cost by Location by Year</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'Total Operating Cost'!$J$15:$J$16</c:f>
              <c:strCache>
                <c:ptCount val="1"/>
                <c:pt idx="0">
                  <c:v>Brisbane</c:v>
                </c:pt>
              </c:strCache>
            </c:strRef>
          </c:tx>
          <c:spPr>
            <a:solidFill>
              <a:schemeClr val="accent1"/>
            </a:solidFill>
            <a:ln>
              <a:noFill/>
            </a:ln>
            <a:effectLst/>
          </c:spPr>
          <c:invertIfNegative val="0"/>
          <c:cat>
            <c:strRef>
              <c:f>'Total Operating Cost'!$I$17:$I$20</c:f>
              <c:strCache>
                <c:ptCount val="3"/>
                <c:pt idx="0">
                  <c:v>2012</c:v>
                </c:pt>
                <c:pt idx="1">
                  <c:v>2013</c:v>
                </c:pt>
                <c:pt idx="2">
                  <c:v>2014</c:v>
                </c:pt>
              </c:strCache>
            </c:strRef>
          </c:cat>
          <c:val>
            <c:numRef>
              <c:f>'Total Operating Cost'!$J$17:$J$20</c:f>
              <c:numCache>
                <c:formatCode>#,##0</c:formatCode>
                <c:ptCount val="3"/>
                <c:pt idx="0">
                  <c:v>8955955</c:v>
                </c:pt>
                <c:pt idx="1">
                  <c:v>8896322</c:v>
                </c:pt>
                <c:pt idx="2">
                  <c:v>10216584</c:v>
                </c:pt>
              </c:numCache>
            </c:numRef>
          </c:val>
          <c:extLst>
            <c:ext xmlns:c16="http://schemas.microsoft.com/office/drawing/2014/chart" uri="{C3380CC4-5D6E-409C-BE32-E72D297353CC}">
              <c16:uniqueId val="{00000000-E803-4600-881B-CBA67CE3E82A}"/>
            </c:ext>
          </c:extLst>
        </c:ser>
        <c:ser>
          <c:idx val="1"/>
          <c:order val="1"/>
          <c:tx>
            <c:strRef>
              <c:f>'Total Operating Cost'!$K$15:$K$16</c:f>
              <c:strCache>
                <c:ptCount val="1"/>
                <c:pt idx="0">
                  <c:v>Gold Coast</c:v>
                </c:pt>
              </c:strCache>
            </c:strRef>
          </c:tx>
          <c:spPr>
            <a:solidFill>
              <a:schemeClr val="accent2"/>
            </a:solidFill>
            <a:ln>
              <a:noFill/>
            </a:ln>
            <a:effectLst/>
          </c:spPr>
          <c:invertIfNegative val="0"/>
          <c:cat>
            <c:strRef>
              <c:f>'Total Operating Cost'!$I$17:$I$20</c:f>
              <c:strCache>
                <c:ptCount val="3"/>
                <c:pt idx="0">
                  <c:v>2012</c:v>
                </c:pt>
                <c:pt idx="1">
                  <c:v>2013</c:v>
                </c:pt>
                <c:pt idx="2">
                  <c:v>2014</c:v>
                </c:pt>
              </c:strCache>
            </c:strRef>
          </c:cat>
          <c:val>
            <c:numRef>
              <c:f>'Total Operating Cost'!$K$17:$K$20</c:f>
              <c:numCache>
                <c:formatCode>#,##0</c:formatCode>
                <c:ptCount val="3"/>
                <c:pt idx="0">
                  <c:v>7051739</c:v>
                </c:pt>
                <c:pt idx="1">
                  <c:v>6711423</c:v>
                </c:pt>
                <c:pt idx="2">
                  <c:v>5964986</c:v>
                </c:pt>
              </c:numCache>
            </c:numRef>
          </c:val>
          <c:extLst>
            <c:ext xmlns:c16="http://schemas.microsoft.com/office/drawing/2014/chart" uri="{C3380CC4-5D6E-409C-BE32-E72D297353CC}">
              <c16:uniqueId val="{00000001-E803-4600-881B-CBA67CE3E82A}"/>
            </c:ext>
          </c:extLst>
        </c:ser>
        <c:ser>
          <c:idx val="2"/>
          <c:order val="2"/>
          <c:tx>
            <c:strRef>
              <c:f>'Total Operating Cost'!$L$15:$L$16</c:f>
              <c:strCache>
                <c:ptCount val="1"/>
                <c:pt idx="0">
                  <c:v>Townsville</c:v>
                </c:pt>
              </c:strCache>
            </c:strRef>
          </c:tx>
          <c:spPr>
            <a:solidFill>
              <a:schemeClr val="accent3"/>
            </a:solidFill>
            <a:ln>
              <a:noFill/>
            </a:ln>
            <a:effectLst/>
          </c:spPr>
          <c:invertIfNegative val="0"/>
          <c:cat>
            <c:strRef>
              <c:f>'Total Operating Cost'!$I$17:$I$20</c:f>
              <c:strCache>
                <c:ptCount val="3"/>
                <c:pt idx="0">
                  <c:v>2012</c:v>
                </c:pt>
                <c:pt idx="1">
                  <c:v>2013</c:v>
                </c:pt>
                <c:pt idx="2">
                  <c:v>2014</c:v>
                </c:pt>
              </c:strCache>
            </c:strRef>
          </c:cat>
          <c:val>
            <c:numRef>
              <c:f>'Total Operating Cost'!$L$17:$L$20</c:f>
              <c:numCache>
                <c:formatCode>#,##0</c:formatCode>
                <c:ptCount val="3"/>
                <c:pt idx="0">
                  <c:v>4401413</c:v>
                </c:pt>
                <c:pt idx="1">
                  <c:v>4817055</c:v>
                </c:pt>
                <c:pt idx="2">
                  <c:v>5829644</c:v>
                </c:pt>
              </c:numCache>
            </c:numRef>
          </c:val>
          <c:extLst>
            <c:ext xmlns:c16="http://schemas.microsoft.com/office/drawing/2014/chart" uri="{C3380CC4-5D6E-409C-BE32-E72D297353CC}">
              <c16:uniqueId val="{00000002-E803-4600-881B-CBA67CE3E82A}"/>
            </c:ext>
          </c:extLst>
        </c:ser>
        <c:ser>
          <c:idx val="3"/>
          <c:order val="3"/>
          <c:tx>
            <c:strRef>
              <c:f>'Total Operating Cost'!$M$15:$M$16</c:f>
              <c:strCache>
                <c:ptCount val="1"/>
                <c:pt idx="0">
                  <c:v>Cairns</c:v>
                </c:pt>
              </c:strCache>
            </c:strRef>
          </c:tx>
          <c:spPr>
            <a:solidFill>
              <a:schemeClr val="accent4"/>
            </a:solidFill>
            <a:ln>
              <a:noFill/>
            </a:ln>
            <a:effectLst/>
          </c:spPr>
          <c:invertIfNegative val="0"/>
          <c:cat>
            <c:strRef>
              <c:f>'Total Operating Cost'!$I$17:$I$20</c:f>
              <c:strCache>
                <c:ptCount val="3"/>
                <c:pt idx="0">
                  <c:v>2012</c:v>
                </c:pt>
                <c:pt idx="1">
                  <c:v>2013</c:v>
                </c:pt>
                <c:pt idx="2">
                  <c:v>2014</c:v>
                </c:pt>
              </c:strCache>
            </c:strRef>
          </c:cat>
          <c:val>
            <c:numRef>
              <c:f>'Total Operating Cost'!$M$17:$M$20</c:f>
              <c:numCache>
                <c:formatCode>#,##0</c:formatCode>
                <c:ptCount val="3"/>
                <c:pt idx="0">
                  <c:v>3758689</c:v>
                </c:pt>
                <c:pt idx="1">
                  <c:v>4262670</c:v>
                </c:pt>
                <c:pt idx="2">
                  <c:v>5614208</c:v>
                </c:pt>
              </c:numCache>
            </c:numRef>
          </c:val>
          <c:extLst>
            <c:ext xmlns:c16="http://schemas.microsoft.com/office/drawing/2014/chart" uri="{C3380CC4-5D6E-409C-BE32-E72D297353CC}">
              <c16:uniqueId val="{00000003-E803-4600-881B-CBA67CE3E82A}"/>
            </c:ext>
          </c:extLst>
        </c:ser>
        <c:dLbls>
          <c:showLegendKey val="0"/>
          <c:showVal val="0"/>
          <c:showCatName val="0"/>
          <c:showSerName val="0"/>
          <c:showPercent val="0"/>
          <c:showBubbleSize val="0"/>
        </c:dLbls>
        <c:gapWidth val="219"/>
        <c:overlap val="-27"/>
        <c:axId val="299761192"/>
        <c:axId val="299768736"/>
      </c:barChart>
      <c:catAx>
        <c:axId val="299761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68736"/>
        <c:crosses val="autoZero"/>
        <c:auto val="1"/>
        <c:lblAlgn val="ctr"/>
        <c:lblOffset val="100"/>
        <c:noMultiLvlLbl val="0"/>
      </c:catAx>
      <c:valAx>
        <c:axId val="299768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61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[Kim_Omega_Business_Modelling.xlsx]Sales and Revenue!PivotTable10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Total Revenue by Location by Year</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s>
    <c:plotArea>
      <c:layout/>
      <c:barChart>
        <c:barDir val="col"/>
        <c:grouping val="clustered"/>
        <c:varyColors val="0"/>
        <c:ser>
          <c:idx val="0"/>
          <c:order val="0"/>
          <c:tx>
            <c:strRef>
              <c:f>'Sales and Revenue'!$Y$3:$Y$4</c:f>
              <c:strCache>
                <c:ptCount val="1"/>
                <c:pt idx="0">
                  <c:v>Brisbane</c:v>
                </c:pt>
              </c:strCache>
            </c:strRef>
          </c:tx>
          <c:spPr>
            <a:solidFill>
              <a:schemeClr val="accent1"/>
            </a:solidFill>
            <a:ln>
              <a:noFill/>
            </a:ln>
            <a:effectLst/>
          </c:spPr>
          <c:invertIfNegative val="0"/>
          <c:cat>
            <c:strRef>
              <c:f>'Sales and Revenue'!$X$5:$X$8</c:f>
              <c:strCache>
                <c:ptCount val="3"/>
                <c:pt idx="0">
                  <c:v>2012</c:v>
                </c:pt>
                <c:pt idx="1">
                  <c:v>2013</c:v>
                </c:pt>
                <c:pt idx="2">
                  <c:v>2014</c:v>
                </c:pt>
              </c:strCache>
            </c:strRef>
          </c:cat>
          <c:val>
            <c:numRef>
              <c:f>'Sales and Revenue'!$Y$5:$Y$8</c:f>
              <c:numCache>
                <c:formatCode>#,##0</c:formatCode>
                <c:ptCount val="3"/>
                <c:pt idx="0">
                  <c:v>9416330</c:v>
                </c:pt>
                <c:pt idx="1">
                  <c:v>9364870</c:v>
                </c:pt>
                <c:pt idx="2">
                  <c:v>10833550</c:v>
                </c:pt>
              </c:numCache>
            </c:numRef>
          </c:val>
          <c:extLst>
            <c:ext xmlns:c16="http://schemas.microsoft.com/office/drawing/2014/chart" uri="{C3380CC4-5D6E-409C-BE32-E72D297353CC}">
              <c16:uniqueId val="{00000000-1CB4-431E-82FC-555D78F19C4E}"/>
            </c:ext>
          </c:extLst>
        </c:ser>
        <c:ser>
          <c:idx val="1"/>
          <c:order val="1"/>
          <c:tx>
            <c:strRef>
              <c:f>'Sales and Revenue'!$Z$3:$Z$4</c:f>
              <c:strCache>
                <c:ptCount val="1"/>
                <c:pt idx="0">
                  <c:v>Gold Coast</c:v>
                </c:pt>
              </c:strCache>
            </c:strRef>
          </c:tx>
          <c:spPr>
            <a:solidFill>
              <a:schemeClr val="accent2"/>
            </a:solidFill>
            <a:ln>
              <a:noFill/>
            </a:ln>
            <a:effectLst/>
          </c:spPr>
          <c:invertIfNegative val="0"/>
          <c:cat>
            <c:strRef>
              <c:f>'Sales and Revenue'!$X$5:$X$8</c:f>
              <c:strCache>
                <c:ptCount val="3"/>
                <c:pt idx="0">
                  <c:v>2012</c:v>
                </c:pt>
                <c:pt idx="1">
                  <c:v>2013</c:v>
                </c:pt>
                <c:pt idx="2">
                  <c:v>2014</c:v>
                </c:pt>
              </c:strCache>
            </c:strRef>
          </c:cat>
          <c:val>
            <c:numRef>
              <c:f>'Sales and Revenue'!$Z$5:$Z$8</c:f>
              <c:numCache>
                <c:formatCode>#,##0</c:formatCode>
                <c:ptCount val="3"/>
                <c:pt idx="0">
                  <c:v>7200320</c:v>
                </c:pt>
                <c:pt idx="1">
                  <c:v>6704770</c:v>
                </c:pt>
                <c:pt idx="2">
                  <c:v>5688700</c:v>
                </c:pt>
              </c:numCache>
            </c:numRef>
          </c:val>
          <c:extLst>
            <c:ext xmlns:c16="http://schemas.microsoft.com/office/drawing/2014/chart" uri="{C3380CC4-5D6E-409C-BE32-E72D297353CC}">
              <c16:uniqueId val="{00000004-86CF-4AFB-A2B8-C7BE18ED808F}"/>
            </c:ext>
          </c:extLst>
        </c:ser>
        <c:ser>
          <c:idx val="2"/>
          <c:order val="2"/>
          <c:tx>
            <c:strRef>
              <c:f>'Sales and Revenue'!$AA$3:$AA$4</c:f>
              <c:strCache>
                <c:ptCount val="1"/>
                <c:pt idx="0">
                  <c:v>Townsville</c:v>
                </c:pt>
              </c:strCache>
            </c:strRef>
          </c:tx>
          <c:spPr>
            <a:solidFill>
              <a:schemeClr val="accent3"/>
            </a:solidFill>
            <a:ln>
              <a:noFill/>
            </a:ln>
            <a:effectLst/>
          </c:spPr>
          <c:invertIfNegative val="0"/>
          <c:cat>
            <c:strRef>
              <c:f>'Sales and Revenue'!$X$5:$X$8</c:f>
              <c:strCache>
                <c:ptCount val="3"/>
                <c:pt idx="0">
                  <c:v>2012</c:v>
                </c:pt>
                <c:pt idx="1">
                  <c:v>2013</c:v>
                </c:pt>
                <c:pt idx="2">
                  <c:v>2014</c:v>
                </c:pt>
              </c:strCache>
            </c:strRef>
          </c:cat>
          <c:val>
            <c:numRef>
              <c:f>'Sales and Revenue'!$AA$5:$AA$8</c:f>
              <c:numCache>
                <c:formatCode>#,##0</c:formatCode>
                <c:ptCount val="3"/>
                <c:pt idx="0">
                  <c:v>4536080</c:v>
                </c:pt>
                <c:pt idx="1">
                  <c:v>5047230</c:v>
                </c:pt>
                <c:pt idx="2">
                  <c:v>6112710</c:v>
                </c:pt>
              </c:numCache>
            </c:numRef>
          </c:val>
          <c:extLst>
            <c:ext xmlns:c16="http://schemas.microsoft.com/office/drawing/2014/chart" uri="{C3380CC4-5D6E-409C-BE32-E72D297353CC}">
              <c16:uniqueId val="{00000005-86CF-4AFB-A2B8-C7BE18ED808F}"/>
            </c:ext>
          </c:extLst>
        </c:ser>
        <c:ser>
          <c:idx val="3"/>
          <c:order val="3"/>
          <c:tx>
            <c:strRef>
              <c:f>'Sales and Revenue'!$AB$3:$AB$4</c:f>
              <c:strCache>
                <c:ptCount val="1"/>
                <c:pt idx="0">
                  <c:v>Cairns</c:v>
                </c:pt>
              </c:strCache>
            </c:strRef>
          </c:tx>
          <c:spPr>
            <a:solidFill>
              <a:schemeClr val="accent4"/>
            </a:solidFill>
            <a:ln>
              <a:noFill/>
            </a:ln>
            <a:effectLst/>
          </c:spPr>
          <c:invertIfNegative val="0"/>
          <c:cat>
            <c:strRef>
              <c:f>'Sales and Revenue'!$X$5:$X$8</c:f>
              <c:strCache>
                <c:ptCount val="3"/>
                <c:pt idx="0">
                  <c:v>2012</c:v>
                </c:pt>
                <c:pt idx="1">
                  <c:v>2013</c:v>
                </c:pt>
                <c:pt idx="2">
                  <c:v>2014</c:v>
                </c:pt>
              </c:strCache>
            </c:strRef>
          </c:cat>
          <c:val>
            <c:numRef>
              <c:f>'Sales and Revenue'!$AB$5:$AB$8</c:f>
              <c:numCache>
                <c:formatCode>#,##0</c:formatCode>
                <c:ptCount val="3"/>
                <c:pt idx="0">
                  <c:v>4022670</c:v>
                </c:pt>
                <c:pt idx="1">
                  <c:v>4555770</c:v>
                </c:pt>
                <c:pt idx="2">
                  <c:v>6283310</c:v>
                </c:pt>
              </c:numCache>
            </c:numRef>
          </c:val>
          <c:extLst>
            <c:ext xmlns:c16="http://schemas.microsoft.com/office/drawing/2014/chart" uri="{C3380CC4-5D6E-409C-BE32-E72D297353CC}">
              <c16:uniqueId val="{00000006-86CF-4AFB-A2B8-C7BE18ED808F}"/>
            </c:ext>
          </c:extLst>
        </c:ser>
        <c:dLbls>
          <c:showLegendKey val="0"/>
          <c:showVal val="0"/>
          <c:showCatName val="0"/>
          <c:showSerName val="0"/>
          <c:showPercent val="0"/>
          <c:showBubbleSize val="0"/>
        </c:dLbls>
        <c:gapWidth val="150"/>
        <c:axId val="454657328"/>
        <c:axId val="454657984"/>
      </c:barChart>
      <c:catAx>
        <c:axId val="4546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57984"/>
        <c:crosses val="autoZero"/>
        <c:auto val="1"/>
        <c:lblAlgn val="ctr"/>
        <c:lblOffset val="100"/>
        <c:noMultiLvlLbl val="0"/>
      </c:catAx>
      <c:valAx>
        <c:axId val="454657984"/>
        <c:scaling>
          <c:orientation val="minMax"/>
          <c:max val="11000000"/>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57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[Kim_Omega_Business_Modelling.xlsx]Financial Performance - Profit$!PivotTable12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Forecast Financial Performance in 2015</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 Performance - Profit$'!$C$11:$C$12</c:f>
              <c:strCache>
                <c:ptCount val="1"/>
                <c:pt idx="0">
                  <c:v>2012</c:v>
                </c:pt>
              </c:strCache>
            </c:strRef>
          </c:tx>
          <c:spPr>
            <a:solidFill>
              <a:schemeClr val="accent1"/>
            </a:solidFill>
            <a:ln>
              <a:noFill/>
            </a:ln>
            <a:effectLst/>
          </c:spPr>
          <c:invertIfNegative val="0"/>
          <c:cat>
            <c:strRef>
              <c:f>'Financial Performance - Profit$'!$B$13:$B$23</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Profit$'!$C$13:$C$23</c:f>
              <c:numCache>
                <c:formatCode>#,##0</c:formatCode>
                <c:ptCount val="10"/>
                <c:pt idx="0">
                  <c:v>25175400</c:v>
                </c:pt>
                <c:pt idx="1">
                  <c:v>19204775</c:v>
                </c:pt>
                <c:pt idx="2">
                  <c:v>5970625</c:v>
                </c:pt>
                <c:pt idx="3">
                  <c:v>2164000</c:v>
                </c:pt>
                <c:pt idx="4">
                  <c:v>830000</c:v>
                </c:pt>
                <c:pt idx="5">
                  <c:v>285000</c:v>
                </c:pt>
                <c:pt idx="6">
                  <c:v>1684021</c:v>
                </c:pt>
                <c:pt idx="7">
                  <c:v>4963021</c:v>
                </c:pt>
                <c:pt idx="8">
                  <c:v>24167796</c:v>
                </c:pt>
                <c:pt idx="9">
                  <c:v>1007604</c:v>
                </c:pt>
              </c:numCache>
            </c:numRef>
          </c:val>
          <c:extLst>
            <c:ext xmlns:c16="http://schemas.microsoft.com/office/drawing/2014/chart" uri="{C3380CC4-5D6E-409C-BE32-E72D297353CC}">
              <c16:uniqueId val="{00000000-0511-452A-A084-555ADE80CF7D}"/>
            </c:ext>
          </c:extLst>
        </c:ser>
        <c:ser>
          <c:idx val="1"/>
          <c:order val="1"/>
          <c:tx>
            <c:strRef>
              <c:f>'Financial Performance - Profit$'!$D$11:$D$12</c:f>
              <c:strCache>
                <c:ptCount val="1"/>
                <c:pt idx="0">
                  <c:v>2013</c:v>
                </c:pt>
              </c:strCache>
            </c:strRef>
          </c:tx>
          <c:spPr>
            <a:solidFill>
              <a:schemeClr val="accent2"/>
            </a:solidFill>
            <a:ln>
              <a:noFill/>
            </a:ln>
            <a:effectLst/>
          </c:spPr>
          <c:invertIfNegative val="0"/>
          <c:cat>
            <c:strRef>
              <c:f>'Financial Performance - Profit$'!$B$13:$B$23</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Profit$'!$D$13:$D$23</c:f>
              <c:numCache>
                <c:formatCode>#,##0</c:formatCode>
                <c:ptCount val="10"/>
                <c:pt idx="0">
                  <c:v>25672640</c:v>
                </c:pt>
                <c:pt idx="1">
                  <c:v>19609195</c:v>
                </c:pt>
                <c:pt idx="2">
                  <c:v>6063445</c:v>
                </c:pt>
                <c:pt idx="3">
                  <c:v>2238000</c:v>
                </c:pt>
                <c:pt idx="4">
                  <c:v>830000</c:v>
                </c:pt>
                <c:pt idx="5">
                  <c:v>290000</c:v>
                </c:pt>
                <c:pt idx="6">
                  <c:v>1720275</c:v>
                </c:pt>
                <c:pt idx="7">
                  <c:v>5078275</c:v>
                </c:pt>
                <c:pt idx="8">
                  <c:v>24687470</c:v>
                </c:pt>
                <c:pt idx="9">
                  <c:v>985170</c:v>
                </c:pt>
              </c:numCache>
            </c:numRef>
          </c:val>
          <c:extLst>
            <c:ext xmlns:c16="http://schemas.microsoft.com/office/drawing/2014/chart" uri="{C3380CC4-5D6E-409C-BE32-E72D297353CC}">
              <c16:uniqueId val="{00000040-89A1-4E55-988F-F40740CDD20D}"/>
            </c:ext>
          </c:extLst>
        </c:ser>
        <c:ser>
          <c:idx val="2"/>
          <c:order val="2"/>
          <c:tx>
            <c:strRef>
              <c:f>'Financial Performance - Profit$'!$E$11:$E$12</c:f>
              <c:strCache>
                <c:ptCount val="1"/>
                <c:pt idx="0">
                  <c:v>2014</c:v>
                </c:pt>
              </c:strCache>
            </c:strRef>
          </c:tx>
          <c:spPr>
            <a:solidFill>
              <a:schemeClr val="accent3"/>
            </a:solidFill>
            <a:ln>
              <a:noFill/>
            </a:ln>
            <a:effectLst/>
          </c:spPr>
          <c:invertIfNegative val="0"/>
          <c:cat>
            <c:strRef>
              <c:f>'Financial Performance - Profit$'!$B$13:$B$23</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Profit$'!$E$13:$E$23</c:f>
              <c:numCache>
                <c:formatCode>#,##0</c:formatCode>
                <c:ptCount val="10"/>
                <c:pt idx="0">
                  <c:v>28918270</c:v>
                </c:pt>
                <c:pt idx="1">
                  <c:v>22074155</c:v>
                </c:pt>
                <c:pt idx="2">
                  <c:v>6844115</c:v>
                </c:pt>
                <c:pt idx="3">
                  <c:v>2336000</c:v>
                </c:pt>
                <c:pt idx="4">
                  <c:v>830000</c:v>
                </c:pt>
                <c:pt idx="5">
                  <c:v>302000</c:v>
                </c:pt>
                <c:pt idx="6">
                  <c:v>2083267</c:v>
                </c:pt>
                <c:pt idx="7">
                  <c:v>5551267</c:v>
                </c:pt>
                <c:pt idx="8">
                  <c:v>27625422</c:v>
                </c:pt>
                <c:pt idx="9">
                  <c:v>1292848</c:v>
                </c:pt>
              </c:numCache>
            </c:numRef>
          </c:val>
          <c:extLst>
            <c:ext xmlns:c16="http://schemas.microsoft.com/office/drawing/2014/chart" uri="{C3380CC4-5D6E-409C-BE32-E72D297353CC}">
              <c16:uniqueId val="{00000041-89A1-4E55-988F-F40740CDD20D}"/>
            </c:ext>
          </c:extLst>
        </c:ser>
        <c:dLbls>
          <c:showLegendKey val="0"/>
          <c:showVal val="0"/>
          <c:showCatName val="0"/>
          <c:showSerName val="0"/>
          <c:showPercent val="0"/>
          <c:showBubbleSize val="0"/>
        </c:dLbls>
        <c:gapWidth val="150"/>
        <c:axId val="412631928"/>
        <c:axId val="412628320"/>
      </c:barChart>
      <c:catAx>
        <c:axId val="412631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28320"/>
        <c:crosses val="autoZero"/>
        <c:auto val="1"/>
        <c:lblAlgn val="ctr"/>
        <c:lblOffset val="100"/>
        <c:noMultiLvlLbl val="0"/>
      </c:catAx>
      <c:valAx>
        <c:axId val="412628320"/>
        <c:scaling>
          <c:orientation val="minMax"/>
          <c:max val="3000000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31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[Kim_Omega_Business_Modelling.xlsx]Financial Performance - Profit$!PivotTable13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Income by Location from 2012 - 2014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'Financial Performance - Profit$'!$C$47:$C$48</c:f>
              <c:strCache>
                <c:ptCount val="1"/>
                <c:pt idx="0">
                  <c:v>Brisbane</c:v>
                </c:pt>
              </c:strCache>
            </c:strRef>
          </c:tx>
          <c:spPr>
            <a:solidFill>
              <a:schemeClr val="accent1"/>
            </a:solidFill>
            <a:ln>
              <a:noFill/>
            </a:ln>
            <a:effectLst/>
          </c:spPr>
          <c:invertIfNegative val="0"/>
          <c:cat>
            <c:strRef>
              <c:f>'Financial Performance - Profit$'!$B$49:$B$59</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Profit$'!$C$49:$C$59</c:f>
              <c:numCache>
                <c:formatCode>#,##0</c:formatCode>
                <c:ptCount val="10"/>
                <c:pt idx="0">
                  <c:v>29614750</c:v>
                </c:pt>
                <c:pt idx="1">
                  <c:v>22567945</c:v>
                </c:pt>
                <c:pt idx="2">
                  <c:v>7046805</c:v>
                </c:pt>
                <c:pt idx="3">
                  <c:v>2289000</c:v>
                </c:pt>
                <c:pt idx="4">
                  <c:v>900000</c:v>
                </c:pt>
                <c:pt idx="5">
                  <c:v>290000</c:v>
                </c:pt>
                <c:pt idx="6">
                  <c:v>2021916</c:v>
                </c:pt>
                <c:pt idx="7">
                  <c:v>5500916</c:v>
                </c:pt>
                <c:pt idx="8">
                  <c:v>28068861</c:v>
                </c:pt>
                <c:pt idx="9">
                  <c:v>1545889</c:v>
                </c:pt>
              </c:numCache>
            </c:numRef>
          </c:val>
          <c:extLst>
            <c:ext xmlns:c16="http://schemas.microsoft.com/office/drawing/2014/chart" uri="{C3380CC4-5D6E-409C-BE32-E72D297353CC}">
              <c16:uniqueId val="{00000000-C9FE-4DE7-918B-966EDB423B15}"/>
            </c:ext>
          </c:extLst>
        </c:ser>
        <c:ser>
          <c:idx val="1"/>
          <c:order val="1"/>
          <c:tx>
            <c:strRef>
              <c:f>'Financial Performance - Profit$'!$D$47:$D$48</c:f>
              <c:strCache>
                <c:ptCount val="1"/>
                <c:pt idx="0">
                  <c:v>Gold Coast</c:v>
                </c:pt>
              </c:strCache>
            </c:strRef>
          </c:tx>
          <c:spPr>
            <a:solidFill>
              <a:schemeClr val="accent2"/>
            </a:solidFill>
            <a:ln>
              <a:noFill/>
            </a:ln>
            <a:effectLst/>
          </c:spPr>
          <c:invertIfNegative val="0"/>
          <c:cat>
            <c:strRef>
              <c:f>'Financial Performance - Profit$'!$B$49:$B$59</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Profit$'!$D$49:$D$59</c:f>
              <c:numCache>
                <c:formatCode>#,##0</c:formatCode>
                <c:ptCount val="10"/>
                <c:pt idx="0">
                  <c:v>19593790</c:v>
                </c:pt>
                <c:pt idx="1">
                  <c:v>14987010</c:v>
                </c:pt>
                <c:pt idx="2">
                  <c:v>4606780</c:v>
                </c:pt>
                <c:pt idx="3">
                  <c:v>2108000</c:v>
                </c:pt>
                <c:pt idx="4">
                  <c:v>855000</c:v>
                </c:pt>
                <c:pt idx="5">
                  <c:v>260000</c:v>
                </c:pt>
                <c:pt idx="6">
                  <c:v>1518138</c:v>
                </c:pt>
                <c:pt idx="7">
                  <c:v>4741138</c:v>
                </c:pt>
                <c:pt idx="8">
                  <c:v>19728148</c:v>
                </c:pt>
                <c:pt idx="9">
                  <c:v>-134358</c:v>
                </c:pt>
              </c:numCache>
            </c:numRef>
          </c:val>
          <c:extLst>
            <c:ext xmlns:c16="http://schemas.microsoft.com/office/drawing/2014/chart" uri="{C3380CC4-5D6E-409C-BE32-E72D297353CC}">
              <c16:uniqueId val="{00000001-C9FE-4DE7-918B-966EDB423B15}"/>
            </c:ext>
          </c:extLst>
        </c:ser>
        <c:ser>
          <c:idx val="2"/>
          <c:order val="2"/>
          <c:tx>
            <c:strRef>
              <c:f>'Financial Performance - Profit$'!$E$47:$E$48</c:f>
              <c:strCache>
                <c:ptCount val="1"/>
                <c:pt idx="0">
                  <c:v>Townsville</c:v>
                </c:pt>
              </c:strCache>
            </c:strRef>
          </c:tx>
          <c:spPr>
            <a:solidFill>
              <a:schemeClr val="accent3"/>
            </a:solidFill>
            <a:ln>
              <a:noFill/>
            </a:ln>
            <a:effectLst/>
          </c:spPr>
          <c:invertIfNegative val="0"/>
          <c:cat>
            <c:strRef>
              <c:f>'Financial Performance - Profit$'!$B$49:$B$59</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Profit$'!$E$49:$E$59</c:f>
              <c:numCache>
                <c:formatCode>#,##0</c:formatCode>
                <c:ptCount val="10"/>
                <c:pt idx="0">
                  <c:v>15696020</c:v>
                </c:pt>
                <c:pt idx="1">
                  <c:v>12005535</c:v>
                </c:pt>
                <c:pt idx="2">
                  <c:v>3690485</c:v>
                </c:pt>
                <c:pt idx="3">
                  <c:v>1261000</c:v>
                </c:pt>
                <c:pt idx="4">
                  <c:v>390000</c:v>
                </c:pt>
                <c:pt idx="5">
                  <c:v>205000</c:v>
                </c:pt>
                <c:pt idx="6">
                  <c:v>1186577</c:v>
                </c:pt>
                <c:pt idx="7">
                  <c:v>3042577</c:v>
                </c:pt>
                <c:pt idx="8">
                  <c:v>15048112</c:v>
                </c:pt>
                <c:pt idx="9">
                  <c:v>647908</c:v>
                </c:pt>
              </c:numCache>
            </c:numRef>
          </c:val>
          <c:extLst>
            <c:ext xmlns:c16="http://schemas.microsoft.com/office/drawing/2014/chart" uri="{C3380CC4-5D6E-409C-BE32-E72D297353CC}">
              <c16:uniqueId val="{00000002-C9FE-4DE7-918B-966EDB423B15}"/>
            </c:ext>
          </c:extLst>
        </c:ser>
        <c:ser>
          <c:idx val="3"/>
          <c:order val="3"/>
          <c:tx>
            <c:strRef>
              <c:f>'Financial Performance - Profit$'!$F$47:$F$48</c:f>
              <c:strCache>
                <c:ptCount val="1"/>
                <c:pt idx="0">
                  <c:v>Cairns</c:v>
                </c:pt>
              </c:strCache>
            </c:strRef>
          </c:tx>
          <c:spPr>
            <a:solidFill>
              <a:schemeClr val="accent4"/>
            </a:solidFill>
            <a:ln>
              <a:noFill/>
            </a:ln>
            <a:effectLst/>
          </c:spPr>
          <c:invertIfNegative val="0"/>
          <c:cat>
            <c:strRef>
              <c:f>'Financial Performance - Profit$'!$B$49:$B$59</c:f>
              <c:strCache>
                <c:ptCount val="10"/>
                <c:pt idx="0">
                  <c:v>Revenue</c:v>
                </c:pt>
                <c:pt idx="1">
                  <c:v>COGS</c:v>
                </c:pt>
                <c:pt idx="2">
                  <c:v>Gross Profit</c:v>
                </c:pt>
                <c:pt idx="3">
                  <c:v>Labour Cost</c:v>
                </c:pt>
                <c:pt idx="4">
                  <c:v>FAOC</c:v>
                </c:pt>
                <c:pt idx="5">
                  <c:v>APC</c:v>
                </c:pt>
                <c:pt idx="6">
                  <c:v>VUAOC</c:v>
                </c:pt>
                <c:pt idx="7">
                  <c:v>Operating Cost</c:v>
                </c:pt>
                <c:pt idx="8">
                  <c:v>Total Cost</c:v>
                </c:pt>
                <c:pt idx="9">
                  <c:v>Profit</c:v>
                </c:pt>
              </c:strCache>
            </c:strRef>
          </c:cat>
          <c:val>
            <c:numRef>
              <c:f>'Financial Performance - Profit$'!$F$49:$F$59</c:f>
              <c:numCache>
                <c:formatCode>#,##0</c:formatCode>
                <c:ptCount val="10"/>
                <c:pt idx="0">
                  <c:v>14861750</c:v>
                </c:pt>
                <c:pt idx="1">
                  <c:v>11327635</c:v>
                </c:pt>
                <c:pt idx="2">
                  <c:v>3534115</c:v>
                </c:pt>
                <c:pt idx="3">
                  <c:v>1080000</c:v>
                </c:pt>
                <c:pt idx="4">
                  <c:v>345000</c:v>
                </c:pt>
                <c:pt idx="5">
                  <c:v>122000</c:v>
                </c:pt>
                <c:pt idx="6">
                  <c:v>760932</c:v>
                </c:pt>
                <c:pt idx="7">
                  <c:v>2307932</c:v>
                </c:pt>
                <c:pt idx="8">
                  <c:v>13635567</c:v>
                </c:pt>
                <c:pt idx="9">
                  <c:v>1226183</c:v>
                </c:pt>
              </c:numCache>
            </c:numRef>
          </c:val>
          <c:extLst>
            <c:ext xmlns:c16="http://schemas.microsoft.com/office/drawing/2014/chart" uri="{C3380CC4-5D6E-409C-BE32-E72D297353CC}">
              <c16:uniqueId val="{00000003-C9FE-4DE7-918B-966EDB423B15}"/>
            </c:ext>
          </c:extLst>
        </c:ser>
        <c:dLbls>
          <c:showLegendKey val="0"/>
          <c:showVal val="0"/>
          <c:showCatName val="0"/>
          <c:showSerName val="0"/>
          <c:showPercent val="0"/>
          <c:showBubbleSize val="0"/>
        </c:dLbls>
        <c:gapWidth val="150"/>
        <c:axId val="248064080"/>
        <c:axId val="248068672"/>
      </c:barChart>
      <c:catAx>
        <c:axId val="24806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68672"/>
        <c:crosses val="autoZero"/>
        <c:auto val="1"/>
        <c:lblAlgn val="ctr"/>
        <c:lblOffset val="100"/>
        <c:noMultiLvlLbl val="0"/>
      </c:catAx>
      <c:valAx>
        <c:axId val="248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6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'Financial Performance - Profit$'!$AC$3</c:f>
              <c:strCache>
                <c:ptCount val="1"/>
                <c:pt idx="0">
                  <c:v>2012</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DED-4B06-B4E7-F87F87CCB80B}"/>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DED-4B06-B4E7-F87F87CCB80B}"/>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0DED-4B06-B4E7-F87F87CCB80B}"/>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0DED-4B06-B4E7-F87F87CCB80B}"/>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0DED-4B06-B4E7-F87F87CCB80B}"/>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0DED-4B06-B4E7-F87F87CCB8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'Financial Performance - Profit$'!$U$5:$U$10</c:f>
              <c:strCache>
                <c:ptCount val="6"/>
                <c:pt idx="0">
                  <c:v>COGS</c:v>
                </c:pt>
                <c:pt idx="1">
                  <c:v>Labour Cost</c:v>
                </c:pt>
                <c:pt idx="2">
                  <c:v>FAOC</c:v>
                </c:pt>
                <c:pt idx="3">
                  <c:v>APC</c:v>
                </c:pt>
                <c:pt idx="4">
                  <c:v>VUAOC</c:v>
                </c:pt>
                <c:pt idx="5">
                  <c:v>Profit</c:v>
                </c:pt>
              </c:strCache>
            </c:strRef>
          </c:cat>
          <c:val>
            <c:numRef>
              <c:f>'Financial Performance - Profit$'!$AC$5:$AC$10</c:f>
              <c:numCache>
                <c:formatCode>0.00%</c:formatCode>
                <c:ptCount val="6"/>
                <c:pt idx="0">
                  <c:v>0.76283892212238935</c:v>
                </c:pt>
                <c:pt idx="1">
                  <c:v>8.5956926205740525E-2</c:v>
                </c:pt>
                <c:pt idx="2">
                  <c:v>3.2968691659318226E-2</c:v>
                </c:pt>
                <c:pt idx="3">
                  <c:v>1.1320574846874329E-2</c:v>
                </c:pt>
                <c:pt idx="4">
                  <c:v>6.6891529032309313E-2</c:v>
                </c:pt>
                <c:pt idx="5">
                  <c:v>4.0023356133368285E-2</c:v>
                </c:pt>
              </c:numCache>
            </c:numRef>
          </c:val>
          <c:extLst>
            <c:ext xmlns:c16="http://schemas.microsoft.com/office/drawing/2014/chart" uri="{C3380CC4-5D6E-409C-BE32-E72D297353CC}">
              <c16:uniqueId val="{00000001-3BB7-47E1-9851-3EB79A3A8E0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tx>
            <c:strRef>
              <c:f>'Financial Performance - Profit$'!$AD$3</c:f>
              <c:strCache>
                <c:ptCount val="1"/>
                <c:pt idx="0">
                  <c:v>2013</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FA2-4970-8D42-295BF341B33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FA2-4970-8D42-295BF341B333}"/>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FA2-4970-8D42-295BF341B333}"/>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2FA2-4970-8D42-295BF341B333}"/>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2FA2-4970-8D42-295BF341B333}"/>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2FA2-4970-8D42-295BF341B3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'Financial Performance - Profit$'!$U$5:$U$10</c:f>
              <c:strCache>
                <c:ptCount val="6"/>
                <c:pt idx="0">
                  <c:v>COGS</c:v>
                </c:pt>
                <c:pt idx="1">
                  <c:v>Labour Cost</c:v>
                </c:pt>
                <c:pt idx="2">
                  <c:v>FAOC</c:v>
                </c:pt>
                <c:pt idx="3">
                  <c:v>APC</c:v>
                </c:pt>
                <c:pt idx="4">
                  <c:v>VUAOC</c:v>
                </c:pt>
                <c:pt idx="5">
                  <c:v>Profit</c:v>
                </c:pt>
              </c:strCache>
            </c:strRef>
          </c:cat>
          <c:val>
            <c:numRef>
              <c:f>'Financial Performance - Profit$'!$AD$5:$AD$10</c:f>
              <c:numCache>
                <c:formatCode>0.00%</c:formatCode>
                <c:ptCount val="6"/>
                <c:pt idx="0">
                  <c:v>0.76381684937739169</c:v>
                </c:pt>
                <c:pt idx="1">
                  <c:v>8.7174517307140986E-2</c:v>
                </c:pt>
                <c:pt idx="2">
                  <c:v>3.2330138232764531E-2</c:v>
                </c:pt>
                <c:pt idx="3">
                  <c:v>1.1296072394580378E-2</c:v>
                </c:pt>
                <c:pt idx="4">
                  <c:v>6.7008106684781937E-2</c:v>
                </c:pt>
                <c:pt idx="5">
                  <c:v>3.8374316003340521E-2</c:v>
                </c:pt>
              </c:numCache>
            </c:numRef>
          </c:val>
          <c:extLst>
            <c:ext xmlns:c16="http://schemas.microsoft.com/office/drawing/2014/chart" uri="{C3380CC4-5D6E-409C-BE32-E72D297353CC}">
              <c16:uniqueId val="{0000000D-27C9-46FE-A9F0-E39962198265}"/>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'Financial Performance - Profit$'!$AE$3</c:f>
              <c:strCache>
                <c:ptCount val="1"/>
                <c:pt idx="0">
                  <c:v>2014</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751-47C0-9A90-2A651DF722B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751-47C0-9A90-2A651DF722B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751-47C0-9A90-2A651DF722BA}"/>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8751-47C0-9A90-2A651DF722BA}"/>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8751-47C0-9A90-2A651DF722BA}"/>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8751-47C0-9A90-2A651DF722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'Financial Performance - Profit$'!$U$5:$U$10</c:f>
              <c:strCache>
                <c:ptCount val="6"/>
                <c:pt idx="0">
                  <c:v>COGS</c:v>
                </c:pt>
                <c:pt idx="1">
                  <c:v>Labour Cost</c:v>
                </c:pt>
                <c:pt idx="2">
                  <c:v>FAOC</c:v>
                </c:pt>
                <c:pt idx="3">
                  <c:v>APC</c:v>
                </c:pt>
                <c:pt idx="4">
                  <c:v>VUAOC</c:v>
                </c:pt>
                <c:pt idx="5">
                  <c:v>Profit</c:v>
                </c:pt>
              </c:strCache>
            </c:strRef>
          </c:cat>
          <c:val>
            <c:numRef>
              <c:f>'Financial Performance - Profit$'!$AE$5:$AE$10</c:f>
              <c:numCache>
                <c:formatCode>0.00%</c:formatCode>
                <c:ptCount val="6"/>
                <c:pt idx="0">
                  <c:v>0.76332903040188782</c:v>
                </c:pt>
                <c:pt idx="1">
                  <c:v>8.0779382722410434E-2</c:v>
                </c:pt>
                <c:pt idx="2">
                  <c:v>2.8701578621404392E-2</c:v>
                </c:pt>
                <c:pt idx="3">
                  <c:v>1.0443224992366417E-2</c:v>
                </c:pt>
                <c:pt idx="4">
                  <c:v>7.2039821192623213E-2</c:v>
                </c:pt>
                <c:pt idx="5">
                  <c:v>4.4706962069307743E-2</c:v>
                </c:pt>
              </c:numCache>
            </c:numRef>
          </c:val>
          <c:extLst>
            <c:ext xmlns:c16="http://schemas.microsoft.com/office/drawing/2014/chart" uri="{C3380CC4-5D6E-409C-BE32-E72D297353CC}">
              <c16:uniqueId val="{0000000D-FF88-4AC3-8D94-E293802E120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[Kim_Omega_Business_Modelling.xlsx]Sales Target Performance!PivotTable1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Target Broken down by  Product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s>
    <c:plotArea>
      <c:layout/>
      <c:barChart>
        <c:barDir val="col"/>
        <c:grouping val="clustered"/>
        <c:varyColors val="0"/>
        <c:ser>
          <c:idx val="0"/>
          <c:order val="0"/>
          <c:tx>
            <c:strRef>
              <c:f>'Sales Target Performance'!$I$5:$I$6</c:f>
              <c:strCache>
                <c:ptCount val="1"/>
                <c:pt idx="0">
                  <c:v>Computers and Tablets</c:v>
                </c:pt>
              </c:strCache>
            </c:strRef>
          </c:tx>
          <c:spPr>
            <a:solidFill>
              <a:schemeClr val="accent1"/>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Performance'!$I$7:$I$11</c:f>
              <c:numCache>
                <c:formatCode>#,##0.00_);[Red]\(#,##0.00\)</c:formatCode>
                <c:ptCount val="4"/>
                <c:pt idx="0">
                  <c:v>9.1950934579439259E-2</c:v>
                </c:pt>
                <c:pt idx="1">
                  <c:v>-0.54904761904761912</c:v>
                </c:pt>
                <c:pt idx="2">
                  <c:v>0.14400000000000002</c:v>
                </c:pt>
                <c:pt idx="3">
                  <c:v>1.9658333333333333</c:v>
                </c:pt>
              </c:numCache>
            </c:numRef>
          </c:val>
          <c:extLst>
            <c:ext xmlns:c16="http://schemas.microsoft.com/office/drawing/2014/chart" uri="{C3380CC4-5D6E-409C-BE32-E72D297353CC}">
              <c16:uniqueId val="{00000000-2890-47C7-842B-331213D3AD06}"/>
            </c:ext>
          </c:extLst>
        </c:ser>
        <c:ser>
          <c:idx val="1"/>
          <c:order val="1"/>
          <c:tx>
            <c:strRef>
              <c:f>'Sales Target Performance'!$J$5:$J$6</c:f>
              <c:strCache>
                <c:ptCount val="1"/>
                <c:pt idx="0">
                  <c:v>Fridges</c:v>
                </c:pt>
              </c:strCache>
            </c:strRef>
          </c:tx>
          <c:spPr>
            <a:solidFill>
              <a:schemeClr val="accent2"/>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Performance'!$J$7:$J$11</c:f>
              <c:numCache>
                <c:formatCode>#,##0.00_);[Red]\(#,##0.00\)</c:formatCode>
                <c:ptCount val="4"/>
                <c:pt idx="0">
                  <c:v>0.28941433021806873</c:v>
                </c:pt>
                <c:pt idx="1">
                  <c:v>4.9018952062430232E-2</c:v>
                </c:pt>
                <c:pt idx="2">
                  <c:v>0.11799342105263166</c:v>
                </c:pt>
                <c:pt idx="3">
                  <c:v>0.50431098313451272</c:v>
                </c:pt>
              </c:numCache>
            </c:numRef>
          </c:val>
          <c:extLst>
            <c:ext xmlns:c16="http://schemas.microsoft.com/office/drawing/2014/chart" uri="{C3380CC4-5D6E-409C-BE32-E72D297353CC}">
              <c16:uniqueId val="{00000000-7E4A-435F-9753-B48BCB4F5379}"/>
            </c:ext>
          </c:extLst>
        </c:ser>
        <c:ser>
          <c:idx val="2"/>
          <c:order val="2"/>
          <c:tx>
            <c:strRef>
              <c:f>'Sales Target Performance'!$K$5:$K$6</c:f>
              <c:strCache>
                <c:ptCount val="1"/>
                <c:pt idx="0">
                  <c:v>Games and Consoles</c:v>
                </c:pt>
              </c:strCache>
            </c:strRef>
          </c:tx>
          <c:spPr>
            <a:solidFill>
              <a:schemeClr val="accent3"/>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Performance'!$K$7:$K$11</c:f>
              <c:numCache>
                <c:formatCode>#,##0.00_);[Red]\(#,##0.00\)</c:formatCode>
                <c:ptCount val="4"/>
                <c:pt idx="0">
                  <c:v>0.68416133792424971</c:v>
                </c:pt>
                <c:pt idx="1">
                  <c:v>-7.5988795518207253E-2</c:v>
                </c:pt>
                <c:pt idx="2">
                  <c:v>0.33531818181818185</c:v>
                </c:pt>
                <c:pt idx="3">
                  <c:v>0.74435064935064932</c:v>
                </c:pt>
              </c:numCache>
            </c:numRef>
          </c:val>
          <c:extLst>
            <c:ext xmlns:c16="http://schemas.microsoft.com/office/drawing/2014/chart" uri="{C3380CC4-5D6E-409C-BE32-E72D297353CC}">
              <c16:uniqueId val="{00000001-7E4A-435F-9753-B48BCB4F5379}"/>
            </c:ext>
          </c:extLst>
        </c:ser>
        <c:ser>
          <c:idx val="3"/>
          <c:order val="3"/>
          <c:tx>
            <c:strRef>
              <c:f>'Sales Target Performance'!$L$5:$L$6</c:f>
              <c:strCache>
                <c:ptCount val="1"/>
                <c:pt idx="0">
                  <c:v>Microwaves</c:v>
                </c:pt>
              </c:strCache>
            </c:strRef>
          </c:tx>
          <c:spPr>
            <a:solidFill>
              <a:schemeClr val="accent4"/>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Performance'!$L$7:$L$11</c:f>
              <c:numCache>
                <c:formatCode>#,##0.00_);[Red]\(#,##0.00\)</c:formatCode>
                <c:ptCount val="4"/>
                <c:pt idx="0">
                  <c:v>0.21218457943925206</c:v>
                </c:pt>
                <c:pt idx="1">
                  <c:v>-8.2764263600176857E-2</c:v>
                </c:pt>
                <c:pt idx="2">
                  <c:v>0.12574358974358979</c:v>
                </c:pt>
                <c:pt idx="3">
                  <c:v>0.38993162393162395</c:v>
                </c:pt>
              </c:numCache>
            </c:numRef>
          </c:val>
          <c:extLst>
            <c:ext xmlns:c16="http://schemas.microsoft.com/office/drawing/2014/chart" uri="{C3380CC4-5D6E-409C-BE32-E72D297353CC}">
              <c16:uniqueId val="{00000002-7E4A-435F-9753-B48BCB4F5379}"/>
            </c:ext>
          </c:extLst>
        </c:ser>
        <c:ser>
          <c:idx val="4"/>
          <c:order val="4"/>
          <c:tx>
            <c:strRef>
              <c:f>'Sales Target Performance'!$M$5:$M$6</c:f>
              <c:strCache>
                <c:ptCount val="1"/>
                <c:pt idx="0">
                  <c:v>Mobile Phones</c:v>
                </c:pt>
              </c:strCache>
            </c:strRef>
          </c:tx>
          <c:spPr>
            <a:solidFill>
              <a:schemeClr val="accent5"/>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Performance'!$M$7:$M$11</c:f>
              <c:numCache>
                <c:formatCode>#,##0.00_);[Red]\(#,##0.00\)</c:formatCode>
                <c:ptCount val="4"/>
                <c:pt idx="0">
                  <c:v>0.67725700934579436</c:v>
                </c:pt>
                <c:pt idx="1">
                  <c:v>-1.9394841269841367E-2</c:v>
                </c:pt>
                <c:pt idx="2">
                  <c:v>0.25685314685314675</c:v>
                </c:pt>
                <c:pt idx="3">
                  <c:v>0.89732323232323252</c:v>
                </c:pt>
              </c:numCache>
            </c:numRef>
          </c:val>
          <c:extLst>
            <c:ext xmlns:c16="http://schemas.microsoft.com/office/drawing/2014/chart" uri="{C3380CC4-5D6E-409C-BE32-E72D297353CC}">
              <c16:uniqueId val="{00000003-7E4A-435F-9753-B48BCB4F5379}"/>
            </c:ext>
          </c:extLst>
        </c:ser>
        <c:ser>
          <c:idx val="5"/>
          <c:order val="5"/>
          <c:tx>
            <c:strRef>
              <c:f>'Sales Target Performance'!$N$5:$N$6</c:f>
              <c:strCache>
                <c:ptCount val="1"/>
                <c:pt idx="0">
                  <c:v>TVs</c:v>
                </c:pt>
              </c:strCache>
            </c:strRef>
          </c:tx>
          <c:spPr>
            <a:solidFill>
              <a:schemeClr val="accent6"/>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Performance'!$N$7:$N$11</c:f>
              <c:numCache>
                <c:formatCode>#,##0.00_);[Red]\(#,##0.00\)</c:formatCode>
                <c:ptCount val="4"/>
                <c:pt idx="0">
                  <c:v>0.63130173564753012</c:v>
                </c:pt>
                <c:pt idx="1">
                  <c:v>-4.6424242424242368E-2</c:v>
                </c:pt>
                <c:pt idx="2">
                  <c:v>-3.8611111111111263E-2</c:v>
                </c:pt>
                <c:pt idx="3">
                  <c:v>1.2540833333333334</c:v>
                </c:pt>
              </c:numCache>
            </c:numRef>
          </c:val>
          <c:extLst>
            <c:ext xmlns:c16="http://schemas.microsoft.com/office/drawing/2014/chart" uri="{C3380CC4-5D6E-409C-BE32-E72D297353CC}">
              <c16:uniqueId val="{00000004-7E4A-435F-9753-B48BCB4F5379}"/>
            </c:ext>
          </c:extLst>
        </c:ser>
        <c:ser>
          <c:idx val="6"/>
          <c:order val="6"/>
          <c:tx>
            <c:strRef>
              <c:f>'Sales Target Performance'!$O$5:$O$6</c:f>
              <c:strCache>
                <c:ptCount val="1"/>
                <c:pt idx="0">
                  <c:v>Washing Machines</c:v>
                </c:pt>
              </c:strCache>
            </c:strRef>
          </c:tx>
          <c:spPr>
            <a:solidFill>
              <a:schemeClr val="accent1">
                <a:lumMod val="60000"/>
              </a:schemeClr>
            </a:solidFill>
            <a:ln>
              <a:noFill/>
            </a:ln>
            <a:effectLst/>
          </c:spPr>
          <c:invertIfNegative val="0"/>
          <c:cat>
            <c:strRef>
              <c:f>'Sales Target Performance'!$H$7:$H$11</c:f>
              <c:strCache>
                <c:ptCount val="4"/>
                <c:pt idx="0">
                  <c:v>Brisbane</c:v>
                </c:pt>
                <c:pt idx="1">
                  <c:v>Gold Coast</c:v>
                </c:pt>
                <c:pt idx="2">
                  <c:v>Townsville</c:v>
                </c:pt>
                <c:pt idx="3">
                  <c:v>Cairns</c:v>
                </c:pt>
              </c:strCache>
            </c:strRef>
          </c:cat>
          <c:val>
            <c:numRef>
              <c:f>'Sales Target Performance'!$O$7:$O$11</c:f>
              <c:numCache>
                <c:formatCode>#,##0.00_);[Red]\(#,##0.00\)</c:formatCode>
                <c:ptCount val="4"/>
                <c:pt idx="0">
                  <c:v>2.1261682242991187E-3</c:v>
                </c:pt>
                <c:pt idx="1">
                  <c:v>-0.40388888888888885</c:v>
                </c:pt>
                <c:pt idx="2">
                  <c:v>-1.2097902097901847E-2</c:v>
                </c:pt>
                <c:pt idx="3">
                  <c:v>0.1814267676767678</c:v>
                </c:pt>
              </c:numCache>
            </c:numRef>
          </c:val>
          <c:extLst>
            <c:ext xmlns:c16="http://schemas.microsoft.com/office/drawing/2014/chart" uri="{C3380CC4-5D6E-409C-BE32-E72D297353CC}">
              <c16:uniqueId val="{00000005-7E4A-435F-9753-B48BCB4F5379}"/>
            </c:ext>
          </c:extLst>
        </c:ser>
        <c:dLbls>
          <c:showLegendKey val="0"/>
          <c:showVal val="0"/>
          <c:showCatName val="0"/>
          <c:showSerName val="0"/>
          <c:showPercent val="0"/>
          <c:showBubbleSize val="0"/>
        </c:dLbls>
        <c:gapWidth val="150"/>
        <c:axId val="357110504"/>
        <c:axId val="357110832"/>
      </c:barChart>
      <c:catAx>
        <c:axId val="357110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10832"/>
        <c:crosses val="autoZero"/>
        <c:auto val="1"/>
        <c:lblAlgn val="ctr"/>
        <c:lblOffset val="100"/>
        <c:noMultiLvlLbl val="0"/>
      </c:catAx>
      <c:valAx>
        <c:axId val="357110832"/>
        <c:scaling>
          <c:orientation val="minMax"/>
        </c:scaling>
        <c:delete val="0"/>
        <c:axPos val="l"/>
        <c:majorGridlines>
          <c:spPr>
            <a:ln w="9525" cap="flat" cmpd="sng" algn="ctr">
              <a:solidFill>
                <a:schemeClr val="tx1">
                  <a:lumMod val="15000"/>
                  <a:lumOff val="85000"/>
                </a:schemeClr>
              </a:solidFill>
              <a:round/>
            </a:ln>
            <a:effectLst/>
          </c:spPr>
        </c:majorGridlines>
        <c:numFmt formatCode="#,##0.00_);[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10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[Kim_Omega_Business_Modelling.xlsx]Product Profitability!PivotTable15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 Profitability by Item, Location,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s>
    <c:plotArea>
      <c:layout/>
      <c:barChart>
        <c:barDir val="col"/>
        <c:grouping val="clustered"/>
        <c:varyColors val="0"/>
        <c:ser>
          <c:idx val="0"/>
          <c:order val="0"/>
          <c:tx>
            <c:strRef>
              <c:f>'Product Profitability'!$I$6:$I$7</c:f>
              <c:strCache>
                <c:ptCount val="1"/>
                <c:pt idx="0">
                  <c:v>Brisbane</c:v>
                </c:pt>
              </c:strCache>
            </c:strRef>
          </c:tx>
          <c:spPr>
            <a:solidFill>
              <a:schemeClr val="accent1"/>
            </a:solidFill>
            <a:ln>
              <a:noFill/>
            </a:ln>
            <a:effectLst/>
          </c:spPr>
          <c:invertIfNegative val="0"/>
          <c:cat>
            <c:strRef>
              <c:f>'Product Profitability'!$H$8:$H$15</c:f>
              <c:strCache>
                <c:ptCount val="7"/>
                <c:pt idx="0">
                  <c:v>Computers and Tablets</c:v>
                </c:pt>
                <c:pt idx="1">
                  <c:v>Fridges</c:v>
                </c:pt>
                <c:pt idx="2">
                  <c:v>Games and Consoles</c:v>
                </c:pt>
                <c:pt idx="3">
                  <c:v>Microwaves</c:v>
                </c:pt>
                <c:pt idx="4">
                  <c:v>Mobile Phones</c:v>
                </c:pt>
                <c:pt idx="5">
                  <c:v>TVs</c:v>
                </c:pt>
                <c:pt idx="6">
                  <c:v>Washing Machines</c:v>
                </c:pt>
              </c:strCache>
            </c:strRef>
          </c:cat>
          <c:val>
            <c:numRef>
              <c:f>'Product Profitability'!$I$8:$I$15</c:f>
              <c:numCache>
                <c:formatCode>#,##0</c:formatCode>
                <c:ptCount val="7"/>
                <c:pt idx="0">
                  <c:v>166820</c:v>
                </c:pt>
                <c:pt idx="1">
                  <c:v>361900</c:v>
                </c:pt>
                <c:pt idx="2">
                  <c:v>364000</c:v>
                </c:pt>
                <c:pt idx="3">
                  <c:v>265600</c:v>
                </c:pt>
                <c:pt idx="4">
                  <c:v>761020</c:v>
                </c:pt>
                <c:pt idx="5">
                  <c:v>385770</c:v>
                </c:pt>
                <c:pt idx="6">
                  <c:v>275540</c:v>
                </c:pt>
              </c:numCache>
            </c:numRef>
          </c:val>
          <c:extLst>
            <c:ext xmlns:c16="http://schemas.microsoft.com/office/drawing/2014/chart" uri="{C3380CC4-5D6E-409C-BE32-E72D297353CC}">
              <c16:uniqueId val="{00000000-DE78-4167-A996-320EDD0C85D4}"/>
            </c:ext>
          </c:extLst>
        </c:ser>
        <c:ser>
          <c:idx val="1"/>
          <c:order val="1"/>
          <c:tx>
            <c:strRef>
              <c:f>'Product Profitability'!$J$6:$J$7</c:f>
              <c:strCache>
                <c:ptCount val="1"/>
                <c:pt idx="0">
                  <c:v>Gold Coast</c:v>
                </c:pt>
              </c:strCache>
            </c:strRef>
          </c:tx>
          <c:spPr>
            <a:solidFill>
              <a:schemeClr val="accent2"/>
            </a:solidFill>
            <a:ln>
              <a:noFill/>
            </a:ln>
            <a:effectLst/>
          </c:spPr>
          <c:invertIfNegative val="0"/>
          <c:cat>
            <c:strRef>
              <c:f>'Product Profitability'!$H$8:$H$15</c:f>
              <c:strCache>
                <c:ptCount val="7"/>
                <c:pt idx="0">
                  <c:v>Computers and Tablets</c:v>
                </c:pt>
                <c:pt idx="1">
                  <c:v>Fridges</c:v>
                </c:pt>
                <c:pt idx="2">
                  <c:v>Games and Consoles</c:v>
                </c:pt>
                <c:pt idx="3">
                  <c:v>Microwaves</c:v>
                </c:pt>
                <c:pt idx="4">
                  <c:v>Mobile Phones</c:v>
                </c:pt>
                <c:pt idx="5">
                  <c:v>TVs</c:v>
                </c:pt>
                <c:pt idx="6">
                  <c:v>Washing Machines</c:v>
                </c:pt>
              </c:strCache>
            </c:strRef>
          </c:cat>
          <c:val>
            <c:numRef>
              <c:f>'Product Profitability'!$J$8:$J$15</c:f>
              <c:numCache>
                <c:formatCode>#,##0</c:formatCode>
                <c:ptCount val="7"/>
                <c:pt idx="0">
                  <c:v>80560</c:v>
                </c:pt>
                <c:pt idx="1">
                  <c:v>208600</c:v>
                </c:pt>
                <c:pt idx="2">
                  <c:v>169400</c:v>
                </c:pt>
                <c:pt idx="3">
                  <c:v>164200</c:v>
                </c:pt>
                <c:pt idx="4">
                  <c:v>380120</c:v>
                </c:pt>
                <c:pt idx="5">
                  <c:v>179760</c:v>
                </c:pt>
                <c:pt idx="6">
                  <c:v>148120</c:v>
                </c:pt>
              </c:numCache>
            </c:numRef>
          </c:val>
          <c:extLst>
            <c:ext xmlns:c16="http://schemas.microsoft.com/office/drawing/2014/chart" uri="{C3380CC4-5D6E-409C-BE32-E72D297353CC}">
              <c16:uniqueId val="{00000001-DE78-4167-A996-320EDD0C85D4}"/>
            </c:ext>
          </c:extLst>
        </c:ser>
        <c:ser>
          <c:idx val="2"/>
          <c:order val="2"/>
          <c:tx>
            <c:strRef>
              <c:f>'Product Profitability'!$K$6:$K$7</c:f>
              <c:strCache>
                <c:ptCount val="1"/>
                <c:pt idx="0">
                  <c:v>Townsville</c:v>
                </c:pt>
              </c:strCache>
            </c:strRef>
          </c:tx>
          <c:spPr>
            <a:solidFill>
              <a:schemeClr val="accent3"/>
            </a:solidFill>
            <a:ln>
              <a:noFill/>
            </a:ln>
            <a:effectLst/>
          </c:spPr>
          <c:invertIfNegative val="0"/>
          <c:cat>
            <c:strRef>
              <c:f>'Product Profitability'!$H$8:$H$15</c:f>
              <c:strCache>
                <c:ptCount val="7"/>
                <c:pt idx="0">
                  <c:v>Computers and Tablets</c:v>
                </c:pt>
                <c:pt idx="1">
                  <c:v>Fridges</c:v>
                </c:pt>
                <c:pt idx="2">
                  <c:v>Games and Consoles</c:v>
                </c:pt>
                <c:pt idx="3">
                  <c:v>Microwaves</c:v>
                </c:pt>
                <c:pt idx="4">
                  <c:v>Mobile Phones</c:v>
                </c:pt>
                <c:pt idx="5">
                  <c:v>TVs</c:v>
                </c:pt>
                <c:pt idx="6">
                  <c:v>Washing Machines</c:v>
                </c:pt>
              </c:strCache>
            </c:strRef>
          </c:cat>
          <c:val>
            <c:numRef>
              <c:f>'Product Profitability'!$K$8:$K$15</c:f>
              <c:numCache>
                <c:formatCode>#,##0</c:formatCode>
                <c:ptCount val="7"/>
                <c:pt idx="0">
                  <c:v>88730</c:v>
                </c:pt>
                <c:pt idx="1">
                  <c:v>202800</c:v>
                </c:pt>
                <c:pt idx="2">
                  <c:v>188580</c:v>
                </c:pt>
                <c:pt idx="3">
                  <c:v>172900</c:v>
                </c:pt>
                <c:pt idx="4">
                  <c:v>392860</c:v>
                </c:pt>
                <c:pt idx="5">
                  <c:v>209580</c:v>
                </c:pt>
                <c:pt idx="6">
                  <c:v>176640</c:v>
                </c:pt>
              </c:numCache>
            </c:numRef>
          </c:val>
          <c:extLst>
            <c:ext xmlns:c16="http://schemas.microsoft.com/office/drawing/2014/chart" uri="{C3380CC4-5D6E-409C-BE32-E72D297353CC}">
              <c16:uniqueId val="{00000002-DE78-4167-A996-320EDD0C85D4}"/>
            </c:ext>
          </c:extLst>
        </c:ser>
        <c:ser>
          <c:idx val="3"/>
          <c:order val="3"/>
          <c:tx>
            <c:strRef>
              <c:f>'Product Profitability'!$L$6:$L$7</c:f>
              <c:strCache>
                <c:ptCount val="1"/>
                <c:pt idx="0">
                  <c:v>Cairns</c:v>
                </c:pt>
              </c:strCache>
            </c:strRef>
          </c:tx>
          <c:spPr>
            <a:solidFill>
              <a:schemeClr val="accent4"/>
            </a:solidFill>
            <a:ln>
              <a:noFill/>
            </a:ln>
            <a:effectLst/>
          </c:spPr>
          <c:invertIfNegative val="0"/>
          <c:cat>
            <c:strRef>
              <c:f>'Product Profitability'!$H$8:$H$15</c:f>
              <c:strCache>
                <c:ptCount val="7"/>
                <c:pt idx="0">
                  <c:v>Computers and Tablets</c:v>
                </c:pt>
                <c:pt idx="1">
                  <c:v>Fridges</c:v>
                </c:pt>
                <c:pt idx="2">
                  <c:v>Games and Consoles</c:v>
                </c:pt>
                <c:pt idx="3">
                  <c:v>Microwaves</c:v>
                </c:pt>
                <c:pt idx="4">
                  <c:v>Mobile Phones</c:v>
                </c:pt>
                <c:pt idx="5">
                  <c:v>TVs</c:v>
                </c:pt>
                <c:pt idx="6">
                  <c:v>Washing Machines</c:v>
                </c:pt>
              </c:strCache>
            </c:strRef>
          </c:cat>
          <c:val>
            <c:numRef>
              <c:f>'Product Profitability'!$L$8:$L$15</c:f>
              <c:numCache>
                <c:formatCode>#,##0</c:formatCode>
                <c:ptCount val="7"/>
                <c:pt idx="0">
                  <c:v>126350</c:v>
                </c:pt>
                <c:pt idx="1">
                  <c:v>212900</c:v>
                </c:pt>
                <c:pt idx="2">
                  <c:v>205380</c:v>
                </c:pt>
                <c:pt idx="3">
                  <c:v>136000</c:v>
                </c:pt>
                <c:pt idx="4">
                  <c:v>410280</c:v>
                </c:pt>
                <c:pt idx="5">
                  <c:v>266070</c:v>
                </c:pt>
                <c:pt idx="6">
                  <c:v>143635</c:v>
                </c:pt>
              </c:numCache>
            </c:numRef>
          </c:val>
          <c:extLst>
            <c:ext xmlns:c16="http://schemas.microsoft.com/office/drawing/2014/chart" uri="{C3380CC4-5D6E-409C-BE32-E72D297353CC}">
              <c16:uniqueId val="{00000000-1F70-4254-85ED-BC032345621B}"/>
            </c:ext>
          </c:extLst>
        </c:ser>
        <c:dLbls>
          <c:showLegendKey val="0"/>
          <c:showVal val="0"/>
          <c:showCatName val="0"/>
          <c:showSerName val="0"/>
          <c:showPercent val="0"/>
          <c:showBubbleSize val="0"/>
        </c:dLbls>
        <c:gapWidth val="150"/>
        <c:axId val="548125800"/>
        <c:axId val="548126128"/>
      </c:barChart>
      <c:catAx>
        <c:axId val="548125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26128"/>
        <c:crosses val="autoZero"/>
        <c:auto val="1"/>
        <c:lblAlgn val="ctr"/>
        <c:lblOffset val="100"/>
        <c:noMultiLvlLbl val="0"/>
      </c:catAx>
      <c:valAx>
        <c:axId val="548126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25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[Kim_Omega_Business_Modelling.xlsx]Product Profitability!PivotTable8</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Profitability in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'Product Profitability'!$Z$6:$Z$7</c:f>
              <c:strCache>
                <c:ptCount val="1"/>
                <c:pt idx="0">
                  <c:v>Computers and Tablets</c:v>
                </c:pt>
              </c:strCache>
            </c:strRef>
          </c:tx>
          <c:spPr>
            <a:solidFill>
              <a:schemeClr val="accent1"/>
            </a:solidFill>
            <a:ln>
              <a:noFill/>
            </a:ln>
            <a:effectLst/>
          </c:spPr>
          <c:invertIfNegative val="0"/>
          <c:dLbls>
            <c:delete val="1"/>
          </c:dLbls>
          <c:cat>
            <c:strRef>
              <c:f>'Product Profitability'!$Y$8:$Y$12</c:f>
              <c:strCache>
                <c:ptCount val="4"/>
                <c:pt idx="0">
                  <c:v>Brisbane</c:v>
                </c:pt>
                <c:pt idx="1">
                  <c:v>Gold Coast</c:v>
                </c:pt>
                <c:pt idx="2">
                  <c:v>Townsville</c:v>
                </c:pt>
                <c:pt idx="3">
                  <c:v>Cairns</c:v>
                </c:pt>
              </c:strCache>
            </c:strRef>
          </c:cat>
          <c:val>
            <c:numRef>
              <c:f>'Product Profitability'!$Z$8:$Z$12</c:f>
              <c:numCache>
                <c:formatCode>0.00%</c:formatCode>
                <c:ptCount val="4"/>
                <c:pt idx="0">
                  <c:v>6.8242274335674105E-2</c:v>
                </c:pt>
                <c:pt idx="1">
                  <c:v>6.7845653580157941E-2</c:v>
                </c:pt>
                <c:pt idx="2">
                  <c:v>8.0932451967695301E-2</c:v>
                </c:pt>
                <c:pt idx="3">
                  <c:v>0.1024697838072615</c:v>
                </c:pt>
              </c:numCache>
            </c:numRef>
          </c:val>
          <c:extLst>
            <c:ext xmlns:c16="http://schemas.microsoft.com/office/drawing/2014/chart" uri="{C3380CC4-5D6E-409C-BE32-E72D297353CC}">
              <c16:uniqueId val="{00000000-1BC2-4508-A199-4E623A1F197D}"/>
            </c:ext>
          </c:extLst>
        </c:ser>
        <c:ser>
          <c:idx val="1"/>
          <c:order val="1"/>
          <c:tx>
            <c:strRef>
              <c:f>'Product Profitability'!$AA$6:$AA$7</c:f>
              <c:strCache>
                <c:ptCount val="1"/>
                <c:pt idx="0">
                  <c:v>Fridges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Profitability'!$AA$8:$AA$12</c:f>
              <c:numCache>
                <c:formatCode>0.00%</c:formatCode>
                <c:ptCount val="4"/>
                <c:pt idx="0">
                  <c:v>0.14339832023165108</c:v>
                </c:pt>
                <c:pt idx="1">
                  <c:v>0.15490212252375846</c:v>
                </c:pt>
                <c:pt idx="2">
                  <c:v>0.1438564307943265</c:v>
                </c:pt>
                <c:pt idx="3">
                  <c:v>0.13666787866269206</c:v>
                </c:pt>
              </c:numCache>
            </c:numRef>
          </c:val>
          <c:extLst>
            <c:ext xmlns:c16="http://schemas.microsoft.com/office/drawing/2014/chart" uri="{C3380CC4-5D6E-409C-BE32-E72D297353CC}">
              <c16:uniqueId val="{00000004-1BC2-4508-A199-4E623A1F197D}"/>
            </c:ext>
          </c:extLst>
        </c:ser>
        <c:ser>
          <c:idx val="2"/>
          <c:order val="2"/>
          <c:tx>
            <c:strRef>
              <c:f>'Product Profitability'!$AB$6:$AB$7</c:f>
              <c:strCache>
                <c:ptCount val="1"/>
                <c:pt idx="0">
                  <c:v>Games and Consoles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Profitability'!$AB$8:$AB$12</c:f>
              <c:numCache>
                <c:formatCode>0.00%</c:formatCode>
                <c:ptCount val="4"/>
                <c:pt idx="0">
                  <c:v>0.14244753473382618</c:v>
                </c:pt>
                <c:pt idx="1">
                  <c:v>0.13684612679572283</c:v>
                </c:pt>
                <c:pt idx="2">
                  <c:v>0.1391849580746162</c:v>
                </c:pt>
                <c:pt idx="3">
                  <c:v>0.12933931125614193</c:v>
                </c:pt>
              </c:numCache>
            </c:numRef>
          </c:val>
          <c:extLst>
            <c:ext xmlns:c16="http://schemas.microsoft.com/office/drawing/2014/chart" uri="{C3380CC4-5D6E-409C-BE32-E72D297353CC}">
              <c16:uniqueId val="{00000005-1BC2-4508-A199-4E623A1F197D}"/>
            </c:ext>
          </c:extLst>
        </c:ser>
        <c:ser>
          <c:idx val="3"/>
          <c:order val="3"/>
          <c:tx>
            <c:strRef>
              <c:f>'Product Profitability'!$AC$6:$AC$7</c:f>
              <c:strCache>
                <c:ptCount val="1"/>
                <c:pt idx="0">
                  <c:v>Microwaves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Profitability'!$AC$8:$AC$12</c:f>
              <c:numCache>
                <c:formatCode>0.00%</c:formatCode>
                <c:ptCount val="4"/>
                <c:pt idx="0">
                  <c:v>0.11186629969184617</c:v>
                </c:pt>
                <c:pt idx="1">
                  <c:v>0.12019241205353848</c:v>
                </c:pt>
                <c:pt idx="2">
                  <c:v>0.11635327064057976</c:v>
                </c:pt>
                <c:pt idx="3">
                  <c:v>0.10118516233908631</c:v>
                </c:pt>
              </c:numCache>
            </c:numRef>
          </c:val>
          <c:extLst>
            <c:ext xmlns:c16="http://schemas.microsoft.com/office/drawing/2014/chart" uri="{C3380CC4-5D6E-409C-BE32-E72D297353CC}">
              <c16:uniqueId val="{00000006-1BC2-4508-A199-4E623A1F197D}"/>
            </c:ext>
          </c:extLst>
        </c:ser>
        <c:ser>
          <c:idx val="4"/>
          <c:order val="4"/>
          <c:tx>
            <c:strRef>
              <c:f>'Product Profitability'!$AD$6:$AD$7</c:f>
              <c:strCache>
                <c:ptCount val="1"/>
                <c:pt idx="0">
                  <c:v>Mobile Phones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Profitability'!$AD$8:$AD$12</c:f>
              <c:numCache>
                <c:formatCode>0.00%</c:formatCode>
                <c:ptCount val="4"/>
                <c:pt idx="0">
                  <c:v>0.27841837541978243</c:v>
                </c:pt>
                <c:pt idx="1">
                  <c:v>0.26808312964804049</c:v>
                </c:pt>
                <c:pt idx="2">
                  <c:v>0.26877226164040768</c:v>
                </c:pt>
                <c:pt idx="3">
                  <c:v>0.2702175792242188</c:v>
                </c:pt>
              </c:numCache>
            </c:numRef>
          </c:val>
          <c:extLst>
            <c:ext xmlns:c16="http://schemas.microsoft.com/office/drawing/2014/chart" uri="{C3380CC4-5D6E-409C-BE32-E72D297353CC}">
              <c16:uniqueId val="{00000007-1BC2-4508-A199-4E623A1F197D}"/>
            </c:ext>
          </c:extLst>
        </c:ser>
        <c:ser>
          <c:idx val="5"/>
          <c:order val="5"/>
          <c:tx>
            <c:strRef>
              <c:f>'Product Profitability'!$AE$6:$AE$7</c:f>
              <c:strCache>
                <c:ptCount val="1"/>
                <c:pt idx="0">
                  <c:v>TVs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Profitability'!$AE$8:$AE$12</c:f>
              <c:numCache>
                <c:formatCode>0.00%</c:formatCode>
                <c:ptCount val="4"/>
                <c:pt idx="0">
                  <c:v>0.15508304827506933</c:v>
                </c:pt>
                <c:pt idx="1">
                  <c:v>0.14938199783796927</c:v>
                </c:pt>
                <c:pt idx="2">
                  <c:v>0.14111966313370736</c:v>
                </c:pt>
                <c:pt idx="3">
                  <c:v>0.16233767152455425</c:v>
                </c:pt>
              </c:numCache>
            </c:numRef>
          </c:val>
          <c:extLst>
            <c:ext xmlns:c16="http://schemas.microsoft.com/office/drawing/2014/chart" uri="{C3380CC4-5D6E-409C-BE32-E72D297353CC}">
              <c16:uniqueId val="{00000008-1BC2-4508-A199-4E623A1F197D}"/>
            </c:ext>
          </c:extLst>
        </c:ser>
        <c:ser>
          <c:idx val="6"/>
          <c:order val="6"/>
          <c:tx>
            <c:strRef>
              <c:f>'Product Profitability'!$AF$6:$AF$7</c:f>
              <c:strCache>
                <c:ptCount val="1"/>
                <c:pt idx="0">
                  <c:v>Washing Machines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Profitability'!$Y$8:$Y$12</c:f>
              <c:strCache>
                <c:ptCount val="4"/>
                <c:pt idx="0">
                  <c:v>Brisbane</c:v>
                </c:pt>
                <c:pt idx="1">
                  <c:v>Gold Coast</c:v>
                </c:pt>
                <c:pt idx="2">
                  <c:v>Townsville</c:v>
                </c:pt>
                <c:pt idx="3">
                  <c:v>Cairns</c:v>
                </c:pt>
              </c:strCache>
            </c:strRef>
          </c:cat>
          <c:val>
            <c:numRef>
              <c:f>'Product Profitability'!$AF$8:$AF$12</c:f>
              <c:numCache>
                <c:formatCode>0.00%</c:formatCode>
                <c:ptCount val="4"/>
                <c:pt idx="0">
                  <c:v>0.10054414731215068</c:v>
                </c:pt>
                <c:pt idx="1">
                  <c:v>0.10274855756081254</c:v>
                </c:pt>
                <c:pt idx="2">
                  <c:v>0.10978096374866718</c:v>
                </c:pt>
                <c:pt idx="3">
                  <c:v>9.7782613186045156E-2</c:v>
                </c:pt>
              </c:numCache>
            </c:numRef>
          </c:val>
          <c:extLst>
            <c:ext xmlns:c16="http://schemas.microsoft.com/office/drawing/2014/chart" uri="{C3380CC4-5D6E-409C-BE32-E72D297353CC}">
              <c16:uniqueId val="{00000009-1BC2-4508-A199-4E623A1F197D}"/>
            </c:ext>
          </c:extLst>
        </c:ser>
        <c:dLbls>
          <c:showLegendKey val="0"/>
          <c:showVal val="1"/>
          <c:showCatName val="0"/>
          <c:showSerName val="0"/>
          <c:showPercent val="0"/>
          <c:showBubbleSize val="0"/>
        </c:dLbls>
        <c:gapWidth val="75"/>
        <c:overlap val="100"/>
        <c:axId val="409062856"/>
        <c:axId val="409066464"/>
      </c:barChart>
      <c:catAx>
        <c:axId val="409062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066464"/>
        <c:crosses val="autoZero"/>
        <c:auto val="1"/>
        <c:lblAlgn val="ctr"/>
        <c:lblOffset val="100"/>
        <c:noMultiLvlLbl val="0"/>
      </c:catAx>
      <c:valAx>
        <c:axId val="4090664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062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[Kim_Omega_Business_Modelling.xlsx]Inventory Turnover!PivotTable3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 by Location (times per annual)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'Inventory Turnover'!$K$9:$K$10</c:f>
              <c:strCache>
                <c:ptCount val="1"/>
                <c:pt idx="0">
                  <c:v>2012</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'Inventory Turnover'!$J$11:$J$15</c:f>
              <c:strCache>
                <c:ptCount val="4"/>
                <c:pt idx="0">
                  <c:v>Brisbane</c:v>
                </c:pt>
                <c:pt idx="1">
                  <c:v>Gold Coast</c:v>
                </c:pt>
                <c:pt idx="2">
                  <c:v>Townsville</c:v>
                </c:pt>
                <c:pt idx="3">
                  <c:v>Cairns</c:v>
                </c:pt>
              </c:strCache>
            </c:strRef>
          </c:cat>
          <c:val>
            <c:numRef>
              <c:f>'Inventory Turnover'!$K$11:$K$15</c:f>
              <c:numCache>
                <c:formatCode>#,##0.0</c:formatCode>
                <c:ptCount val="4"/>
                <c:pt idx="0">
                  <c:v>91.593682478084617</c:v>
                </c:pt>
                <c:pt idx="1">
                  <c:v>81.651564973815624</c:v>
                </c:pt>
                <c:pt idx="2">
                  <c:v>75.253582070786848</c:v>
                </c:pt>
                <c:pt idx="3">
                  <c:v>93.226417233560099</c:v>
                </c:pt>
              </c:numCache>
            </c:numRef>
          </c:val>
          <c:extLst>
            <c:ext xmlns:c16="http://schemas.microsoft.com/office/drawing/2014/chart" uri="{C3380CC4-5D6E-409C-BE32-E72D297353CC}">
              <c16:uniqueId val="{00000000-414B-4E5D-83ED-B35DC2AB2181}"/>
            </c:ext>
          </c:extLst>
        </c:ser>
        <c:ser>
          <c:idx val="1"/>
          <c:order val="1"/>
          <c:tx>
            <c:strRef>
              <c:f>'Inventory Turnover'!$L$9:$L$10</c:f>
              <c:strCache>
                <c:ptCount val="1"/>
                <c:pt idx="0">
                  <c:v>2013</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'Inventory Turnover'!$J$11:$J$15</c:f>
              <c:strCache>
                <c:ptCount val="4"/>
                <c:pt idx="0">
                  <c:v>Brisbane</c:v>
                </c:pt>
                <c:pt idx="1">
                  <c:v>Gold Coast</c:v>
                </c:pt>
                <c:pt idx="2">
                  <c:v>Townsville</c:v>
                </c:pt>
                <c:pt idx="3">
                  <c:v>Cairns</c:v>
                </c:pt>
              </c:strCache>
            </c:strRef>
          </c:cat>
          <c:val>
            <c:numRef>
              <c:f>'Inventory Turnover'!$L$11:$L$15</c:f>
              <c:numCache>
                <c:formatCode>#,##0.0</c:formatCode>
                <c:ptCount val="4"/>
                <c:pt idx="0">
                  <c:v>96.041829176114888</c:v>
                </c:pt>
                <c:pt idx="1">
                  <c:v>76.680212803069949</c:v>
                </c:pt>
                <c:pt idx="2">
                  <c:v>81.866257995039504</c:v>
                </c:pt>
                <c:pt idx="3">
                  <c:v>75.101994684513485</c:v>
                </c:pt>
              </c:numCache>
            </c:numRef>
          </c:val>
          <c:extLst>
            <c:ext xmlns:c16="http://schemas.microsoft.com/office/drawing/2014/chart" uri="{C3380CC4-5D6E-409C-BE32-E72D297353CC}">
              <c16:uniqueId val="{00000001-414B-4E5D-83ED-B35DC2AB2181}"/>
            </c:ext>
          </c:extLst>
        </c:ser>
        <c:ser>
          <c:idx val="2"/>
          <c:order val="2"/>
          <c:tx>
            <c:strRef>
              <c:f>'Inventory Turnover'!$M$9:$M$10</c:f>
              <c:strCache>
                <c:ptCount val="1"/>
                <c:pt idx="0">
                  <c:v>2014</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'Inventory Turnover'!$J$11:$J$15</c:f>
              <c:strCache>
                <c:ptCount val="4"/>
                <c:pt idx="0">
                  <c:v>Brisbane</c:v>
                </c:pt>
                <c:pt idx="1">
                  <c:v>Gold Coast</c:v>
                </c:pt>
                <c:pt idx="2">
                  <c:v>Townsville</c:v>
                </c:pt>
                <c:pt idx="3">
                  <c:v>Cairns</c:v>
                </c:pt>
              </c:strCache>
            </c:strRef>
          </c:cat>
          <c:val>
            <c:numRef>
              <c:f>'Inventory Turnover'!$M$11:$M$15</c:f>
              <c:numCache>
                <c:formatCode>#,##0.0</c:formatCode>
                <c:ptCount val="4"/>
                <c:pt idx="0">
                  <c:v>85.979209268248368</c:v>
                </c:pt>
                <c:pt idx="1">
                  <c:v>66.582812648226181</c:v>
                </c:pt>
                <c:pt idx="2">
                  <c:v>68.200114812723513</c:v>
                </c:pt>
                <c:pt idx="3">
                  <c:v>93.756650318990481</c:v>
                </c:pt>
              </c:numCache>
            </c:numRef>
          </c:val>
          <c:extLst>
            <c:ext xmlns:c16="http://schemas.microsoft.com/office/drawing/2014/chart" uri="{C3380CC4-5D6E-409C-BE32-E72D297353CC}">
              <c16:uniqueId val="{00000002-414B-4E5D-83ED-B35DC2AB2181}"/>
            </c:ext>
          </c:extLst>
        </c:ser>
        <c:dLbls>
          <c:showLegendKey val="0"/>
          <c:showVal val="1"/>
          <c:showCatName val="0"/>
          <c:showSerName val="0"/>
          <c:showPercent val="0"/>
          <c:showBubbleSize val="0"/>
        </c:dLbls>
        <c:gapWidth val="75"/>
        <c:axId val="381191048"/>
        <c:axId val="381191376"/>
      </c:barChart>
      <c:catAx>
        <c:axId val="381191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191376"/>
        <c:crosses val="autoZero"/>
        <c:auto val="1"/>
        <c:lblAlgn val="ctr"/>
        <c:lblOffset val="100"/>
        <c:noMultiLvlLbl val="0"/>
      </c:catAx>
      <c:valAx>
        <c:axId val="38119137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191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 by Location (in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'Inventory Turnover'!$Z$10</c:f>
              <c:strCache>
                <c:ptCount val="1"/>
                <c:pt idx="0">
                  <c:v>2012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'Inventory Turnover'!$Y$10:$Y$14</c15:sqref>
                  </c15:fullRef>
                </c:ext>
              </c:extLst>
              <c:f>'Inventory Turnover'!$Y$11:$Y$14</c:f>
              <c:strCache>
                <c:ptCount val="4"/>
                <c:pt idx="0">
                  <c:v>Brisbane</c:v>
                </c:pt>
                <c:pt idx="1">
                  <c:v>Gold Coast</c:v>
                </c:pt>
                <c:pt idx="2">
                  <c:v>Townsville</c:v>
                </c:pt>
                <c:pt idx="3">
                  <c:v>Cairns</c:v>
                </c:pt>
              </c:strCache>
            </c:strRef>
          </c:cat>
          <c:val>
            <c:numRef>
              <c:extLst>
                <c:ext xmlns:c15="http://schemas.microsoft.com/office/drawing/2012/chart" uri="{02D57815-91ED-43cb-92C2-25804820EDAC}">
                  <c15:fullRef>
                    <c15:sqref>'Inventory Turnover'!$Z$10:$Z$14</c15:sqref>
                  </c15:fullRef>
                </c:ext>
              </c:extLst>
              <c:f>'Inventory Turnover'!$Z$11:$Z$14</c:f>
              <c:numCache>
                <c:formatCode>_(* #,##0.0_);_(* \(#,##0.0\);_(* "-"??_);_(@_)</c:formatCode>
                <c:ptCount val="4"/>
                <c:pt idx="0">
                  <c:v>3.9849909963750241</c:v>
                </c:pt>
                <c:pt idx="1">
                  <c:v>4.470214381280381</c:v>
                </c:pt>
                <c:pt idx="2">
                  <c:v>4.8502674551314362</c:v>
                </c:pt>
                <c:pt idx="3">
                  <c:v>3.9151992625176795</c:v>
                </c:pt>
              </c:numCache>
            </c:numRef>
          </c:val>
          <c:extLst>
            <c:ext xmlns:c16="http://schemas.microsoft.com/office/drawing/2014/chart" uri="{C3380CC4-5D6E-409C-BE32-E72D297353CC}">
              <c16:uniqueId val="{00000004-FB1B-47AF-B212-F52E80FB3D0D}"/>
            </c:ext>
          </c:extLst>
        </c:ser>
        <c:ser>
          <c:idx val="1"/>
          <c:order val="1"/>
          <c:tx>
            <c:strRef>
              <c:f>'Inventory Turnover'!$AA$10</c:f>
              <c:strCache>
                <c:ptCount val="1"/>
                <c:pt idx="0">
                  <c:v>2013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'Inventory Turnover'!$Y$10:$Y$14</c15:sqref>
                  </c15:fullRef>
                </c:ext>
              </c:extLst>
              <c:f>'Inventory Turnover'!$Y$11:$Y$14</c:f>
              <c:strCache>
                <c:ptCount val="4"/>
                <c:pt idx="0">
                  <c:v>Brisbane</c:v>
                </c:pt>
                <c:pt idx="1">
                  <c:v>Gold Coast</c:v>
                </c:pt>
                <c:pt idx="2">
                  <c:v>Townsville</c:v>
                </c:pt>
                <c:pt idx="3">
                  <c:v>Cairns</c:v>
                </c:pt>
              </c:strCache>
            </c:strRef>
          </c:cat>
          <c:val>
            <c:numRef>
              <c:extLst>
                <c:ext xmlns:c15="http://schemas.microsoft.com/office/drawing/2012/chart" uri="{02D57815-91ED-43cb-92C2-25804820EDAC}">
                  <c15:fullRef>
                    <c15:sqref>'Inventory Turnover'!$AA$10:$AA$14</c15:sqref>
                  </c15:fullRef>
                </c:ext>
              </c:extLst>
              <c:f>'Inventory Turnover'!$AA$11:$AA$14</c:f>
              <c:numCache>
                <c:formatCode>_(* #,##0.0_);_(* \(#,##0.0\);_(* "-"??_);_(@_)</c:formatCode>
                <c:ptCount val="4"/>
                <c:pt idx="0">
                  <c:v>3.8004274088812715</c:v>
                </c:pt>
                <c:pt idx="1">
                  <c:v>4.760028521796003</c:v>
                </c:pt>
                <c:pt idx="2">
                  <c:v>4.4584913117943703</c:v>
                </c:pt>
                <c:pt idx="3">
                  <c:v>4.8600573331411843</c:v>
                </c:pt>
              </c:numCache>
            </c:numRef>
          </c:val>
          <c:extLst>
            <c:ext xmlns:c16="http://schemas.microsoft.com/office/drawing/2014/chart" uri="{C3380CC4-5D6E-409C-BE32-E72D297353CC}">
              <c16:uniqueId val="{00000005-FB1B-47AF-B212-F52E80FB3D0D}"/>
            </c:ext>
          </c:extLst>
        </c:ser>
        <c:ser>
          <c:idx val="2"/>
          <c:order val="2"/>
          <c:tx>
            <c:strRef>
              <c:f>'Inventory Turnover'!$AB$10</c:f>
              <c:strCache>
                <c:ptCount val="1"/>
                <c:pt idx="0">
                  <c:v>2014</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'Inventory Turnover'!$Y$10:$Y$14</c15:sqref>
                  </c15:fullRef>
                </c:ext>
              </c:extLst>
              <c:f>'Inventory Turnover'!$Y$11:$Y$14</c:f>
              <c:strCache>
                <c:ptCount val="4"/>
                <c:pt idx="0">
                  <c:v>Brisbane</c:v>
                </c:pt>
                <c:pt idx="1">
                  <c:v>Gold Coast</c:v>
                </c:pt>
                <c:pt idx="2">
                  <c:v>Townsville</c:v>
                </c:pt>
                <c:pt idx="3">
                  <c:v>Cairns</c:v>
                </c:pt>
              </c:strCache>
            </c:strRef>
          </c:cat>
          <c:val>
            <c:numRef>
              <c:extLst>
                <c:ext xmlns:c15="http://schemas.microsoft.com/office/drawing/2012/chart" uri="{02D57815-91ED-43cb-92C2-25804820EDAC}">
                  <c15:fullRef>
                    <c15:sqref>'Inventory Turnover'!$AB$10:$AB$14</c15:sqref>
                  </c15:fullRef>
                </c:ext>
              </c:extLst>
              <c:f>'Inventory Turnover'!$AB$11:$AB$14</c:f>
              <c:numCache>
                <c:formatCode>_(* #,##0.0_);_(* \(#,##0.0\);_(* "-"??_);_(@_)</c:formatCode>
                <c:ptCount val="4"/>
                <c:pt idx="0">
                  <c:v>4.2452123380342881</c:v>
                </c:pt>
                <c:pt idx="1">
                  <c:v>5.4818951840978425</c:v>
                </c:pt>
                <c:pt idx="2">
                  <c:v>5.3518971485940234</c:v>
                </c:pt>
                <c:pt idx="3">
                  <c:v>3.8930571725648453</c:v>
                </c:pt>
              </c:numCache>
            </c:numRef>
          </c:val>
          <c:extLst>
            <c:ext xmlns:c16="http://schemas.microsoft.com/office/drawing/2014/chart" uri="{C3380CC4-5D6E-409C-BE32-E72D297353CC}">
              <c16:uniqueId val="{00000006-FB1B-47AF-B212-F52E80FB3D0D}"/>
            </c:ext>
          </c:extLst>
        </c:ser>
        <c:dLbls>
          <c:showLegendKey val="0"/>
          <c:showVal val="1"/>
          <c:showCatName val="0"/>
          <c:showSerName val="0"/>
          <c:showPercent val="0"/>
          <c:showBubbleSize val="0"/>
        </c:dLbls>
        <c:gapWidth val="75"/>
        <c:axId val="357563552"/>
        <c:axId val="357564536"/>
      </c:barChart>
      <c:catAx>
        <c:axId val="35756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64536"/>
        <c:crosses val="autoZero"/>
        <c:auto val="1"/>
        <c:lblAlgn val="ctr"/>
        <c:lblOffset val="100"/>
        <c:noMultiLvlLbl val="0"/>
      </c:catAx>
      <c:valAx>
        <c:axId val="357564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6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[Kim_Omega_Business_Modelling.xlsx]Inventory Turnover!PivotTable9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 by Year (times in 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'Inventory Turnover'!$K$48:$K$49</c:f>
              <c:strCache>
                <c:ptCount val="1"/>
                <c:pt idx="0">
                  <c:v>2012</c:v>
                </c:pt>
              </c:strCache>
            </c:strRef>
          </c:tx>
          <c:spPr>
            <a:solidFill>
              <a:schemeClr val="accent1"/>
            </a:solidFill>
            <a:ln>
              <a:noFill/>
            </a:ln>
            <a:effectLst/>
          </c:spPr>
          <c:invertIfNegative val="0"/>
          <c:cat>
            <c:strRef>
              <c:f>'Inventory Turnover'!$J$50:$J$57</c:f>
              <c:strCache>
                <c:ptCount val="7"/>
                <c:pt idx="0">
                  <c:v>Computers and Tablets</c:v>
                </c:pt>
                <c:pt idx="1">
                  <c:v>Fridges</c:v>
                </c:pt>
                <c:pt idx="2">
                  <c:v>Games and Consoles</c:v>
                </c:pt>
                <c:pt idx="3">
                  <c:v>Microwaves</c:v>
                </c:pt>
                <c:pt idx="4">
                  <c:v>Mobile Phones</c:v>
                </c:pt>
                <c:pt idx="5">
                  <c:v>TVs</c:v>
                </c:pt>
                <c:pt idx="6">
                  <c:v>Washing Machines</c:v>
                </c:pt>
              </c:strCache>
            </c:strRef>
          </c:cat>
          <c:val>
            <c:numRef>
              <c:f>'Inventory Turnover'!$K$50:$K$57</c:f>
              <c:numCache>
                <c:formatCode>#,##0.0</c:formatCode>
                <c:ptCount val="7"/>
                <c:pt idx="0">
                  <c:v>56.886568986568989</c:v>
                </c:pt>
                <c:pt idx="1">
                  <c:v>99.583090059845276</c:v>
                </c:pt>
                <c:pt idx="2">
                  <c:v>107.93785947712418</c:v>
                </c:pt>
                <c:pt idx="3">
                  <c:v>85.127942840973404</c:v>
                </c:pt>
                <c:pt idx="4">
                  <c:v>96.317158385093165</c:v>
                </c:pt>
                <c:pt idx="5">
                  <c:v>90.210606060606068</c:v>
                </c:pt>
                <c:pt idx="6">
                  <c:v>61.95595601322146</c:v>
                </c:pt>
              </c:numCache>
            </c:numRef>
          </c:val>
          <c:extLst>
            <c:ext xmlns:c16="http://schemas.microsoft.com/office/drawing/2014/chart" uri="{C3380CC4-5D6E-409C-BE32-E72D297353CC}">
              <c16:uniqueId val="{00000000-E629-41A5-A650-035EA5150AA9}"/>
            </c:ext>
          </c:extLst>
        </c:ser>
        <c:ser>
          <c:idx val="1"/>
          <c:order val="1"/>
          <c:tx>
            <c:strRef>
              <c:f>'Inventory Turnover'!$L$48:$L$49</c:f>
              <c:strCache>
                <c:ptCount val="1"/>
                <c:pt idx="0">
                  <c:v>2013</c:v>
                </c:pt>
              </c:strCache>
            </c:strRef>
          </c:tx>
          <c:spPr>
            <a:solidFill>
              <a:schemeClr val="accent2"/>
            </a:solidFill>
            <a:ln>
              <a:noFill/>
            </a:ln>
            <a:effectLst/>
          </c:spPr>
          <c:invertIfNegative val="0"/>
          <c:cat>
            <c:strRef>
              <c:f>'Inventory Turnover'!$J$50:$J$57</c:f>
              <c:strCache>
                <c:ptCount val="7"/>
                <c:pt idx="0">
                  <c:v>Computers and Tablets</c:v>
                </c:pt>
                <c:pt idx="1">
                  <c:v>Fridges</c:v>
                </c:pt>
                <c:pt idx="2">
                  <c:v>Games and Consoles</c:v>
                </c:pt>
                <c:pt idx="3">
                  <c:v>Microwaves</c:v>
                </c:pt>
                <c:pt idx="4">
                  <c:v>Mobile Phones</c:v>
                </c:pt>
                <c:pt idx="5">
                  <c:v>TVs</c:v>
                </c:pt>
                <c:pt idx="6">
                  <c:v>Washing Machines</c:v>
                </c:pt>
              </c:strCache>
            </c:strRef>
          </c:cat>
          <c:val>
            <c:numRef>
              <c:f>'Inventory Turnover'!$L$50:$L$57</c:f>
              <c:numCache>
                <c:formatCode>#,##0.0</c:formatCode>
                <c:ptCount val="7"/>
                <c:pt idx="0">
                  <c:v>68.513194444444451</c:v>
                </c:pt>
                <c:pt idx="1">
                  <c:v>100.16499542124542</c:v>
                </c:pt>
                <c:pt idx="2">
                  <c:v>72.983312324929969</c:v>
                </c:pt>
                <c:pt idx="3">
                  <c:v>92.724728487886381</c:v>
                </c:pt>
                <c:pt idx="4">
                  <c:v>79.629886039886046</c:v>
                </c:pt>
                <c:pt idx="5">
                  <c:v>88.503950216450221</c:v>
                </c:pt>
                <c:pt idx="6">
                  <c:v>74.437948717948714</c:v>
                </c:pt>
              </c:numCache>
            </c:numRef>
          </c:val>
          <c:extLst>
            <c:ext xmlns:c16="http://schemas.microsoft.com/office/drawing/2014/chart" uri="{C3380CC4-5D6E-409C-BE32-E72D297353CC}">
              <c16:uniqueId val="{00000001-E629-41A5-A650-035EA5150AA9}"/>
            </c:ext>
          </c:extLst>
        </c:ser>
        <c:ser>
          <c:idx val="2"/>
          <c:order val="2"/>
          <c:tx>
            <c:strRef>
              <c:f>'Inventory Turnover'!$M$48:$M$49</c:f>
              <c:strCache>
                <c:ptCount val="1"/>
                <c:pt idx="0">
                  <c:v>2014</c:v>
                </c:pt>
              </c:strCache>
            </c:strRef>
          </c:tx>
          <c:spPr>
            <a:solidFill>
              <a:schemeClr val="accent3"/>
            </a:solidFill>
            <a:ln>
              <a:noFill/>
            </a:ln>
            <a:effectLst/>
          </c:spPr>
          <c:invertIfNegative val="0"/>
          <c:cat>
            <c:strRef>
              <c:f>'Inventory Turnover'!$J$50:$J$57</c:f>
              <c:strCache>
                <c:ptCount val="7"/>
                <c:pt idx="0">
                  <c:v>Computers and Tablets</c:v>
                </c:pt>
                <c:pt idx="1">
                  <c:v>Fridges</c:v>
                </c:pt>
                <c:pt idx="2">
                  <c:v>Games and Consoles</c:v>
                </c:pt>
                <c:pt idx="3">
                  <c:v>Microwaves</c:v>
                </c:pt>
                <c:pt idx="4">
                  <c:v>Mobile Phones</c:v>
                </c:pt>
                <c:pt idx="5">
                  <c:v>TVs</c:v>
                </c:pt>
                <c:pt idx="6">
                  <c:v>Washing Machines</c:v>
                </c:pt>
              </c:strCache>
            </c:strRef>
          </c:cat>
          <c:val>
            <c:numRef>
              <c:f>'Inventory Turnover'!$M$50:$M$57</c:f>
              <c:numCache>
                <c:formatCode>#,##0.0</c:formatCode>
                <c:ptCount val="7"/>
                <c:pt idx="0">
                  <c:v>73.965852130325814</c:v>
                </c:pt>
                <c:pt idx="1">
                  <c:v>98.111758893280637</c:v>
                </c:pt>
                <c:pt idx="2">
                  <c:v>84.274262422360252</c:v>
                </c:pt>
                <c:pt idx="3">
                  <c:v>71.975961538461547</c:v>
                </c:pt>
                <c:pt idx="4">
                  <c:v>76.139258904044709</c:v>
                </c:pt>
                <c:pt idx="5">
                  <c:v>69.068695533769073</c:v>
                </c:pt>
                <c:pt idx="6">
                  <c:v>76.87208791208792</c:v>
                </c:pt>
              </c:numCache>
            </c:numRef>
          </c:val>
          <c:extLst>
            <c:ext xmlns:c16="http://schemas.microsoft.com/office/drawing/2014/chart" uri="{C3380CC4-5D6E-409C-BE32-E72D297353CC}">
              <c16:uniqueId val="{00000002-E629-41A5-A650-035EA5150AA9}"/>
            </c:ext>
          </c:extLst>
        </c:ser>
        <c:dLbls>
          <c:showLegendKey val="0"/>
          <c:showVal val="0"/>
          <c:showCatName val="0"/>
          <c:showSerName val="0"/>
          <c:showPercent val="0"/>
          <c:showBubbleSize val="0"/>
        </c:dLbls>
        <c:gapWidth val="150"/>
        <c:axId val="364092808"/>
        <c:axId val="492195696"/>
      </c:barChart>
      <c:catAx>
        <c:axId val="364092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195696"/>
        <c:crosses val="autoZero"/>
        <c:auto val="1"/>
        <c:lblAlgn val="ctr"/>
        <c:lblOffset val="100"/>
        <c:noMultiLvlLbl val="0"/>
      </c:catAx>
      <c:valAx>
        <c:axId val="4921956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92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 by Year (in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'Inventory Turnover'!$Z$49</c:f>
              <c:strCache>
                <c:ptCount val="1"/>
                <c:pt idx="0">
                  <c:v>2012</c:v>
                </c:pt>
              </c:strCache>
            </c:strRef>
          </c:tx>
          <c:spPr>
            <a:solidFill>
              <a:schemeClr val="accent1"/>
            </a:solidFill>
            <a:ln>
              <a:noFill/>
            </a:ln>
            <a:effectLst/>
          </c:spPr>
          <c:invertIfNegative val="0"/>
          <c:cat>
            <c:strRef>
              <c:extLst>
                <c:ext xmlns:c15="http://schemas.microsoft.com/office/drawing/2012/chart" uri="{02D57815-91ED-43cb-92C2-25804820EDAC}">
                  <c15:fullRef>
                    <c15:sqref>'Inventory Turnover'!$Y$49:$Y$56</c15:sqref>
                  </c15:fullRef>
                </c:ext>
              </c:extLst>
              <c:f>'Inventory Turnover'!$Y$50:$Y$56</c:f>
              <c:strCache>
                <c:ptCount val="7"/>
                <c:pt idx="0">
                  <c:v>Computers and Tablets</c:v>
                </c:pt>
                <c:pt idx="1">
                  <c:v>Fridges</c:v>
                </c:pt>
                <c:pt idx="2">
                  <c:v>Games and Consoles</c:v>
                </c:pt>
                <c:pt idx="3">
                  <c:v>Microwaves</c:v>
                </c:pt>
                <c:pt idx="4">
                  <c:v>Mobile Phones</c:v>
                </c:pt>
                <c:pt idx="5">
                  <c:v>TVs</c:v>
                </c:pt>
                <c:pt idx="6">
                  <c:v>Washing Machines</c:v>
                </c:pt>
              </c:strCache>
            </c:strRef>
          </c:cat>
          <c:val>
            <c:numRef>
              <c:extLst>
                <c:ext xmlns:c15="http://schemas.microsoft.com/office/drawing/2012/chart" uri="{02D57815-91ED-43cb-92C2-25804820EDAC}">
                  <c15:fullRef>
                    <c15:sqref>'Inventory Turnover'!$Z$49:$Z$56</c15:sqref>
                  </c15:fullRef>
                </c:ext>
              </c:extLst>
              <c:f>'Inventory Turnover'!$Z$50:$Z$56</c:f>
              <c:numCache>
                <c:formatCode>_(* #,##0.0_);_(* \(#,##0.0\);_(* "-"??_);_(@_)</c:formatCode>
                <c:ptCount val="7"/>
                <c:pt idx="0">
                  <c:v>6.4162772777907753</c:v>
                </c:pt>
                <c:pt idx="1">
                  <c:v>3.6652809204921262</c:v>
                </c:pt>
                <c:pt idx="2">
                  <c:v>3.3815753042365668</c:v>
                </c:pt>
                <c:pt idx="3">
                  <c:v>4.2876638130660876</c:v>
                </c:pt>
                <c:pt idx="4">
                  <c:v>3.789563626250942</c:v>
                </c:pt>
                <c:pt idx="5">
                  <c:v>4.0460874384856984</c:v>
                </c:pt>
                <c:pt idx="6">
                  <c:v>5.8912818635565669</c:v>
                </c:pt>
              </c:numCache>
            </c:numRef>
          </c:val>
          <c:extLst>
            <c:ext xmlns:c16="http://schemas.microsoft.com/office/drawing/2014/chart" uri="{C3380CC4-5D6E-409C-BE32-E72D297353CC}">
              <c16:uniqueId val="{00000008-47CD-4F95-96F6-ED4F3068BFEA}"/>
            </c:ext>
          </c:extLst>
        </c:ser>
        <c:ser>
          <c:idx val="1"/>
          <c:order val="1"/>
          <c:tx>
            <c:strRef>
              <c:f>'Inventory Turnover'!$AA$49</c:f>
              <c:strCache>
                <c:ptCount val="1"/>
                <c:pt idx="0">
                  <c:v>2013</c:v>
                </c:pt>
              </c:strCache>
            </c:strRef>
          </c:tx>
          <c:spPr>
            <a:solidFill>
              <a:schemeClr val="accent2"/>
            </a:solidFill>
            <a:ln>
              <a:noFill/>
            </a:ln>
            <a:effectLst/>
          </c:spPr>
          <c:invertIfNegative val="0"/>
          <c:cat>
            <c:strRef>
              <c:extLst>
                <c:ext xmlns:c15="http://schemas.microsoft.com/office/drawing/2012/chart" uri="{02D57815-91ED-43cb-92C2-25804820EDAC}">
                  <c15:fullRef>
                    <c15:sqref>'Inventory Turnover'!$Y$49:$Y$56</c15:sqref>
                  </c15:fullRef>
                </c:ext>
              </c:extLst>
              <c:f>'Inventory Turnover'!$Y$50:$Y$56</c:f>
              <c:strCache>
                <c:ptCount val="7"/>
                <c:pt idx="0">
                  <c:v>Computers and Tablets</c:v>
                </c:pt>
                <c:pt idx="1">
                  <c:v>Fridges</c:v>
                </c:pt>
                <c:pt idx="2">
                  <c:v>Games and Consoles</c:v>
                </c:pt>
                <c:pt idx="3">
                  <c:v>Microwaves</c:v>
                </c:pt>
                <c:pt idx="4">
                  <c:v>Mobile Phones</c:v>
                </c:pt>
                <c:pt idx="5">
                  <c:v>TVs</c:v>
                </c:pt>
                <c:pt idx="6">
                  <c:v>Washing Machines</c:v>
                </c:pt>
              </c:strCache>
            </c:strRef>
          </c:cat>
          <c:val>
            <c:numRef>
              <c:extLst>
                <c:ext xmlns:c15="http://schemas.microsoft.com/office/drawing/2012/chart" uri="{02D57815-91ED-43cb-92C2-25804820EDAC}">
                  <c15:fullRef>
                    <c15:sqref>'Inventory Turnover'!$AA$49:$AA$56</c15:sqref>
                  </c15:fullRef>
                </c:ext>
              </c:extLst>
              <c:f>'Inventory Turnover'!$AA$50:$AA$56</c:f>
              <c:numCache>
                <c:formatCode>_(* #,##0.0_);_(* \(#,##0.0\);_(* "-"??_);_(@_)</c:formatCode>
                <c:ptCount val="7"/>
                <c:pt idx="0">
                  <c:v>5.3274409835899403</c:v>
                </c:pt>
                <c:pt idx="1">
                  <c:v>3.6439875873301539</c:v>
                </c:pt>
                <c:pt idx="2">
                  <c:v>5.0011432527887836</c:v>
                </c:pt>
                <c:pt idx="3">
                  <c:v>3.9363825157782353</c:v>
                </c:pt>
                <c:pt idx="4">
                  <c:v>4.5837061705346924</c:v>
                </c:pt>
                <c:pt idx="5">
                  <c:v>4.1241097047909792</c:v>
                </c:pt>
                <c:pt idx="6">
                  <c:v>4.9034129269603319</c:v>
                </c:pt>
              </c:numCache>
            </c:numRef>
          </c:val>
          <c:extLst>
            <c:ext xmlns:c16="http://schemas.microsoft.com/office/drawing/2014/chart" uri="{C3380CC4-5D6E-409C-BE32-E72D297353CC}">
              <c16:uniqueId val="{00000009-47CD-4F95-96F6-ED4F3068BFEA}"/>
            </c:ext>
          </c:extLst>
        </c:ser>
        <c:ser>
          <c:idx val="2"/>
          <c:order val="2"/>
          <c:tx>
            <c:strRef>
              <c:f>'Inventory Turnover'!$AB$49</c:f>
              <c:strCache>
                <c:ptCount val="1"/>
                <c:pt idx="0">
                  <c:v>2014</c:v>
                </c:pt>
              </c:strCache>
            </c:strRef>
          </c:tx>
          <c:spPr>
            <a:solidFill>
              <a:schemeClr val="accent3"/>
            </a:solidFill>
            <a:ln>
              <a:noFill/>
            </a:ln>
            <a:effectLst/>
          </c:spPr>
          <c:invertIfNegative val="0"/>
          <c:cat>
            <c:strRef>
              <c:extLst>
                <c:ext xmlns:c15="http://schemas.microsoft.com/office/drawing/2012/chart" uri="{02D57815-91ED-43cb-92C2-25804820EDAC}">
                  <c15:fullRef>
                    <c15:sqref>'Inventory Turnover'!$Y$49:$Y$56</c15:sqref>
                  </c15:fullRef>
                </c:ext>
              </c:extLst>
              <c:f>'Inventory Turnover'!$Y$50:$Y$56</c:f>
              <c:strCache>
                <c:ptCount val="7"/>
                <c:pt idx="0">
                  <c:v>Computers and Tablets</c:v>
                </c:pt>
                <c:pt idx="1">
                  <c:v>Fridges</c:v>
                </c:pt>
                <c:pt idx="2">
                  <c:v>Games and Consoles</c:v>
                </c:pt>
                <c:pt idx="3">
                  <c:v>Microwaves</c:v>
                </c:pt>
                <c:pt idx="4">
                  <c:v>Mobile Phones</c:v>
                </c:pt>
                <c:pt idx="5">
                  <c:v>TVs</c:v>
                </c:pt>
                <c:pt idx="6">
                  <c:v>Washing Machines</c:v>
                </c:pt>
              </c:strCache>
            </c:strRef>
          </c:cat>
          <c:val>
            <c:numRef>
              <c:extLst>
                <c:ext xmlns:c15="http://schemas.microsoft.com/office/drawing/2012/chart" uri="{02D57815-91ED-43cb-92C2-25804820EDAC}">
                  <c15:fullRef>
                    <c15:sqref>'Inventory Turnover'!$AB$49:$AB$56</c15:sqref>
                  </c15:fullRef>
                </c:ext>
              </c:extLst>
              <c:f>'Inventory Turnover'!$AB$50:$AB$56</c:f>
              <c:numCache>
                <c:formatCode>_(* #,##0.0_);_(* \(#,##0.0\);_(* "-"??_);_(@_)</c:formatCode>
                <c:ptCount val="7"/>
                <c:pt idx="0">
                  <c:v>4.9347095921626094</c:v>
                </c:pt>
                <c:pt idx="1">
                  <c:v>3.7202472376121847</c:v>
                </c:pt>
                <c:pt idx="2">
                  <c:v>4.3310969388342651</c:v>
                </c:pt>
                <c:pt idx="3">
                  <c:v>5.0711375325629549</c:v>
                </c:pt>
                <c:pt idx="4">
                  <c:v>4.7938475532050431</c:v>
                </c:pt>
                <c:pt idx="5">
                  <c:v>5.2845937972224215</c:v>
                </c:pt>
                <c:pt idx="6">
                  <c:v>4.7481473433818984</c:v>
                </c:pt>
              </c:numCache>
            </c:numRef>
          </c:val>
          <c:extLst>
            <c:ext xmlns:c16="http://schemas.microsoft.com/office/drawing/2014/chart" uri="{C3380CC4-5D6E-409C-BE32-E72D297353CC}">
              <c16:uniqueId val="{0000000A-47CD-4F95-96F6-ED4F3068BFEA}"/>
            </c:ext>
          </c:extLst>
        </c:ser>
        <c:dLbls>
          <c:showLegendKey val="0"/>
          <c:showVal val="0"/>
          <c:showCatName val="0"/>
          <c:showSerName val="0"/>
          <c:showPercent val="0"/>
          <c:showBubbleSize val="0"/>
        </c:dLbls>
        <c:gapWidth val="150"/>
        <c:axId val="484666592"/>
        <c:axId val="485375104"/>
      </c:barChart>
      <c:catAx>
        <c:axId val="48466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375104"/>
        <c:crosses val="autoZero"/>
        <c:auto val="1"/>
        <c:lblAlgn val="ctr"/>
        <c:lblOffset val="100"/>
        <c:noMultiLvlLbl val="0"/>
      </c:catAx>
      <c:valAx>
        <c:axId val="48537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66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'Staff Performance Analysis'!$P$10</c:f>
              <c:strCache>
                <c:ptCount val="1"/>
                <c:pt idx="0">
                  <c:v>2012</c:v>
                </c:pt>
              </c:strCache>
            </c:strRef>
          </c:tx>
          <c:spPr>
            <a:solidFill>
              <a:schemeClr val="accent1"/>
            </a:solidFill>
            <a:ln>
              <a:noFill/>
            </a:ln>
            <a:effectLst/>
          </c:spPr>
          <c:invertIfNegative val="0"/>
          <c:cat>
            <c:strRef>
              <c:extLst>
                <c:ext xmlns:c15="http://schemas.microsoft.com/office/drawing/2012/chart" uri="{02D57815-91ED-43cb-92C2-25804820EDAC}">
                  <c15:fullRef>
                    <c15:sqref>'Staff Performance Analysis'!$P$9:$U$9</c15:sqref>
                  </c15:fullRef>
                </c:ext>
              </c:extLst>
              <c:f>'Staff Performance Analysis'!$Q$9:$U$9</c:f>
              <c:strCache>
                <c:ptCount val="5"/>
                <c:pt idx="0">
                  <c:v>Brisbane</c:v>
                </c:pt>
                <c:pt idx="1">
                  <c:v>Gold Coast</c:v>
                </c:pt>
                <c:pt idx="2">
                  <c:v>Townsville</c:v>
                </c:pt>
                <c:pt idx="3">
                  <c:v>Cairns</c:v>
                </c:pt>
                <c:pt idx="4">
                  <c:v> Total</c:v>
                </c:pt>
              </c:strCache>
            </c:strRef>
          </c:cat>
          <c:val>
            <c:numRef>
              <c:extLst>
                <c:ext xmlns:c15="http://schemas.microsoft.com/office/drawing/2012/chart" uri="{02D57815-91ED-43cb-92C2-25804820EDAC}">
                  <c15:fullRef>
                    <c15:sqref>'Staff Performance Analysis'!$P$10:$U$10</c15:sqref>
                  </c15:fullRef>
                </c:ext>
              </c:extLst>
              <c:f>'Staff Performance Analysis'!$Q$10:$U$10</c:f>
              <c:numCache>
                <c:formatCode>_(* #,##0_);_(* \(#,##0\);_(* "-"??_);_(@_)</c:formatCode>
                <c:ptCount val="5"/>
                <c:pt idx="0">
                  <c:v>941633</c:v>
                </c:pt>
                <c:pt idx="1">
                  <c:v>800035.5555555555</c:v>
                </c:pt>
                <c:pt idx="2">
                  <c:v>907216</c:v>
                </c:pt>
                <c:pt idx="3">
                  <c:v>1005667.5</c:v>
                </c:pt>
                <c:pt idx="4">
                  <c:v>130519.71626984127</c:v>
                </c:pt>
              </c:numCache>
            </c:numRef>
          </c:val>
          <c:extLst>
            <c:ext xmlns:c16="http://schemas.microsoft.com/office/drawing/2014/chart" uri="{C3380CC4-5D6E-409C-BE32-E72D297353CC}">
              <c16:uniqueId val="{00000000-54A8-4655-A520-B5860B34A89D}"/>
            </c:ext>
          </c:extLst>
        </c:ser>
        <c:ser>
          <c:idx val="1"/>
          <c:order val="1"/>
          <c:tx>
            <c:strRef>
              <c:f>'Staff Performance Analysis'!$P$11</c:f>
              <c:strCache>
                <c:ptCount val="1"/>
                <c:pt idx="0">
                  <c:v>2013</c:v>
                </c:pt>
              </c:strCache>
            </c:strRef>
          </c:tx>
          <c:spPr>
            <a:solidFill>
              <a:schemeClr val="accent2"/>
            </a:solidFill>
            <a:ln>
              <a:noFill/>
            </a:ln>
            <a:effectLst/>
          </c:spPr>
          <c:invertIfNegative val="0"/>
          <c:cat>
            <c:strRef>
              <c:extLst>
                <c:ext xmlns:c15="http://schemas.microsoft.com/office/drawing/2012/chart" uri="{02D57815-91ED-43cb-92C2-25804820EDAC}">
                  <c15:fullRef>
                    <c15:sqref>'Staff Performance Analysis'!$P$9:$U$9</c15:sqref>
                  </c15:fullRef>
                </c:ext>
              </c:extLst>
              <c:f>'Staff Performance Analysis'!$Q$9:$U$9</c:f>
              <c:strCache>
                <c:ptCount val="5"/>
                <c:pt idx="0">
                  <c:v>Brisbane</c:v>
                </c:pt>
                <c:pt idx="1">
                  <c:v>Gold Coast</c:v>
                </c:pt>
                <c:pt idx="2">
                  <c:v>Townsville</c:v>
                </c:pt>
                <c:pt idx="3">
                  <c:v>Cairns</c:v>
                </c:pt>
                <c:pt idx="4">
                  <c:v> Total</c:v>
                </c:pt>
              </c:strCache>
            </c:strRef>
          </c:cat>
          <c:val>
            <c:numRef>
              <c:extLst>
                <c:ext xmlns:c15="http://schemas.microsoft.com/office/drawing/2012/chart" uri="{02D57815-91ED-43cb-92C2-25804820EDAC}">
                  <c15:fullRef>
                    <c15:sqref>'Staff Performance Analysis'!$P$11:$U$11</c15:sqref>
                  </c15:fullRef>
                </c:ext>
              </c:extLst>
              <c:f>'Staff Performance Analysis'!$Q$11:$U$11</c:f>
              <c:numCache>
                <c:formatCode>_(* #,##0_);_(* \(#,##0\);_(* "-"??_);_(@_)</c:formatCode>
                <c:ptCount val="5"/>
                <c:pt idx="0">
                  <c:v>936487</c:v>
                </c:pt>
                <c:pt idx="1">
                  <c:v>744974.4444444445</c:v>
                </c:pt>
                <c:pt idx="2">
                  <c:v>1009446</c:v>
                </c:pt>
                <c:pt idx="3">
                  <c:v>1138942.5</c:v>
                </c:pt>
                <c:pt idx="4">
                  <c:v>136780.35515873015</c:v>
                </c:pt>
              </c:numCache>
            </c:numRef>
          </c:val>
          <c:extLst>
            <c:ext xmlns:c16="http://schemas.microsoft.com/office/drawing/2014/chart" uri="{C3380CC4-5D6E-409C-BE32-E72D297353CC}">
              <c16:uniqueId val="{00000001-54A8-4655-A520-B5860B34A89D}"/>
            </c:ext>
          </c:extLst>
        </c:ser>
        <c:ser>
          <c:idx val="2"/>
          <c:order val="2"/>
          <c:tx>
            <c:strRef>
              <c:f>'Staff Performance Analysis'!$P$12</c:f>
              <c:strCache>
                <c:ptCount val="1"/>
                <c:pt idx="0">
                  <c:v>2014</c:v>
                </c:pt>
              </c:strCache>
            </c:strRef>
          </c:tx>
          <c:spPr>
            <a:solidFill>
              <a:schemeClr val="accent3"/>
            </a:solidFill>
            <a:ln>
              <a:noFill/>
            </a:ln>
            <a:effectLst/>
          </c:spPr>
          <c:invertIfNegative val="0"/>
          <c:cat>
            <c:strRef>
              <c:extLst>
                <c:ext xmlns:c15="http://schemas.microsoft.com/office/drawing/2012/chart" uri="{02D57815-91ED-43cb-92C2-25804820EDAC}">
                  <c15:fullRef>
                    <c15:sqref>'Staff Performance Analysis'!$P$9:$U$9</c15:sqref>
                  </c15:fullRef>
                </c:ext>
              </c:extLst>
              <c:f>'Staff Performance Analysis'!$Q$9:$U$9</c:f>
              <c:strCache>
                <c:ptCount val="5"/>
                <c:pt idx="0">
                  <c:v>Brisbane</c:v>
                </c:pt>
                <c:pt idx="1">
                  <c:v>Gold Coast</c:v>
                </c:pt>
                <c:pt idx="2">
                  <c:v>Townsville</c:v>
                </c:pt>
                <c:pt idx="3">
                  <c:v>Cairns</c:v>
                </c:pt>
                <c:pt idx="4">
                  <c:v> Total</c:v>
                </c:pt>
              </c:strCache>
            </c:strRef>
          </c:cat>
          <c:val>
            <c:numRef>
              <c:extLst>
                <c:ext xmlns:c15="http://schemas.microsoft.com/office/drawing/2012/chart" uri="{02D57815-91ED-43cb-92C2-25804820EDAC}">
                  <c15:fullRef>
                    <c15:sqref>'Staff Performance Analysis'!$P$12:$U$12</c15:sqref>
                  </c15:fullRef>
                </c:ext>
              </c:extLst>
              <c:f>'Staff Performance Analysis'!$Q$12:$U$12</c:f>
              <c:numCache>
                <c:formatCode>_(* #,##0_);_(* \(#,##0\);_(* "-"??_);_(@_)</c:formatCode>
                <c:ptCount val="5"/>
                <c:pt idx="0">
                  <c:v>1083355</c:v>
                </c:pt>
                <c:pt idx="1">
                  <c:v>632077.77777777775</c:v>
                </c:pt>
                <c:pt idx="2">
                  <c:v>1222542</c:v>
                </c:pt>
                <c:pt idx="3">
                  <c:v>1570827.5</c:v>
                </c:pt>
                <c:pt idx="4">
                  <c:v>161028.65277777778</c:v>
                </c:pt>
              </c:numCache>
            </c:numRef>
          </c:val>
          <c:extLst>
            <c:ext xmlns:c16="http://schemas.microsoft.com/office/drawing/2014/chart" uri="{C3380CC4-5D6E-409C-BE32-E72D297353CC}">
              <c16:uniqueId val="{00000002-54A8-4655-A520-B5860B34A89D}"/>
            </c:ext>
          </c:extLst>
        </c:ser>
        <c:dLbls>
          <c:showLegendKey val="0"/>
          <c:showVal val="0"/>
          <c:showCatName val="0"/>
          <c:showSerName val="0"/>
          <c:showPercent val="0"/>
          <c:showBubbleSize val="0"/>
        </c:dLbls>
        <c:gapWidth val="150"/>
        <c:axId val="357567816"/>
        <c:axId val="357566504"/>
      </c:barChart>
      <c:catAx>
        <c:axId val="357567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66504"/>
        <c:crosses val="autoZero"/>
        <c:auto val="1"/>
        <c:lblAlgn val="ctr"/>
        <c:lblOffset val="100"/>
        <c:noMultiLvlLbl val="0"/>
      </c:catAx>
      <c:valAx>
        <c:axId val="357566504"/>
        <c:scaling>
          <c:orientation val="minMax"/>
          <c:max val="16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67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F732D88-1643-46E1-B1F5-43722D085A9F}" type="doc">
      <dgm:prSet loTypeId="urn:microsoft.com/office/officeart/2005/8/layout/vList6" loCatId="process" qsTypeId="urn:microsoft.com/office/officeart/2005/8/quickstyle/simple1" qsCatId="simple" csTypeId="urn:microsoft.com/office/officeart/2005/8/colors/accent1_2" csCatId="accent1" phldr="1"/>
      <dgm:spPr/>
      <dgm:t>
        <a:bodyPr/>
        <a:lstStyle/>
        <a:p>
          <a:endParaRPr lang="en-US"/>
        </a:p>
      </dgm:t>
    </dgm:pt>
    <dgm:pt modelId="{00AD347B-348E-474F-8FA7-2B0FE619D305}">
      <dgm:prSet phldrT="[Text]"/>
      <dgm:spPr/>
      <dgm:t>
        <a:bodyPr/>
        <a:lstStyle/>
        <a:p>
          <a:r>
            <a:rPr lang="en-US"/>
            <a:t>Decision</a:t>
          </a:r>
        </a:p>
        <a:p>
          <a:r>
            <a:rPr lang="en-US"/>
            <a:t>(Controllable)</a:t>
          </a:r>
        </a:p>
      </dgm:t>
    </dgm:pt>
    <dgm:pt modelId="{52165AEA-3406-46A0-8056-A7A70F24A33C}" type="parTrans" cxnId="{085F059D-F530-4E26-A44B-303A2ED28106}">
      <dgm:prSet/>
      <dgm:spPr/>
      <dgm:t>
        <a:bodyPr/>
        <a:lstStyle/>
        <a:p>
          <a:endParaRPr lang="en-US"/>
        </a:p>
      </dgm:t>
    </dgm:pt>
    <dgm:pt modelId="{F4857C6D-8DD4-414B-B4FB-6EE913F96917}" type="sibTrans" cxnId="{085F059D-F530-4E26-A44B-303A2ED28106}">
      <dgm:prSet/>
      <dgm:spPr/>
      <dgm:t>
        <a:bodyPr/>
        <a:lstStyle/>
        <a:p>
          <a:endParaRPr lang="en-US"/>
        </a:p>
      </dgm:t>
    </dgm:pt>
    <dgm:pt modelId="{DBDBE75F-3E48-44BD-868D-9F8A3D57BDD9}">
      <dgm:prSet phldrT="[Text]"/>
      <dgm:spPr/>
      <dgm:t>
        <a:bodyPr/>
        <a:lstStyle/>
        <a:p>
          <a:r>
            <a:rPr lang="en-US"/>
            <a:t>Staffing level</a:t>
          </a:r>
        </a:p>
      </dgm:t>
    </dgm:pt>
    <dgm:pt modelId="{DF3F7D80-1894-4C76-B7E2-4CA139EE5B75}" type="parTrans" cxnId="{D2D654D5-EB1D-47A0-9E1A-DF7C68D29FDA}">
      <dgm:prSet/>
      <dgm:spPr/>
      <dgm:t>
        <a:bodyPr/>
        <a:lstStyle/>
        <a:p>
          <a:endParaRPr lang="en-US"/>
        </a:p>
      </dgm:t>
    </dgm:pt>
    <dgm:pt modelId="{EFBF9271-4272-4869-98D6-80B0176EDB63}" type="sibTrans" cxnId="{D2D654D5-EB1D-47A0-9E1A-DF7C68D29FDA}">
      <dgm:prSet/>
      <dgm:spPr/>
      <dgm:t>
        <a:bodyPr/>
        <a:lstStyle/>
        <a:p>
          <a:endParaRPr lang="en-US"/>
        </a:p>
      </dgm:t>
    </dgm:pt>
    <dgm:pt modelId="{B1AC2ED4-E0A0-4D8C-B4F3-67545520274C}">
      <dgm:prSet phldrT="[Text]"/>
      <dgm:spPr/>
      <dgm:t>
        <a:bodyPr/>
        <a:lstStyle/>
        <a:p>
          <a:r>
            <a:rPr lang="en-US"/>
            <a:t>Average Inventory</a:t>
          </a:r>
        </a:p>
      </dgm:t>
    </dgm:pt>
    <dgm:pt modelId="{527C3FE9-091A-465C-96ED-1E97C73C3131}" type="parTrans" cxnId="{50DCAD81-EAA1-454B-BA30-02E5335A4E1D}">
      <dgm:prSet/>
      <dgm:spPr/>
      <dgm:t>
        <a:bodyPr/>
        <a:lstStyle/>
        <a:p>
          <a:endParaRPr lang="en-US"/>
        </a:p>
      </dgm:t>
    </dgm:pt>
    <dgm:pt modelId="{F4A387D3-CC73-47DE-831D-5040C7FC0BE7}" type="sibTrans" cxnId="{50DCAD81-EAA1-454B-BA30-02E5335A4E1D}">
      <dgm:prSet/>
      <dgm:spPr/>
      <dgm:t>
        <a:bodyPr/>
        <a:lstStyle/>
        <a:p>
          <a:endParaRPr lang="en-US"/>
        </a:p>
      </dgm:t>
    </dgm:pt>
    <dgm:pt modelId="{3719BEA8-3484-43F1-A7D7-C8DBECEAF6C2}">
      <dgm:prSet phldrT="[Text]"/>
      <dgm:spPr/>
      <dgm:t>
        <a:bodyPr/>
        <a:lstStyle/>
        <a:p>
          <a:r>
            <a:rPr lang="en-US"/>
            <a:t>Parameters</a:t>
          </a:r>
        </a:p>
        <a:p>
          <a:r>
            <a:rPr lang="en-US"/>
            <a:t>(Uncontrollable)</a:t>
          </a:r>
        </a:p>
      </dgm:t>
    </dgm:pt>
    <dgm:pt modelId="{83E95636-76F3-478E-8D2C-205257559853}" type="parTrans" cxnId="{6EEEC5AA-4C87-4B4B-A961-EFA3EC4C1BD4}">
      <dgm:prSet/>
      <dgm:spPr/>
      <dgm:t>
        <a:bodyPr/>
        <a:lstStyle/>
        <a:p>
          <a:endParaRPr lang="en-US"/>
        </a:p>
      </dgm:t>
    </dgm:pt>
    <dgm:pt modelId="{76536E3E-E3AD-487D-8466-CB5B953768D4}" type="sibTrans" cxnId="{6EEEC5AA-4C87-4B4B-A961-EFA3EC4C1BD4}">
      <dgm:prSet/>
      <dgm:spPr/>
      <dgm:t>
        <a:bodyPr/>
        <a:lstStyle/>
        <a:p>
          <a:endParaRPr lang="en-US"/>
        </a:p>
      </dgm:t>
    </dgm:pt>
    <dgm:pt modelId="{C874864A-2454-4F0E-8BA9-3BD6A0631BEF}">
      <dgm:prSet phldrT="[Text]"/>
      <dgm:spPr/>
      <dgm:t>
        <a:bodyPr/>
        <a:lstStyle/>
        <a:p>
          <a:endParaRPr lang="en-US"/>
        </a:p>
      </dgm:t>
    </dgm:pt>
    <dgm:pt modelId="{07B2E2A9-4BD3-433E-B61B-AEC1BC4C688D}" type="parTrans" cxnId="{902A18F6-CBB7-418E-AAF6-8707C4C26BB7}">
      <dgm:prSet/>
      <dgm:spPr/>
      <dgm:t>
        <a:bodyPr/>
        <a:lstStyle/>
        <a:p>
          <a:endParaRPr lang="en-US"/>
        </a:p>
      </dgm:t>
    </dgm:pt>
    <dgm:pt modelId="{01141BE4-7B5F-47FC-B09A-F16320CED1E9}" type="sibTrans" cxnId="{902A18F6-CBB7-418E-AAF6-8707C4C26BB7}">
      <dgm:prSet/>
      <dgm:spPr/>
      <dgm:t>
        <a:bodyPr/>
        <a:lstStyle/>
        <a:p>
          <a:endParaRPr lang="en-US"/>
        </a:p>
      </dgm:t>
    </dgm:pt>
    <dgm:pt modelId="{95A3D5C2-FF4F-458F-87DB-443C002431A2}">
      <dgm:prSet phldrT="[Text]"/>
      <dgm:spPr/>
      <dgm:t>
        <a:bodyPr/>
        <a:lstStyle/>
        <a:p>
          <a:r>
            <a:rPr lang="en-US"/>
            <a:t>Labor Cost staff p.a</a:t>
          </a:r>
        </a:p>
      </dgm:t>
    </dgm:pt>
    <dgm:pt modelId="{F75531AE-947B-4695-8E13-56B3C6FE5B8A}" type="parTrans" cxnId="{5AA4A5EF-211E-4537-ADDC-C1343C38C7A5}">
      <dgm:prSet/>
      <dgm:spPr/>
      <dgm:t>
        <a:bodyPr/>
        <a:lstStyle/>
        <a:p>
          <a:endParaRPr lang="en-US"/>
        </a:p>
      </dgm:t>
    </dgm:pt>
    <dgm:pt modelId="{CD10355F-32DF-4023-8944-CED0AAD5EFD0}" type="sibTrans" cxnId="{5AA4A5EF-211E-4537-ADDC-C1343C38C7A5}">
      <dgm:prSet/>
      <dgm:spPr/>
      <dgm:t>
        <a:bodyPr/>
        <a:lstStyle/>
        <a:p>
          <a:endParaRPr lang="en-US"/>
        </a:p>
      </dgm:t>
    </dgm:pt>
    <dgm:pt modelId="{AC357ABA-DC18-4753-9A59-1D250961B1C4}">
      <dgm:prSet phldrT="[Text]"/>
      <dgm:spPr/>
      <dgm:t>
        <a:bodyPr/>
        <a:lstStyle/>
        <a:p>
          <a:r>
            <a:rPr lang="en-US"/>
            <a:t>APC</a:t>
          </a:r>
        </a:p>
      </dgm:t>
    </dgm:pt>
    <dgm:pt modelId="{E15F8A44-44CB-40DA-A73E-4EACCD813137}" type="parTrans" cxnId="{A0626D5E-4900-459E-A687-DE6AD69A8C0A}">
      <dgm:prSet/>
      <dgm:spPr/>
      <dgm:t>
        <a:bodyPr/>
        <a:lstStyle/>
        <a:p>
          <a:endParaRPr lang="en-US"/>
        </a:p>
      </dgm:t>
    </dgm:pt>
    <dgm:pt modelId="{19424E60-5407-43DD-860A-3C632ABBA866}" type="sibTrans" cxnId="{A0626D5E-4900-459E-A687-DE6AD69A8C0A}">
      <dgm:prSet/>
      <dgm:spPr/>
      <dgm:t>
        <a:bodyPr/>
        <a:lstStyle/>
        <a:p>
          <a:endParaRPr lang="en-US"/>
        </a:p>
      </dgm:t>
    </dgm:pt>
    <dgm:pt modelId="{8B327AE5-E20D-4BB1-B3BF-C8FB8A1707A4}">
      <dgm:prSet phldrT="[Text]"/>
      <dgm:spPr/>
      <dgm:t>
        <a:bodyPr/>
        <a:lstStyle/>
        <a:p>
          <a:r>
            <a:rPr lang="en-US"/>
            <a:t>Average sale price per item</a:t>
          </a:r>
        </a:p>
      </dgm:t>
    </dgm:pt>
    <dgm:pt modelId="{A66DC802-908F-4A96-9D4F-6D82182F99BE}" type="parTrans" cxnId="{A2FD1012-32B5-4A56-A4CA-44CE758ECE7A}">
      <dgm:prSet/>
      <dgm:spPr/>
      <dgm:t>
        <a:bodyPr/>
        <a:lstStyle/>
        <a:p>
          <a:endParaRPr lang="en-US"/>
        </a:p>
      </dgm:t>
    </dgm:pt>
    <dgm:pt modelId="{A17D58D0-B0E1-4412-A0DB-F19AF04ABBA9}" type="sibTrans" cxnId="{A2FD1012-32B5-4A56-A4CA-44CE758ECE7A}">
      <dgm:prSet/>
      <dgm:spPr/>
      <dgm:t>
        <a:bodyPr/>
        <a:lstStyle/>
        <a:p>
          <a:endParaRPr lang="en-US"/>
        </a:p>
      </dgm:t>
    </dgm:pt>
    <dgm:pt modelId="{A92309DA-AE7F-4C84-8AED-77EEC4BEDB00}">
      <dgm:prSet phldrT="[Text]"/>
      <dgm:spPr/>
      <dgm:t>
        <a:bodyPr/>
        <a:lstStyle/>
        <a:p>
          <a:r>
            <a:rPr lang="en-US"/>
            <a:t>Actual sales units</a:t>
          </a:r>
        </a:p>
      </dgm:t>
    </dgm:pt>
    <dgm:pt modelId="{CAE2C543-0968-441B-BE88-05411177D664}" type="parTrans" cxnId="{1D70BFC7-4632-472E-8AA2-4AB27D9FF0EF}">
      <dgm:prSet/>
      <dgm:spPr/>
      <dgm:t>
        <a:bodyPr/>
        <a:lstStyle/>
        <a:p>
          <a:endParaRPr lang="en-US"/>
        </a:p>
      </dgm:t>
    </dgm:pt>
    <dgm:pt modelId="{CCD97B27-369C-4F7C-901A-BC5988E778AB}" type="sibTrans" cxnId="{1D70BFC7-4632-472E-8AA2-4AB27D9FF0EF}">
      <dgm:prSet/>
      <dgm:spPr/>
      <dgm:t>
        <a:bodyPr/>
        <a:lstStyle/>
        <a:p>
          <a:endParaRPr lang="en-US"/>
        </a:p>
      </dgm:t>
    </dgm:pt>
    <dgm:pt modelId="{5879868E-A794-4C62-8806-6F02F0DC122F}">
      <dgm:prSet phldrT="[Text]"/>
      <dgm:spPr/>
      <dgm:t>
        <a:bodyPr/>
        <a:lstStyle/>
        <a:p>
          <a:r>
            <a:rPr lang="en-US"/>
            <a:t>VUAOC for specific location</a:t>
          </a:r>
        </a:p>
      </dgm:t>
    </dgm:pt>
    <dgm:pt modelId="{D8953518-2E9F-4A92-9C2D-F3A2F0BBA0B0}" type="parTrans" cxnId="{AD992438-DD07-4944-B118-F3470AE63226}">
      <dgm:prSet/>
      <dgm:spPr/>
      <dgm:t>
        <a:bodyPr/>
        <a:lstStyle/>
        <a:p>
          <a:endParaRPr lang="en-US"/>
        </a:p>
      </dgm:t>
    </dgm:pt>
    <dgm:pt modelId="{F3FBC80E-310E-43B9-915D-294F17CE5BBA}" type="sibTrans" cxnId="{AD992438-DD07-4944-B118-F3470AE63226}">
      <dgm:prSet/>
      <dgm:spPr/>
      <dgm:t>
        <a:bodyPr/>
        <a:lstStyle/>
        <a:p>
          <a:endParaRPr lang="en-US"/>
        </a:p>
      </dgm:t>
    </dgm:pt>
    <dgm:pt modelId="{114AF033-4676-4E8D-AA8F-7ACD75E0D5F5}">
      <dgm:prSet phldrT="[Text]"/>
      <dgm:spPr/>
      <dgm:t>
        <a:bodyPr/>
        <a:lstStyle/>
        <a:p>
          <a:r>
            <a:rPr lang="en-US"/>
            <a:t>Avarage whole sales cost</a:t>
          </a:r>
        </a:p>
      </dgm:t>
    </dgm:pt>
    <dgm:pt modelId="{369A3323-4FCF-4D1B-BBE2-DF1848BE9E6B}" type="parTrans" cxnId="{E45AD821-DB30-4138-899A-9290C7C021D8}">
      <dgm:prSet/>
      <dgm:spPr/>
      <dgm:t>
        <a:bodyPr/>
        <a:lstStyle/>
        <a:p>
          <a:endParaRPr lang="en-US"/>
        </a:p>
      </dgm:t>
    </dgm:pt>
    <dgm:pt modelId="{E00D61CD-0C3E-4683-AA44-9E13EBE4F297}" type="sibTrans" cxnId="{E45AD821-DB30-4138-899A-9290C7C021D8}">
      <dgm:prSet/>
      <dgm:spPr/>
      <dgm:t>
        <a:bodyPr/>
        <a:lstStyle/>
        <a:p>
          <a:endParaRPr lang="en-US"/>
        </a:p>
      </dgm:t>
    </dgm:pt>
    <dgm:pt modelId="{CF704211-81CF-43B5-A0B6-352CDF6211DE}">
      <dgm:prSet phldrT="[Text]"/>
      <dgm:spPr/>
      <dgm:t>
        <a:bodyPr/>
        <a:lstStyle/>
        <a:p>
          <a:r>
            <a:rPr lang="en-US"/>
            <a:t>FAOC</a:t>
          </a:r>
        </a:p>
      </dgm:t>
    </dgm:pt>
    <dgm:pt modelId="{FBE6B2BF-F247-4A69-8EB2-B45053231B0A}" type="parTrans" cxnId="{4CBB62D0-AE95-491E-A5FE-41A7B4AD0773}">
      <dgm:prSet/>
      <dgm:spPr/>
      <dgm:t>
        <a:bodyPr/>
        <a:lstStyle/>
        <a:p>
          <a:endParaRPr lang="en-US"/>
        </a:p>
      </dgm:t>
    </dgm:pt>
    <dgm:pt modelId="{687ABF6B-6019-4B75-A392-EFFFBCE3C228}" type="sibTrans" cxnId="{4CBB62D0-AE95-491E-A5FE-41A7B4AD0773}">
      <dgm:prSet/>
      <dgm:spPr/>
      <dgm:t>
        <a:bodyPr/>
        <a:lstStyle/>
        <a:p>
          <a:endParaRPr lang="en-US"/>
        </a:p>
      </dgm:t>
    </dgm:pt>
    <dgm:pt modelId="{95B390A9-3734-4BE2-8D26-37B39C8946FE}" type="pres">
      <dgm:prSet presAssocID="{5F732D88-1643-46E1-B1F5-43722D085A9F}" presName="Name0" presStyleCnt="0">
        <dgm:presLayoutVars>
          <dgm:dir/>
          <dgm:animLvl val="lvl"/>
          <dgm:resizeHandles/>
        </dgm:presLayoutVars>
      </dgm:prSet>
      <dgm:spPr/>
    </dgm:pt>
    <dgm:pt modelId="{8628FE48-70E7-495D-AF02-BB530A150710}" type="pres">
      <dgm:prSet presAssocID="{00AD347B-348E-474F-8FA7-2B0FE619D305}" presName="linNode" presStyleCnt="0"/>
      <dgm:spPr/>
    </dgm:pt>
    <dgm:pt modelId="{0861400F-4CA8-4AF2-AD90-C9931A4C67A6}" type="pres">
      <dgm:prSet presAssocID="{00AD347B-348E-474F-8FA7-2B0FE619D305}" presName="parentShp" presStyleLbl="node1" presStyleIdx="0" presStyleCnt="2">
        <dgm:presLayoutVars>
          <dgm:bulletEnabled val="1"/>
        </dgm:presLayoutVars>
      </dgm:prSet>
      <dgm:spPr/>
    </dgm:pt>
    <dgm:pt modelId="{2E2B8C9E-EB40-46A1-9477-210CDA6FA329}" type="pres">
      <dgm:prSet presAssocID="{00AD347B-348E-474F-8FA7-2B0FE619D305}" presName="childShp" presStyleLbl="bgAccFollowNode1" presStyleIdx="0" presStyleCnt="2" custScaleY="153248">
        <dgm:presLayoutVars>
          <dgm:bulletEnabled val="1"/>
        </dgm:presLayoutVars>
      </dgm:prSet>
      <dgm:spPr/>
    </dgm:pt>
    <dgm:pt modelId="{9AF3EA13-BF00-4439-AEAD-6C3183656E99}" type="pres">
      <dgm:prSet presAssocID="{F4857C6D-8DD4-414B-B4FB-6EE913F96917}" presName="spacing" presStyleCnt="0"/>
      <dgm:spPr/>
    </dgm:pt>
    <dgm:pt modelId="{9EF85D6E-45B5-4DE2-AF85-F37969D8D90D}" type="pres">
      <dgm:prSet presAssocID="{3719BEA8-3484-43F1-A7D7-C8DBECEAF6C2}" presName="linNode" presStyleCnt="0"/>
      <dgm:spPr/>
    </dgm:pt>
    <dgm:pt modelId="{CD1FFD1E-8388-4641-BFBF-E97FBCB65B31}" type="pres">
      <dgm:prSet presAssocID="{3719BEA8-3484-43F1-A7D7-C8DBECEAF6C2}" presName="parentShp" presStyleLbl="node1" presStyleIdx="1" presStyleCnt="2">
        <dgm:presLayoutVars>
          <dgm:bulletEnabled val="1"/>
        </dgm:presLayoutVars>
      </dgm:prSet>
      <dgm:spPr/>
    </dgm:pt>
    <dgm:pt modelId="{FA9C0951-C64E-4927-A06C-282C164A7CD9}" type="pres">
      <dgm:prSet presAssocID="{3719BEA8-3484-43F1-A7D7-C8DBECEAF6C2}" presName="childShp" presStyleLbl="bgAccFollowNode1" presStyleIdx="1" presStyleCnt="2">
        <dgm:presLayoutVars>
          <dgm:bulletEnabled val="1"/>
        </dgm:presLayoutVars>
      </dgm:prSet>
      <dgm:spPr/>
    </dgm:pt>
  </dgm:ptLst>
  <dgm:cxnLst>
    <dgm:cxn modelId="{80CF84CB-6393-4665-B852-754604811F76}" type="presOf" srcId="{CF704211-81CF-43B5-A0B6-352CDF6211DE}" destId="{2E2B8C9E-EB40-46A1-9477-210CDA6FA329}" srcOrd="0" destOrd="8" presId="urn:microsoft.com/office/officeart/2005/8/layout/vList6"/>
    <dgm:cxn modelId="{A2FD1012-32B5-4A56-A4CA-44CE758ECE7A}" srcId="{00AD347B-348E-474F-8FA7-2B0FE619D305}" destId="{8B327AE5-E20D-4BB1-B3BF-C8FB8A1707A4}" srcOrd="3" destOrd="0" parTransId="{A66DC802-908F-4A96-9D4F-6D82182F99BE}" sibTransId="{A17D58D0-B0E1-4412-A0DB-F19AF04ABBA9}"/>
    <dgm:cxn modelId="{890BD516-73E0-4EF9-BB9F-D565428C6B38}" type="presOf" srcId="{00AD347B-348E-474F-8FA7-2B0FE619D305}" destId="{0861400F-4CA8-4AF2-AD90-C9931A4C67A6}" srcOrd="0" destOrd="0" presId="urn:microsoft.com/office/officeart/2005/8/layout/vList6"/>
    <dgm:cxn modelId="{9131D8CA-413C-4F0C-AE08-981A9590DD3B}" type="presOf" srcId="{95A3D5C2-FF4F-458F-87DB-443C002431A2}" destId="{2E2B8C9E-EB40-46A1-9477-210CDA6FA329}" srcOrd="0" destOrd="1" presId="urn:microsoft.com/office/officeart/2005/8/layout/vList6"/>
    <dgm:cxn modelId="{D8D054B1-422A-4137-B382-1222975A5B37}" type="presOf" srcId="{5F732D88-1643-46E1-B1F5-43722D085A9F}" destId="{95B390A9-3734-4BE2-8D26-37B39C8946FE}" srcOrd="0" destOrd="0" presId="urn:microsoft.com/office/officeart/2005/8/layout/vList6"/>
    <dgm:cxn modelId="{5AA4A5EF-211E-4537-ADDC-C1343C38C7A5}" srcId="{00AD347B-348E-474F-8FA7-2B0FE619D305}" destId="{95A3D5C2-FF4F-458F-87DB-443C002431A2}" srcOrd="1" destOrd="0" parTransId="{F75531AE-947B-4695-8E13-56B3C6FE5B8A}" sibTransId="{CD10355F-32DF-4023-8944-CED0AAD5EFD0}"/>
    <dgm:cxn modelId="{A0626D5E-4900-459E-A687-DE6AD69A8C0A}" srcId="{00AD347B-348E-474F-8FA7-2B0FE619D305}" destId="{AC357ABA-DC18-4753-9A59-1D250961B1C4}" srcOrd="2" destOrd="0" parTransId="{E15F8A44-44CB-40DA-A73E-4EACCD813137}" sibTransId="{19424E60-5407-43DD-860A-3C632ABBA866}"/>
    <dgm:cxn modelId="{6EEEC5AA-4C87-4B4B-A961-EFA3EC4C1BD4}" srcId="{5F732D88-1643-46E1-B1F5-43722D085A9F}" destId="{3719BEA8-3484-43F1-A7D7-C8DBECEAF6C2}" srcOrd="1" destOrd="0" parTransId="{83E95636-76F3-478E-8D2C-205257559853}" sibTransId="{76536E3E-E3AD-487D-8466-CB5B953768D4}"/>
    <dgm:cxn modelId="{D5732B6A-E6A6-49E2-BDEB-A08CA9166AEA}" type="presOf" srcId="{C874864A-2454-4F0E-8BA9-3BD6A0631BEF}" destId="{FA9C0951-C64E-4927-A06C-282C164A7CD9}" srcOrd="0" destOrd="0" presId="urn:microsoft.com/office/officeart/2005/8/layout/vList6"/>
    <dgm:cxn modelId="{4CBB62D0-AE95-491E-A5FE-41A7B4AD0773}" srcId="{00AD347B-348E-474F-8FA7-2B0FE619D305}" destId="{CF704211-81CF-43B5-A0B6-352CDF6211DE}" srcOrd="8" destOrd="0" parTransId="{FBE6B2BF-F247-4A69-8EB2-B45053231B0A}" sibTransId="{687ABF6B-6019-4B75-A392-EFFFBCE3C228}"/>
    <dgm:cxn modelId="{50DCAD81-EAA1-454B-BA30-02E5335A4E1D}" srcId="{00AD347B-348E-474F-8FA7-2B0FE619D305}" destId="{B1AC2ED4-E0A0-4D8C-B4F3-67545520274C}" srcOrd="5" destOrd="0" parTransId="{527C3FE9-091A-465C-96ED-1E97C73C3131}" sibTransId="{F4A387D3-CC73-47DE-831D-5040C7FC0BE7}"/>
    <dgm:cxn modelId="{9FFA9C33-CF11-47A6-97FA-5DFD5CE6BA7C}" type="presOf" srcId="{A92309DA-AE7F-4C84-8AED-77EEC4BEDB00}" destId="{2E2B8C9E-EB40-46A1-9477-210CDA6FA329}" srcOrd="0" destOrd="4" presId="urn:microsoft.com/office/officeart/2005/8/layout/vList6"/>
    <dgm:cxn modelId="{E45AD821-DB30-4138-899A-9290C7C021D8}" srcId="{00AD347B-348E-474F-8FA7-2B0FE619D305}" destId="{114AF033-4676-4E8D-AA8F-7ACD75E0D5F5}" srcOrd="7" destOrd="0" parTransId="{369A3323-4FCF-4D1B-BBE2-DF1848BE9E6B}" sibTransId="{E00D61CD-0C3E-4683-AA44-9E13EBE4F297}"/>
    <dgm:cxn modelId="{AD992438-DD07-4944-B118-F3470AE63226}" srcId="{00AD347B-348E-474F-8FA7-2B0FE619D305}" destId="{5879868E-A794-4C62-8806-6F02F0DC122F}" srcOrd="6" destOrd="0" parTransId="{D8953518-2E9F-4A92-9C2D-F3A2F0BBA0B0}" sibTransId="{F3FBC80E-310E-43B9-915D-294F17CE5BBA}"/>
    <dgm:cxn modelId="{0FF502A3-FD6C-4214-B028-FAD93BB6C9C3}" type="presOf" srcId="{5879868E-A794-4C62-8806-6F02F0DC122F}" destId="{2E2B8C9E-EB40-46A1-9477-210CDA6FA329}" srcOrd="0" destOrd="6" presId="urn:microsoft.com/office/officeart/2005/8/layout/vList6"/>
    <dgm:cxn modelId="{53559AE9-F85A-43B6-97C0-80A53BB63577}" type="presOf" srcId="{DBDBE75F-3E48-44BD-868D-9F8A3D57BDD9}" destId="{2E2B8C9E-EB40-46A1-9477-210CDA6FA329}" srcOrd="0" destOrd="0" presId="urn:microsoft.com/office/officeart/2005/8/layout/vList6"/>
    <dgm:cxn modelId="{902A18F6-CBB7-418E-AAF6-8707C4C26BB7}" srcId="{3719BEA8-3484-43F1-A7D7-C8DBECEAF6C2}" destId="{C874864A-2454-4F0E-8BA9-3BD6A0631BEF}" srcOrd="0" destOrd="0" parTransId="{07B2E2A9-4BD3-433E-B61B-AEC1BC4C688D}" sibTransId="{01141BE4-7B5F-47FC-B09A-F16320CED1E9}"/>
    <dgm:cxn modelId="{085F059D-F530-4E26-A44B-303A2ED28106}" srcId="{5F732D88-1643-46E1-B1F5-43722D085A9F}" destId="{00AD347B-348E-474F-8FA7-2B0FE619D305}" srcOrd="0" destOrd="0" parTransId="{52165AEA-3406-46A0-8056-A7A70F24A33C}" sibTransId="{F4857C6D-8DD4-414B-B4FB-6EE913F96917}"/>
    <dgm:cxn modelId="{1D70BFC7-4632-472E-8AA2-4AB27D9FF0EF}" srcId="{00AD347B-348E-474F-8FA7-2B0FE619D305}" destId="{A92309DA-AE7F-4C84-8AED-77EEC4BEDB00}" srcOrd="4" destOrd="0" parTransId="{CAE2C543-0968-441B-BE88-05411177D664}" sibTransId="{CCD97B27-369C-4F7C-901A-BC5988E778AB}"/>
    <dgm:cxn modelId="{95522444-2063-4D33-B3ED-93ECD4BA859F}" type="presOf" srcId="{AC357ABA-DC18-4753-9A59-1D250961B1C4}" destId="{2E2B8C9E-EB40-46A1-9477-210CDA6FA329}" srcOrd="0" destOrd="2" presId="urn:microsoft.com/office/officeart/2005/8/layout/vList6"/>
    <dgm:cxn modelId="{37F1C3A0-97A1-4357-A879-BFF82AC214B7}" type="presOf" srcId="{3719BEA8-3484-43F1-A7D7-C8DBECEAF6C2}" destId="{CD1FFD1E-8388-4641-BFBF-E97FBCB65B31}" srcOrd="0" destOrd="0" presId="urn:microsoft.com/office/officeart/2005/8/layout/vList6"/>
    <dgm:cxn modelId="{43E6FA43-444B-4846-AEAC-11BE7502CE5C}" type="presOf" srcId="{B1AC2ED4-E0A0-4D8C-B4F3-67545520274C}" destId="{2E2B8C9E-EB40-46A1-9477-210CDA6FA329}" srcOrd="0" destOrd="5" presId="urn:microsoft.com/office/officeart/2005/8/layout/vList6"/>
    <dgm:cxn modelId="{2E555CF9-DE9D-4ABF-819C-047514C755C9}" type="presOf" srcId="{114AF033-4676-4E8D-AA8F-7ACD75E0D5F5}" destId="{2E2B8C9E-EB40-46A1-9477-210CDA6FA329}" srcOrd="0" destOrd="7" presId="urn:microsoft.com/office/officeart/2005/8/layout/vList6"/>
    <dgm:cxn modelId="{D2D654D5-EB1D-47A0-9E1A-DF7C68D29FDA}" srcId="{00AD347B-348E-474F-8FA7-2B0FE619D305}" destId="{DBDBE75F-3E48-44BD-868D-9F8A3D57BDD9}" srcOrd="0" destOrd="0" parTransId="{DF3F7D80-1894-4C76-B7E2-4CA139EE5B75}" sibTransId="{EFBF9271-4272-4869-98D6-80B0176EDB63}"/>
    <dgm:cxn modelId="{C16AB410-A306-4CE7-AD8B-2FFA54CF7CF4}" type="presOf" srcId="{8B327AE5-E20D-4BB1-B3BF-C8FB8A1707A4}" destId="{2E2B8C9E-EB40-46A1-9477-210CDA6FA329}" srcOrd="0" destOrd="3" presId="urn:microsoft.com/office/officeart/2005/8/layout/vList6"/>
    <dgm:cxn modelId="{46F4C4BF-201B-4A99-B27F-D4AE994B6F6D}" type="presParOf" srcId="{95B390A9-3734-4BE2-8D26-37B39C8946FE}" destId="{8628FE48-70E7-495D-AF02-BB530A150710}" srcOrd="0" destOrd="0" presId="urn:microsoft.com/office/officeart/2005/8/layout/vList6"/>
    <dgm:cxn modelId="{9D65F9CD-9837-4E77-9ACF-D48BF5EEB6BE}" type="presParOf" srcId="{8628FE48-70E7-495D-AF02-BB530A150710}" destId="{0861400F-4CA8-4AF2-AD90-C9931A4C67A6}" srcOrd="0" destOrd="0" presId="urn:microsoft.com/office/officeart/2005/8/layout/vList6"/>
    <dgm:cxn modelId="{F1AE51BE-9609-401C-B1E0-D1267DDE20E4}" type="presParOf" srcId="{8628FE48-70E7-495D-AF02-BB530A150710}" destId="{2E2B8C9E-EB40-46A1-9477-210CDA6FA329}" srcOrd="1" destOrd="0" presId="urn:microsoft.com/office/officeart/2005/8/layout/vList6"/>
    <dgm:cxn modelId="{BEAA9504-CC19-4612-A53F-2980571679C8}" type="presParOf" srcId="{95B390A9-3734-4BE2-8D26-37B39C8946FE}" destId="{9AF3EA13-BF00-4439-AEAD-6C3183656E99}" srcOrd="1" destOrd="0" presId="urn:microsoft.com/office/officeart/2005/8/layout/vList6"/>
    <dgm:cxn modelId="{932F4708-727E-4C84-B882-4582DEF6DE27}" type="presParOf" srcId="{95B390A9-3734-4BE2-8D26-37B39C8946FE}" destId="{9EF85D6E-45B5-4DE2-AF85-F37969D8D90D}" srcOrd="2" destOrd="0" presId="urn:microsoft.com/office/officeart/2005/8/layout/vList6"/>
    <dgm:cxn modelId="{1BFBF464-72F4-465A-B0E9-608C6864138F}" type="presParOf" srcId="{9EF85D6E-45B5-4DE2-AF85-F37969D8D90D}" destId="{CD1FFD1E-8388-4641-BFBF-E97FBCB65B31}" srcOrd="0" destOrd="0" presId="urn:microsoft.com/office/officeart/2005/8/layout/vList6"/>
    <dgm:cxn modelId="{A3BA4183-81E2-4287-B6BE-3A6FA2EA22F1}" type="presParOf" srcId="{9EF85D6E-45B5-4DE2-AF85-F37969D8D90D}" destId="{FA9C0951-C64E-4927-A06C-282C164A7CD9}" srcOrd="1" destOrd="0" presId="urn:microsoft.com/office/officeart/2005/8/layout/vList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F732D88-1643-46E1-B1F5-43722D085A9F}" type="doc">
      <dgm:prSet loTypeId="urn:microsoft.com/office/officeart/2005/8/layout/vList6" loCatId="process" qsTypeId="urn:microsoft.com/office/officeart/2005/8/quickstyle/simple1" qsCatId="simple" csTypeId="urn:microsoft.com/office/officeart/2005/8/colors/accent1_2" csCatId="accent1" phldr="1"/>
      <dgm:spPr/>
      <dgm:t>
        <a:bodyPr/>
        <a:lstStyle/>
        <a:p>
          <a:endParaRPr lang="en-US"/>
        </a:p>
      </dgm:t>
    </dgm:pt>
    <dgm:pt modelId="{00AD347B-348E-474F-8FA7-2B0FE619D305}">
      <dgm:prSet phldrT="[Text]"/>
      <dgm:spPr/>
      <dgm:t>
        <a:bodyPr/>
        <a:lstStyle/>
        <a:p>
          <a:r>
            <a:rPr lang="en-US"/>
            <a:t>Performance Measure</a:t>
          </a:r>
        </a:p>
      </dgm:t>
    </dgm:pt>
    <dgm:pt modelId="{52165AEA-3406-46A0-8056-A7A70F24A33C}" type="parTrans" cxnId="{085F059D-F530-4E26-A44B-303A2ED28106}">
      <dgm:prSet/>
      <dgm:spPr/>
      <dgm:t>
        <a:bodyPr/>
        <a:lstStyle/>
        <a:p>
          <a:endParaRPr lang="en-US"/>
        </a:p>
      </dgm:t>
    </dgm:pt>
    <dgm:pt modelId="{F4857C6D-8DD4-414B-B4FB-6EE913F96917}" type="sibTrans" cxnId="{085F059D-F530-4E26-A44B-303A2ED28106}">
      <dgm:prSet/>
      <dgm:spPr/>
      <dgm:t>
        <a:bodyPr/>
        <a:lstStyle/>
        <a:p>
          <a:endParaRPr lang="en-US"/>
        </a:p>
      </dgm:t>
    </dgm:pt>
    <dgm:pt modelId="{DBDBE75F-3E48-44BD-868D-9F8A3D57BDD9}">
      <dgm:prSet phldrT="[Text]" custT="1"/>
      <dgm:spPr/>
      <dgm:t>
        <a:bodyPr/>
        <a:lstStyle/>
        <a:p>
          <a:r>
            <a:rPr lang="en-US" sz="2800">
              <a:latin typeface="Arial" panose="020B0604020202020204" pitchFamily="34" charset="0"/>
              <a:cs typeface="Arial" panose="020B0604020202020204" pitchFamily="34" charset="0"/>
            </a:rPr>
            <a:t>Profit</a:t>
          </a:r>
        </a:p>
      </dgm:t>
    </dgm:pt>
    <dgm:pt modelId="{DF3F7D80-1894-4C76-B7E2-4CA139EE5B75}" type="parTrans" cxnId="{D2D654D5-EB1D-47A0-9E1A-DF7C68D29FDA}">
      <dgm:prSet/>
      <dgm:spPr/>
      <dgm:t>
        <a:bodyPr/>
        <a:lstStyle/>
        <a:p>
          <a:endParaRPr lang="en-US"/>
        </a:p>
      </dgm:t>
    </dgm:pt>
    <dgm:pt modelId="{EFBF9271-4272-4869-98D6-80B0176EDB63}" type="sibTrans" cxnId="{D2D654D5-EB1D-47A0-9E1A-DF7C68D29FDA}">
      <dgm:prSet/>
      <dgm:spPr/>
      <dgm:t>
        <a:bodyPr/>
        <a:lstStyle/>
        <a:p>
          <a:endParaRPr lang="en-US"/>
        </a:p>
      </dgm:t>
    </dgm:pt>
    <dgm:pt modelId="{3719BEA8-3484-43F1-A7D7-C8DBECEAF6C2}">
      <dgm:prSet phldrT="[Text]"/>
      <dgm:spPr/>
      <dgm:t>
        <a:bodyPr/>
        <a:lstStyle/>
        <a:p>
          <a:r>
            <a:rPr lang="en-US"/>
            <a:t>Consequence Variables</a:t>
          </a:r>
        </a:p>
      </dgm:t>
    </dgm:pt>
    <dgm:pt modelId="{83E95636-76F3-478E-8D2C-205257559853}" type="parTrans" cxnId="{6EEEC5AA-4C87-4B4B-A961-EFA3EC4C1BD4}">
      <dgm:prSet/>
      <dgm:spPr/>
      <dgm:t>
        <a:bodyPr/>
        <a:lstStyle/>
        <a:p>
          <a:endParaRPr lang="en-US"/>
        </a:p>
      </dgm:t>
    </dgm:pt>
    <dgm:pt modelId="{76536E3E-E3AD-487D-8466-CB5B953768D4}" type="sibTrans" cxnId="{6EEEC5AA-4C87-4B4B-A961-EFA3EC4C1BD4}">
      <dgm:prSet/>
      <dgm:spPr/>
      <dgm:t>
        <a:bodyPr/>
        <a:lstStyle/>
        <a:p>
          <a:endParaRPr lang="en-US"/>
        </a:p>
      </dgm:t>
    </dgm:pt>
    <dgm:pt modelId="{C874864A-2454-4F0E-8BA9-3BD6A0631BEF}">
      <dgm:prSet phldrT="[Text]"/>
      <dgm:spPr/>
      <dgm:t>
        <a:bodyPr/>
        <a:lstStyle/>
        <a:p>
          <a:r>
            <a:rPr lang="en-US"/>
            <a:t>Labor Costs</a:t>
          </a:r>
        </a:p>
      </dgm:t>
    </dgm:pt>
    <dgm:pt modelId="{07B2E2A9-4BD3-433E-B61B-AEC1BC4C688D}" type="parTrans" cxnId="{902A18F6-CBB7-418E-AAF6-8707C4C26BB7}">
      <dgm:prSet/>
      <dgm:spPr/>
      <dgm:t>
        <a:bodyPr/>
        <a:lstStyle/>
        <a:p>
          <a:endParaRPr lang="en-US"/>
        </a:p>
      </dgm:t>
    </dgm:pt>
    <dgm:pt modelId="{01141BE4-7B5F-47FC-B09A-F16320CED1E9}" type="sibTrans" cxnId="{902A18F6-CBB7-418E-AAF6-8707C4C26BB7}">
      <dgm:prSet/>
      <dgm:spPr/>
      <dgm:t>
        <a:bodyPr/>
        <a:lstStyle/>
        <a:p>
          <a:endParaRPr lang="en-US"/>
        </a:p>
      </dgm:t>
    </dgm:pt>
    <dgm:pt modelId="{EBEB772E-4178-458B-BBED-0F4F4CE112A3}">
      <dgm:prSet phldrT="[Text]"/>
      <dgm:spPr/>
      <dgm:t>
        <a:bodyPr/>
        <a:lstStyle/>
        <a:p>
          <a:r>
            <a:rPr lang="en-US"/>
            <a:t>COGS</a:t>
          </a:r>
        </a:p>
      </dgm:t>
    </dgm:pt>
    <dgm:pt modelId="{9F7F6F66-8CB1-43C5-8F1A-255412E03DF4}" type="parTrans" cxnId="{6B3EDB09-502E-4291-9B83-C36995A25468}">
      <dgm:prSet/>
      <dgm:spPr/>
      <dgm:t>
        <a:bodyPr/>
        <a:lstStyle/>
        <a:p>
          <a:endParaRPr lang="en-US"/>
        </a:p>
      </dgm:t>
    </dgm:pt>
    <dgm:pt modelId="{A3B54F04-3DC7-4373-8AFA-1995024EB59F}" type="sibTrans" cxnId="{6B3EDB09-502E-4291-9B83-C36995A25468}">
      <dgm:prSet/>
      <dgm:spPr/>
      <dgm:t>
        <a:bodyPr/>
        <a:lstStyle/>
        <a:p>
          <a:endParaRPr lang="en-US"/>
        </a:p>
      </dgm:t>
    </dgm:pt>
    <dgm:pt modelId="{468FA5C3-74CD-4F77-9F17-0DD85ED3DD0F}">
      <dgm:prSet phldrT="[Text]"/>
      <dgm:spPr/>
      <dgm:t>
        <a:bodyPr/>
        <a:lstStyle/>
        <a:p>
          <a:r>
            <a:rPr lang="en-US">
              <a:latin typeface="Times New Roman" panose="02020603050405020304" pitchFamily="18" charset="0"/>
              <a:cs typeface="Times New Roman" panose="02020603050405020304" pitchFamily="18" charset="0"/>
            </a:rPr>
            <a:t>∑ VUAOC</a:t>
          </a:r>
          <a:endParaRPr lang="en-US"/>
        </a:p>
      </dgm:t>
    </dgm:pt>
    <dgm:pt modelId="{DE0A8CEF-B295-406A-B75C-D013BAC6DD63}" type="parTrans" cxnId="{FAF3F8EA-9E94-4D1C-B33F-7ED3C33EFBEB}">
      <dgm:prSet/>
      <dgm:spPr/>
      <dgm:t>
        <a:bodyPr/>
        <a:lstStyle/>
        <a:p>
          <a:endParaRPr lang="en-US"/>
        </a:p>
      </dgm:t>
    </dgm:pt>
    <dgm:pt modelId="{7A70B4D5-1E0C-4FFF-B83C-9D2411574CA7}" type="sibTrans" cxnId="{FAF3F8EA-9E94-4D1C-B33F-7ED3C33EFBEB}">
      <dgm:prSet/>
      <dgm:spPr/>
      <dgm:t>
        <a:bodyPr/>
        <a:lstStyle/>
        <a:p>
          <a:endParaRPr lang="en-US"/>
        </a:p>
      </dgm:t>
    </dgm:pt>
    <dgm:pt modelId="{BF225DC4-C8C5-4678-9BEA-44CBE8D5F2D5}">
      <dgm:prSet phldrT="[Text]"/>
      <dgm:spPr/>
      <dgm:t>
        <a:bodyPr/>
        <a:lstStyle/>
        <a:p>
          <a:r>
            <a:rPr lang="en-US"/>
            <a:t>Operating Costs</a:t>
          </a:r>
        </a:p>
      </dgm:t>
    </dgm:pt>
    <dgm:pt modelId="{4741D02C-06B7-4573-8F42-E30FC9E9D047}" type="parTrans" cxnId="{6D988EB3-0DCC-4449-8028-4929B9BA2CCC}">
      <dgm:prSet/>
      <dgm:spPr/>
      <dgm:t>
        <a:bodyPr/>
        <a:lstStyle/>
        <a:p>
          <a:endParaRPr lang="en-US"/>
        </a:p>
      </dgm:t>
    </dgm:pt>
    <dgm:pt modelId="{9223D9DE-9179-4BE6-8E60-60730FCCBEDD}" type="sibTrans" cxnId="{6D988EB3-0DCC-4449-8028-4929B9BA2CCC}">
      <dgm:prSet/>
      <dgm:spPr/>
      <dgm:t>
        <a:bodyPr/>
        <a:lstStyle/>
        <a:p>
          <a:endParaRPr lang="en-US"/>
        </a:p>
      </dgm:t>
    </dgm:pt>
    <dgm:pt modelId="{64825882-F1FA-4C7D-A270-4C96F250096C}">
      <dgm:prSet phldrT="[Text]"/>
      <dgm:spPr/>
      <dgm:t>
        <a:bodyPr/>
        <a:lstStyle/>
        <a:p>
          <a:r>
            <a:rPr lang="en-US"/>
            <a:t>Revenue</a:t>
          </a:r>
        </a:p>
      </dgm:t>
    </dgm:pt>
    <dgm:pt modelId="{9D52803E-AB5B-41B9-B185-490FB6480245}" type="parTrans" cxnId="{470523C7-5AEF-4F56-9CA7-A78CE41F1387}">
      <dgm:prSet/>
      <dgm:spPr/>
      <dgm:t>
        <a:bodyPr/>
        <a:lstStyle/>
        <a:p>
          <a:endParaRPr lang="en-US"/>
        </a:p>
      </dgm:t>
    </dgm:pt>
    <dgm:pt modelId="{97E144A9-7EAC-46D9-8391-E351FF5A46E3}" type="sibTrans" cxnId="{470523C7-5AEF-4F56-9CA7-A78CE41F1387}">
      <dgm:prSet/>
      <dgm:spPr/>
      <dgm:t>
        <a:bodyPr/>
        <a:lstStyle/>
        <a:p>
          <a:endParaRPr lang="en-US"/>
        </a:p>
      </dgm:t>
    </dgm:pt>
    <dgm:pt modelId="{95B390A9-3734-4BE2-8D26-37B39C8946FE}" type="pres">
      <dgm:prSet presAssocID="{5F732D88-1643-46E1-B1F5-43722D085A9F}" presName="Name0" presStyleCnt="0">
        <dgm:presLayoutVars>
          <dgm:dir/>
          <dgm:animLvl val="lvl"/>
          <dgm:resizeHandles/>
        </dgm:presLayoutVars>
      </dgm:prSet>
      <dgm:spPr/>
    </dgm:pt>
    <dgm:pt modelId="{8628FE48-70E7-495D-AF02-BB530A150710}" type="pres">
      <dgm:prSet presAssocID="{00AD347B-348E-474F-8FA7-2B0FE619D305}" presName="linNode" presStyleCnt="0"/>
      <dgm:spPr/>
    </dgm:pt>
    <dgm:pt modelId="{0861400F-4CA8-4AF2-AD90-C9931A4C67A6}" type="pres">
      <dgm:prSet presAssocID="{00AD347B-348E-474F-8FA7-2B0FE619D305}" presName="parentShp" presStyleLbl="node1" presStyleIdx="0" presStyleCnt="2" custLinFactX="6323" custLinFactNeighborX="100000" custLinFactNeighborY="5900">
        <dgm:presLayoutVars>
          <dgm:bulletEnabled val="1"/>
        </dgm:presLayoutVars>
      </dgm:prSet>
      <dgm:spPr/>
    </dgm:pt>
    <dgm:pt modelId="{2E2B8C9E-EB40-46A1-9477-210CDA6FA329}" type="pres">
      <dgm:prSet presAssocID="{00AD347B-348E-474F-8FA7-2B0FE619D305}" presName="childShp" presStyleLbl="bgAccFollowNode1" presStyleIdx="0" presStyleCnt="2" custScaleX="93837" custLinFactNeighborX="-96354" custLinFactNeighborY="5105">
        <dgm:presLayoutVars>
          <dgm:bulletEnabled val="1"/>
        </dgm:presLayoutVars>
      </dgm:prSet>
      <dgm:spPr/>
    </dgm:pt>
    <dgm:pt modelId="{9AF3EA13-BF00-4439-AEAD-6C3183656E99}" type="pres">
      <dgm:prSet presAssocID="{F4857C6D-8DD4-414B-B4FB-6EE913F96917}" presName="spacing" presStyleCnt="0"/>
      <dgm:spPr/>
    </dgm:pt>
    <dgm:pt modelId="{9EF85D6E-45B5-4DE2-AF85-F37969D8D90D}" type="pres">
      <dgm:prSet presAssocID="{3719BEA8-3484-43F1-A7D7-C8DBECEAF6C2}" presName="linNode" presStyleCnt="0"/>
      <dgm:spPr/>
    </dgm:pt>
    <dgm:pt modelId="{CD1FFD1E-8388-4641-BFBF-E97FBCB65B31}" type="pres">
      <dgm:prSet presAssocID="{3719BEA8-3484-43F1-A7D7-C8DBECEAF6C2}" presName="parentShp" presStyleLbl="node1" presStyleIdx="1" presStyleCnt="2" custLinFactX="17188" custLinFactNeighborX="100000" custLinFactNeighborY="-2227">
        <dgm:presLayoutVars>
          <dgm:bulletEnabled val="1"/>
        </dgm:presLayoutVars>
      </dgm:prSet>
      <dgm:spPr/>
    </dgm:pt>
    <dgm:pt modelId="{FA9C0951-C64E-4927-A06C-282C164A7CD9}" type="pres">
      <dgm:prSet presAssocID="{3719BEA8-3484-43F1-A7D7-C8DBECEAF6C2}" presName="childShp" presStyleLbl="bgAccFollowNode1" presStyleIdx="1" presStyleCnt="2" custScaleX="93582" custLinFactNeighborX="-96354" custLinFactNeighborY="6564">
        <dgm:presLayoutVars>
          <dgm:bulletEnabled val="1"/>
        </dgm:presLayoutVars>
      </dgm:prSet>
      <dgm:spPr/>
    </dgm:pt>
  </dgm:ptLst>
  <dgm:cxnLst>
    <dgm:cxn modelId="{53559AE9-F85A-43B6-97C0-80A53BB63577}" type="presOf" srcId="{DBDBE75F-3E48-44BD-868D-9F8A3D57BDD9}" destId="{2E2B8C9E-EB40-46A1-9477-210CDA6FA329}" srcOrd="0" destOrd="0" presId="urn:microsoft.com/office/officeart/2005/8/layout/vList6"/>
    <dgm:cxn modelId="{890BD516-73E0-4EF9-BB9F-D565428C6B38}" type="presOf" srcId="{00AD347B-348E-474F-8FA7-2B0FE619D305}" destId="{0861400F-4CA8-4AF2-AD90-C9931A4C67A6}" srcOrd="0" destOrd="0" presId="urn:microsoft.com/office/officeart/2005/8/layout/vList6"/>
    <dgm:cxn modelId="{470523C7-5AEF-4F56-9CA7-A78CE41F1387}" srcId="{3719BEA8-3484-43F1-A7D7-C8DBECEAF6C2}" destId="{64825882-F1FA-4C7D-A270-4C96F250096C}" srcOrd="4" destOrd="0" parTransId="{9D52803E-AB5B-41B9-B185-490FB6480245}" sibTransId="{97E144A9-7EAC-46D9-8391-E351FF5A46E3}"/>
    <dgm:cxn modelId="{D2D654D5-EB1D-47A0-9E1A-DF7C68D29FDA}" srcId="{00AD347B-348E-474F-8FA7-2B0FE619D305}" destId="{DBDBE75F-3E48-44BD-868D-9F8A3D57BDD9}" srcOrd="0" destOrd="0" parTransId="{DF3F7D80-1894-4C76-B7E2-4CA139EE5B75}" sibTransId="{EFBF9271-4272-4869-98D6-80B0176EDB63}"/>
    <dgm:cxn modelId="{FAF3F8EA-9E94-4D1C-B33F-7ED3C33EFBEB}" srcId="{3719BEA8-3484-43F1-A7D7-C8DBECEAF6C2}" destId="{468FA5C3-74CD-4F77-9F17-0DD85ED3DD0F}" srcOrd="1" destOrd="0" parTransId="{DE0A8CEF-B295-406A-B75C-D013BAC6DD63}" sibTransId="{7A70B4D5-1E0C-4FFF-B83C-9D2411574CA7}"/>
    <dgm:cxn modelId="{25EB884A-1A41-49A8-B7AB-F6DA5B61910D}" type="presOf" srcId="{468FA5C3-74CD-4F77-9F17-0DD85ED3DD0F}" destId="{FA9C0951-C64E-4927-A06C-282C164A7CD9}" srcOrd="0" destOrd="1" presId="urn:microsoft.com/office/officeart/2005/8/layout/vList6"/>
    <dgm:cxn modelId="{D5732B6A-E6A6-49E2-BDEB-A08CA9166AEA}" type="presOf" srcId="{C874864A-2454-4F0E-8BA9-3BD6A0631BEF}" destId="{FA9C0951-C64E-4927-A06C-282C164A7CD9}" srcOrd="0" destOrd="0" presId="urn:microsoft.com/office/officeart/2005/8/layout/vList6"/>
    <dgm:cxn modelId="{37F1C3A0-97A1-4357-A879-BFF82AC214B7}" type="presOf" srcId="{3719BEA8-3484-43F1-A7D7-C8DBECEAF6C2}" destId="{CD1FFD1E-8388-4641-BFBF-E97FBCB65B31}" srcOrd="0" destOrd="0" presId="urn:microsoft.com/office/officeart/2005/8/layout/vList6"/>
    <dgm:cxn modelId="{10013F6B-C05D-4ABD-A0AE-A68DC204A456}" type="presOf" srcId="{BF225DC4-C8C5-4678-9BEA-44CBE8D5F2D5}" destId="{FA9C0951-C64E-4927-A06C-282C164A7CD9}" srcOrd="0" destOrd="3" presId="urn:microsoft.com/office/officeart/2005/8/layout/vList6"/>
    <dgm:cxn modelId="{6B3EDB09-502E-4291-9B83-C36995A25468}" srcId="{3719BEA8-3484-43F1-A7D7-C8DBECEAF6C2}" destId="{EBEB772E-4178-458B-BBED-0F4F4CE112A3}" srcOrd="2" destOrd="0" parTransId="{9F7F6F66-8CB1-43C5-8F1A-255412E03DF4}" sibTransId="{A3B54F04-3DC7-4373-8AFA-1995024EB59F}"/>
    <dgm:cxn modelId="{902A18F6-CBB7-418E-AAF6-8707C4C26BB7}" srcId="{3719BEA8-3484-43F1-A7D7-C8DBECEAF6C2}" destId="{C874864A-2454-4F0E-8BA9-3BD6A0631BEF}" srcOrd="0" destOrd="0" parTransId="{07B2E2A9-4BD3-433E-B61B-AEC1BC4C688D}" sibTransId="{01141BE4-7B5F-47FC-B09A-F16320CED1E9}"/>
    <dgm:cxn modelId="{D8D054B1-422A-4137-B382-1222975A5B37}" type="presOf" srcId="{5F732D88-1643-46E1-B1F5-43722D085A9F}" destId="{95B390A9-3734-4BE2-8D26-37B39C8946FE}" srcOrd="0" destOrd="0" presId="urn:microsoft.com/office/officeart/2005/8/layout/vList6"/>
    <dgm:cxn modelId="{6D988EB3-0DCC-4449-8028-4929B9BA2CCC}" srcId="{3719BEA8-3484-43F1-A7D7-C8DBECEAF6C2}" destId="{BF225DC4-C8C5-4678-9BEA-44CBE8D5F2D5}" srcOrd="3" destOrd="0" parTransId="{4741D02C-06B7-4573-8F42-E30FC9E9D047}" sibTransId="{9223D9DE-9179-4BE6-8E60-60730FCCBEDD}"/>
    <dgm:cxn modelId="{6EEEC5AA-4C87-4B4B-A961-EFA3EC4C1BD4}" srcId="{5F732D88-1643-46E1-B1F5-43722D085A9F}" destId="{3719BEA8-3484-43F1-A7D7-C8DBECEAF6C2}" srcOrd="1" destOrd="0" parTransId="{83E95636-76F3-478E-8D2C-205257559853}" sibTransId="{76536E3E-E3AD-487D-8466-CB5B953768D4}"/>
    <dgm:cxn modelId="{77339220-F5EC-48FB-A75B-2D901C12926A}" type="presOf" srcId="{EBEB772E-4178-458B-BBED-0F4F4CE112A3}" destId="{FA9C0951-C64E-4927-A06C-282C164A7CD9}" srcOrd="0" destOrd="2" presId="urn:microsoft.com/office/officeart/2005/8/layout/vList6"/>
    <dgm:cxn modelId="{085F059D-F530-4E26-A44B-303A2ED28106}" srcId="{5F732D88-1643-46E1-B1F5-43722D085A9F}" destId="{00AD347B-348E-474F-8FA7-2B0FE619D305}" srcOrd="0" destOrd="0" parTransId="{52165AEA-3406-46A0-8056-A7A70F24A33C}" sibTransId="{F4857C6D-8DD4-414B-B4FB-6EE913F96917}"/>
    <dgm:cxn modelId="{5ED171D8-A6C9-406A-A7B2-FD5B376BF77B}" type="presOf" srcId="{64825882-F1FA-4C7D-A270-4C96F250096C}" destId="{FA9C0951-C64E-4927-A06C-282C164A7CD9}" srcOrd="0" destOrd="4" presId="urn:microsoft.com/office/officeart/2005/8/layout/vList6"/>
    <dgm:cxn modelId="{46F4C4BF-201B-4A99-B27F-D4AE994B6F6D}" type="presParOf" srcId="{95B390A9-3734-4BE2-8D26-37B39C8946FE}" destId="{8628FE48-70E7-495D-AF02-BB530A150710}" srcOrd="0" destOrd="0" presId="urn:microsoft.com/office/officeart/2005/8/layout/vList6"/>
    <dgm:cxn modelId="{9D65F9CD-9837-4E77-9ACF-D48BF5EEB6BE}" type="presParOf" srcId="{8628FE48-70E7-495D-AF02-BB530A150710}" destId="{0861400F-4CA8-4AF2-AD90-C9931A4C67A6}" srcOrd="0" destOrd="0" presId="urn:microsoft.com/office/officeart/2005/8/layout/vList6"/>
    <dgm:cxn modelId="{F1AE51BE-9609-401C-B1E0-D1267DDE20E4}" type="presParOf" srcId="{8628FE48-70E7-495D-AF02-BB530A150710}" destId="{2E2B8C9E-EB40-46A1-9477-210CDA6FA329}" srcOrd="1" destOrd="0" presId="urn:microsoft.com/office/officeart/2005/8/layout/vList6"/>
    <dgm:cxn modelId="{BEAA9504-CC19-4612-A53F-2980571679C8}" type="presParOf" srcId="{95B390A9-3734-4BE2-8D26-37B39C8946FE}" destId="{9AF3EA13-BF00-4439-AEAD-6C3183656E99}" srcOrd="1" destOrd="0" presId="urn:microsoft.com/office/officeart/2005/8/layout/vList6"/>
    <dgm:cxn modelId="{932F4708-727E-4C84-B882-4582DEF6DE27}" type="presParOf" srcId="{95B390A9-3734-4BE2-8D26-37B39C8946FE}" destId="{9EF85D6E-45B5-4DE2-AF85-F37969D8D90D}" srcOrd="2" destOrd="0" presId="urn:microsoft.com/office/officeart/2005/8/layout/vList6"/>
    <dgm:cxn modelId="{1BFBF464-72F4-465A-B0E9-608C6864138F}" type="presParOf" srcId="{9EF85D6E-45B5-4DE2-AF85-F37969D8D90D}" destId="{CD1FFD1E-8388-4641-BFBF-E97FBCB65B31}" srcOrd="0" destOrd="0" presId="urn:microsoft.com/office/officeart/2005/8/layout/vList6"/>
    <dgm:cxn modelId="{A3BA4183-81E2-4287-B6BE-3A6FA2EA22F1}" type="presParOf" srcId="{9EF85D6E-45B5-4DE2-AF85-F37969D8D90D}" destId="{FA9C0951-C64E-4927-A06C-282C164A7CD9}" srcOrd="1" destOrd="0" presId="urn:microsoft.com/office/officeart/2005/8/layout/vList6"/>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26A05386-7AE5-4784-804B-5B6FA4DDF808}" type="doc">
      <dgm:prSet loTypeId="urn:microsoft.com/office/officeart/2005/8/layout/hierarchy6" loCatId="hierarchy" qsTypeId="urn:microsoft.com/office/officeart/2005/8/quickstyle/simple1" qsCatId="simple" csTypeId="urn:microsoft.com/office/officeart/2005/8/colors/colorful4" csCatId="colorful" phldr="1"/>
      <dgm:spPr/>
      <dgm:t>
        <a:bodyPr/>
        <a:lstStyle/>
        <a:p>
          <a:endParaRPr lang="en-US"/>
        </a:p>
      </dgm:t>
    </dgm:pt>
    <dgm:pt modelId="{9E4DDC9B-001D-417F-9A40-CEABFF20787F}">
      <dgm:prSet phldrT="[Text]" custT="1"/>
      <dgm:spPr/>
      <dgm:t>
        <a:bodyPr/>
        <a:lstStyle/>
        <a:p>
          <a:r>
            <a:rPr lang="en-US" sz="1100">
              <a:latin typeface="Arial" panose="020B0604020202020204" pitchFamily="34" charset="0"/>
              <a:cs typeface="Arial" panose="020B0604020202020204" pitchFamily="34" charset="0"/>
            </a:rPr>
            <a:t>Profit</a:t>
          </a:r>
        </a:p>
      </dgm:t>
    </dgm:pt>
    <dgm:pt modelId="{D07FAA09-0667-4DC7-B3C1-FB02DEF03DC2}" type="parTrans" cxnId="{CAF7F52F-2F57-4855-A4EE-A84ABDA7C756}">
      <dgm:prSet/>
      <dgm:spPr/>
      <dgm:t>
        <a:bodyPr/>
        <a:lstStyle/>
        <a:p>
          <a:endParaRPr lang="en-US"/>
        </a:p>
      </dgm:t>
    </dgm:pt>
    <dgm:pt modelId="{D2B25986-E7FB-4D55-A2F7-62156D63A954}" type="sibTrans" cxnId="{CAF7F52F-2F57-4855-A4EE-A84ABDA7C756}">
      <dgm:prSet/>
      <dgm:spPr/>
      <dgm:t>
        <a:bodyPr/>
        <a:lstStyle/>
        <a:p>
          <a:endParaRPr lang="en-US"/>
        </a:p>
      </dgm:t>
    </dgm:pt>
    <dgm:pt modelId="{1C7227E5-7E52-408B-A6F3-65150E6A72AB}">
      <dgm:prSet phldrT="[Text]" custT="1"/>
      <dgm:spPr/>
      <dgm:t>
        <a:bodyPr/>
        <a:lstStyle/>
        <a:p>
          <a:r>
            <a:rPr lang="en-US" sz="1100">
              <a:latin typeface="Arial" panose="020B0604020202020204" pitchFamily="34" charset="0"/>
              <a:cs typeface="Arial" panose="020B0604020202020204" pitchFamily="34" charset="0"/>
            </a:rPr>
            <a:t>Operating Costs</a:t>
          </a:r>
        </a:p>
      </dgm:t>
    </dgm:pt>
    <dgm:pt modelId="{D44FD9BB-4AB1-4F29-8F16-C381F7FA6DA3}" type="parTrans" cxnId="{05510975-27EB-4CC5-9332-A3347E67A26C}">
      <dgm:prSet>
        <dgm:style>
          <a:lnRef idx="2">
            <a:schemeClr val="accent5"/>
          </a:lnRef>
          <a:fillRef idx="0">
            <a:schemeClr val="accent5"/>
          </a:fillRef>
          <a:effectRef idx="1">
            <a:schemeClr val="accent5"/>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F9568218-DA8E-432F-AA5E-28D3BABF4D24}" type="sibTrans" cxnId="{05510975-27EB-4CC5-9332-A3347E67A26C}">
      <dgm:prSet/>
      <dgm:spPr/>
      <dgm:t>
        <a:bodyPr/>
        <a:lstStyle/>
        <a:p>
          <a:endParaRPr lang="en-US"/>
        </a:p>
      </dgm:t>
    </dgm:pt>
    <dgm:pt modelId="{90C20987-99A5-4E3A-9C8B-2B0CFB7265DA}">
      <dgm:prSet phldrT="[Text]" custT="1"/>
      <dgm:spPr/>
      <dgm:t>
        <a:bodyPr/>
        <a:lstStyle/>
        <a:p>
          <a:r>
            <a:rPr lang="en-US" sz="1100">
              <a:latin typeface="Arial" panose="020B0604020202020204" pitchFamily="34" charset="0"/>
              <a:cs typeface="Arial" panose="020B0604020202020204" pitchFamily="34" charset="0"/>
            </a:rPr>
            <a:t>Labor Cost</a:t>
          </a:r>
        </a:p>
      </dgm:t>
    </dgm:pt>
    <dgm:pt modelId="{E15D6EDD-1103-4E81-B216-0A012F860705}" type="parTrans" cxnId="{90E93FF6-E5DD-4056-801D-CEE0C0CAA821}">
      <dgm:prSet>
        <dgm:style>
          <a:lnRef idx="2">
            <a:schemeClr val="accent6"/>
          </a:lnRef>
          <a:fillRef idx="0">
            <a:schemeClr val="accent6"/>
          </a:fillRef>
          <a:effectRef idx="1">
            <a:schemeClr val="accent6"/>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584AAC6D-A859-4EAF-BE6A-B6542EF9EBD8}" type="sibTrans" cxnId="{90E93FF6-E5DD-4056-801D-CEE0C0CAA821}">
      <dgm:prSet/>
      <dgm:spPr/>
      <dgm:t>
        <a:bodyPr/>
        <a:lstStyle/>
        <a:p>
          <a:endParaRPr lang="en-US"/>
        </a:p>
      </dgm:t>
    </dgm:pt>
    <dgm:pt modelId="{CBE1254D-B8AB-442F-9B20-7F8CB75DA5BC}">
      <dgm:prSet phldrT="[Text]" custT="1"/>
      <dgm:spPr/>
      <dgm:t>
        <a:bodyPr/>
        <a:lstStyle/>
        <a:p>
          <a:r>
            <a:rPr lang="en-US" sz="1100">
              <a:latin typeface="Arial" panose="020B0604020202020204" pitchFamily="34" charset="0"/>
              <a:cs typeface="Arial" panose="020B0604020202020204" pitchFamily="34" charset="0"/>
            </a:rPr>
            <a:t>Revenue</a:t>
          </a:r>
        </a:p>
      </dgm:t>
    </dgm:pt>
    <dgm:pt modelId="{1E5FF1F0-A63E-4B8B-BD38-469103BF210E}" type="parTrans" cxnId="{622AC99E-3665-4D1C-9737-39C9D727C152}">
      <dgm:prSet>
        <dgm:style>
          <a:lnRef idx="2">
            <a:schemeClr val="accent5"/>
          </a:lnRef>
          <a:fillRef idx="0">
            <a:schemeClr val="accent5"/>
          </a:fillRef>
          <a:effectRef idx="1">
            <a:schemeClr val="accent5"/>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7B349882-214B-48A8-8C24-200242F1C570}" type="sibTrans" cxnId="{622AC99E-3665-4D1C-9737-39C9D727C152}">
      <dgm:prSet/>
      <dgm:spPr/>
      <dgm:t>
        <a:bodyPr/>
        <a:lstStyle/>
        <a:p>
          <a:endParaRPr lang="en-US"/>
        </a:p>
      </dgm:t>
    </dgm:pt>
    <dgm:pt modelId="{0AFF4265-56FA-49F6-800F-0760AB487DF4}">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Actual Sales units</a:t>
          </a:r>
        </a:p>
      </dgm:t>
    </dgm:pt>
    <dgm:pt modelId="{3EEE69C6-C32B-4949-BB45-F2BE791E8C9A}" type="parTrans" cxnId="{849BB12E-41A3-4B4D-8086-F1089E868497}">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FE53241A-20AD-40E9-8919-476BDFC57FB9}" type="sibTrans" cxnId="{849BB12E-41A3-4B4D-8086-F1089E868497}">
      <dgm:prSet/>
      <dgm:spPr/>
      <dgm:t>
        <a:bodyPr/>
        <a:lstStyle/>
        <a:p>
          <a:endParaRPr lang="en-US"/>
        </a:p>
      </dgm:t>
    </dgm:pt>
    <dgm:pt modelId="{C18DD4F4-C3E1-4D4D-A5D1-7748F014B804}">
      <dgm:prSet custT="1"/>
      <dgm:spPr/>
      <dgm:t>
        <a:bodyPr/>
        <a:lstStyle/>
        <a:p>
          <a:r>
            <a:rPr lang="en-US" sz="1100">
              <a:latin typeface="Arial" panose="020B0604020202020204" pitchFamily="34" charset="0"/>
              <a:cs typeface="Arial" panose="020B0604020202020204" pitchFamily="34" charset="0"/>
            </a:rPr>
            <a:t>FAOC</a:t>
          </a:r>
        </a:p>
      </dgm:t>
    </dgm:pt>
    <dgm:pt modelId="{0E59AF9C-C037-414B-A89F-B95189107C03}" type="parTrans" cxnId="{60E5D0BC-FCAA-404F-9CBA-FDCAE18F195B}">
      <dgm:prSet/>
      <dgm:spPr/>
      <dgm:t>
        <a:bodyPr/>
        <a:lstStyle/>
        <a:p>
          <a:endParaRPr lang="en-US" sz="1100">
            <a:latin typeface="Arial" panose="020B0604020202020204" pitchFamily="34" charset="0"/>
            <a:cs typeface="Arial" panose="020B0604020202020204" pitchFamily="34" charset="0"/>
          </a:endParaRPr>
        </a:p>
      </dgm:t>
    </dgm:pt>
    <dgm:pt modelId="{2ECAF159-5063-403E-A0B4-300A11BA1456}" type="sibTrans" cxnId="{60E5D0BC-FCAA-404F-9CBA-FDCAE18F195B}">
      <dgm:prSet/>
      <dgm:spPr/>
      <dgm:t>
        <a:bodyPr/>
        <a:lstStyle/>
        <a:p>
          <a:endParaRPr lang="en-US"/>
        </a:p>
      </dgm:t>
    </dgm:pt>
    <dgm:pt modelId="{DE727C55-4208-4BA0-9009-AA5AA02957AA}">
      <dgm:prSet custT="1"/>
      <dgm:spPr/>
      <dgm:t>
        <a:bodyPr/>
        <a:lstStyle/>
        <a:p>
          <a:r>
            <a:rPr lang="en-US" sz="1100">
              <a:latin typeface="Arial" panose="020B0604020202020204" pitchFamily="34" charset="0"/>
              <a:cs typeface="Arial" panose="020B0604020202020204" pitchFamily="34" charset="0"/>
            </a:rPr>
            <a:t>APC</a:t>
          </a:r>
        </a:p>
      </dgm:t>
    </dgm:pt>
    <dgm:pt modelId="{FE93372B-013B-4E42-B396-ABFDC5DAB5CD}" type="parTrans" cxnId="{1BEAB43E-2734-4ADD-BC31-B3A5CAF98A41}">
      <dgm:prSet/>
      <dgm:spPr/>
      <dgm:t>
        <a:bodyPr/>
        <a:lstStyle/>
        <a:p>
          <a:endParaRPr lang="en-US" sz="1100">
            <a:latin typeface="Arial" panose="020B0604020202020204" pitchFamily="34" charset="0"/>
            <a:cs typeface="Arial" panose="020B0604020202020204" pitchFamily="34" charset="0"/>
          </a:endParaRPr>
        </a:p>
      </dgm:t>
    </dgm:pt>
    <dgm:pt modelId="{C551AEA1-A613-47F4-8272-B5438014AD6C}" type="sibTrans" cxnId="{1BEAB43E-2734-4ADD-BC31-B3A5CAF98A41}">
      <dgm:prSet/>
      <dgm:spPr/>
      <dgm:t>
        <a:bodyPr/>
        <a:lstStyle/>
        <a:p>
          <a:endParaRPr lang="en-US"/>
        </a:p>
      </dgm:t>
    </dgm:pt>
    <dgm:pt modelId="{628746A6-433E-42EB-9D87-2361DFF6A6B0}">
      <dgm:prSet custT="1"/>
      <dgm:spPr/>
      <dgm:t>
        <a:bodyPr/>
        <a:lstStyle/>
        <a:p>
          <a:r>
            <a:rPr lang="en-US" sz="1100">
              <a:latin typeface="Arial" panose="020B0604020202020204" pitchFamily="34" charset="0"/>
              <a:cs typeface="Arial" panose="020B0604020202020204" pitchFamily="34" charset="0"/>
            </a:rPr>
            <a:t>COGS</a:t>
          </a:r>
        </a:p>
      </dgm:t>
    </dgm:pt>
    <dgm:pt modelId="{EBC2338D-8369-4E13-8222-BD1A3E29F7C9}" type="parTrans" cxnId="{B559E38C-9452-4CCB-82CD-E2B4B26F2E2F}">
      <dgm:prSet>
        <dgm:style>
          <a:lnRef idx="2">
            <a:schemeClr val="accent6"/>
          </a:lnRef>
          <a:fillRef idx="0">
            <a:schemeClr val="accent6"/>
          </a:fillRef>
          <a:effectRef idx="1">
            <a:schemeClr val="accent6"/>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4BE9E0DD-3FA0-4FD1-BED2-9BEE0CA0EC60}" type="sibTrans" cxnId="{B559E38C-9452-4CCB-82CD-E2B4B26F2E2F}">
      <dgm:prSet/>
      <dgm:spPr/>
      <dgm:t>
        <a:bodyPr/>
        <a:lstStyle/>
        <a:p>
          <a:endParaRPr lang="en-US"/>
        </a:p>
      </dgm:t>
    </dgm:pt>
    <dgm:pt modelId="{05A4966D-93E3-4028-92B2-D368258456A7}">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Average Sale pice per Item</a:t>
          </a:r>
        </a:p>
      </dgm:t>
    </dgm:pt>
    <dgm:pt modelId="{D350456A-DEBD-438C-843E-AF0EE1C0B323}" type="parTrans" cxnId="{F86586C8-3465-45F3-A68C-9DA332F0B83B}">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783E235E-0D88-4F3B-876E-B9CB0A6E65FE}" type="sibTrans" cxnId="{F86586C8-3465-45F3-A68C-9DA332F0B83B}">
      <dgm:prSet/>
      <dgm:spPr/>
      <dgm:t>
        <a:bodyPr/>
        <a:lstStyle/>
        <a:p>
          <a:endParaRPr lang="en-US"/>
        </a:p>
      </dgm:t>
    </dgm:pt>
    <dgm:pt modelId="{9E9A8D25-AC8C-485C-92E7-996254C7D286}">
      <dgm:prSet phldrT="[Text]" custT="1"/>
      <dgm:spPr/>
      <dgm:t>
        <a:bodyPr/>
        <a:lstStyle/>
        <a:p>
          <a:r>
            <a:rPr lang="en-US" sz="1100">
              <a:latin typeface="Arial" panose="020B0604020202020204" pitchFamily="34" charset="0"/>
              <a:cs typeface="Arial" panose="020B0604020202020204" pitchFamily="34" charset="0"/>
            </a:rPr>
            <a:t>VUAOC</a:t>
          </a:r>
        </a:p>
      </dgm:t>
    </dgm:pt>
    <dgm:pt modelId="{328FE8CE-1D97-46CF-8F4F-4A94C894F558}" type="sibTrans" cxnId="{76D3D757-950C-4D68-ABB9-F5A24748912E}">
      <dgm:prSet/>
      <dgm:spPr/>
      <dgm:t>
        <a:bodyPr/>
        <a:lstStyle/>
        <a:p>
          <a:endParaRPr lang="en-US"/>
        </a:p>
      </dgm:t>
    </dgm:pt>
    <dgm:pt modelId="{CB6B2034-AD3B-428E-A115-F7EFF4169E7D}" type="parTrans" cxnId="{76D3D757-950C-4D68-ABB9-F5A24748912E}">
      <dgm:prSet/>
      <dgm:spPr/>
      <dgm:t>
        <a:bodyPr/>
        <a:lstStyle/>
        <a:p>
          <a:endParaRPr lang="en-US" sz="1100">
            <a:latin typeface="Arial" panose="020B0604020202020204" pitchFamily="34" charset="0"/>
            <a:cs typeface="Arial" panose="020B0604020202020204" pitchFamily="34" charset="0"/>
          </a:endParaRPr>
        </a:p>
      </dgm:t>
    </dgm:pt>
    <dgm:pt modelId="{6312A598-DF5A-417A-A247-61B60D8E9CF0}">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Staffing Level</a:t>
          </a:r>
        </a:p>
      </dgm:t>
    </dgm:pt>
    <dgm:pt modelId="{C54EB28D-0DD0-4EA7-96D8-0E0CAFE3EAF5}" type="parTrans" cxnId="{AC0CBBA3-CDBB-4F91-8982-3524622C7A28}">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1768593F-DCD3-407B-AFF5-6171A3DA7619}" type="sibTrans" cxnId="{AC0CBBA3-CDBB-4F91-8982-3524622C7A28}">
      <dgm:prSet/>
      <dgm:spPr/>
      <dgm:t>
        <a:bodyPr/>
        <a:lstStyle/>
        <a:p>
          <a:endParaRPr lang="en-US"/>
        </a:p>
      </dgm:t>
    </dgm:pt>
    <dgm:pt modelId="{382D7B04-6671-4D19-952B-62CFBF2A6F9A}">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Labor cost staff p.a</a:t>
          </a:r>
        </a:p>
      </dgm:t>
    </dgm:pt>
    <dgm:pt modelId="{F11F6F28-EC34-44B7-8E1E-CA1670741265}" type="parTrans" cxnId="{7E61CBF6-695A-4814-BFC1-4B8FDD410E33}">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672B0AB7-4E8D-4BD8-963D-F898DE95CA0B}" type="sibTrans" cxnId="{7E61CBF6-695A-4814-BFC1-4B8FDD410E33}">
      <dgm:prSet/>
      <dgm:spPr/>
      <dgm:t>
        <a:bodyPr/>
        <a:lstStyle/>
        <a:p>
          <a:endParaRPr lang="en-US"/>
        </a:p>
      </dgm:t>
    </dgm:pt>
    <dgm:pt modelId="{4E52EEF8-ED4E-40CF-BEFC-A9710BC48D76}">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Average inventory units</a:t>
          </a:r>
        </a:p>
      </dgm:t>
    </dgm:pt>
    <dgm:pt modelId="{762E6BEC-5E23-4DA9-9962-719D245FC8BC}" type="parTrans" cxnId="{D7C99B86-331C-4C45-A69A-95687E13AAEE}">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D6558737-005D-4927-8B8D-5317A01BAA3C}" type="sibTrans" cxnId="{D7C99B86-331C-4C45-A69A-95687E13AAEE}">
      <dgm:prSet/>
      <dgm:spPr/>
      <dgm:t>
        <a:bodyPr/>
        <a:lstStyle/>
        <a:p>
          <a:endParaRPr lang="en-US"/>
        </a:p>
      </dgm:t>
    </dgm:pt>
    <dgm:pt modelId="{250013BE-717D-4178-9F23-DE6041DF3707}">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VUAOC for specific location</a:t>
          </a:r>
        </a:p>
      </dgm:t>
    </dgm:pt>
    <dgm:pt modelId="{6667F275-D0D2-4B37-BFDC-9B15418FC871}" type="parTrans" cxnId="{958521A9-06C9-4397-82A4-0AD0DEE0AB0C}">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A23E2135-E7A9-43F6-93D9-C7CED66D507F}" type="sibTrans" cxnId="{958521A9-06C9-4397-82A4-0AD0DEE0AB0C}">
      <dgm:prSet/>
      <dgm:spPr/>
      <dgm:t>
        <a:bodyPr/>
        <a:lstStyle/>
        <a:p>
          <a:endParaRPr lang="en-US"/>
        </a:p>
      </dgm:t>
    </dgm:pt>
    <dgm:pt modelId="{B642EA41-D9E1-4563-BC48-E389922571E2}">
      <dgm:prSe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100">
              <a:latin typeface="Arial" panose="020B0604020202020204" pitchFamily="34" charset="0"/>
              <a:cs typeface="Arial" panose="020B0604020202020204" pitchFamily="34" charset="0"/>
            </a:rPr>
            <a:t>Average wholesale cost($/item)</a:t>
          </a:r>
        </a:p>
      </dgm:t>
    </dgm:pt>
    <dgm:pt modelId="{9360129E-11B8-4D6D-B7B6-A24977441F34}" type="parTrans" cxnId="{95647C87-A97D-43C0-951C-255FD3686CCA}">
      <dgm:prSet>
        <dgm:style>
          <a:lnRef idx="2">
            <a:schemeClr val="accent1"/>
          </a:lnRef>
          <a:fillRef idx="0">
            <a:schemeClr val="accent1"/>
          </a:fillRef>
          <a:effectRef idx="1">
            <a:schemeClr val="accent1"/>
          </a:effectRef>
          <a:fontRef idx="minor">
            <a:schemeClr val="tx1"/>
          </a:fontRef>
        </dgm:style>
      </dgm:prSet>
      <dgm:spPr>
        <a:ln>
          <a:headEnd type="triangle" w="med" len="med"/>
          <a:tailEnd type="none" w="med" len="med"/>
        </a:ln>
      </dgm:spPr>
      <dgm:t>
        <a:bodyPr/>
        <a:lstStyle/>
        <a:p>
          <a:endParaRPr lang="en-US" sz="1100">
            <a:latin typeface="Arial" panose="020B0604020202020204" pitchFamily="34" charset="0"/>
            <a:cs typeface="Arial" panose="020B0604020202020204" pitchFamily="34" charset="0"/>
          </a:endParaRPr>
        </a:p>
      </dgm:t>
    </dgm:pt>
    <dgm:pt modelId="{4A857795-9E72-48C8-B058-C7304C678683}" type="sibTrans" cxnId="{95647C87-A97D-43C0-951C-255FD3686CCA}">
      <dgm:prSet/>
      <dgm:spPr/>
      <dgm:t>
        <a:bodyPr/>
        <a:lstStyle/>
        <a:p>
          <a:endParaRPr lang="en-US"/>
        </a:p>
      </dgm:t>
    </dgm:pt>
    <dgm:pt modelId="{1CD33157-6085-4A1A-9EFA-4570B7858D64}" type="pres">
      <dgm:prSet presAssocID="{26A05386-7AE5-4784-804B-5B6FA4DDF808}" presName="mainComposite" presStyleCnt="0">
        <dgm:presLayoutVars>
          <dgm:chPref val="1"/>
          <dgm:dir val="rev"/>
          <dgm:animOne val="branch"/>
          <dgm:animLvl val="lvl"/>
          <dgm:resizeHandles val="exact"/>
        </dgm:presLayoutVars>
      </dgm:prSet>
      <dgm:spPr/>
    </dgm:pt>
    <dgm:pt modelId="{484FD734-A4F2-4AA2-A62A-C57CA2ED9B28}" type="pres">
      <dgm:prSet presAssocID="{26A05386-7AE5-4784-804B-5B6FA4DDF808}" presName="hierFlow" presStyleCnt="0"/>
      <dgm:spPr/>
    </dgm:pt>
    <dgm:pt modelId="{89089EB8-9DDF-448E-AB43-EE3945260E21}" type="pres">
      <dgm:prSet presAssocID="{26A05386-7AE5-4784-804B-5B6FA4DDF808}" presName="hierChild1" presStyleCnt="0">
        <dgm:presLayoutVars>
          <dgm:chPref val="1"/>
          <dgm:animOne val="branch"/>
          <dgm:animLvl val="lvl"/>
        </dgm:presLayoutVars>
      </dgm:prSet>
      <dgm:spPr/>
    </dgm:pt>
    <dgm:pt modelId="{295AD5B8-12A7-48AA-8645-714876B581AE}" type="pres">
      <dgm:prSet presAssocID="{9E4DDC9B-001D-417F-9A40-CEABFF20787F}" presName="Name14" presStyleCnt="0"/>
      <dgm:spPr/>
    </dgm:pt>
    <dgm:pt modelId="{6BC9F1FD-91D5-41F6-A337-19C2A91D6F0F}" type="pres">
      <dgm:prSet presAssocID="{9E4DDC9B-001D-417F-9A40-CEABFF20787F}" presName="level1Shape" presStyleLbl="node0" presStyleIdx="0" presStyleCnt="1" custLinFactY="-4130" custLinFactNeighborX="5509" custLinFactNeighborY="-100000">
        <dgm:presLayoutVars>
          <dgm:chPref val="3"/>
        </dgm:presLayoutVars>
      </dgm:prSet>
      <dgm:spPr/>
    </dgm:pt>
    <dgm:pt modelId="{A39704B0-61F5-4490-A7AF-36D31013BF86}" type="pres">
      <dgm:prSet presAssocID="{9E4DDC9B-001D-417F-9A40-CEABFF20787F}" presName="hierChild2" presStyleCnt="0"/>
      <dgm:spPr/>
    </dgm:pt>
    <dgm:pt modelId="{CAF9EBE3-D598-47B6-8E31-D44FDA8F010F}" type="pres">
      <dgm:prSet presAssocID="{D44FD9BB-4AB1-4F29-8F16-C381F7FA6DA3}" presName="Name19" presStyleLbl="parChTrans1D2" presStyleIdx="0" presStyleCnt="2"/>
      <dgm:spPr/>
    </dgm:pt>
    <dgm:pt modelId="{18FFEADB-B2B0-4AF5-95ED-BE359B0BA974}" type="pres">
      <dgm:prSet presAssocID="{1C7227E5-7E52-408B-A6F3-65150E6A72AB}" presName="Name21" presStyleCnt="0"/>
      <dgm:spPr/>
    </dgm:pt>
    <dgm:pt modelId="{416AC7F0-F2FB-4CB9-A5E7-32C430D748A5}" type="pres">
      <dgm:prSet presAssocID="{1C7227E5-7E52-408B-A6F3-65150E6A72AB}" presName="level2Shape" presStyleLbl="node2" presStyleIdx="0" presStyleCnt="2" custLinFactNeighborX="8815" custLinFactNeighborY="-49586"/>
      <dgm:spPr/>
    </dgm:pt>
    <dgm:pt modelId="{73A281EB-D1D8-47BE-9875-69A6CAE47845}" type="pres">
      <dgm:prSet presAssocID="{1C7227E5-7E52-408B-A6F3-65150E6A72AB}" presName="hierChild3" presStyleCnt="0"/>
      <dgm:spPr/>
    </dgm:pt>
    <dgm:pt modelId="{EE5C19BF-6AE9-4D7D-957D-834FD326BFE1}" type="pres">
      <dgm:prSet presAssocID="{E15D6EDD-1103-4E81-B216-0A012F860705}" presName="Name19" presStyleLbl="parChTrans1D3" presStyleIdx="0" presStyleCnt="7"/>
      <dgm:spPr/>
    </dgm:pt>
    <dgm:pt modelId="{F9BCCB87-30FA-4B86-86BC-E8AF7E0756BD}" type="pres">
      <dgm:prSet presAssocID="{90C20987-99A5-4E3A-9C8B-2B0CFB7265DA}" presName="Name21" presStyleCnt="0"/>
      <dgm:spPr/>
    </dgm:pt>
    <dgm:pt modelId="{401BEF9B-2CFC-4EAB-8C6D-F0C4A9A91743}" type="pres">
      <dgm:prSet presAssocID="{90C20987-99A5-4E3A-9C8B-2B0CFB7265DA}" presName="level2Shape" presStyleLbl="node3" presStyleIdx="0" presStyleCnt="7" custLinFactNeighborX="-1102" custLinFactNeighborY="18181"/>
      <dgm:spPr/>
    </dgm:pt>
    <dgm:pt modelId="{81A38EC4-6FCB-4AF7-8E7C-5B0D2C2CF24C}" type="pres">
      <dgm:prSet presAssocID="{90C20987-99A5-4E3A-9C8B-2B0CFB7265DA}" presName="hierChild3" presStyleCnt="0"/>
      <dgm:spPr/>
    </dgm:pt>
    <dgm:pt modelId="{111CFF31-B31D-4256-A96E-1C1EFB6C592D}" type="pres">
      <dgm:prSet presAssocID="{C54EB28D-0DD0-4EA7-96D8-0E0CAFE3EAF5}" presName="Name19" presStyleLbl="parChTrans1D4" presStyleIdx="0" presStyleCnt="5"/>
      <dgm:spPr/>
    </dgm:pt>
    <dgm:pt modelId="{3DB180B8-650A-404F-A2E9-7CEE68B27083}" type="pres">
      <dgm:prSet presAssocID="{6312A598-DF5A-417A-A247-61B60D8E9CF0}" presName="Name21" presStyleCnt="0"/>
      <dgm:spPr/>
    </dgm:pt>
    <dgm:pt modelId="{DB383981-EBA9-42A9-9574-0D6F78B77136}" type="pres">
      <dgm:prSet presAssocID="{6312A598-DF5A-417A-A247-61B60D8E9CF0}" presName="level2Shape" presStyleLbl="node4" presStyleIdx="0" presStyleCnt="5" custLinFactY="2477" custLinFactNeighborX="2204" custLinFactNeighborY="100000"/>
      <dgm:spPr/>
    </dgm:pt>
    <dgm:pt modelId="{C4A99F3C-BB3E-46EE-96DF-9BFAEE1B25C7}" type="pres">
      <dgm:prSet presAssocID="{6312A598-DF5A-417A-A247-61B60D8E9CF0}" presName="hierChild3" presStyleCnt="0"/>
      <dgm:spPr/>
    </dgm:pt>
    <dgm:pt modelId="{EEF6E5D7-F463-4539-AAE8-40383BFD5323}" type="pres">
      <dgm:prSet presAssocID="{F11F6F28-EC34-44B7-8E1E-CA1670741265}" presName="Name19" presStyleLbl="parChTrans1D4" presStyleIdx="1" presStyleCnt="5"/>
      <dgm:spPr/>
    </dgm:pt>
    <dgm:pt modelId="{2EEFA53E-B806-47FB-A011-023D5B3DE6B9}" type="pres">
      <dgm:prSet presAssocID="{382D7B04-6671-4D19-952B-62CFBF2A6F9A}" presName="Name21" presStyleCnt="0"/>
      <dgm:spPr/>
    </dgm:pt>
    <dgm:pt modelId="{AAE04838-3395-4BE1-B02E-A0E3ECBE1D33}" type="pres">
      <dgm:prSet presAssocID="{382D7B04-6671-4D19-952B-62CFBF2A6F9A}" presName="level2Shape" presStyleLbl="node4" presStyleIdx="1" presStyleCnt="5" custLinFactY="2477" custLinFactNeighborX="2204" custLinFactNeighborY="100000"/>
      <dgm:spPr/>
    </dgm:pt>
    <dgm:pt modelId="{24B91DF9-8B7C-4C7D-94A3-DDB07A191659}" type="pres">
      <dgm:prSet presAssocID="{382D7B04-6671-4D19-952B-62CFBF2A6F9A}" presName="hierChild3" presStyleCnt="0"/>
      <dgm:spPr/>
    </dgm:pt>
    <dgm:pt modelId="{35E33ADB-18EB-4553-947E-7CFC11CEC1D1}" type="pres">
      <dgm:prSet presAssocID="{CB6B2034-AD3B-428E-A115-F7EFF4169E7D}" presName="Name19" presStyleLbl="parChTrans1D3" presStyleIdx="1" presStyleCnt="7"/>
      <dgm:spPr/>
    </dgm:pt>
    <dgm:pt modelId="{7434B596-F367-449B-ABDB-3B307549BA4D}" type="pres">
      <dgm:prSet presAssocID="{9E9A8D25-AC8C-485C-92E7-996254C7D286}" presName="Name21" presStyleCnt="0"/>
      <dgm:spPr/>
    </dgm:pt>
    <dgm:pt modelId="{B27A1160-6268-497C-9507-8D66F48804E2}" type="pres">
      <dgm:prSet presAssocID="{9E9A8D25-AC8C-485C-92E7-996254C7D286}" presName="level2Shape" presStyleLbl="node3" presStyleIdx="1" presStyleCnt="7" custLinFactNeighborX="-1102" custLinFactNeighborY="18181"/>
      <dgm:spPr/>
    </dgm:pt>
    <dgm:pt modelId="{DB8E2946-67BF-4B24-B20E-BED737185A1A}" type="pres">
      <dgm:prSet presAssocID="{9E9A8D25-AC8C-485C-92E7-996254C7D286}" presName="hierChild3" presStyleCnt="0"/>
      <dgm:spPr/>
    </dgm:pt>
    <dgm:pt modelId="{C9466D56-2308-4578-B0AA-352980211C10}" type="pres">
      <dgm:prSet presAssocID="{762E6BEC-5E23-4DA9-9962-719D245FC8BC}" presName="Name19" presStyleLbl="parChTrans1D4" presStyleIdx="2" presStyleCnt="5"/>
      <dgm:spPr/>
    </dgm:pt>
    <dgm:pt modelId="{2548AD71-3BA3-45CC-9995-8E3432448541}" type="pres">
      <dgm:prSet presAssocID="{4E52EEF8-ED4E-40CF-BEFC-A9710BC48D76}" presName="Name21" presStyleCnt="0"/>
      <dgm:spPr/>
    </dgm:pt>
    <dgm:pt modelId="{9D53F073-EEB7-4191-BC66-872362D43BC2}" type="pres">
      <dgm:prSet presAssocID="{4E52EEF8-ED4E-40CF-BEFC-A9710BC48D76}" presName="level2Shape" presStyleLbl="node4" presStyleIdx="2" presStyleCnt="5" custLinFactY="2477" custLinFactNeighborX="2204" custLinFactNeighborY="100000"/>
      <dgm:spPr/>
    </dgm:pt>
    <dgm:pt modelId="{9E2957DE-B3C3-4E1E-B71A-CB7DE672B257}" type="pres">
      <dgm:prSet presAssocID="{4E52EEF8-ED4E-40CF-BEFC-A9710BC48D76}" presName="hierChild3" presStyleCnt="0"/>
      <dgm:spPr/>
    </dgm:pt>
    <dgm:pt modelId="{B2ADD19E-77B9-415D-AACD-9161D3CEF501}" type="pres">
      <dgm:prSet presAssocID="{6667F275-D0D2-4B37-BFDC-9B15418FC871}" presName="Name19" presStyleLbl="parChTrans1D4" presStyleIdx="3" presStyleCnt="5"/>
      <dgm:spPr/>
    </dgm:pt>
    <dgm:pt modelId="{FD5F832B-A16D-4812-A809-5EF2E4092439}" type="pres">
      <dgm:prSet presAssocID="{250013BE-717D-4178-9F23-DE6041DF3707}" presName="Name21" presStyleCnt="0"/>
      <dgm:spPr/>
    </dgm:pt>
    <dgm:pt modelId="{5D5E3F97-BAB3-40A7-9B1D-8920E802F1C0}" type="pres">
      <dgm:prSet presAssocID="{250013BE-717D-4178-9F23-DE6041DF3707}" presName="level2Shape" presStyleLbl="node4" presStyleIdx="3" presStyleCnt="5" custLinFactY="2477" custLinFactNeighborX="2204" custLinFactNeighborY="100000"/>
      <dgm:spPr/>
    </dgm:pt>
    <dgm:pt modelId="{05DA9EBC-E3D7-492A-AF41-EDBD79029645}" type="pres">
      <dgm:prSet presAssocID="{250013BE-717D-4178-9F23-DE6041DF3707}" presName="hierChild3" presStyleCnt="0"/>
      <dgm:spPr/>
    </dgm:pt>
    <dgm:pt modelId="{A0B96A35-BAA1-4D62-8155-92C04B25731C}" type="pres">
      <dgm:prSet presAssocID="{0E59AF9C-C037-414B-A89F-B95189107C03}" presName="Name19" presStyleLbl="parChTrans1D3" presStyleIdx="2" presStyleCnt="7"/>
      <dgm:spPr/>
    </dgm:pt>
    <dgm:pt modelId="{58B21AAB-A319-42B7-B51B-36AE733E7055}" type="pres">
      <dgm:prSet presAssocID="{C18DD4F4-C3E1-4D4D-A5D1-7748F014B804}" presName="Name21" presStyleCnt="0"/>
      <dgm:spPr/>
    </dgm:pt>
    <dgm:pt modelId="{8B84D30C-8A90-4A83-A553-ECE95001DD85}" type="pres">
      <dgm:prSet presAssocID="{C18DD4F4-C3E1-4D4D-A5D1-7748F014B804}" presName="level2Shape" presStyleLbl="node3" presStyleIdx="2" presStyleCnt="7" custLinFactNeighborX="-1102" custLinFactNeighborY="18181"/>
      <dgm:spPr/>
    </dgm:pt>
    <dgm:pt modelId="{5F76EE92-AAB0-40EE-A289-7384FAF79C29}" type="pres">
      <dgm:prSet presAssocID="{C18DD4F4-C3E1-4D4D-A5D1-7748F014B804}" presName="hierChild3" presStyleCnt="0"/>
      <dgm:spPr/>
    </dgm:pt>
    <dgm:pt modelId="{CB74C859-261D-4586-ACFB-4144700AC5D9}" type="pres">
      <dgm:prSet presAssocID="{FE93372B-013B-4E42-B396-ABFDC5DAB5CD}" presName="Name19" presStyleLbl="parChTrans1D3" presStyleIdx="3" presStyleCnt="7"/>
      <dgm:spPr/>
    </dgm:pt>
    <dgm:pt modelId="{927AA3CF-7460-4082-A170-85A6FF706401}" type="pres">
      <dgm:prSet presAssocID="{DE727C55-4208-4BA0-9009-AA5AA02957AA}" presName="Name21" presStyleCnt="0"/>
      <dgm:spPr/>
    </dgm:pt>
    <dgm:pt modelId="{59B1F91C-FCA1-4298-BC23-B42B62540256}" type="pres">
      <dgm:prSet presAssocID="{DE727C55-4208-4BA0-9009-AA5AA02957AA}" presName="level2Shape" presStyleLbl="node3" presStyleIdx="3" presStyleCnt="7" custLinFactNeighborX="-1102" custLinFactNeighborY="18181"/>
      <dgm:spPr/>
    </dgm:pt>
    <dgm:pt modelId="{717D6996-9523-44FD-8829-3E68A7E0E316}" type="pres">
      <dgm:prSet presAssocID="{DE727C55-4208-4BA0-9009-AA5AA02957AA}" presName="hierChild3" presStyleCnt="0"/>
      <dgm:spPr/>
    </dgm:pt>
    <dgm:pt modelId="{923CD5A3-D3F6-4787-B530-6876B22CA8BF}" type="pres">
      <dgm:prSet presAssocID="{EBC2338D-8369-4E13-8222-BD1A3E29F7C9}" presName="Name19" presStyleLbl="parChTrans1D3" presStyleIdx="4" presStyleCnt="7"/>
      <dgm:spPr/>
    </dgm:pt>
    <dgm:pt modelId="{2E1E1327-8C82-4F9A-BE3D-53745518C0E9}" type="pres">
      <dgm:prSet presAssocID="{628746A6-433E-42EB-9D87-2361DFF6A6B0}" presName="Name21" presStyleCnt="0"/>
      <dgm:spPr/>
    </dgm:pt>
    <dgm:pt modelId="{82AE98B5-712E-40A0-A005-74F75595361D}" type="pres">
      <dgm:prSet presAssocID="{628746A6-433E-42EB-9D87-2361DFF6A6B0}" presName="level2Shape" presStyleLbl="node3" presStyleIdx="4" presStyleCnt="7" custLinFactNeighborX="-1102" custLinFactNeighborY="18181"/>
      <dgm:spPr/>
    </dgm:pt>
    <dgm:pt modelId="{C06E5CA8-D1A8-4643-AF24-E8CB56F5667D}" type="pres">
      <dgm:prSet presAssocID="{628746A6-433E-42EB-9D87-2361DFF6A6B0}" presName="hierChild3" presStyleCnt="0"/>
      <dgm:spPr/>
    </dgm:pt>
    <dgm:pt modelId="{B3E1F21B-6DF2-4FC9-9EE5-FFE7AEDA9F08}" type="pres">
      <dgm:prSet presAssocID="{9360129E-11B8-4D6D-B7B6-A24977441F34}" presName="Name19" presStyleLbl="parChTrans1D4" presStyleIdx="4" presStyleCnt="5"/>
      <dgm:spPr/>
    </dgm:pt>
    <dgm:pt modelId="{31EA31E3-0A1F-4BC2-8EB6-4DEB57FFB505}" type="pres">
      <dgm:prSet presAssocID="{B642EA41-D9E1-4563-BC48-E389922571E2}" presName="Name21" presStyleCnt="0"/>
      <dgm:spPr/>
    </dgm:pt>
    <dgm:pt modelId="{53373819-ECA0-494C-8735-FF074DFF154E}" type="pres">
      <dgm:prSet presAssocID="{B642EA41-D9E1-4563-BC48-E389922571E2}" presName="level2Shape" presStyleLbl="node4" presStyleIdx="4" presStyleCnt="5" custLinFactY="2477" custLinFactNeighborX="-1102" custLinFactNeighborY="100000"/>
      <dgm:spPr/>
    </dgm:pt>
    <dgm:pt modelId="{D254E5B5-B92F-45AA-9033-964CC04FC962}" type="pres">
      <dgm:prSet presAssocID="{B642EA41-D9E1-4563-BC48-E389922571E2}" presName="hierChild3" presStyleCnt="0"/>
      <dgm:spPr/>
    </dgm:pt>
    <dgm:pt modelId="{DD3CC13C-A7DA-4E6B-A994-03F1EBB088D9}" type="pres">
      <dgm:prSet presAssocID="{1E5FF1F0-A63E-4B8B-BD38-469103BF210E}" presName="Name19" presStyleLbl="parChTrans1D2" presStyleIdx="1" presStyleCnt="2"/>
      <dgm:spPr/>
    </dgm:pt>
    <dgm:pt modelId="{FA694E27-6721-4DE9-8F2C-46F021DB9583}" type="pres">
      <dgm:prSet presAssocID="{CBE1254D-B8AB-442F-9B20-7F8CB75DA5BC}" presName="Name21" presStyleCnt="0"/>
      <dgm:spPr/>
    </dgm:pt>
    <dgm:pt modelId="{99A1C232-2758-463B-9E42-736B6DCF0A38}" type="pres">
      <dgm:prSet presAssocID="{CBE1254D-B8AB-442F-9B20-7F8CB75DA5BC}" presName="level2Shape" presStyleLbl="node2" presStyleIdx="1" presStyleCnt="2" custLinFactNeighborX="2204" custLinFactNeighborY="-49585"/>
      <dgm:spPr/>
    </dgm:pt>
    <dgm:pt modelId="{3F37E956-3265-4274-800D-72D674CB4F2B}" type="pres">
      <dgm:prSet presAssocID="{CBE1254D-B8AB-442F-9B20-7F8CB75DA5BC}" presName="hierChild3" presStyleCnt="0"/>
      <dgm:spPr/>
    </dgm:pt>
    <dgm:pt modelId="{B0F40010-C297-418A-9AB3-480C909414F8}" type="pres">
      <dgm:prSet presAssocID="{3EEE69C6-C32B-4949-BB45-F2BE791E8C9A}" presName="Name19" presStyleLbl="parChTrans1D3" presStyleIdx="5" presStyleCnt="7"/>
      <dgm:spPr/>
    </dgm:pt>
    <dgm:pt modelId="{8211C7E1-3006-4CB6-8CDD-C8BA881D8549}" type="pres">
      <dgm:prSet presAssocID="{0AFF4265-56FA-49F6-800F-0760AB487DF4}" presName="Name21" presStyleCnt="0"/>
      <dgm:spPr/>
    </dgm:pt>
    <dgm:pt modelId="{0311FA77-F199-4455-9E99-5841D561BEA3}" type="pres">
      <dgm:prSet presAssocID="{0AFF4265-56FA-49F6-800F-0760AB487DF4}" presName="level2Shape" presStyleLbl="node3" presStyleIdx="5" presStyleCnt="7" custLinFactY="100000" custLinFactNeighborX="-1102" custLinFactNeighborY="141317"/>
      <dgm:spPr/>
    </dgm:pt>
    <dgm:pt modelId="{9CC3C601-0617-415B-A3E9-C2CB6233D10D}" type="pres">
      <dgm:prSet presAssocID="{0AFF4265-56FA-49F6-800F-0760AB487DF4}" presName="hierChild3" presStyleCnt="0"/>
      <dgm:spPr/>
    </dgm:pt>
    <dgm:pt modelId="{A85234AF-4216-4538-A055-BC25499CCD5D}" type="pres">
      <dgm:prSet presAssocID="{D350456A-DEBD-438C-843E-AF0EE1C0B323}" presName="Name19" presStyleLbl="parChTrans1D3" presStyleIdx="6" presStyleCnt="7"/>
      <dgm:spPr/>
    </dgm:pt>
    <dgm:pt modelId="{7EE09F5D-E534-4F98-9116-2E0C1136459F}" type="pres">
      <dgm:prSet presAssocID="{05A4966D-93E3-4028-92B2-D368258456A7}" presName="Name21" presStyleCnt="0"/>
      <dgm:spPr/>
    </dgm:pt>
    <dgm:pt modelId="{D8AE8B95-C607-4B14-B810-FEFADAC5D05B}" type="pres">
      <dgm:prSet presAssocID="{05A4966D-93E3-4028-92B2-D368258456A7}" presName="level2Shape" presStyleLbl="node3" presStyleIdx="6" presStyleCnt="7" custLinFactY="100000" custLinFactNeighborX="4408" custLinFactNeighborY="139664"/>
      <dgm:spPr/>
    </dgm:pt>
    <dgm:pt modelId="{BA7234BD-B6BE-401E-9332-7E84739677B7}" type="pres">
      <dgm:prSet presAssocID="{05A4966D-93E3-4028-92B2-D368258456A7}" presName="hierChild3" presStyleCnt="0"/>
      <dgm:spPr/>
    </dgm:pt>
    <dgm:pt modelId="{1E47EE78-8D3B-4C17-8004-D2AC4E3AEE6B}" type="pres">
      <dgm:prSet presAssocID="{26A05386-7AE5-4784-804B-5B6FA4DDF808}" presName="bgShapesFlow" presStyleCnt="0"/>
      <dgm:spPr/>
    </dgm:pt>
  </dgm:ptLst>
  <dgm:cxnLst>
    <dgm:cxn modelId="{849BB12E-41A3-4B4D-8086-F1089E868497}" srcId="{CBE1254D-B8AB-442F-9B20-7F8CB75DA5BC}" destId="{0AFF4265-56FA-49F6-800F-0760AB487DF4}" srcOrd="0" destOrd="0" parTransId="{3EEE69C6-C32B-4949-BB45-F2BE791E8C9A}" sibTransId="{FE53241A-20AD-40E9-8919-476BDFC57FB9}"/>
    <dgm:cxn modelId="{342760D8-3F42-474E-A55E-7D61C18F8DBB}" type="presOf" srcId="{4E52EEF8-ED4E-40CF-BEFC-A9710BC48D76}" destId="{9D53F073-EEB7-4191-BC66-872362D43BC2}" srcOrd="0" destOrd="0" presId="urn:microsoft.com/office/officeart/2005/8/layout/hierarchy6"/>
    <dgm:cxn modelId="{958521A9-06C9-4397-82A4-0AD0DEE0AB0C}" srcId="{9E9A8D25-AC8C-485C-92E7-996254C7D286}" destId="{250013BE-717D-4178-9F23-DE6041DF3707}" srcOrd="1" destOrd="0" parTransId="{6667F275-D0D2-4B37-BFDC-9B15418FC871}" sibTransId="{A23E2135-E7A9-43F6-93D9-C7CED66D507F}"/>
    <dgm:cxn modelId="{6365F39F-7668-43A7-A32B-91D342CCCA5B}" type="presOf" srcId="{DE727C55-4208-4BA0-9009-AA5AA02957AA}" destId="{59B1F91C-FCA1-4298-BC23-B42B62540256}" srcOrd="0" destOrd="0" presId="urn:microsoft.com/office/officeart/2005/8/layout/hierarchy6"/>
    <dgm:cxn modelId="{5647BE3C-1619-4CD8-85DC-6BCF09F0D2F7}" type="presOf" srcId="{6667F275-D0D2-4B37-BFDC-9B15418FC871}" destId="{B2ADD19E-77B9-415D-AACD-9161D3CEF501}" srcOrd="0" destOrd="0" presId="urn:microsoft.com/office/officeart/2005/8/layout/hierarchy6"/>
    <dgm:cxn modelId="{05510975-27EB-4CC5-9332-A3347E67A26C}" srcId="{9E4DDC9B-001D-417F-9A40-CEABFF20787F}" destId="{1C7227E5-7E52-408B-A6F3-65150E6A72AB}" srcOrd="0" destOrd="0" parTransId="{D44FD9BB-4AB1-4F29-8F16-C381F7FA6DA3}" sibTransId="{F9568218-DA8E-432F-AA5E-28D3BABF4D24}"/>
    <dgm:cxn modelId="{65767993-6398-4C68-826F-B9FB36343584}" type="presOf" srcId="{D350456A-DEBD-438C-843E-AF0EE1C0B323}" destId="{A85234AF-4216-4538-A055-BC25499CCD5D}" srcOrd="0" destOrd="0" presId="urn:microsoft.com/office/officeart/2005/8/layout/hierarchy6"/>
    <dgm:cxn modelId="{1BEAB43E-2734-4ADD-BC31-B3A5CAF98A41}" srcId="{1C7227E5-7E52-408B-A6F3-65150E6A72AB}" destId="{DE727C55-4208-4BA0-9009-AA5AA02957AA}" srcOrd="3" destOrd="0" parTransId="{FE93372B-013B-4E42-B396-ABFDC5DAB5CD}" sibTransId="{C551AEA1-A613-47F4-8272-B5438014AD6C}"/>
    <dgm:cxn modelId="{04AC032E-C721-4E82-9719-B7DC74F06C0B}" type="presOf" srcId="{F11F6F28-EC34-44B7-8E1E-CA1670741265}" destId="{EEF6E5D7-F463-4539-AAE8-40383BFD5323}" srcOrd="0" destOrd="0" presId="urn:microsoft.com/office/officeart/2005/8/layout/hierarchy6"/>
    <dgm:cxn modelId="{86D41FEF-BB75-41F6-A410-12DD044709B4}" type="presOf" srcId="{C18DD4F4-C3E1-4D4D-A5D1-7748F014B804}" destId="{8B84D30C-8A90-4A83-A553-ECE95001DD85}" srcOrd="0" destOrd="0" presId="urn:microsoft.com/office/officeart/2005/8/layout/hierarchy6"/>
    <dgm:cxn modelId="{7E61CBF6-695A-4814-BFC1-4B8FDD410E33}" srcId="{90C20987-99A5-4E3A-9C8B-2B0CFB7265DA}" destId="{382D7B04-6671-4D19-952B-62CFBF2A6F9A}" srcOrd="1" destOrd="0" parTransId="{F11F6F28-EC34-44B7-8E1E-CA1670741265}" sibTransId="{672B0AB7-4E8D-4BD8-963D-F898DE95CA0B}"/>
    <dgm:cxn modelId="{9061DBE0-57F4-4851-9AF3-DB5DCF3027B6}" type="presOf" srcId="{6312A598-DF5A-417A-A247-61B60D8E9CF0}" destId="{DB383981-EBA9-42A9-9574-0D6F78B77136}" srcOrd="0" destOrd="0" presId="urn:microsoft.com/office/officeart/2005/8/layout/hierarchy6"/>
    <dgm:cxn modelId="{D7C99B86-331C-4C45-A69A-95687E13AAEE}" srcId="{9E9A8D25-AC8C-485C-92E7-996254C7D286}" destId="{4E52EEF8-ED4E-40CF-BEFC-A9710BC48D76}" srcOrd="0" destOrd="0" parTransId="{762E6BEC-5E23-4DA9-9962-719D245FC8BC}" sibTransId="{D6558737-005D-4927-8B8D-5317A01BAA3C}"/>
    <dgm:cxn modelId="{D2E65FB5-9090-462E-99BA-131C5A1F83A0}" type="presOf" srcId="{250013BE-717D-4178-9F23-DE6041DF3707}" destId="{5D5E3F97-BAB3-40A7-9B1D-8920E802F1C0}" srcOrd="0" destOrd="0" presId="urn:microsoft.com/office/officeart/2005/8/layout/hierarchy6"/>
    <dgm:cxn modelId="{60E5D0BC-FCAA-404F-9CBA-FDCAE18F195B}" srcId="{1C7227E5-7E52-408B-A6F3-65150E6A72AB}" destId="{C18DD4F4-C3E1-4D4D-A5D1-7748F014B804}" srcOrd="2" destOrd="0" parTransId="{0E59AF9C-C037-414B-A89F-B95189107C03}" sibTransId="{2ECAF159-5063-403E-A0B4-300A11BA1456}"/>
    <dgm:cxn modelId="{46EE61E3-1E84-4223-88EF-379912E301F3}" type="presOf" srcId="{05A4966D-93E3-4028-92B2-D368258456A7}" destId="{D8AE8B95-C607-4B14-B810-FEFADAC5D05B}" srcOrd="0" destOrd="0" presId="urn:microsoft.com/office/officeart/2005/8/layout/hierarchy6"/>
    <dgm:cxn modelId="{EB15BB32-C754-4708-ACC6-BF7F5227A912}" type="presOf" srcId="{1E5FF1F0-A63E-4B8B-BD38-469103BF210E}" destId="{DD3CC13C-A7DA-4E6B-A994-03F1EBB088D9}" srcOrd="0" destOrd="0" presId="urn:microsoft.com/office/officeart/2005/8/layout/hierarchy6"/>
    <dgm:cxn modelId="{AC0CBBA3-CDBB-4F91-8982-3524622C7A28}" srcId="{90C20987-99A5-4E3A-9C8B-2B0CFB7265DA}" destId="{6312A598-DF5A-417A-A247-61B60D8E9CF0}" srcOrd="0" destOrd="0" parTransId="{C54EB28D-0DD0-4EA7-96D8-0E0CAFE3EAF5}" sibTransId="{1768593F-DCD3-407B-AFF5-6171A3DA7619}"/>
    <dgm:cxn modelId="{A766672A-C17E-4F48-9B15-719E4AAA2D5F}" type="presOf" srcId="{9360129E-11B8-4D6D-B7B6-A24977441F34}" destId="{B3E1F21B-6DF2-4FC9-9EE5-FFE7AEDA9F08}" srcOrd="0" destOrd="0" presId="urn:microsoft.com/office/officeart/2005/8/layout/hierarchy6"/>
    <dgm:cxn modelId="{F30E32F2-BFFB-49CA-B77F-2A53E13CBB73}" type="presOf" srcId="{90C20987-99A5-4E3A-9C8B-2B0CFB7265DA}" destId="{401BEF9B-2CFC-4EAB-8C6D-F0C4A9A91743}" srcOrd="0" destOrd="0" presId="urn:microsoft.com/office/officeart/2005/8/layout/hierarchy6"/>
    <dgm:cxn modelId="{93F2B46D-FA4F-48D1-961A-D20ACFDEAF16}" type="presOf" srcId="{EBC2338D-8369-4E13-8222-BD1A3E29F7C9}" destId="{923CD5A3-D3F6-4787-B530-6876B22CA8BF}" srcOrd="0" destOrd="0" presId="urn:microsoft.com/office/officeart/2005/8/layout/hierarchy6"/>
    <dgm:cxn modelId="{D33D5F22-2E5B-4EA4-A92D-4C48702BF163}" type="presOf" srcId="{C54EB28D-0DD0-4EA7-96D8-0E0CAFE3EAF5}" destId="{111CFF31-B31D-4256-A96E-1C1EFB6C592D}" srcOrd="0" destOrd="0" presId="urn:microsoft.com/office/officeart/2005/8/layout/hierarchy6"/>
    <dgm:cxn modelId="{F6924717-28C7-4A90-B3E3-4BF8262DA55D}" type="presOf" srcId="{D44FD9BB-4AB1-4F29-8F16-C381F7FA6DA3}" destId="{CAF9EBE3-D598-47B6-8E31-D44FDA8F010F}" srcOrd="0" destOrd="0" presId="urn:microsoft.com/office/officeart/2005/8/layout/hierarchy6"/>
    <dgm:cxn modelId="{9DD011FA-0EBE-42AB-B0C5-F965CF53B871}" type="presOf" srcId="{3EEE69C6-C32B-4949-BB45-F2BE791E8C9A}" destId="{B0F40010-C297-418A-9AB3-480C909414F8}" srcOrd="0" destOrd="0" presId="urn:microsoft.com/office/officeart/2005/8/layout/hierarchy6"/>
    <dgm:cxn modelId="{EA124EFD-0701-4C22-885E-BBB13E1346B5}" type="presOf" srcId="{CBE1254D-B8AB-442F-9B20-7F8CB75DA5BC}" destId="{99A1C232-2758-463B-9E42-736B6DCF0A38}" srcOrd="0" destOrd="0" presId="urn:microsoft.com/office/officeart/2005/8/layout/hierarchy6"/>
    <dgm:cxn modelId="{B67F72E7-154D-4F81-A9B0-8B00123B524E}" type="presOf" srcId="{FE93372B-013B-4E42-B396-ABFDC5DAB5CD}" destId="{CB74C859-261D-4586-ACFB-4144700AC5D9}" srcOrd="0" destOrd="0" presId="urn:microsoft.com/office/officeart/2005/8/layout/hierarchy6"/>
    <dgm:cxn modelId="{93F3F55B-EE7C-4DCA-B985-005E9DEE00F2}" type="presOf" srcId="{9E9A8D25-AC8C-485C-92E7-996254C7D286}" destId="{B27A1160-6268-497C-9507-8D66F48804E2}" srcOrd="0" destOrd="0" presId="urn:microsoft.com/office/officeart/2005/8/layout/hierarchy6"/>
    <dgm:cxn modelId="{2A96E0E0-5CC5-41C9-803B-93E6C4502E8D}" type="presOf" srcId="{762E6BEC-5E23-4DA9-9962-719D245FC8BC}" destId="{C9466D56-2308-4578-B0AA-352980211C10}" srcOrd="0" destOrd="0" presId="urn:microsoft.com/office/officeart/2005/8/layout/hierarchy6"/>
    <dgm:cxn modelId="{622AC99E-3665-4D1C-9737-39C9D727C152}" srcId="{9E4DDC9B-001D-417F-9A40-CEABFF20787F}" destId="{CBE1254D-B8AB-442F-9B20-7F8CB75DA5BC}" srcOrd="1" destOrd="0" parTransId="{1E5FF1F0-A63E-4B8B-BD38-469103BF210E}" sibTransId="{7B349882-214B-48A8-8C24-200242F1C570}"/>
    <dgm:cxn modelId="{95647C87-A97D-43C0-951C-255FD3686CCA}" srcId="{628746A6-433E-42EB-9D87-2361DFF6A6B0}" destId="{B642EA41-D9E1-4563-BC48-E389922571E2}" srcOrd="0" destOrd="0" parTransId="{9360129E-11B8-4D6D-B7B6-A24977441F34}" sibTransId="{4A857795-9E72-48C8-B058-C7304C678683}"/>
    <dgm:cxn modelId="{B559E38C-9452-4CCB-82CD-E2B4B26F2E2F}" srcId="{1C7227E5-7E52-408B-A6F3-65150E6A72AB}" destId="{628746A6-433E-42EB-9D87-2361DFF6A6B0}" srcOrd="4" destOrd="0" parTransId="{EBC2338D-8369-4E13-8222-BD1A3E29F7C9}" sibTransId="{4BE9E0DD-3FA0-4FD1-BED2-9BEE0CA0EC60}"/>
    <dgm:cxn modelId="{B73E21D5-0B16-4CF9-A9F1-CBE8C9AC4EE1}" type="presOf" srcId="{B642EA41-D9E1-4563-BC48-E389922571E2}" destId="{53373819-ECA0-494C-8735-FF074DFF154E}" srcOrd="0" destOrd="0" presId="urn:microsoft.com/office/officeart/2005/8/layout/hierarchy6"/>
    <dgm:cxn modelId="{412254DB-46BC-4789-87DD-3185FB449049}" type="presOf" srcId="{CB6B2034-AD3B-428E-A115-F7EFF4169E7D}" destId="{35E33ADB-18EB-4553-947E-7CFC11CEC1D1}" srcOrd="0" destOrd="0" presId="urn:microsoft.com/office/officeart/2005/8/layout/hierarchy6"/>
    <dgm:cxn modelId="{7E78F970-76F8-4380-A922-31D065ABE316}" type="presOf" srcId="{9E4DDC9B-001D-417F-9A40-CEABFF20787F}" destId="{6BC9F1FD-91D5-41F6-A337-19C2A91D6F0F}" srcOrd="0" destOrd="0" presId="urn:microsoft.com/office/officeart/2005/8/layout/hierarchy6"/>
    <dgm:cxn modelId="{F86586C8-3465-45F3-A68C-9DA332F0B83B}" srcId="{CBE1254D-B8AB-442F-9B20-7F8CB75DA5BC}" destId="{05A4966D-93E3-4028-92B2-D368258456A7}" srcOrd="1" destOrd="0" parTransId="{D350456A-DEBD-438C-843E-AF0EE1C0B323}" sibTransId="{783E235E-0D88-4F3B-876E-B9CB0A6E65FE}"/>
    <dgm:cxn modelId="{150B8E64-2819-4E87-8079-BFEDB9CF673D}" type="presOf" srcId="{628746A6-433E-42EB-9D87-2361DFF6A6B0}" destId="{82AE98B5-712E-40A0-A005-74F75595361D}" srcOrd="0" destOrd="0" presId="urn:microsoft.com/office/officeart/2005/8/layout/hierarchy6"/>
    <dgm:cxn modelId="{072AD243-F162-4025-956F-951FAE2E42DB}" type="presOf" srcId="{26A05386-7AE5-4784-804B-5B6FA4DDF808}" destId="{1CD33157-6085-4A1A-9EFA-4570B7858D64}" srcOrd="0" destOrd="0" presId="urn:microsoft.com/office/officeart/2005/8/layout/hierarchy6"/>
    <dgm:cxn modelId="{58FF4504-B755-4893-8DA4-E9807A69D505}" type="presOf" srcId="{0AFF4265-56FA-49F6-800F-0760AB487DF4}" destId="{0311FA77-F199-4455-9E99-5841D561BEA3}" srcOrd="0" destOrd="0" presId="urn:microsoft.com/office/officeart/2005/8/layout/hierarchy6"/>
    <dgm:cxn modelId="{67D378C2-3238-49E1-A518-DF6FDFF7F72B}" type="presOf" srcId="{1C7227E5-7E52-408B-A6F3-65150E6A72AB}" destId="{416AC7F0-F2FB-4CB9-A5E7-32C430D748A5}" srcOrd="0" destOrd="0" presId="urn:microsoft.com/office/officeart/2005/8/layout/hierarchy6"/>
    <dgm:cxn modelId="{90E93FF6-E5DD-4056-801D-CEE0C0CAA821}" srcId="{1C7227E5-7E52-408B-A6F3-65150E6A72AB}" destId="{90C20987-99A5-4E3A-9C8B-2B0CFB7265DA}" srcOrd="0" destOrd="0" parTransId="{E15D6EDD-1103-4E81-B216-0A012F860705}" sibTransId="{584AAC6D-A859-4EAF-BE6A-B6542EF9EBD8}"/>
    <dgm:cxn modelId="{CAF7F52F-2F57-4855-A4EE-A84ABDA7C756}" srcId="{26A05386-7AE5-4784-804B-5B6FA4DDF808}" destId="{9E4DDC9B-001D-417F-9A40-CEABFF20787F}" srcOrd="0" destOrd="0" parTransId="{D07FAA09-0667-4DC7-B3C1-FB02DEF03DC2}" sibTransId="{D2B25986-E7FB-4D55-A2F7-62156D63A954}"/>
    <dgm:cxn modelId="{6446E144-44B9-4B61-9481-1180227B2438}" type="presOf" srcId="{0E59AF9C-C037-414B-A89F-B95189107C03}" destId="{A0B96A35-BAA1-4D62-8155-92C04B25731C}" srcOrd="0" destOrd="0" presId="urn:microsoft.com/office/officeart/2005/8/layout/hierarchy6"/>
    <dgm:cxn modelId="{68FF54E3-EECC-44F0-8633-F4D02C4FA31B}" type="presOf" srcId="{E15D6EDD-1103-4E81-B216-0A012F860705}" destId="{EE5C19BF-6AE9-4D7D-957D-834FD326BFE1}" srcOrd="0" destOrd="0" presId="urn:microsoft.com/office/officeart/2005/8/layout/hierarchy6"/>
    <dgm:cxn modelId="{A565F99A-9A2C-4D0D-B466-7ABA50C3D35D}" type="presOf" srcId="{382D7B04-6671-4D19-952B-62CFBF2A6F9A}" destId="{AAE04838-3395-4BE1-B02E-A0E3ECBE1D33}" srcOrd="0" destOrd="0" presId="urn:microsoft.com/office/officeart/2005/8/layout/hierarchy6"/>
    <dgm:cxn modelId="{76D3D757-950C-4D68-ABB9-F5A24748912E}" srcId="{1C7227E5-7E52-408B-A6F3-65150E6A72AB}" destId="{9E9A8D25-AC8C-485C-92E7-996254C7D286}" srcOrd="1" destOrd="0" parTransId="{CB6B2034-AD3B-428E-A115-F7EFF4169E7D}" sibTransId="{328FE8CE-1D97-46CF-8F4F-4A94C894F558}"/>
    <dgm:cxn modelId="{1C094CEB-002B-4E29-9C1C-8B4FF06C84D9}" type="presParOf" srcId="{1CD33157-6085-4A1A-9EFA-4570B7858D64}" destId="{484FD734-A4F2-4AA2-A62A-C57CA2ED9B28}" srcOrd="0" destOrd="0" presId="urn:microsoft.com/office/officeart/2005/8/layout/hierarchy6"/>
    <dgm:cxn modelId="{43ED6EC9-0DB9-408B-AE4C-8A03B9052505}" type="presParOf" srcId="{484FD734-A4F2-4AA2-A62A-C57CA2ED9B28}" destId="{89089EB8-9DDF-448E-AB43-EE3945260E21}" srcOrd="0" destOrd="0" presId="urn:microsoft.com/office/officeart/2005/8/layout/hierarchy6"/>
    <dgm:cxn modelId="{D46F0677-03A3-4702-A59E-141B73CBD8F0}" type="presParOf" srcId="{89089EB8-9DDF-448E-AB43-EE3945260E21}" destId="{295AD5B8-12A7-48AA-8645-714876B581AE}" srcOrd="0" destOrd="0" presId="urn:microsoft.com/office/officeart/2005/8/layout/hierarchy6"/>
    <dgm:cxn modelId="{7C27E555-C39B-403C-AD1D-F084165075B1}" type="presParOf" srcId="{295AD5B8-12A7-48AA-8645-714876B581AE}" destId="{6BC9F1FD-91D5-41F6-A337-19C2A91D6F0F}" srcOrd="0" destOrd="0" presId="urn:microsoft.com/office/officeart/2005/8/layout/hierarchy6"/>
    <dgm:cxn modelId="{07E297F4-B282-49D1-999B-733D5F0C5CA0}" type="presParOf" srcId="{295AD5B8-12A7-48AA-8645-714876B581AE}" destId="{A39704B0-61F5-4490-A7AF-36D31013BF86}" srcOrd="1" destOrd="0" presId="urn:microsoft.com/office/officeart/2005/8/layout/hierarchy6"/>
    <dgm:cxn modelId="{AC292E2B-E6B4-430C-AF43-D66282934FEC}" type="presParOf" srcId="{A39704B0-61F5-4490-A7AF-36D31013BF86}" destId="{CAF9EBE3-D598-47B6-8E31-D44FDA8F010F}" srcOrd="0" destOrd="0" presId="urn:microsoft.com/office/officeart/2005/8/layout/hierarchy6"/>
    <dgm:cxn modelId="{F519C5CC-8EAB-4880-B9A8-508CBC7973A1}" type="presParOf" srcId="{A39704B0-61F5-4490-A7AF-36D31013BF86}" destId="{18FFEADB-B2B0-4AF5-95ED-BE359B0BA974}" srcOrd="1" destOrd="0" presId="urn:microsoft.com/office/officeart/2005/8/layout/hierarchy6"/>
    <dgm:cxn modelId="{5BA55D7C-9757-4C94-A32B-BC578777E259}" type="presParOf" srcId="{18FFEADB-B2B0-4AF5-95ED-BE359B0BA974}" destId="{416AC7F0-F2FB-4CB9-A5E7-32C430D748A5}" srcOrd="0" destOrd="0" presId="urn:microsoft.com/office/officeart/2005/8/layout/hierarchy6"/>
    <dgm:cxn modelId="{C4E0CAA6-33B2-40BF-80F4-B90A7C97C49E}" type="presParOf" srcId="{18FFEADB-B2B0-4AF5-95ED-BE359B0BA974}" destId="{73A281EB-D1D8-47BE-9875-69A6CAE47845}" srcOrd="1" destOrd="0" presId="urn:microsoft.com/office/officeart/2005/8/layout/hierarchy6"/>
    <dgm:cxn modelId="{755DD7B2-38E9-4295-85A1-36C7E617232F}" type="presParOf" srcId="{73A281EB-D1D8-47BE-9875-69A6CAE47845}" destId="{EE5C19BF-6AE9-4D7D-957D-834FD326BFE1}" srcOrd="0" destOrd="0" presId="urn:microsoft.com/office/officeart/2005/8/layout/hierarchy6"/>
    <dgm:cxn modelId="{54CBA7F4-0F42-4BB0-B7BC-14BFA984E723}" type="presParOf" srcId="{73A281EB-D1D8-47BE-9875-69A6CAE47845}" destId="{F9BCCB87-30FA-4B86-86BC-E8AF7E0756BD}" srcOrd="1" destOrd="0" presId="urn:microsoft.com/office/officeart/2005/8/layout/hierarchy6"/>
    <dgm:cxn modelId="{09398E71-8F3B-402B-A837-341EA133E4AA}" type="presParOf" srcId="{F9BCCB87-30FA-4B86-86BC-E8AF7E0756BD}" destId="{401BEF9B-2CFC-4EAB-8C6D-F0C4A9A91743}" srcOrd="0" destOrd="0" presId="urn:microsoft.com/office/officeart/2005/8/layout/hierarchy6"/>
    <dgm:cxn modelId="{9978D5ED-EC15-4FD2-A96D-9565336C63F9}" type="presParOf" srcId="{F9BCCB87-30FA-4B86-86BC-E8AF7E0756BD}" destId="{81A38EC4-6FCB-4AF7-8E7C-5B0D2C2CF24C}" srcOrd="1" destOrd="0" presId="urn:microsoft.com/office/officeart/2005/8/layout/hierarchy6"/>
    <dgm:cxn modelId="{E6B69DC8-D074-4173-8BC2-16DE42C16AFB}" type="presParOf" srcId="{81A38EC4-6FCB-4AF7-8E7C-5B0D2C2CF24C}" destId="{111CFF31-B31D-4256-A96E-1C1EFB6C592D}" srcOrd="0" destOrd="0" presId="urn:microsoft.com/office/officeart/2005/8/layout/hierarchy6"/>
    <dgm:cxn modelId="{1F742E00-EB7A-4E65-BE79-FC0FB6BEA97F}" type="presParOf" srcId="{81A38EC4-6FCB-4AF7-8E7C-5B0D2C2CF24C}" destId="{3DB180B8-650A-404F-A2E9-7CEE68B27083}" srcOrd="1" destOrd="0" presId="urn:microsoft.com/office/officeart/2005/8/layout/hierarchy6"/>
    <dgm:cxn modelId="{B1420163-419D-4119-940A-EE2E721B1B84}" type="presParOf" srcId="{3DB180B8-650A-404F-A2E9-7CEE68B27083}" destId="{DB383981-EBA9-42A9-9574-0D6F78B77136}" srcOrd="0" destOrd="0" presId="urn:microsoft.com/office/officeart/2005/8/layout/hierarchy6"/>
    <dgm:cxn modelId="{54BEE219-4F5A-4E99-A220-BC32C41B9C4F}" type="presParOf" srcId="{3DB180B8-650A-404F-A2E9-7CEE68B27083}" destId="{C4A99F3C-BB3E-46EE-96DF-9BFAEE1B25C7}" srcOrd="1" destOrd="0" presId="urn:microsoft.com/office/officeart/2005/8/layout/hierarchy6"/>
    <dgm:cxn modelId="{E58F7560-6ED6-404C-B7D7-92FB30BD02BC}" type="presParOf" srcId="{81A38EC4-6FCB-4AF7-8E7C-5B0D2C2CF24C}" destId="{EEF6E5D7-F463-4539-AAE8-40383BFD5323}" srcOrd="2" destOrd="0" presId="urn:microsoft.com/office/officeart/2005/8/layout/hierarchy6"/>
    <dgm:cxn modelId="{FA728353-5BA5-42DC-BD87-88BA0A1C4806}" type="presParOf" srcId="{81A38EC4-6FCB-4AF7-8E7C-5B0D2C2CF24C}" destId="{2EEFA53E-B806-47FB-A011-023D5B3DE6B9}" srcOrd="3" destOrd="0" presId="urn:microsoft.com/office/officeart/2005/8/layout/hierarchy6"/>
    <dgm:cxn modelId="{8BB09149-EFEB-407B-9F56-38485884C19A}" type="presParOf" srcId="{2EEFA53E-B806-47FB-A011-023D5B3DE6B9}" destId="{AAE04838-3395-4BE1-B02E-A0E3ECBE1D33}" srcOrd="0" destOrd="0" presId="urn:microsoft.com/office/officeart/2005/8/layout/hierarchy6"/>
    <dgm:cxn modelId="{CC3C088A-92A8-412C-81CB-5811BDEC509A}" type="presParOf" srcId="{2EEFA53E-B806-47FB-A011-023D5B3DE6B9}" destId="{24B91DF9-8B7C-4C7D-94A3-DDB07A191659}" srcOrd="1" destOrd="0" presId="urn:microsoft.com/office/officeart/2005/8/layout/hierarchy6"/>
    <dgm:cxn modelId="{354D6583-7407-4883-B047-C36C704599DE}" type="presParOf" srcId="{73A281EB-D1D8-47BE-9875-69A6CAE47845}" destId="{35E33ADB-18EB-4553-947E-7CFC11CEC1D1}" srcOrd="2" destOrd="0" presId="urn:microsoft.com/office/officeart/2005/8/layout/hierarchy6"/>
    <dgm:cxn modelId="{9EE059A1-A828-4DF5-96FD-1066541E6DD8}" type="presParOf" srcId="{73A281EB-D1D8-47BE-9875-69A6CAE47845}" destId="{7434B596-F367-449B-ABDB-3B307549BA4D}" srcOrd="3" destOrd="0" presId="urn:microsoft.com/office/officeart/2005/8/layout/hierarchy6"/>
    <dgm:cxn modelId="{00038D20-7284-4EA0-95D8-9ED85DC55629}" type="presParOf" srcId="{7434B596-F367-449B-ABDB-3B307549BA4D}" destId="{B27A1160-6268-497C-9507-8D66F48804E2}" srcOrd="0" destOrd="0" presId="urn:microsoft.com/office/officeart/2005/8/layout/hierarchy6"/>
    <dgm:cxn modelId="{B10C71F9-9BC5-46F2-A407-245828C09A78}" type="presParOf" srcId="{7434B596-F367-449B-ABDB-3B307549BA4D}" destId="{DB8E2946-67BF-4B24-B20E-BED737185A1A}" srcOrd="1" destOrd="0" presId="urn:microsoft.com/office/officeart/2005/8/layout/hierarchy6"/>
    <dgm:cxn modelId="{BD41C330-1B51-4E89-B661-1A60329AE6D7}" type="presParOf" srcId="{DB8E2946-67BF-4B24-B20E-BED737185A1A}" destId="{C9466D56-2308-4578-B0AA-352980211C10}" srcOrd="0" destOrd="0" presId="urn:microsoft.com/office/officeart/2005/8/layout/hierarchy6"/>
    <dgm:cxn modelId="{8F6BE3A0-5B75-4BB3-8311-170146A84364}" type="presParOf" srcId="{DB8E2946-67BF-4B24-B20E-BED737185A1A}" destId="{2548AD71-3BA3-45CC-9995-8E3432448541}" srcOrd="1" destOrd="0" presId="urn:microsoft.com/office/officeart/2005/8/layout/hierarchy6"/>
    <dgm:cxn modelId="{51ACAEAA-0FE5-47D6-86E9-9CEE6CE7AF25}" type="presParOf" srcId="{2548AD71-3BA3-45CC-9995-8E3432448541}" destId="{9D53F073-EEB7-4191-BC66-872362D43BC2}" srcOrd="0" destOrd="0" presId="urn:microsoft.com/office/officeart/2005/8/layout/hierarchy6"/>
    <dgm:cxn modelId="{A4A98184-B1B6-48B7-8788-E6BE6B2E9E74}" type="presParOf" srcId="{2548AD71-3BA3-45CC-9995-8E3432448541}" destId="{9E2957DE-B3C3-4E1E-B71A-CB7DE672B257}" srcOrd="1" destOrd="0" presId="urn:microsoft.com/office/officeart/2005/8/layout/hierarchy6"/>
    <dgm:cxn modelId="{2CD8D499-35A0-4861-A033-8D2C67CEEFFF}" type="presParOf" srcId="{DB8E2946-67BF-4B24-B20E-BED737185A1A}" destId="{B2ADD19E-77B9-415D-AACD-9161D3CEF501}" srcOrd="2" destOrd="0" presId="urn:microsoft.com/office/officeart/2005/8/layout/hierarchy6"/>
    <dgm:cxn modelId="{2807054F-E22D-4CD2-A4EC-0219400FEAB8}" type="presParOf" srcId="{DB8E2946-67BF-4B24-B20E-BED737185A1A}" destId="{FD5F832B-A16D-4812-A809-5EF2E4092439}" srcOrd="3" destOrd="0" presId="urn:microsoft.com/office/officeart/2005/8/layout/hierarchy6"/>
    <dgm:cxn modelId="{D7897E4F-3238-469F-8D88-E9FB2ACCE96D}" type="presParOf" srcId="{FD5F832B-A16D-4812-A809-5EF2E4092439}" destId="{5D5E3F97-BAB3-40A7-9B1D-8920E802F1C0}" srcOrd="0" destOrd="0" presId="urn:microsoft.com/office/officeart/2005/8/layout/hierarchy6"/>
    <dgm:cxn modelId="{A8E13FA5-D134-4DC5-B5FC-AD3398BF3A44}" type="presParOf" srcId="{FD5F832B-A16D-4812-A809-5EF2E4092439}" destId="{05DA9EBC-E3D7-492A-AF41-EDBD79029645}" srcOrd="1" destOrd="0" presId="urn:microsoft.com/office/officeart/2005/8/layout/hierarchy6"/>
    <dgm:cxn modelId="{EE9F8405-5D7A-4121-951D-8B2C81AE3315}" type="presParOf" srcId="{73A281EB-D1D8-47BE-9875-69A6CAE47845}" destId="{A0B96A35-BAA1-4D62-8155-92C04B25731C}" srcOrd="4" destOrd="0" presId="urn:microsoft.com/office/officeart/2005/8/layout/hierarchy6"/>
    <dgm:cxn modelId="{B92FFC67-6CD1-4FD3-BC43-E340C9441550}" type="presParOf" srcId="{73A281EB-D1D8-47BE-9875-69A6CAE47845}" destId="{58B21AAB-A319-42B7-B51B-36AE733E7055}" srcOrd="5" destOrd="0" presId="urn:microsoft.com/office/officeart/2005/8/layout/hierarchy6"/>
    <dgm:cxn modelId="{82A99354-2C4E-402E-A0B1-E914E0BF5732}" type="presParOf" srcId="{58B21AAB-A319-42B7-B51B-36AE733E7055}" destId="{8B84D30C-8A90-4A83-A553-ECE95001DD85}" srcOrd="0" destOrd="0" presId="urn:microsoft.com/office/officeart/2005/8/layout/hierarchy6"/>
    <dgm:cxn modelId="{FC7A0346-9166-41AD-838B-FA10E70C7FF1}" type="presParOf" srcId="{58B21AAB-A319-42B7-B51B-36AE733E7055}" destId="{5F76EE92-AAB0-40EE-A289-7384FAF79C29}" srcOrd="1" destOrd="0" presId="urn:microsoft.com/office/officeart/2005/8/layout/hierarchy6"/>
    <dgm:cxn modelId="{853A0C24-1AD3-4F95-8DF0-CBF86B5E454A}" type="presParOf" srcId="{73A281EB-D1D8-47BE-9875-69A6CAE47845}" destId="{CB74C859-261D-4586-ACFB-4144700AC5D9}" srcOrd="6" destOrd="0" presId="urn:microsoft.com/office/officeart/2005/8/layout/hierarchy6"/>
    <dgm:cxn modelId="{B22DF43C-FAAE-4E3E-B3D1-7EEDBF863A27}" type="presParOf" srcId="{73A281EB-D1D8-47BE-9875-69A6CAE47845}" destId="{927AA3CF-7460-4082-A170-85A6FF706401}" srcOrd="7" destOrd="0" presId="urn:microsoft.com/office/officeart/2005/8/layout/hierarchy6"/>
    <dgm:cxn modelId="{4196FB68-5011-4A59-A060-60CD8F39B280}" type="presParOf" srcId="{927AA3CF-7460-4082-A170-85A6FF706401}" destId="{59B1F91C-FCA1-4298-BC23-B42B62540256}" srcOrd="0" destOrd="0" presId="urn:microsoft.com/office/officeart/2005/8/layout/hierarchy6"/>
    <dgm:cxn modelId="{B3B99924-CF2D-4101-8EFA-F2E8F16D112D}" type="presParOf" srcId="{927AA3CF-7460-4082-A170-85A6FF706401}" destId="{717D6996-9523-44FD-8829-3E68A7E0E316}" srcOrd="1" destOrd="0" presId="urn:microsoft.com/office/officeart/2005/8/layout/hierarchy6"/>
    <dgm:cxn modelId="{BD9E3632-9447-446B-858B-14B431BBAF63}" type="presParOf" srcId="{73A281EB-D1D8-47BE-9875-69A6CAE47845}" destId="{923CD5A3-D3F6-4787-B530-6876B22CA8BF}" srcOrd="8" destOrd="0" presId="urn:microsoft.com/office/officeart/2005/8/layout/hierarchy6"/>
    <dgm:cxn modelId="{8EAE40FC-0AC4-4D85-9F7F-78529855973D}" type="presParOf" srcId="{73A281EB-D1D8-47BE-9875-69A6CAE47845}" destId="{2E1E1327-8C82-4F9A-BE3D-53745518C0E9}" srcOrd="9" destOrd="0" presId="urn:microsoft.com/office/officeart/2005/8/layout/hierarchy6"/>
    <dgm:cxn modelId="{5E7442AF-49C6-4B48-8716-3E5C6F2D0B51}" type="presParOf" srcId="{2E1E1327-8C82-4F9A-BE3D-53745518C0E9}" destId="{82AE98B5-712E-40A0-A005-74F75595361D}" srcOrd="0" destOrd="0" presId="urn:microsoft.com/office/officeart/2005/8/layout/hierarchy6"/>
    <dgm:cxn modelId="{8AA34E22-36C8-4609-A412-9AD495CDE2C0}" type="presParOf" srcId="{2E1E1327-8C82-4F9A-BE3D-53745518C0E9}" destId="{C06E5CA8-D1A8-4643-AF24-E8CB56F5667D}" srcOrd="1" destOrd="0" presId="urn:microsoft.com/office/officeart/2005/8/layout/hierarchy6"/>
    <dgm:cxn modelId="{16B90269-7623-495A-AA64-99DF21D583D5}" type="presParOf" srcId="{C06E5CA8-D1A8-4643-AF24-E8CB56F5667D}" destId="{B3E1F21B-6DF2-4FC9-9EE5-FFE7AEDA9F08}" srcOrd="0" destOrd="0" presId="urn:microsoft.com/office/officeart/2005/8/layout/hierarchy6"/>
    <dgm:cxn modelId="{7E2E9C2B-55E7-4FBD-A4E1-03F1E6700D91}" type="presParOf" srcId="{C06E5CA8-D1A8-4643-AF24-E8CB56F5667D}" destId="{31EA31E3-0A1F-4BC2-8EB6-4DEB57FFB505}" srcOrd="1" destOrd="0" presId="urn:microsoft.com/office/officeart/2005/8/layout/hierarchy6"/>
    <dgm:cxn modelId="{F1FD3687-002C-4F35-8CFA-2C2954200A93}" type="presParOf" srcId="{31EA31E3-0A1F-4BC2-8EB6-4DEB57FFB505}" destId="{53373819-ECA0-494C-8735-FF074DFF154E}" srcOrd="0" destOrd="0" presId="urn:microsoft.com/office/officeart/2005/8/layout/hierarchy6"/>
    <dgm:cxn modelId="{35BED64B-8E18-4955-B546-7AE80A25313E}" type="presParOf" srcId="{31EA31E3-0A1F-4BC2-8EB6-4DEB57FFB505}" destId="{D254E5B5-B92F-45AA-9033-964CC04FC962}" srcOrd="1" destOrd="0" presId="urn:microsoft.com/office/officeart/2005/8/layout/hierarchy6"/>
    <dgm:cxn modelId="{28C46B69-0EAC-4706-A38E-D0DAA4164363}" type="presParOf" srcId="{A39704B0-61F5-4490-A7AF-36D31013BF86}" destId="{DD3CC13C-A7DA-4E6B-A994-03F1EBB088D9}" srcOrd="2" destOrd="0" presId="urn:microsoft.com/office/officeart/2005/8/layout/hierarchy6"/>
    <dgm:cxn modelId="{6A7A1018-F77E-491F-A531-A7B9F5D56EE7}" type="presParOf" srcId="{A39704B0-61F5-4490-A7AF-36D31013BF86}" destId="{FA694E27-6721-4DE9-8F2C-46F021DB9583}" srcOrd="3" destOrd="0" presId="urn:microsoft.com/office/officeart/2005/8/layout/hierarchy6"/>
    <dgm:cxn modelId="{E59D86B5-660E-47FF-ACB2-A80BCE6949A0}" type="presParOf" srcId="{FA694E27-6721-4DE9-8F2C-46F021DB9583}" destId="{99A1C232-2758-463B-9E42-736B6DCF0A38}" srcOrd="0" destOrd="0" presId="urn:microsoft.com/office/officeart/2005/8/layout/hierarchy6"/>
    <dgm:cxn modelId="{B4A7A665-27F0-4815-87DC-86D70C6EF419}" type="presParOf" srcId="{FA694E27-6721-4DE9-8F2C-46F021DB9583}" destId="{3F37E956-3265-4274-800D-72D674CB4F2B}" srcOrd="1" destOrd="0" presId="urn:microsoft.com/office/officeart/2005/8/layout/hierarchy6"/>
    <dgm:cxn modelId="{0AA96562-438C-40BF-9B97-38FD05281F4B}" type="presParOf" srcId="{3F37E956-3265-4274-800D-72D674CB4F2B}" destId="{B0F40010-C297-418A-9AB3-480C909414F8}" srcOrd="0" destOrd="0" presId="urn:microsoft.com/office/officeart/2005/8/layout/hierarchy6"/>
    <dgm:cxn modelId="{6DF3621E-87AF-40A2-88EE-53815D7F4AAA}" type="presParOf" srcId="{3F37E956-3265-4274-800D-72D674CB4F2B}" destId="{8211C7E1-3006-4CB6-8CDD-C8BA881D8549}" srcOrd="1" destOrd="0" presId="urn:microsoft.com/office/officeart/2005/8/layout/hierarchy6"/>
    <dgm:cxn modelId="{7E7E1FBF-108D-4D70-9ADC-F638F570DC04}" type="presParOf" srcId="{8211C7E1-3006-4CB6-8CDD-C8BA881D8549}" destId="{0311FA77-F199-4455-9E99-5841D561BEA3}" srcOrd="0" destOrd="0" presId="urn:microsoft.com/office/officeart/2005/8/layout/hierarchy6"/>
    <dgm:cxn modelId="{0E952DEA-A10A-4A0B-8F3D-D78E775E9B3D}" type="presParOf" srcId="{8211C7E1-3006-4CB6-8CDD-C8BA881D8549}" destId="{9CC3C601-0617-415B-A3E9-C2CB6233D10D}" srcOrd="1" destOrd="0" presId="urn:microsoft.com/office/officeart/2005/8/layout/hierarchy6"/>
    <dgm:cxn modelId="{AB80B816-D4A5-45D2-9258-54D0C1CCBA14}" type="presParOf" srcId="{3F37E956-3265-4274-800D-72D674CB4F2B}" destId="{A85234AF-4216-4538-A055-BC25499CCD5D}" srcOrd="2" destOrd="0" presId="urn:microsoft.com/office/officeart/2005/8/layout/hierarchy6"/>
    <dgm:cxn modelId="{E2B53F4E-C6C5-49D6-BD4A-C180A0858565}" type="presParOf" srcId="{3F37E956-3265-4274-800D-72D674CB4F2B}" destId="{7EE09F5D-E534-4F98-9116-2E0C1136459F}" srcOrd="3" destOrd="0" presId="urn:microsoft.com/office/officeart/2005/8/layout/hierarchy6"/>
    <dgm:cxn modelId="{5021C61F-5CDF-496E-859C-D4DAEC14DE7F}" type="presParOf" srcId="{7EE09F5D-E534-4F98-9116-2E0C1136459F}" destId="{D8AE8B95-C607-4B14-B810-FEFADAC5D05B}" srcOrd="0" destOrd="0" presId="urn:microsoft.com/office/officeart/2005/8/layout/hierarchy6"/>
    <dgm:cxn modelId="{82E253A4-F704-47CA-B646-C102C74E9474}" type="presParOf" srcId="{7EE09F5D-E534-4F98-9116-2E0C1136459F}" destId="{BA7234BD-B6BE-401E-9332-7E84739677B7}" srcOrd="1" destOrd="0" presId="urn:microsoft.com/office/officeart/2005/8/layout/hierarchy6"/>
    <dgm:cxn modelId="{5BD6FC05-FDC4-46D1-A5E4-50A4C859A0EE}" type="presParOf" srcId="{1CD33157-6085-4A1A-9EFA-4570B7858D64}" destId="{1E47EE78-8D3B-4C17-8004-D2AC4E3AEE6B}" srcOrd="1" destOrd="0" presId="urn:microsoft.com/office/officeart/2005/8/layout/hierarchy6"/>
  </dgm:cxnLst>
  <dgm:bg/>
  <dgm:whole>
    <a:ln w="28575" cap="flat" cmpd="sng" algn="ctr">
      <a:solidFill>
        <a:srgbClr val="002060"/>
      </a:solidFill>
      <a:prstDash val="solid"/>
      <a:round/>
      <a:headEnd type="none" w="med" len="med"/>
      <a:tailEnd type="none" w="med" len="med"/>
    </a:ln>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E2B8C9E-EB40-46A1-9477-210CDA6FA329}">
      <dsp:nvSpPr>
        <dsp:cNvPr id="0" name=""/>
        <dsp:cNvSpPr/>
      </dsp:nvSpPr>
      <dsp:spPr>
        <a:xfrm>
          <a:off x="1610058" y="2275"/>
          <a:ext cx="2409196" cy="2114541"/>
        </a:xfrm>
        <a:prstGeom prst="rightArrow">
          <a:avLst>
            <a:gd name="adj1" fmla="val 75000"/>
            <a:gd name="adj2" fmla="val 50000"/>
          </a:avLst>
        </a:prstGeom>
        <a:solidFill>
          <a:schemeClr val="accent1">
            <a:alpha val="90000"/>
            <a:tint val="40000"/>
            <a:hueOff val="0"/>
            <a:satOff val="0"/>
            <a:lumOff val="0"/>
            <a:alphaOff val="0"/>
          </a:schemeClr>
        </a:solidFill>
        <a:ln w="25400" cap="flat" cmpd="sng" algn="ctr">
          <a:solidFill>
            <a:schemeClr val="accent1">
              <a:alpha val="90000"/>
              <a:tint val="4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350" tIns="6350" rIns="6350" bIns="6350" numCol="1" spcCol="1270" anchor="t" anchorCtr="0">
          <a:noAutofit/>
        </a:bodyPr>
        <a:lstStyle/>
        <a:p>
          <a:pPr marL="57150" lvl="1" indent="-57150" algn="l" defTabSz="444500">
            <a:lnSpc>
              <a:spcPct val="90000"/>
            </a:lnSpc>
            <a:spcBef>
              <a:spcPct val="0"/>
            </a:spcBef>
            <a:spcAft>
              <a:spcPct val="15000"/>
            </a:spcAft>
            <a:buChar char="•"/>
          </a:pPr>
          <a:r>
            <a:rPr lang="en-US" sz="1000" kern="1200"/>
            <a:t>Staffing level</a:t>
          </a:r>
        </a:p>
        <a:p>
          <a:pPr marL="57150" lvl="1" indent="-57150" algn="l" defTabSz="444500">
            <a:lnSpc>
              <a:spcPct val="90000"/>
            </a:lnSpc>
            <a:spcBef>
              <a:spcPct val="0"/>
            </a:spcBef>
            <a:spcAft>
              <a:spcPct val="15000"/>
            </a:spcAft>
            <a:buChar char="•"/>
          </a:pPr>
          <a:r>
            <a:rPr lang="en-US" sz="1000" kern="1200"/>
            <a:t>Labor Cost staff p.a</a:t>
          </a:r>
        </a:p>
        <a:p>
          <a:pPr marL="57150" lvl="1" indent="-57150" algn="l" defTabSz="444500">
            <a:lnSpc>
              <a:spcPct val="90000"/>
            </a:lnSpc>
            <a:spcBef>
              <a:spcPct val="0"/>
            </a:spcBef>
            <a:spcAft>
              <a:spcPct val="15000"/>
            </a:spcAft>
            <a:buChar char="•"/>
          </a:pPr>
          <a:r>
            <a:rPr lang="en-US" sz="1000" kern="1200"/>
            <a:t>APC</a:t>
          </a:r>
        </a:p>
        <a:p>
          <a:pPr marL="57150" lvl="1" indent="-57150" algn="l" defTabSz="444500">
            <a:lnSpc>
              <a:spcPct val="90000"/>
            </a:lnSpc>
            <a:spcBef>
              <a:spcPct val="0"/>
            </a:spcBef>
            <a:spcAft>
              <a:spcPct val="15000"/>
            </a:spcAft>
            <a:buChar char="•"/>
          </a:pPr>
          <a:r>
            <a:rPr lang="en-US" sz="1000" kern="1200"/>
            <a:t>Average sale price per item</a:t>
          </a:r>
        </a:p>
        <a:p>
          <a:pPr marL="57150" lvl="1" indent="-57150" algn="l" defTabSz="444500">
            <a:lnSpc>
              <a:spcPct val="90000"/>
            </a:lnSpc>
            <a:spcBef>
              <a:spcPct val="0"/>
            </a:spcBef>
            <a:spcAft>
              <a:spcPct val="15000"/>
            </a:spcAft>
            <a:buChar char="•"/>
          </a:pPr>
          <a:r>
            <a:rPr lang="en-US" sz="1000" kern="1200"/>
            <a:t>Actual sales units</a:t>
          </a:r>
        </a:p>
        <a:p>
          <a:pPr marL="57150" lvl="1" indent="-57150" algn="l" defTabSz="444500">
            <a:lnSpc>
              <a:spcPct val="90000"/>
            </a:lnSpc>
            <a:spcBef>
              <a:spcPct val="0"/>
            </a:spcBef>
            <a:spcAft>
              <a:spcPct val="15000"/>
            </a:spcAft>
            <a:buChar char="•"/>
          </a:pPr>
          <a:r>
            <a:rPr lang="en-US" sz="1000" kern="1200"/>
            <a:t>Average Inventory</a:t>
          </a:r>
        </a:p>
        <a:p>
          <a:pPr marL="57150" lvl="1" indent="-57150" algn="l" defTabSz="444500">
            <a:lnSpc>
              <a:spcPct val="90000"/>
            </a:lnSpc>
            <a:spcBef>
              <a:spcPct val="0"/>
            </a:spcBef>
            <a:spcAft>
              <a:spcPct val="15000"/>
            </a:spcAft>
            <a:buChar char="•"/>
          </a:pPr>
          <a:r>
            <a:rPr lang="en-US" sz="1000" kern="1200"/>
            <a:t>VUAOC for specific location</a:t>
          </a:r>
        </a:p>
        <a:p>
          <a:pPr marL="57150" lvl="1" indent="-57150" algn="l" defTabSz="444500">
            <a:lnSpc>
              <a:spcPct val="90000"/>
            </a:lnSpc>
            <a:spcBef>
              <a:spcPct val="0"/>
            </a:spcBef>
            <a:spcAft>
              <a:spcPct val="15000"/>
            </a:spcAft>
            <a:buChar char="•"/>
          </a:pPr>
          <a:r>
            <a:rPr lang="en-US" sz="1000" kern="1200"/>
            <a:t>Avarage whole sales cost</a:t>
          </a:r>
        </a:p>
        <a:p>
          <a:pPr marL="57150" lvl="1" indent="-57150" algn="l" defTabSz="444500">
            <a:lnSpc>
              <a:spcPct val="90000"/>
            </a:lnSpc>
            <a:spcBef>
              <a:spcPct val="0"/>
            </a:spcBef>
            <a:spcAft>
              <a:spcPct val="15000"/>
            </a:spcAft>
            <a:buChar char="•"/>
          </a:pPr>
          <a:r>
            <a:rPr lang="en-US" sz="1000" kern="1200"/>
            <a:t>FAOC</a:t>
          </a:r>
        </a:p>
      </dsp:txBody>
      <dsp:txXfrm>
        <a:off x="1610058" y="266593"/>
        <a:ext cx="1616243" cy="1585905"/>
      </dsp:txXfrm>
    </dsp:sp>
    <dsp:sp modelId="{0861400F-4CA8-4AF2-AD90-C9931A4C67A6}">
      <dsp:nvSpPr>
        <dsp:cNvPr id="0" name=""/>
        <dsp:cNvSpPr/>
      </dsp:nvSpPr>
      <dsp:spPr>
        <a:xfrm>
          <a:off x="3926" y="369638"/>
          <a:ext cx="1606131" cy="1379816"/>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28575" rIns="57150" bIns="28575" numCol="1" spcCol="1270" anchor="ctr" anchorCtr="0">
          <a:noAutofit/>
        </a:bodyPr>
        <a:lstStyle/>
        <a:p>
          <a:pPr marL="0" lvl="0" indent="0" algn="ctr" defTabSz="666750">
            <a:lnSpc>
              <a:spcPct val="90000"/>
            </a:lnSpc>
            <a:spcBef>
              <a:spcPct val="0"/>
            </a:spcBef>
            <a:spcAft>
              <a:spcPct val="35000"/>
            </a:spcAft>
            <a:buNone/>
          </a:pPr>
          <a:r>
            <a:rPr lang="en-US" sz="1500" kern="1200"/>
            <a:t>Decision</a:t>
          </a:r>
        </a:p>
        <a:p>
          <a:pPr marL="0" lvl="0" indent="0" algn="ctr" defTabSz="666750">
            <a:lnSpc>
              <a:spcPct val="90000"/>
            </a:lnSpc>
            <a:spcBef>
              <a:spcPct val="0"/>
            </a:spcBef>
            <a:spcAft>
              <a:spcPct val="35000"/>
            </a:spcAft>
            <a:buNone/>
          </a:pPr>
          <a:r>
            <a:rPr lang="en-US" sz="1500" kern="1200"/>
            <a:t>(Controllable)</a:t>
          </a:r>
        </a:p>
      </dsp:txBody>
      <dsp:txXfrm>
        <a:off x="71283" y="436995"/>
        <a:ext cx="1471417" cy="1245102"/>
      </dsp:txXfrm>
    </dsp:sp>
    <dsp:sp modelId="{FA9C0951-C64E-4927-A06C-282C164A7CD9}">
      <dsp:nvSpPr>
        <dsp:cNvPr id="0" name=""/>
        <dsp:cNvSpPr/>
      </dsp:nvSpPr>
      <dsp:spPr>
        <a:xfrm>
          <a:off x="1609272" y="2254798"/>
          <a:ext cx="2413909" cy="1379816"/>
        </a:xfrm>
        <a:prstGeom prst="rightArrow">
          <a:avLst>
            <a:gd name="adj1" fmla="val 75000"/>
            <a:gd name="adj2" fmla="val 50000"/>
          </a:avLst>
        </a:prstGeom>
        <a:solidFill>
          <a:schemeClr val="accent1">
            <a:alpha val="90000"/>
            <a:tint val="40000"/>
            <a:hueOff val="0"/>
            <a:satOff val="0"/>
            <a:lumOff val="0"/>
            <a:alphaOff val="0"/>
          </a:schemeClr>
        </a:solidFill>
        <a:ln w="25400" cap="flat" cmpd="sng" algn="ctr">
          <a:solidFill>
            <a:schemeClr val="accent1">
              <a:alpha val="90000"/>
              <a:tint val="4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350" tIns="6350" rIns="6350" bIns="6350" numCol="1" spcCol="1270" anchor="t" anchorCtr="0">
          <a:noAutofit/>
        </a:bodyPr>
        <a:lstStyle/>
        <a:p>
          <a:pPr marL="57150" lvl="1" indent="-57150" algn="l" defTabSz="444500">
            <a:lnSpc>
              <a:spcPct val="90000"/>
            </a:lnSpc>
            <a:spcBef>
              <a:spcPct val="0"/>
            </a:spcBef>
            <a:spcAft>
              <a:spcPct val="15000"/>
            </a:spcAft>
            <a:buChar char="•"/>
          </a:pPr>
          <a:endParaRPr lang="en-US" sz="1000" kern="1200"/>
        </a:p>
      </dsp:txBody>
      <dsp:txXfrm>
        <a:off x="1609272" y="2427275"/>
        <a:ext cx="1896478" cy="1034862"/>
      </dsp:txXfrm>
    </dsp:sp>
    <dsp:sp modelId="{CD1FFD1E-8388-4641-BFBF-E97FBCB65B31}">
      <dsp:nvSpPr>
        <dsp:cNvPr id="0" name=""/>
        <dsp:cNvSpPr/>
      </dsp:nvSpPr>
      <dsp:spPr>
        <a:xfrm>
          <a:off x="0" y="2254798"/>
          <a:ext cx="1609272" cy="1379816"/>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28575" rIns="57150" bIns="28575" numCol="1" spcCol="1270" anchor="ctr" anchorCtr="0">
          <a:noAutofit/>
        </a:bodyPr>
        <a:lstStyle/>
        <a:p>
          <a:pPr marL="0" lvl="0" indent="0" algn="ctr" defTabSz="666750">
            <a:lnSpc>
              <a:spcPct val="90000"/>
            </a:lnSpc>
            <a:spcBef>
              <a:spcPct val="0"/>
            </a:spcBef>
            <a:spcAft>
              <a:spcPct val="35000"/>
            </a:spcAft>
            <a:buNone/>
          </a:pPr>
          <a:r>
            <a:rPr lang="en-US" sz="1500" kern="1200"/>
            <a:t>Parameters</a:t>
          </a:r>
        </a:p>
        <a:p>
          <a:pPr marL="0" lvl="0" indent="0" algn="ctr" defTabSz="666750">
            <a:lnSpc>
              <a:spcPct val="90000"/>
            </a:lnSpc>
            <a:spcBef>
              <a:spcPct val="0"/>
            </a:spcBef>
            <a:spcAft>
              <a:spcPct val="35000"/>
            </a:spcAft>
            <a:buNone/>
          </a:pPr>
          <a:r>
            <a:rPr lang="en-US" sz="1500" kern="1200"/>
            <a:t>(Uncontrollable)</a:t>
          </a:r>
        </a:p>
      </dsp:txBody>
      <dsp:txXfrm>
        <a:off x="67357" y="2322155"/>
        <a:ext cx="1474558" cy="124510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E2B8C9E-EB40-46A1-9477-210CDA6FA329}">
      <dsp:nvSpPr>
        <dsp:cNvPr id="0" name=""/>
        <dsp:cNvSpPr/>
      </dsp:nvSpPr>
      <dsp:spPr>
        <a:xfrm>
          <a:off x="142483" y="91280"/>
          <a:ext cx="2425587" cy="1779127"/>
        </a:xfrm>
        <a:prstGeom prst="rightArrow">
          <a:avLst>
            <a:gd name="adj1" fmla="val 75000"/>
            <a:gd name="adj2" fmla="val 50000"/>
          </a:avLst>
        </a:prstGeom>
        <a:solidFill>
          <a:schemeClr val="accent1">
            <a:alpha val="90000"/>
            <a:tint val="40000"/>
            <a:hueOff val="0"/>
            <a:satOff val="0"/>
            <a:lumOff val="0"/>
            <a:alphaOff val="0"/>
          </a:schemeClr>
        </a:solidFill>
        <a:ln w="25400" cap="flat" cmpd="sng" algn="ctr">
          <a:solidFill>
            <a:schemeClr val="accent1">
              <a:alpha val="90000"/>
              <a:tint val="4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7780" tIns="17780" rIns="17780" bIns="17780" numCol="1" spcCol="1270" anchor="t" anchorCtr="0">
          <a:noAutofit/>
        </a:bodyPr>
        <a:lstStyle/>
        <a:p>
          <a:pPr marL="285750" lvl="1" indent="-285750" algn="l" defTabSz="1244600">
            <a:lnSpc>
              <a:spcPct val="90000"/>
            </a:lnSpc>
            <a:spcBef>
              <a:spcPct val="0"/>
            </a:spcBef>
            <a:spcAft>
              <a:spcPct val="15000"/>
            </a:spcAft>
            <a:buChar char="•"/>
          </a:pPr>
          <a:r>
            <a:rPr lang="en-US" sz="2800" kern="1200">
              <a:latin typeface="Arial" panose="020B0604020202020204" pitchFamily="34" charset="0"/>
              <a:cs typeface="Arial" panose="020B0604020202020204" pitchFamily="34" charset="0"/>
            </a:rPr>
            <a:t>Profit</a:t>
          </a:r>
        </a:p>
      </dsp:txBody>
      <dsp:txXfrm>
        <a:off x="142483" y="313671"/>
        <a:ext cx="1758414" cy="1334345"/>
      </dsp:txXfrm>
    </dsp:sp>
    <dsp:sp modelId="{0861400F-4CA8-4AF2-AD90-C9931A4C67A6}">
      <dsp:nvSpPr>
        <dsp:cNvPr id="0" name=""/>
        <dsp:cNvSpPr/>
      </dsp:nvSpPr>
      <dsp:spPr>
        <a:xfrm>
          <a:off x="2584894" y="105424"/>
          <a:ext cx="1723263" cy="1779127"/>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38100" rIns="76200" bIns="38100" numCol="1" spcCol="1270" anchor="ctr" anchorCtr="0">
          <a:noAutofit/>
        </a:bodyPr>
        <a:lstStyle/>
        <a:p>
          <a:pPr marL="0" lvl="0" indent="0" algn="ctr" defTabSz="889000">
            <a:lnSpc>
              <a:spcPct val="90000"/>
            </a:lnSpc>
            <a:spcBef>
              <a:spcPct val="0"/>
            </a:spcBef>
            <a:spcAft>
              <a:spcPct val="35000"/>
            </a:spcAft>
            <a:buNone/>
          </a:pPr>
          <a:r>
            <a:rPr lang="en-US" sz="2000" kern="1200"/>
            <a:t>Performance Measure</a:t>
          </a:r>
        </a:p>
      </dsp:txBody>
      <dsp:txXfrm>
        <a:off x="2669017" y="189547"/>
        <a:ext cx="1555017" cy="1610881"/>
      </dsp:txXfrm>
    </dsp:sp>
    <dsp:sp modelId="{FA9C0951-C64E-4927-A06C-282C164A7CD9}">
      <dsp:nvSpPr>
        <dsp:cNvPr id="0" name=""/>
        <dsp:cNvSpPr/>
      </dsp:nvSpPr>
      <dsp:spPr>
        <a:xfrm>
          <a:off x="145779" y="1957953"/>
          <a:ext cx="2418996" cy="1779127"/>
        </a:xfrm>
        <a:prstGeom prst="rightArrow">
          <a:avLst>
            <a:gd name="adj1" fmla="val 75000"/>
            <a:gd name="adj2" fmla="val 50000"/>
          </a:avLst>
        </a:prstGeom>
        <a:solidFill>
          <a:schemeClr val="accent1">
            <a:alpha val="90000"/>
            <a:tint val="40000"/>
            <a:hueOff val="0"/>
            <a:satOff val="0"/>
            <a:lumOff val="0"/>
            <a:alphaOff val="0"/>
          </a:schemeClr>
        </a:solidFill>
        <a:ln w="25400" cap="flat" cmpd="sng" algn="ctr">
          <a:solidFill>
            <a:schemeClr val="accent1">
              <a:alpha val="90000"/>
              <a:tint val="40000"/>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0160" tIns="10160" rIns="10160" bIns="10160" numCol="1" spcCol="1270" anchor="t" anchorCtr="0">
          <a:noAutofit/>
        </a:bodyPr>
        <a:lstStyle/>
        <a:p>
          <a:pPr marL="171450" lvl="1" indent="-171450" algn="l" defTabSz="711200">
            <a:lnSpc>
              <a:spcPct val="90000"/>
            </a:lnSpc>
            <a:spcBef>
              <a:spcPct val="0"/>
            </a:spcBef>
            <a:spcAft>
              <a:spcPct val="15000"/>
            </a:spcAft>
            <a:buChar char="•"/>
          </a:pPr>
          <a:r>
            <a:rPr lang="en-US" sz="1600" kern="1200"/>
            <a:t>Labor Costs</a:t>
          </a:r>
        </a:p>
        <a:p>
          <a:pPr marL="171450" lvl="1" indent="-171450" algn="l" defTabSz="711200">
            <a:lnSpc>
              <a:spcPct val="90000"/>
            </a:lnSpc>
            <a:spcBef>
              <a:spcPct val="0"/>
            </a:spcBef>
            <a:spcAft>
              <a:spcPct val="15000"/>
            </a:spcAft>
            <a:buChar char="•"/>
          </a:pPr>
          <a:r>
            <a:rPr lang="en-US" sz="1600" kern="1200">
              <a:latin typeface="Times New Roman" panose="02020603050405020304" pitchFamily="18" charset="0"/>
              <a:cs typeface="Times New Roman" panose="02020603050405020304" pitchFamily="18" charset="0"/>
            </a:rPr>
            <a:t>∑ VUAOC</a:t>
          </a:r>
          <a:endParaRPr lang="en-US" sz="1600" kern="1200"/>
        </a:p>
        <a:p>
          <a:pPr marL="171450" lvl="1" indent="-171450" algn="l" defTabSz="711200">
            <a:lnSpc>
              <a:spcPct val="90000"/>
            </a:lnSpc>
            <a:spcBef>
              <a:spcPct val="0"/>
            </a:spcBef>
            <a:spcAft>
              <a:spcPct val="15000"/>
            </a:spcAft>
            <a:buChar char="•"/>
          </a:pPr>
          <a:r>
            <a:rPr lang="en-US" sz="1600" kern="1200"/>
            <a:t>COGS</a:t>
          </a:r>
        </a:p>
        <a:p>
          <a:pPr marL="171450" lvl="1" indent="-171450" algn="l" defTabSz="711200">
            <a:lnSpc>
              <a:spcPct val="90000"/>
            </a:lnSpc>
            <a:spcBef>
              <a:spcPct val="0"/>
            </a:spcBef>
            <a:spcAft>
              <a:spcPct val="15000"/>
            </a:spcAft>
            <a:buChar char="•"/>
          </a:pPr>
          <a:r>
            <a:rPr lang="en-US" sz="1600" kern="1200"/>
            <a:t>Operating Costs</a:t>
          </a:r>
        </a:p>
        <a:p>
          <a:pPr marL="171450" lvl="1" indent="-171450" algn="l" defTabSz="711200">
            <a:lnSpc>
              <a:spcPct val="90000"/>
            </a:lnSpc>
            <a:spcBef>
              <a:spcPct val="0"/>
            </a:spcBef>
            <a:spcAft>
              <a:spcPct val="15000"/>
            </a:spcAft>
            <a:buChar char="•"/>
          </a:pPr>
          <a:r>
            <a:rPr lang="en-US" sz="1600" kern="1200"/>
            <a:t>Revenue</a:t>
          </a:r>
        </a:p>
      </dsp:txBody>
      <dsp:txXfrm>
        <a:off x="145779" y="2180344"/>
        <a:ext cx="1751823" cy="1334345"/>
      </dsp:txXfrm>
    </dsp:sp>
    <dsp:sp modelId="{CD1FFD1E-8388-4641-BFBF-E97FBCB65B31}">
      <dsp:nvSpPr>
        <dsp:cNvPr id="0" name=""/>
        <dsp:cNvSpPr/>
      </dsp:nvSpPr>
      <dsp:spPr>
        <a:xfrm>
          <a:off x="2584894" y="1917875"/>
          <a:ext cx="1723263" cy="1779127"/>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38100" rIns="76200" bIns="38100" numCol="1" spcCol="1270" anchor="ctr" anchorCtr="0">
          <a:noAutofit/>
        </a:bodyPr>
        <a:lstStyle/>
        <a:p>
          <a:pPr marL="0" lvl="0" indent="0" algn="ctr" defTabSz="889000">
            <a:lnSpc>
              <a:spcPct val="90000"/>
            </a:lnSpc>
            <a:spcBef>
              <a:spcPct val="0"/>
            </a:spcBef>
            <a:spcAft>
              <a:spcPct val="35000"/>
            </a:spcAft>
            <a:buNone/>
          </a:pPr>
          <a:r>
            <a:rPr lang="en-US" sz="2000" kern="1200"/>
            <a:t>Consequence Variables</a:t>
          </a:r>
        </a:p>
      </dsp:txBody>
      <dsp:txXfrm>
        <a:off x="2669017" y="2001998"/>
        <a:ext cx="1555017" cy="161088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BC9F1FD-91D5-41F6-A337-19C2A91D6F0F}">
      <dsp:nvSpPr>
        <dsp:cNvPr id="0" name=""/>
        <dsp:cNvSpPr/>
      </dsp:nvSpPr>
      <dsp:spPr>
        <a:xfrm>
          <a:off x="3147173" y="536657"/>
          <a:ext cx="952125" cy="634750"/>
        </a:xfrm>
        <a:prstGeom prst="roundRect">
          <a:avLst>
            <a:gd name="adj" fmla="val 1000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Profit</a:t>
          </a:r>
        </a:p>
      </dsp:txBody>
      <dsp:txXfrm>
        <a:off x="3165764" y="555248"/>
        <a:ext cx="914943" cy="597568"/>
      </dsp:txXfrm>
    </dsp:sp>
    <dsp:sp modelId="{CAF9EBE3-D598-47B6-8E31-D44FDA8F010F}">
      <dsp:nvSpPr>
        <dsp:cNvPr id="0" name=""/>
        <dsp:cNvSpPr/>
      </dsp:nvSpPr>
      <dsp:spPr>
        <a:xfrm>
          <a:off x="3623236" y="1171407"/>
          <a:ext cx="2507004" cy="600118"/>
        </a:xfrm>
        <a:custGeom>
          <a:avLst/>
          <a:gdLst/>
          <a:ahLst/>
          <a:cxnLst/>
          <a:rect l="0" t="0" r="0" b="0"/>
          <a:pathLst>
            <a:path>
              <a:moveTo>
                <a:pt x="0" y="0"/>
              </a:moveTo>
              <a:lnTo>
                <a:pt x="0" y="300059"/>
              </a:lnTo>
              <a:lnTo>
                <a:pt x="2507004" y="300059"/>
              </a:lnTo>
              <a:lnTo>
                <a:pt x="2507004" y="600118"/>
              </a:lnTo>
            </a:path>
          </a:pathLst>
        </a:custGeom>
        <a:noFill/>
        <a:ln w="25400" cap="flat" cmpd="sng" algn="ctr">
          <a:solidFill>
            <a:schemeClr val="accent5"/>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5"/>
        </a:lnRef>
        <a:fillRef idx="0">
          <a:schemeClr val="accent5"/>
        </a:fillRef>
        <a:effectRef idx="1">
          <a:schemeClr val="accent5"/>
        </a:effectRef>
        <a:fontRef idx="minor">
          <a:schemeClr val="tx1"/>
        </a:fontRef>
      </dsp:style>
    </dsp:sp>
    <dsp:sp modelId="{416AC7F0-F2FB-4CB9-A5E7-32C430D748A5}">
      <dsp:nvSpPr>
        <dsp:cNvPr id="0" name=""/>
        <dsp:cNvSpPr/>
      </dsp:nvSpPr>
      <dsp:spPr>
        <a:xfrm>
          <a:off x="5654177" y="1771526"/>
          <a:ext cx="952125" cy="634750"/>
        </a:xfrm>
        <a:prstGeom prst="roundRect">
          <a:avLst>
            <a:gd name="adj" fmla="val 10000"/>
          </a:avLst>
        </a:prstGeom>
        <a:solidFill>
          <a:schemeClr val="accent5">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Operating Costs</a:t>
          </a:r>
        </a:p>
      </dsp:txBody>
      <dsp:txXfrm>
        <a:off x="5672768" y="1790117"/>
        <a:ext cx="914943" cy="597568"/>
      </dsp:txXfrm>
    </dsp:sp>
    <dsp:sp modelId="{EE5C19BF-6AE9-4D7D-957D-834FD326BFE1}">
      <dsp:nvSpPr>
        <dsp:cNvPr id="0" name=""/>
        <dsp:cNvSpPr/>
      </dsp:nvSpPr>
      <dsp:spPr>
        <a:xfrm>
          <a:off x="6130240" y="2406276"/>
          <a:ext cx="2999986" cy="684051"/>
        </a:xfrm>
        <a:custGeom>
          <a:avLst/>
          <a:gdLst/>
          <a:ahLst/>
          <a:cxnLst/>
          <a:rect l="0" t="0" r="0" b="0"/>
          <a:pathLst>
            <a:path>
              <a:moveTo>
                <a:pt x="0" y="0"/>
              </a:moveTo>
              <a:lnTo>
                <a:pt x="0" y="342025"/>
              </a:lnTo>
              <a:lnTo>
                <a:pt x="2999986" y="342025"/>
              </a:lnTo>
              <a:lnTo>
                <a:pt x="2999986" y="684051"/>
              </a:lnTo>
            </a:path>
          </a:pathLst>
        </a:custGeom>
        <a:noFill/>
        <a:ln w="25400" cap="flat" cmpd="sng" algn="ctr">
          <a:solidFill>
            <a:schemeClr val="accent6"/>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6"/>
        </a:lnRef>
        <a:fillRef idx="0">
          <a:schemeClr val="accent6"/>
        </a:fillRef>
        <a:effectRef idx="1">
          <a:schemeClr val="accent6"/>
        </a:effectRef>
        <a:fontRef idx="minor">
          <a:schemeClr val="tx1"/>
        </a:fontRef>
      </dsp:style>
    </dsp:sp>
    <dsp:sp modelId="{401BEF9B-2CFC-4EAB-8C6D-F0C4A9A91743}">
      <dsp:nvSpPr>
        <dsp:cNvPr id="0" name=""/>
        <dsp:cNvSpPr/>
      </dsp:nvSpPr>
      <dsp:spPr>
        <a:xfrm>
          <a:off x="8654163" y="3090328"/>
          <a:ext cx="952125" cy="634750"/>
        </a:xfrm>
        <a:prstGeom prst="roundRect">
          <a:avLst>
            <a:gd name="adj" fmla="val 10000"/>
          </a:avLst>
        </a:prstGeom>
        <a:solidFill>
          <a:schemeClr val="accent6">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Labor Cost</a:t>
          </a:r>
        </a:p>
      </dsp:txBody>
      <dsp:txXfrm>
        <a:off x="8672754" y="3108919"/>
        <a:ext cx="914943" cy="597568"/>
      </dsp:txXfrm>
    </dsp:sp>
    <dsp:sp modelId="{111CFF31-B31D-4256-A96E-1C1EFB6C592D}">
      <dsp:nvSpPr>
        <dsp:cNvPr id="0" name=""/>
        <dsp:cNvSpPr/>
      </dsp:nvSpPr>
      <dsp:spPr>
        <a:xfrm>
          <a:off x="9130226" y="3725078"/>
          <a:ext cx="629686" cy="788969"/>
        </a:xfrm>
        <a:custGeom>
          <a:avLst/>
          <a:gdLst/>
          <a:ahLst/>
          <a:cxnLst/>
          <a:rect l="0" t="0" r="0" b="0"/>
          <a:pathLst>
            <a:path>
              <a:moveTo>
                <a:pt x="0" y="0"/>
              </a:moveTo>
              <a:lnTo>
                <a:pt x="0" y="394484"/>
              </a:lnTo>
              <a:lnTo>
                <a:pt x="629686" y="394484"/>
              </a:lnTo>
              <a:lnTo>
                <a:pt x="629686" y="78896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DB383981-EBA9-42A9-9574-0D6F78B77136}">
      <dsp:nvSpPr>
        <dsp:cNvPr id="0" name=""/>
        <dsp:cNvSpPr/>
      </dsp:nvSpPr>
      <dsp:spPr>
        <a:xfrm>
          <a:off x="9283850" y="4514047"/>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Staffing Level</a:t>
          </a:r>
        </a:p>
      </dsp:txBody>
      <dsp:txXfrm>
        <a:off x="9302441" y="4532638"/>
        <a:ext cx="914943" cy="597568"/>
      </dsp:txXfrm>
    </dsp:sp>
    <dsp:sp modelId="{EEF6E5D7-F463-4539-AAE8-40383BFD5323}">
      <dsp:nvSpPr>
        <dsp:cNvPr id="0" name=""/>
        <dsp:cNvSpPr/>
      </dsp:nvSpPr>
      <dsp:spPr>
        <a:xfrm>
          <a:off x="8542822" y="3725078"/>
          <a:ext cx="587404" cy="788969"/>
        </a:xfrm>
        <a:custGeom>
          <a:avLst/>
          <a:gdLst/>
          <a:ahLst/>
          <a:cxnLst/>
          <a:rect l="0" t="0" r="0" b="0"/>
          <a:pathLst>
            <a:path>
              <a:moveTo>
                <a:pt x="587404" y="0"/>
              </a:moveTo>
              <a:lnTo>
                <a:pt x="587404" y="394484"/>
              </a:lnTo>
              <a:lnTo>
                <a:pt x="0" y="394484"/>
              </a:lnTo>
              <a:lnTo>
                <a:pt x="0" y="78896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AAE04838-3395-4BE1-B02E-A0E3ECBE1D33}">
      <dsp:nvSpPr>
        <dsp:cNvPr id="0" name=""/>
        <dsp:cNvSpPr/>
      </dsp:nvSpPr>
      <dsp:spPr>
        <a:xfrm>
          <a:off x="8066759" y="4514047"/>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Labor cost staff p.a</a:t>
          </a:r>
        </a:p>
      </dsp:txBody>
      <dsp:txXfrm>
        <a:off x="8085350" y="4532638"/>
        <a:ext cx="914943" cy="597568"/>
      </dsp:txXfrm>
    </dsp:sp>
    <dsp:sp modelId="{35E33ADB-18EB-4553-947E-7CFC11CEC1D1}">
      <dsp:nvSpPr>
        <dsp:cNvPr id="0" name=""/>
        <dsp:cNvSpPr/>
      </dsp:nvSpPr>
      <dsp:spPr>
        <a:xfrm>
          <a:off x="6130240" y="2406276"/>
          <a:ext cx="524459" cy="684051"/>
        </a:xfrm>
        <a:custGeom>
          <a:avLst/>
          <a:gdLst/>
          <a:ahLst/>
          <a:cxnLst/>
          <a:rect l="0" t="0" r="0" b="0"/>
          <a:pathLst>
            <a:path>
              <a:moveTo>
                <a:pt x="0" y="0"/>
              </a:moveTo>
              <a:lnTo>
                <a:pt x="0" y="342025"/>
              </a:lnTo>
              <a:lnTo>
                <a:pt x="524459" y="342025"/>
              </a:lnTo>
              <a:lnTo>
                <a:pt x="524459" y="684051"/>
              </a:lnTo>
            </a:path>
          </a:pathLst>
        </a:custGeom>
        <a:noFill/>
        <a:ln w="25400" cap="flat" cmpd="sng" algn="ctr">
          <a:solidFill>
            <a:schemeClr val="accent6">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27A1160-6268-497C-9507-8D66F48804E2}">
      <dsp:nvSpPr>
        <dsp:cNvPr id="0" name=""/>
        <dsp:cNvSpPr/>
      </dsp:nvSpPr>
      <dsp:spPr>
        <a:xfrm>
          <a:off x="6178636" y="3090328"/>
          <a:ext cx="952125" cy="634750"/>
        </a:xfrm>
        <a:prstGeom prst="roundRect">
          <a:avLst>
            <a:gd name="adj" fmla="val 10000"/>
          </a:avLst>
        </a:prstGeom>
        <a:solidFill>
          <a:schemeClr val="accent6">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VUAOC</a:t>
          </a:r>
        </a:p>
      </dsp:txBody>
      <dsp:txXfrm>
        <a:off x="6197227" y="3108919"/>
        <a:ext cx="914943" cy="597568"/>
      </dsp:txXfrm>
    </dsp:sp>
    <dsp:sp modelId="{C9466D56-2308-4578-B0AA-352980211C10}">
      <dsp:nvSpPr>
        <dsp:cNvPr id="0" name=""/>
        <dsp:cNvSpPr/>
      </dsp:nvSpPr>
      <dsp:spPr>
        <a:xfrm>
          <a:off x="6654699" y="3725078"/>
          <a:ext cx="650358" cy="788969"/>
        </a:xfrm>
        <a:custGeom>
          <a:avLst/>
          <a:gdLst/>
          <a:ahLst/>
          <a:cxnLst/>
          <a:rect l="0" t="0" r="0" b="0"/>
          <a:pathLst>
            <a:path>
              <a:moveTo>
                <a:pt x="0" y="0"/>
              </a:moveTo>
              <a:lnTo>
                <a:pt x="0" y="394484"/>
              </a:lnTo>
              <a:lnTo>
                <a:pt x="650358" y="394484"/>
              </a:lnTo>
              <a:lnTo>
                <a:pt x="650358" y="78896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9D53F073-EEB7-4191-BC66-872362D43BC2}">
      <dsp:nvSpPr>
        <dsp:cNvPr id="0" name=""/>
        <dsp:cNvSpPr/>
      </dsp:nvSpPr>
      <dsp:spPr>
        <a:xfrm>
          <a:off x="6828995" y="4514047"/>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Average inventory units</a:t>
          </a:r>
        </a:p>
      </dsp:txBody>
      <dsp:txXfrm>
        <a:off x="6847586" y="4532638"/>
        <a:ext cx="914943" cy="597568"/>
      </dsp:txXfrm>
    </dsp:sp>
    <dsp:sp modelId="{B2ADD19E-77B9-415D-AACD-9161D3CEF501}">
      <dsp:nvSpPr>
        <dsp:cNvPr id="0" name=""/>
        <dsp:cNvSpPr/>
      </dsp:nvSpPr>
      <dsp:spPr>
        <a:xfrm>
          <a:off x="6067295" y="3725078"/>
          <a:ext cx="587404" cy="788969"/>
        </a:xfrm>
        <a:custGeom>
          <a:avLst/>
          <a:gdLst/>
          <a:ahLst/>
          <a:cxnLst/>
          <a:rect l="0" t="0" r="0" b="0"/>
          <a:pathLst>
            <a:path>
              <a:moveTo>
                <a:pt x="587404" y="0"/>
              </a:moveTo>
              <a:lnTo>
                <a:pt x="587404" y="394484"/>
              </a:lnTo>
              <a:lnTo>
                <a:pt x="0" y="394484"/>
              </a:lnTo>
              <a:lnTo>
                <a:pt x="0" y="78896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5D5E3F97-BAB3-40A7-9B1D-8920E802F1C0}">
      <dsp:nvSpPr>
        <dsp:cNvPr id="0" name=""/>
        <dsp:cNvSpPr/>
      </dsp:nvSpPr>
      <dsp:spPr>
        <a:xfrm>
          <a:off x="5591232" y="4514047"/>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VUAOC for specific location</a:t>
          </a:r>
        </a:p>
      </dsp:txBody>
      <dsp:txXfrm>
        <a:off x="5609823" y="4532638"/>
        <a:ext cx="914943" cy="597568"/>
      </dsp:txXfrm>
    </dsp:sp>
    <dsp:sp modelId="{A0B96A35-BAA1-4D62-8155-92C04B25731C}">
      <dsp:nvSpPr>
        <dsp:cNvPr id="0" name=""/>
        <dsp:cNvSpPr/>
      </dsp:nvSpPr>
      <dsp:spPr>
        <a:xfrm>
          <a:off x="5416936" y="2406276"/>
          <a:ext cx="713304" cy="684051"/>
        </a:xfrm>
        <a:custGeom>
          <a:avLst/>
          <a:gdLst/>
          <a:ahLst/>
          <a:cxnLst/>
          <a:rect l="0" t="0" r="0" b="0"/>
          <a:pathLst>
            <a:path>
              <a:moveTo>
                <a:pt x="713304" y="0"/>
              </a:moveTo>
              <a:lnTo>
                <a:pt x="713304" y="342025"/>
              </a:lnTo>
              <a:lnTo>
                <a:pt x="0" y="342025"/>
              </a:lnTo>
              <a:lnTo>
                <a:pt x="0" y="684051"/>
              </a:lnTo>
            </a:path>
          </a:pathLst>
        </a:custGeom>
        <a:noFill/>
        <a:ln w="25400" cap="flat" cmpd="sng" algn="ctr">
          <a:solidFill>
            <a:schemeClr val="accent6">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B84D30C-8A90-4A83-A553-ECE95001DD85}">
      <dsp:nvSpPr>
        <dsp:cNvPr id="0" name=""/>
        <dsp:cNvSpPr/>
      </dsp:nvSpPr>
      <dsp:spPr>
        <a:xfrm>
          <a:off x="4940873" y="3090328"/>
          <a:ext cx="952125" cy="634750"/>
        </a:xfrm>
        <a:prstGeom prst="roundRect">
          <a:avLst>
            <a:gd name="adj" fmla="val 10000"/>
          </a:avLst>
        </a:prstGeom>
        <a:solidFill>
          <a:schemeClr val="accent6">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FAOC</a:t>
          </a:r>
        </a:p>
      </dsp:txBody>
      <dsp:txXfrm>
        <a:off x="4959464" y="3108919"/>
        <a:ext cx="914943" cy="597568"/>
      </dsp:txXfrm>
    </dsp:sp>
    <dsp:sp modelId="{CB74C859-261D-4586-ACFB-4144700AC5D9}">
      <dsp:nvSpPr>
        <dsp:cNvPr id="0" name=""/>
        <dsp:cNvSpPr/>
      </dsp:nvSpPr>
      <dsp:spPr>
        <a:xfrm>
          <a:off x="4179173" y="2406276"/>
          <a:ext cx="1951067" cy="684051"/>
        </a:xfrm>
        <a:custGeom>
          <a:avLst/>
          <a:gdLst/>
          <a:ahLst/>
          <a:cxnLst/>
          <a:rect l="0" t="0" r="0" b="0"/>
          <a:pathLst>
            <a:path>
              <a:moveTo>
                <a:pt x="1951067" y="0"/>
              </a:moveTo>
              <a:lnTo>
                <a:pt x="1951067" y="342025"/>
              </a:lnTo>
              <a:lnTo>
                <a:pt x="0" y="342025"/>
              </a:lnTo>
              <a:lnTo>
                <a:pt x="0" y="684051"/>
              </a:lnTo>
            </a:path>
          </a:pathLst>
        </a:custGeom>
        <a:noFill/>
        <a:ln w="25400" cap="flat" cmpd="sng" algn="ctr">
          <a:solidFill>
            <a:schemeClr val="accent6">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9B1F91C-FCA1-4298-BC23-B42B62540256}">
      <dsp:nvSpPr>
        <dsp:cNvPr id="0" name=""/>
        <dsp:cNvSpPr/>
      </dsp:nvSpPr>
      <dsp:spPr>
        <a:xfrm>
          <a:off x="3703110" y="3090328"/>
          <a:ext cx="952125" cy="634750"/>
        </a:xfrm>
        <a:prstGeom prst="roundRect">
          <a:avLst>
            <a:gd name="adj" fmla="val 10000"/>
          </a:avLst>
        </a:prstGeom>
        <a:solidFill>
          <a:schemeClr val="accent6">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APC</a:t>
          </a:r>
        </a:p>
      </dsp:txBody>
      <dsp:txXfrm>
        <a:off x="3721701" y="3108919"/>
        <a:ext cx="914943" cy="597568"/>
      </dsp:txXfrm>
    </dsp:sp>
    <dsp:sp modelId="{923CD5A3-D3F6-4787-B530-6876B22CA8BF}">
      <dsp:nvSpPr>
        <dsp:cNvPr id="0" name=""/>
        <dsp:cNvSpPr/>
      </dsp:nvSpPr>
      <dsp:spPr>
        <a:xfrm>
          <a:off x="2941409" y="2406276"/>
          <a:ext cx="3188830" cy="684051"/>
        </a:xfrm>
        <a:custGeom>
          <a:avLst/>
          <a:gdLst/>
          <a:ahLst/>
          <a:cxnLst/>
          <a:rect l="0" t="0" r="0" b="0"/>
          <a:pathLst>
            <a:path>
              <a:moveTo>
                <a:pt x="3188830" y="0"/>
              </a:moveTo>
              <a:lnTo>
                <a:pt x="3188830" y="342025"/>
              </a:lnTo>
              <a:lnTo>
                <a:pt x="0" y="342025"/>
              </a:lnTo>
              <a:lnTo>
                <a:pt x="0" y="684051"/>
              </a:lnTo>
            </a:path>
          </a:pathLst>
        </a:custGeom>
        <a:noFill/>
        <a:ln w="25400" cap="flat" cmpd="sng" algn="ctr">
          <a:solidFill>
            <a:schemeClr val="accent6"/>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6"/>
        </a:lnRef>
        <a:fillRef idx="0">
          <a:schemeClr val="accent6"/>
        </a:fillRef>
        <a:effectRef idx="1">
          <a:schemeClr val="accent6"/>
        </a:effectRef>
        <a:fontRef idx="minor">
          <a:schemeClr val="tx1"/>
        </a:fontRef>
      </dsp:style>
    </dsp:sp>
    <dsp:sp modelId="{82AE98B5-712E-40A0-A005-74F75595361D}">
      <dsp:nvSpPr>
        <dsp:cNvPr id="0" name=""/>
        <dsp:cNvSpPr/>
      </dsp:nvSpPr>
      <dsp:spPr>
        <a:xfrm>
          <a:off x="2465346" y="3090328"/>
          <a:ext cx="952125" cy="634750"/>
        </a:xfrm>
        <a:prstGeom prst="roundRect">
          <a:avLst>
            <a:gd name="adj" fmla="val 10000"/>
          </a:avLst>
        </a:prstGeom>
        <a:solidFill>
          <a:schemeClr val="accent6">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COGS</a:t>
          </a:r>
        </a:p>
      </dsp:txBody>
      <dsp:txXfrm>
        <a:off x="2483937" y="3108919"/>
        <a:ext cx="914943" cy="597568"/>
      </dsp:txXfrm>
    </dsp:sp>
    <dsp:sp modelId="{B3E1F21B-6DF2-4FC9-9EE5-FFE7AEDA9F08}">
      <dsp:nvSpPr>
        <dsp:cNvPr id="0" name=""/>
        <dsp:cNvSpPr/>
      </dsp:nvSpPr>
      <dsp:spPr>
        <a:xfrm>
          <a:off x="2895689" y="3725078"/>
          <a:ext cx="91440" cy="788969"/>
        </a:xfrm>
        <a:custGeom>
          <a:avLst/>
          <a:gdLst/>
          <a:ahLst/>
          <a:cxnLst/>
          <a:rect l="0" t="0" r="0" b="0"/>
          <a:pathLst>
            <a:path>
              <a:moveTo>
                <a:pt x="45720" y="0"/>
              </a:moveTo>
              <a:lnTo>
                <a:pt x="45720" y="78896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53373819-ECA0-494C-8735-FF074DFF154E}">
      <dsp:nvSpPr>
        <dsp:cNvPr id="0" name=""/>
        <dsp:cNvSpPr/>
      </dsp:nvSpPr>
      <dsp:spPr>
        <a:xfrm>
          <a:off x="2465346" y="4514047"/>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Average wholesale cost($/item)</a:t>
          </a:r>
        </a:p>
      </dsp:txBody>
      <dsp:txXfrm>
        <a:off x="2483937" y="4532638"/>
        <a:ext cx="914943" cy="597568"/>
      </dsp:txXfrm>
    </dsp:sp>
    <dsp:sp modelId="{DD3CC13C-A7DA-4E6B-A994-03F1EBB088D9}">
      <dsp:nvSpPr>
        <dsp:cNvPr id="0" name=""/>
        <dsp:cNvSpPr/>
      </dsp:nvSpPr>
      <dsp:spPr>
        <a:xfrm>
          <a:off x="1116241" y="1171407"/>
          <a:ext cx="2506994" cy="600124"/>
        </a:xfrm>
        <a:custGeom>
          <a:avLst/>
          <a:gdLst/>
          <a:ahLst/>
          <a:cxnLst/>
          <a:rect l="0" t="0" r="0" b="0"/>
          <a:pathLst>
            <a:path>
              <a:moveTo>
                <a:pt x="2506994" y="0"/>
              </a:moveTo>
              <a:lnTo>
                <a:pt x="2506994" y="300062"/>
              </a:lnTo>
              <a:lnTo>
                <a:pt x="0" y="300062"/>
              </a:lnTo>
              <a:lnTo>
                <a:pt x="0" y="600124"/>
              </a:lnTo>
            </a:path>
          </a:pathLst>
        </a:custGeom>
        <a:noFill/>
        <a:ln w="25400" cap="flat" cmpd="sng" algn="ctr">
          <a:solidFill>
            <a:schemeClr val="accent5"/>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5"/>
        </a:lnRef>
        <a:fillRef idx="0">
          <a:schemeClr val="accent5"/>
        </a:fillRef>
        <a:effectRef idx="1">
          <a:schemeClr val="accent5"/>
        </a:effectRef>
        <a:fontRef idx="minor">
          <a:schemeClr val="tx1"/>
        </a:fontRef>
      </dsp:style>
    </dsp:sp>
    <dsp:sp modelId="{99A1C232-2758-463B-9E42-736B6DCF0A38}">
      <dsp:nvSpPr>
        <dsp:cNvPr id="0" name=""/>
        <dsp:cNvSpPr/>
      </dsp:nvSpPr>
      <dsp:spPr>
        <a:xfrm>
          <a:off x="640178" y="1771532"/>
          <a:ext cx="952125" cy="634750"/>
        </a:xfrm>
        <a:prstGeom prst="roundRect">
          <a:avLst>
            <a:gd name="adj" fmla="val 10000"/>
          </a:avLst>
        </a:prstGeom>
        <a:solidFill>
          <a:schemeClr val="accent5">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Revenue</a:t>
          </a:r>
        </a:p>
      </dsp:txBody>
      <dsp:txXfrm>
        <a:off x="658769" y="1790123"/>
        <a:ext cx="914943" cy="597568"/>
      </dsp:txXfrm>
    </dsp:sp>
    <dsp:sp modelId="{B0F40010-C297-418A-9AB3-480C909414F8}">
      <dsp:nvSpPr>
        <dsp:cNvPr id="0" name=""/>
        <dsp:cNvSpPr/>
      </dsp:nvSpPr>
      <dsp:spPr>
        <a:xfrm>
          <a:off x="1116241" y="2406282"/>
          <a:ext cx="587404" cy="2100401"/>
        </a:xfrm>
        <a:custGeom>
          <a:avLst/>
          <a:gdLst/>
          <a:ahLst/>
          <a:cxnLst/>
          <a:rect l="0" t="0" r="0" b="0"/>
          <a:pathLst>
            <a:path>
              <a:moveTo>
                <a:pt x="0" y="0"/>
              </a:moveTo>
              <a:lnTo>
                <a:pt x="0" y="1050200"/>
              </a:lnTo>
              <a:lnTo>
                <a:pt x="587404" y="1050200"/>
              </a:lnTo>
              <a:lnTo>
                <a:pt x="587404" y="2100401"/>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0311FA77-F199-4455-9E99-5841D561BEA3}">
      <dsp:nvSpPr>
        <dsp:cNvPr id="0" name=""/>
        <dsp:cNvSpPr/>
      </dsp:nvSpPr>
      <dsp:spPr>
        <a:xfrm>
          <a:off x="1227583" y="4506684"/>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Actual Sales units</a:t>
          </a:r>
        </a:p>
      </dsp:txBody>
      <dsp:txXfrm>
        <a:off x="1246174" y="4525275"/>
        <a:ext cx="914943" cy="597568"/>
      </dsp:txXfrm>
    </dsp:sp>
    <dsp:sp modelId="{A85234AF-4216-4538-A055-BC25499CCD5D}">
      <dsp:nvSpPr>
        <dsp:cNvPr id="0" name=""/>
        <dsp:cNvSpPr/>
      </dsp:nvSpPr>
      <dsp:spPr>
        <a:xfrm>
          <a:off x="518344" y="2406282"/>
          <a:ext cx="597896" cy="2089909"/>
        </a:xfrm>
        <a:custGeom>
          <a:avLst/>
          <a:gdLst/>
          <a:ahLst/>
          <a:cxnLst/>
          <a:rect l="0" t="0" r="0" b="0"/>
          <a:pathLst>
            <a:path>
              <a:moveTo>
                <a:pt x="597896" y="0"/>
              </a:moveTo>
              <a:lnTo>
                <a:pt x="597896" y="1044954"/>
              </a:lnTo>
              <a:lnTo>
                <a:pt x="0" y="1044954"/>
              </a:lnTo>
              <a:lnTo>
                <a:pt x="0" y="2089909"/>
              </a:lnTo>
            </a:path>
          </a:pathLst>
        </a:custGeom>
        <a:noFill/>
        <a:ln w="25400" cap="flat" cmpd="sng" algn="ctr">
          <a:solidFill>
            <a:schemeClr val="accent1"/>
          </a:solidFill>
          <a:prstDash val="solid"/>
          <a:headEnd type="triangle" w="med" len="med"/>
          <a:tailEnd type="none" w="med" len="med"/>
        </a:ln>
        <a:effectLst>
          <a:outerShdw blurRad="40000" dist="20000" dir="5400000" rotWithShape="0">
            <a:srgbClr val="000000">
              <a:alpha val="38000"/>
            </a:srgbClr>
          </a:outerShdw>
        </a:effectLst>
      </dsp:spPr>
      <dsp:style>
        <a:lnRef idx="2">
          <a:schemeClr val="accent1"/>
        </a:lnRef>
        <a:fillRef idx="0">
          <a:schemeClr val="accent1"/>
        </a:fillRef>
        <a:effectRef idx="1">
          <a:schemeClr val="accent1"/>
        </a:effectRef>
        <a:fontRef idx="minor">
          <a:schemeClr val="tx1"/>
        </a:fontRef>
      </dsp:style>
    </dsp:sp>
    <dsp:sp modelId="{D8AE8B95-C607-4B14-B810-FEFADAC5D05B}">
      <dsp:nvSpPr>
        <dsp:cNvPr id="0" name=""/>
        <dsp:cNvSpPr/>
      </dsp:nvSpPr>
      <dsp:spPr>
        <a:xfrm>
          <a:off x="42282" y="4496192"/>
          <a:ext cx="952125" cy="634750"/>
        </a:xfrm>
        <a:prstGeom prst="roundRect">
          <a:avLst>
            <a:gd name="adj" fmla="val 10000"/>
          </a:avLst>
        </a:prstGeom>
        <a:solidFill>
          <a:schemeClr val="accent1"/>
        </a:solidFill>
        <a:ln w="25400" cap="flat" cmpd="sng" algn="ctr">
          <a:solidFill>
            <a:schemeClr val="accent1">
              <a:shade val="50000"/>
            </a:schemeClr>
          </a:solidFill>
          <a:prstDash val="solid"/>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latin typeface="Arial" panose="020B0604020202020204" pitchFamily="34" charset="0"/>
              <a:cs typeface="Arial" panose="020B0604020202020204" pitchFamily="34" charset="0"/>
            </a:rPr>
            <a:t>Average Sale pice per Item</a:t>
          </a:r>
        </a:p>
      </dsp:txBody>
      <dsp:txXfrm>
        <a:off x="60873" y="4514783"/>
        <a:ext cx="914943" cy="597568"/>
      </dsp:txXfrm>
    </dsp:sp>
  </dsp:spTree>
</dsp:drawing>
</file>

<file path=xl/diagrams/layout1.xml><?xml version="1.0" encoding="utf-8"?>
<dgm:layoutDef xmlns:dgm="http://schemas.openxmlformats.org/drawingml/2006/diagram" xmlns:a="http://schemas.openxmlformats.org/drawingml/2006/main" uniqueId="urn:microsoft.com/office/officeart/2005/8/layout/vList6">
  <dgm:title val=""/>
  <dgm:desc val=""/>
  <dgm:catLst>
    <dgm:cat type="process" pri="22000"/>
    <dgm:cat type="list" pri="1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dgm:varLst>
    <dgm:alg type="lin">
      <dgm:param type="linDir" val="fromT"/>
    </dgm:alg>
    <dgm:shape xmlns:r="http://schemas.openxmlformats.org/officeDocument/2006/relationships" r:blip="">
      <dgm:adjLst/>
    </dgm:shape>
    <dgm:presOf/>
    <dgm:constrLst>
      <dgm:constr type="w" for="ch" forName="linNode" refType="w"/>
      <dgm:constr type="h" for="ch" forName="linNode" refType="h"/>
      <dgm:constr type="h" for="ch" forName="spacing" refType="h" refFor="ch" refForName="linNode" fact="0.1"/>
      <dgm:constr type="primFontSz" for="des" forName="parentShp" op="equ" val="65"/>
      <dgm:constr type="primFontSz" for="des" forName="childShp" op="equ" val="65"/>
    </dgm:constrLst>
    <dgm:ruleLst/>
    <dgm:forEach name="Name1" axis="ch" ptType="node">
      <dgm:layoutNode name="linNode">
        <dgm:choose name="Name2">
          <dgm:if name="Name3" func="var" arg="dir" op="equ" val="norm">
            <dgm:alg type="lin">
              <dgm:param type="linDir" val="fromL"/>
            </dgm:alg>
          </dgm:if>
          <dgm:else name="Name4">
            <dgm:alg type="lin">
              <dgm:param type="linDir" val="fromR"/>
            </dgm:alg>
          </dgm:else>
        </dgm:choose>
        <dgm:shape xmlns:r="http://schemas.openxmlformats.org/officeDocument/2006/relationships" r:blip="">
          <dgm:adjLst/>
        </dgm:shape>
        <dgm:presOf/>
        <dgm:choose name="Name5">
          <dgm:if name="Name6" func="var" arg="dir" op="equ" val="norm">
            <dgm:constrLst>
              <dgm:constr type="w" for="ch" forName="parentShp" refType="w" fact="0.4"/>
              <dgm:constr type="h" for="ch" forName="parentShp" refType="h"/>
              <dgm:constr type="w" for="ch" forName="childShp" refType="w" fact="0.6"/>
              <dgm:constr type="h" for="ch" forName="childShp" refType="h" refFor="ch" refForName="parentShp"/>
            </dgm:constrLst>
          </dgm:if>
          <dgm:else name="Name7">
            <dgm:constrLst>
              <dgm:constr type="w" for="ch" forName="parentShp" refType="w" fact="0.4"/>
              <dgm:constr type="h" for="ch" forName="parentShp" refType="h"/>
              <dgm:constr type="w" for="ch" forName="childShp" refType="w" fact="0.6"/>
              <dgm:constr type="h" for="ch" forName="childShp" refType="h" refFor="ch" refForName="parentShp"/>
            </dgm:constrLst>
          </dgm:else>
        </dgm:choose>
        <dgm:ruleLst/>
        <dgm:layoutNode name="parentShp" styleLbl="node1">
          <dgm:varLst>
            <dgm:bulletEnabled val="1"/>
          </dgm:varLst>
          <dgm:alg type="tx"/>
          <dgm:shape xmlns:r="http://schemas.openxmlformats.org/officeDocument/2006/relationships" type="roundRect" r:blip="">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layoutNode name="childShp" styleLbl="bgAccFollowNode1">
          <dgm:varLst>
            <dgm:bulletEnabled val="1"/>
          </dgm:varLst>
          <dgm:alg type="tx">
            <dgm:param type="stBulletLvl" val="1"/>
          </dgm:alg>
          <dgm:choose name="Name8">
            <dgm:if name="Name9" func="var" arg="dir" op="equ" val="norm">
              <dgm:shape xmlns:r="http://schemas.openxmlformats.org/officeDocument/2006/relationships" type="rightArrow" r:blip="" zOrderOff="-2">
                <dgm:adjLst>
                  <dgm:adj idx="1" val="0.75"/>
                </dgm:adjLst>
              </dgm:shape>
            </dgm:if>
            <dgm:else name="Name10">
              <dgm:shape xmlns:r="http://schemas.openxmlformats.org/officeDocument/2006/relationships" rot="180" type="rightArrow" r:blip="" zOrderOff="-2">
                <dgm:adjLst>
                  <dgm:adj idx="1" val="0.75"/>
                </dgm:adjLst>
              </dgm:shape>
            </dgm:else>
          </dgm:choose>
          <dgm:presOf axis="des" ptType="node"/>
          <dgm:constrLst>
            <dgm:constr type="secFontSz" refType="primFontSz"/>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dgm:forEach name="Name11" axis="followSib" ptType="sibTrans" cnt="1">
        <dgm:layoutNode name="spacing">
          <dgm:alg type="sp"/>
          <dgm:shape xmlns:r="http://schemas.openxmlformats.org/officeDocument/2006/relationships" r:blip="">
            <dgm:adjLst/>
          </dgm:shape>
          <dgm:presOf/>
          <dgm:constrLst/>
          <dgm:ruleLst/>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vList6">
  <dgm:title val=""/>
  <dgm:desc val=""/>
  <dgm:catLst>
    <dgm:cat type="process" pri="22000"/>
    <dgm:cat type="list" pri="1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dgm:varLst>
    <dgm:alg type="lin">
      <dgm:param type="linDir" val="fromT"/>
    </dgm:alg>
    <dgm:shape xmlns:r="http://schemas.openxmlformats.org/officeDocument/2006/relationships" r:blip="">
      <dgm:adjLst/>
    </dgm:shape>
    <dgm:presOf/>
    <dgm:constrLst>
      <dgm:constr type="w" for="ch" forName="linNode" refType="w"/>
      <dgm:constr type="h" for="ch" forName="linNode" refType="h"/>
      <dgm:constr type="h" for="ch" forName="spacing" refType="h" refFor="ch" refForName="linNode" fact="0.1"/>
      <dgm:constr type="primFontSz" for="des" forName="parentShp" op="equ" val="65"/>
      <dgm:constr type="primFontSz" for="des" forName="childShp" op="equ" val="65"/>
    </dgm:constrLst>
    <dgm:ruleLst/>
    <dgm:forEach name="Name1" axis="ch" ptType="node">
      <dgm:layoutNode name="linNode">
        <dgm:choose name="Name2">
          <dgm:if name="Name3" func="var" arg="dir" op="equ" val="norm">
            <dgm:alg type="lin">
              <dgm:param type="linDir" val="fromL"/>
            </dgm:alg>
          </dgm:if>
          <dgm:else name="Name4">
            <dgm:alg type="lin">
              <dgm:param type="linDir" val="fromR"/>
            </dgm:alg>
          </dgm:else>
        </dgm:choose>
        <dgm:shape xmlns:r="http://schemas.openxmlformats.org/officeDocument/2006/relationships" r:blip="">
          <dgm:adjLst/>
        </dgm:shape>
        <dgm:presOf/>
        <dgm:choose name="Name5">
          <dgm:if name="Name6" func="var" arg="dir" op="equ" val="norm">
            <dgm:constrLst>
              <dgm:constr type="w" for="ch" forName="parentShp" refType="w" fact="0.4"/>
              <dgm:constr type="h" for="ch" forName="parentShp" refType="h"/>
              <dgm:constr type="w" for="ch" forName="childShp" refType="w" fact="0.6"/>
              <dgm:constr type="h" for="ch" forName="childShp" refType="h" refFor="ch" refForName="parentShp"/>
            </dgm:constrLst>
          </dgm:if>
          <dgm:else name="Name7">
            <dgm:constrLst>
              <dgm:constr type="w" for="ch" forName="parentShp" refType="w" fact="0.4"/>
              <dgm:constr type="h" for="ch" forName="parentShp" refType="h"/>
              <dgm:constr type="w" for="ch" forName="childShp" refType="w" fact="0.6"/>
              <dgm:constr type="h" for="ch" forName="childShp" refType="h" refFor="ch" refForName="parentShp"/>
            </dgm:constrLst>
          </dgm:else>
        </dgm:choose>
        <dgm:ruleLst/>
        <dgm:layoutNode name="parentShp" styleLbl="node1">
          <dgm:varLst>
            <dgm:bulletEnabled val="1"/>
          </dgm:varLst>
          <dgm:alg type="tx"/>
          <dgm:shape xmlns:r="http://schemas.openxmlformats.org/officeDocument/2006/relationships" type="roundRect" r:blip="">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layoutNode name="childShp" styleLbl="bgAccFollowNode1">
          <dgm:varLst>
            <dgm:bulletEnabled val="1"/>
          </dgm:varLst>
          <dgm:alg type="tx">
            <dgm:param type="stBulletLvl" val="1"/>
          </dgm:alg>
          <dgm:choose name="Name8">
            <dgm:if name="Name9" func="var" arg="dir" op="equ" val="norm">
              <dgm:shape xmlns:r="http://schemas.openxmlformats.org/officeDocument/2006/relationships" type="rightArrow" r:blip="" zOrderOff="-2">
                <dgm:adjLst>
                  <dgm:adj idx="1" val="0.75"/>
                </dgm:adjLst>
              </dgm:shape>
            </dgm:if>
            <dgm:else name="Name10">
              <dgm:shape xmlns:r="http://schemas.openxmlformats.org/officeDocument/2006/relationships" rot="180" type="rightArrow" r:blip="" zOrderOff="-2">
                <dgm:adjLst>
                  <dgm:adj idx="1" val="0.75"/>
                </dgm:adjLst>
              </dgm:shape>
            </dgm:else>
          </dgm:choose>
          <dgm:presOf axis="des" ptType="node"/>
          <dgm:constrLst>
            <dgm:constr type="secFontSz" refType="primFontSz"/>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dgm:forEach name="Name11" axis="followSib" ptType="sibTrans" cnt="1">
        <dgm:layoutNode name="spacing">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_rels/drawing5.xml.rels><?xml version="1.0" encoding="UTF-8" standalone="yes"?>
<Relationships xmlns="http://schemas.openxmlformats.org/package/2006/relationships"><Relationship Id="rId3" Type="http://schemas.openxmlformats.org/officeDocument/2006/relationships/diagramQuickStyle" Target="../diagrams/quickStyle3.xml"/><Relationship Id="rId2" Type="http://schemas.openxmlformats.org/officeDocument/2006/relationships/diagramLayout" Target="../diagrams/layout3.xml"/><Relationship Id="rId1" Type="http://schemas.openxmlformats.org/officeDocument/2006/relationships/diagramData" Target="../diagrams/data3.xml"/><Relationship Id="rId5" Type="http://schemas.microsoft.com/office/2007/relationships/diagramDrawing" Target="../diagrams/drawing3.xml"/><Relationship Id="rId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6.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12</xdr:col>
      <xdr:colOff>443707</xdr:colOff>
      <xdr:row>27</xdr:row>
      <xdr:rowOff>89694</xdr:rowOff>
    </xdr:from>
    <xdr:to>
      <xdr:col>16</xdr:col>
      <xdr:colOff>297657</xdr:colOff>
      <xdr:row>30</xdr:row>
      <xdr:rowOff>51594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1883232" y="4985544"/>
          <a:ext cx="282575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rPr>
            <a:t>Operating</a:t>
          </a:r>
          <a:r>
            <a:rPr lang="en-AU" sz="1400" b="1" u="none" baseline="0">
              <a:solidFill>
                <a:srgbClr val="002060"/>
              </a:solidFill>
            </a:rPr>
            <a:t> Income Analysis</a:t>
          </a:r>
          <a:endParaRPr lang="en-AU" sz="1100" b="1" u="sng"/>
        </a:p>
        <a:p>
          <a:pPr rtl="0"/>
          <a:r>
            <a:rPr lang="en-AU" sz="1100" b="0" u="none"/>
            <a:t>Analyst and Interpret the Income Statement </a:t>
          </a:r>
        </a:p>
      </xdr:txBody>
    </xdr:sp>
    <xdr:clientData/>
  </xdr:twoCellAnchor>
  <xdr:twoCellAnchor>
    <xdr:from>
      <xdr:col>8</xdr:col>
      <xdr:colOff>90487</xdr:colOff>
      <xdr:row>56</xdr:row>
      <xdr:rowOff>142874</xdr:rowOff>
    </xdr:from>
    <xdr:to>
      <xdr:col>12</xdr:col>
      <xdr:colOff>0</xdr:colOff>
      <xdr:row>70</xdr:row>
      <xdr:rowOff>59530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339012" y="10687049"/>
          <a:ext cx="4100513" cy="27360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effectLst/>
            </a:rPr>
            <a:t>Profit</a:t>
          </a:r>
          <a:r>
            <a:rPr lang="en-AU" sz="1400" b="1" u="none" baseline="0">
              <a:solidFill>
                <a:srgbClr val="002060"/>
              </a:solidFill>
              <a:effectLst/>
            </a:rPr>
            <a:t> Contribution Analysis</a:t>
          </a:r>
        </a:p>
        <a:p>
          <a:pPr rtl="0"/>
          <a:endParaRPr lang="en-AU">
            <a:effectLst/>
          </a:endParaRPr>
        </a:p>
        <a:p>
          <a:pPr rtl="0"/>
          <a:endParaRPr lang="en-AU">
            <a:effectLst/>
          </a:endParaRPr>
        </a:p>
      </xdr:txBody>
    </xdr:sp>
    <xdr:clientData/>
  </xdr:twoCellAnchor>
  <xdr:twoCellAnchor>
    <xdr:from>
      <xdr:col>11</xdr:col>
      <xdr:colOff>266701</xdr:colOff>
      <xdr:row>77</xdr:row>
      <xdr:rowOff>133351</xdr:rowOff>
    </xdr:from>
    <xdr:to>
      <xdr:col>14</xdr:col>
      <xdr:colOff>297657</xdr:colOff>
      <xdr:row>83</xdr:row>
      <xdr:rowOff>23813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0687051" y="14839951"/>
          <a:ext cx="2536031" cy="111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effectLst/>
            </a:rPr>
            <a:t>Break-Even</a:t>
          </a:r>
          <a:r>
            <a:rPr lang="en-AU" sz="1400" b="1" u="none" baseline="0">
              <a:solidFill>
                <a:srgbClr val="002060"/>
              </a:solidFill>
              <a:effectLst/>
            </a:rPr>
            <a:t> Analysis</a:t>
          </a:r>
        </a:p>
        <a:p>
          <a:pPr rtl="0"/>
          <a:endParaRPr lang="en-AU">
            <a:effectLst/>
          </a:endParaRPr>
        </a:p>
        <a:p>
          <a:pPr rtl="0"/>
          <a:endParaRPr lang="en-AU" baseline="0">
            <a:effectLst/>
          </a:endParaRPr>
        </a:p>
        <a:p>
          <a:pPr rtl="0"/>
          <a:r>
            <a:rPr lang="en-AU" baseline="0">
              <a:effectLst/>
            </a:rPr>
            <a:t>  </a:t>
          </a:r>
          <a:endParaRPr lang="en-AU">
            <a:effectLst/>
          </a:endParaRPr>
        </a:p>
      </xdr:txBody>
    </xdr:sp>
    <xdr:clientData/>
  </xdr:twoCellAnchor>
  <xdr:twoCellAnchor>
    <xdr:from>
      <xdr:col>7</xdr:col>
      <xdr:colOff>323854</xdr:colOff>
      <xdr:row>0</xdr:row>
      <xdr:rowOff>22226</xdr:rowOff>
    </xdr:from>
    <xdr:to>
      <xdr:col>12</xdr:col>
      <xdr:colOff>3973</xdr:colOff>
      <xdr:row>2</xdr:row>
      <xdr:rowOff>230188</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505579" y="22226"/>
          <a:ext cx="4937919" cy="608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Construct  Pivot</a:t>
          </a:r>
          <a:r>
            <a:rPr lang="en-AU" sz="1100" baseline="0"/>
            <a:t> Table here. The Pivot Table should include all the cost and sales.</a:t>
          </a:r>
        </a:p>
        <a:p>
          <a:r>
            <a:rPr lang="en-AU" sz="1100" baseline="0"/>
            <a:t>Use the content of the Pivot Table to construct the Income Statement.</a:t>
          </a:r>
        </a:p>
        <a:p>
          <a:r>
            <a:rPr lang="en-AU" sz="1100" baseline="0"/>
            <a:t>(See demostration video 4) </a:t>
          </a:r>
          <a:endParaRPr lang="en-AU" sz="1100"/>
        </a:p>
      </xdr:txBody>
    </xdr:sp>
    <xdr:clientData/>
  </xdr:twoCellAnchor>
  <xdr:twoCellAnchor>
    <xdr:from>
      <xdr:col>8</xdr:col>
      <xdr:colOff>11906</xdr:colOff>
      <xdr:row>43</xdr:row>
      <xdr:rowOff>23812</xdr:rowOff>
    </xdr:from>
    <xdr:to>
      <xdr:col>9</xdr:col>
      <xdr:colOff>657225</xdr:colOff>
      <xdr:row>50</xdr:row>
      <xdr:rowOff>142874</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7260431" y="8043862"/>
          <a:ext cx="1683544" cy="1443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Copy and paste the Pivot</a:t>
          </a:r>
          <a:r>
            <a:rPr lang="en-AU" sz="1100" baseline="0"/>
            <a:t> Table constructed ealier.</a:t>
          </a:r>
        </a:p>
        <a:p>
          <a:endParaRPr lang="en-AU" sz="1100" baseline="0"/>
        </a:p>
        <a:p>
          <a:r>
            <a:rPr lang="en-AU" sz="1100" baseline="0"/>
            <a:t>Rearrange the items in the Pivot Table to construct the following income statement</a:t>
          </a:r>
          <a:endParaRPr lang="en-AU" sz="1100"/>
        </a:p>
      </xdr:txBody>
    </xdr:sp>
    <xdr:clientData/>
  </xdr:twoCellAnchor>
  <xdr:twoCellAnchor>
    <xdr:from>
      <xdr:col>6</xdr:col>
      <xdr:colOff>285750</xdr:colOff>
      <xdr:row>2</xdr:row>
      <xdr:rowOff>188116</xdr:rowOff>
    </xdr:from>
    <xdr:to>
      <xdr:col>12</xdr:col>
      <xdr:colOff>11906</xdr:colOff>
      <xdr:row>24</xdr:row>
      <xdr:rowOff>130969</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83343</xdr:colOff>
      <xdr:row>70</xdr:row>
      <xdr:rowOff>107156</xdr:rowOff>
    </xdr:from>
    <xdr:to>
      <xdr:col>11</xdr:col>
      <xdr:colOff>964405</xdr:colOff>
      <xdr:row>72</xdr:row>
      <xdr:rowOff>83344</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bwMode="auto">
        <a:xfrm>
          <a:off x="7331868" y="13470731"/>
          <a:ext cx="4052887" cy="376238"/>
        </a:xfrm>
        <a:prstGeom prst="roundRect">
          <a:avLst/>
        </a:prstGeom>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Overflow="clip" horzOverflow="clip" wrap="square" lIns="18288" tIns="0" rIns="0" bIns="0" rtlCol="0" anchor="t" upright="1"/>
        <a:lstStyle/>
        <a:p>
          <a:pPr algn="l"/>
          <a:r>
            <a:rPr lang="en-US" sz="1100"/>
            <a:t>Ask</a:t>
          </a:r>
          <a:r>
            <a:rPr lang="en-US" sz="1100" baseline="0"/>
            <a:t> Teacher the formula: Profit of Brisban / Total profit 4 locations???</a:t>
          </a:r>
          <a:endParaRPr lang="en-US" sz="1100"/>
        </a:p>
      </xdr:txBody>
    </xdr:sp>
    <xdr:clientData/>
  </xdr:twoCellAnchor>
  <xdr:twoCellAnchor>
    <xdr:from>
      <xdr:col>12</xdr:col>
      <xdr:colOff>642938</xdr:colOff>
      <xdr:row>1</xdr:row>
      <xdr:rowOff>190499</xdr:rowOff>
    </xdr:from>
    <xdr:to>
      <xdr:col>16</xdr:col>
      <xdr:colOff>702469</xdr:colOff>
      <xdr:row>6</xdr:row>
      <xdr:rowOff>154781</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bwMode="auto">
        <a:xfrm>
          <a:off x="12082463" y="352424"/>
          <a:ext cx="3031331" cy="1078707"/>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lang="en-US" sz="1100"/>
            <a:t>1. Trend over</a:t>
          </a:r>
          <a:r>
            <a:rPr lang="en-US" sz="1100" baseline="0"/>
            <a:t> 3 years for cost, sales, profit</a:t>
          </a:r>
        </a:p>
        <a:p>
          <a:pPr algn="l"/>
          <a:r>
            <a:rPr lang="en-US" sz="1100" baseline="0"/>
            <a:t>Cost overall, and detail for each cost components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19051</xdr:colOff>
      <xdr:row>1</xdr:row>
      <xdr:rowOff>28575</xdr:rowOff>
    </xdr:from>
    <xdr:to>
      <xdr:col>25</xdr:col>
      <xdr:colOff>152401</xdr:colOff>
      <xdr:row>54</xdr:row>
      <xdr:rowOff>133350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628651" y="190500"/>
          <a:ext cx="14763750" cy="868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dk1"/>
              </a:solidFill>
              <a:effectLst/>
              <a:latin typeface="+mn-lt"/>
              <a:ea typeface="+mn-ea"/>
              <a:cs typeface="+mn-cs"/>
            </a:rPr>
            <a:t>MODELLING PROJECT</a:t>
          </a:r>
          <a:r>
            <a:rPr lang="en-AU" sz="2400">
              <a:effectLst/>
            </a:rPr>
            <a:t> </a:t>
          </a:r>
          <a:r>
            <a:rPr lang="en-US" sz="2400" b="1">
              <a:solidFill>
                <a:schemeClr val="dk1"/>
              </a:solidFill>
              <a:effectLst/>
              <a:latin typeface="+mn-lt"/>
              <a:ea typeface="+mn-ea"/>
              <a:cs typeface="+mn-cs"/>
            </a:rPr>
            <a:t> </a:t>
          </a:r>
          <a:endParaRPr lang="en-AU" sz="2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2000" b="1">
              <a:solidFill>
                <a:srgbClr val="C00000"/>
              </a:solidFill>
              <a:effectLst/>
              <a:latin typeface="+mn-lt"/>
              <a:ea typeface="+mn-ea"/>
              <a:cs typeface="+mn-cs"/>
            </a:rPr>
            <a:t>Omega Pty Ltd</a:t>
          </a:r>
          <a:endParaRPr lang="en-AU" sz="2000">
            <a:solidFill>
              <a:srgbClr val="C00000"/>
            </a:solidFill>
            <a:effectLst/>
            <a:latin typeface="+mn-lt"/>
            <a:ea typeface="+mn-ea"/>
            <a:cs typeface="+mn-cs"/>
          </a:endParaRPr>
        </a:p>
        <a:p>
          <a:r>
            <a:rPr lang="en-US" sz="1100">
              <a:solidFill>
                <a:schemeClr val="dk1"/>
              </a:solidFill>
              <a:effectLst/>
              <a:latin typeface="+mn-lt"/>
              <a:ea typeface="+mn-ea"/>
              <a:cs typeface="+mn-cs"/>
            </a:rPr>
            <a:t> </a:t>
          </a:r>
          <a:endParaRPr lang="en-AU" sz="1100">
            <a:solidFill>
              <a:schemeClr val="dk1"/>
            </a:solidFill>
            <a:effectLst/>
            <a:latin typeface="+mn-lt"/>
            <a:ea typeface="+mn-ea"/>
            <a:cs typeface="+mn-cs"/>
          </a:endParaRPr>
        </a:p>
        <a:p>
          <a:r>
            <a:rPr lang="en-US" sz="1100" b="1">
              <a:solidFill>
                <a:schemeClr val="dk1"/>
              </a:solidFill>
              <a:effectLst/>
              <a:latin typeface="+mn-lt"/>
              <a:ea typeface="+mn-ea"/>
              <a:cs typeface="+mn-cs"/>
            </a:rPr>
            <a:t>1. Introduction </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In this project, students are to demonstrate their understanding of modeling principles, and applying modeling process and using Microsoft EXCEL to build a decision model. Appropriate “what if” analysis will be taken and multi-dimensional pivot tables will be developed to present data both in tabular and graphical format. If necessary, optimization using SOLVER may be performed to further enhanced decision making. </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Together with the decision model, students must also submit a report (word limit: 1200 words not including appendices). Students should of course keep a back-up copy of their decision model.</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The assignment will be due in (dd/mm/yyyy) . </a:t>
          </a:r>
          <a:r>
            <a:rPr lang="en-US" sz="1100" b="1" u="sng">
              <a:solidFill>
                <a:schemeClr val="dk1"/>
              </a:solidFill>
              <a:effectLst/>
              <a:latin typeface="+mn-lt"/>
              <a:ea typeface="+mn-ea"/>
              <a:cs typeface="+mn-cs"/>
            </a:rPr>
            <a:t>This project contributes 30% to the overall subject grade.</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You should of course keep your own back-up copy of the decision model.</a:t>
          </a:r>
          <a:endParaRPr lang="en-AU">
            <a:effectLst/>
          </a:endParaRPr>
        </a:p>
        <a:p>
          <a:r>
            <a:rPr lang="en-US" sz="1100" b="1">
              <a:solidFill>
                <a:schemeClr val="dk1"/>
              </a:solidFill>
              <a:effectLst/>
              <a:latin typeface="+mn-lt"/>
              <a:ea typeface="+mn-ea"/>
              <a:cs typeface="+mn-cs"/>
            </a:rPr>
            <a:t> </a:t>
          </a:r>
          <a:endParaRPr lang="en-AU">
            <a:effectLst/>
          </a:endParaRPr>
        </a:p>
        <a:p>
          <a:r>
            <a:rPr lang="en-US" sz="1100" b="1">
              <a:solidFill>
                <a:schemeClr val="dk1"/>
              </a:solidFill>
              <a:effectLst/>
              <a:latin typeface="+mn-lt"/>
              <a:ea typeface="+mn-ea"/>
              <a:cs typeface="+mn-cs"/>
            </a:rPr>
            <a:t>2. Assessment criteria</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Project component</a:t>
          </a:r>
          <a:endParaRPr lang="en-AU">
            <a:effectLst/>
          </a:endParaRPr>
        </a:p>
        <a:p>
          <a:r>
            <a:rPr lang="en-US" sz="1100">
              <a:solidFill>
                <a:schemeClr val="dk1"/>
              </a:solidFill>
              <a:effectLst/>
              <a:latin typeface="+mn-lt"/>
              <a:ea typeface="+mn-ea"/>
              <a:cs typeface="+mn-cs"/>
            </a:rPr>
            <a:t>Decision model (75%)</a:t>
          </a:r>
          <a:endParaRPr lang="en-AU">
            <a:effectLst/>
          </a:endParaRPr>
        </a:p>
        <a:p>
          <a:r>
            <a:rPr lang="en-US" sz="1100">
              <a:solidFill>
                <a:schemeClr val="dk1"/>
              </a:solidFill>
              <a:effectLst/>
              <a:latin typeface="+mn-lt"/>
              <a:ea typeface="+mn-ea"/>
              <a:cs typeface="+mn-cs"/>
            </a:rPr>
            <a:t>Business Report (25%)</a:t>
          </a:r>
          <a:endParaRPr lang="en-AU">
            <a:effectLst/>
          </a:endParaRPr>
        </a:p>
        <a:p>
          <a:r>
            <a:rPr lang="en-US" sz="1100">
              <a:solidFill>
                <a:schemeClr val="dk1"/>
              </a:solidFill>
              <a:effectLst/>
              <a:latin typeface="+mn-lt"/>
              <a:ea typeface="+mn-ea"/>
              <a:cs typeface="+mn-cs"/>
            </a:rPr>
            <a:t>(see attached feedback sheet for more details)</a:t>
          </a:r>
          <a:endParaRPr lang="en-AU">
            <a:effectLst/>
          </a:endParaRPr>
        </a:p>
        <a:p>
          <a:r>
            <a:rPr lang="en-US" sz="1100">
              <a:solidFill>
                <a:schemeClr val="dk1"/>
              </a:solidFill>
              <a:effectLst/>
              <a:latin typeface="+mn-lt"/>
              <a:ea typeface="+mn-ea"/>
              <a:cs typeface="+mn-cs"/>
            </a:rPr>
            <a:t> </a:t>
          </a:r>
          <a:endParaRPr lang="en-AU">
            <a:effectLst/>
          </a:endParaRPr>
        </a:p>
        <a:p>
          <a:r>
            <a:rPr lang="en-US" sz="1100" b="1">
              <a:solidFill>
                <a:schemeClr val="dk1"/>
              </a:solidFill>
              <a:effectLst/>
              <a:latin typeface="+mn-lt"/>
              <a:ea typeface="+mn-ea"/>
              <a:cs typeface="+mn-cs"/>
            </a:rPr>
            <a:t> </a:t>
          </a:r>
          <a:endParaRPr lang="en-AU">
            <a:effectLst/>
          </a:endParaRPr>
        </a:p>
        <a:p>
          <a:r>
            <a:rPr lang="en-US" sz="1100" b="1">
              <a:solidFill>
                <a:schemeClr val="dk1"/>
              </a:solidFill>
              <a:effectLst/>
              <a:latin typeface="+mn-lt"/>
              <a:ea typeface="+mn-ea"/>
              <a:cs typeface="+mn-cs"/>
            </a:rPr>
            <a:t>3. The business problem</a:t>
          </a:r>
          <a:endParaRPr lang="en-AU">
            <a:effectLst/>
          </a:endParaRPr>
        </a:p>
        <a:p>
          <a:r>
            <a:rPr lang="en-US" sz="1100" b="1">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You have just commenced as a business support analyst in the finance division of Omega Pty Ltd, a Queensland company selling whitegoods and consumer electronics including Washing Machines, Fridges, Computers and Tablets, Microwaves, TVs, </a:t>
          </a:r>
          <a:r>
            <a:rPr lang="en-AU" sz="1100">
              <a:solidFill>
                <a:schemeClr val="dk1"/>
              </a:solidFill>
              <a:effectLst/>
              <a:latin typeface="+mn-lt"/>
              <a:ea typeface="+mn-ea"/>
              <a:cs typeface="+mn-cs"/>
            </a:rPr>
            <a:t>Mobile Phones, Games and Consoles</a:t>
          </a:r>
          <a:r>
            <a:rPr lang="en-US" sz="1100">
              <a:solidFill>
                <a:schemeClr val="dk1"/>
              </a:solidFill>
              <a:effectLst/>
              <a:latin typeface="+mn-lt"/>
              <a:ea typeface="+mn-ea"/>
              <a:cs typeface="+mn-cs"/>
            </a:rPr>
            <a:t>. Sales staff have been trained to sell all items.</a:t>
          </a:r>
          <a:endParaRPr lang="en-AU">
            <a:effectLst/>
          </a:endParaRPr>
        </a:p>
        <a:p>
          <a:r>
            <a:rPr lang="en-US" sz="1100" b="1" i="1">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You have been given a series of spreadsheets (see tables below) and been requested to develop a decision model based on Microsoft Excel for hands on use by Omega's managers who have requested Information on the following topics:</a:t>
          </a:r>
          <a:endParaRPr lang="en-AU">
            <a:effectLst/>
          </a:endParaRPr>
        </a:p>
        <a:p>
          <a:r>
            <a:rPr lang="en-US" sz="1100">
              <a:solidFill>
                <a:schemeClr val="dk1"/>
              </a:solidFill>
              <a:effectLst/>
              <a:latin typeface="+mn-lt"/>
              <a:ea typeface="+mn-ea"/>
              <a:cs typeface="+mn-cs"/>
            </a:rPr>
            <a:t> </a:t>
          </a:r>
          <a:endParaRPr lang="en-AU">
            <a:effectLst/>
          </a:endParaRPr>
        </a:p>
        <a:p>
          <a:r>
            <a:rPr lang="en-US" sz="1100" b="1">
              <a:solidFill>
                <a:schemeClr val="dk1"/>
              </a:solidFill>
              <a:effectLst/>
              <a:latin typeface="+mn-lt"/>
              <a:ea typeface="+mn-ea"/>
              <a:cs typeface="+mn-cs"/>
            </a:rPr>
            <a:t>General Manager</a:t>
          </a:r>
          <a:r>
            <a:rPr lang="en-US" sz="1100">
              <a:solidFill>
                <a:schemeClr val="dk1"/>
              </a:solidFill>
              <a:effectLst/>
              <a:latin typeface="+mn-lt"/>
              <a:ea typeface="+mn-ea"/>
              <a:cs typeface="+mn-cs"/>
            </a:rPr>
            <a:t>: Relevant exception trend reports &amp; graphs, &amp; overall profitability by location &amp; product</a:t>
          </a:r>
          <a:endParaRPr lang="en-AU">
            <a:effectLst/>
          </a:endParaRPr>
        </a:p>
        <a:p>
          <a:r>
            <a:rPr lang="en-US" sz="1100" b="1">
              <a:solidFill>
                <a:schemeClr val="dk1"/>
              </a:solidFill>
              <a:effectLst/>
              <a:latin typeface="+mn-lt"/>
              <a:ea typeface="+mn-ea"/>
              <a:cs typeface="+mn-cs"/>
            </a:rPr>
            <a:t>Finance Manager</a:t>
          </a:r>
          <a:r>
            <a:rPr lang="en-US" sz="1100">
              <a:solidFill>
                <a:schemeClr val="dk1"/>
              </a:solidFill>
              <a:effectLst/>
              <a:latin typeface="+mn-lt"/>
              <a:ea typeface="+mn-ea"/>
              <a:cs typeface="+mn-cs"/>
            </a:rPr>
            <a:t>: Financial performance including ability to forecast next years financial performance for various sales forecasts (eg 10% decrease, 10% &amp; 20% increase)</a:t>
          </a:r>
          <a:endParaRPr lang="en-AU">
            <a:effectLst/>
          </a:endParaRPr>
        </a:p>
        <a:p>
          <a:r>
            <a:rPr lang="en-US" sz="1100" b="1">
              <a:solidFill>
                <a:schemeClr val="dk1"/>
              </a:solidFill>
              <a:effectLst/>
              <a:latin typeface="+mn-lt"/>
              <a:ea typeface="+mn-ea"/>
              <a:cs typeface="+mn-cs"/>
            </a:rPr>
            <a:t>Purchasing/Inventory Manager</a:t>
          </a:r>
          <a:r>
            <a:rPr lang="en-US" sz="1100">
              <a:solidFill>
                <a:schemeClr val="dk1"/>
              </a:solidFill>
              <a:effectLst/>
              <a:latin typeface="+mn-lt"/>
              <a:ea typeface="+mn-ea"/>
              <a:cs typeface="+mn-cs"/>
            </a:rPr>
            <a:t>: Inventory turnover performance.</a:t>
          </a:r>
          <a:endParaRPr lang="en-AU">
            <a:effectLst/>
          </a:endParaRPr>
        </a:p>
        <a:p>
          <a:r>
            <a:rPr lang="en-US" sz="1100" b="1">
              <a:solidFill>
                <a:schemeClr val="dk1"/>
              </a:solidFill>
              <a:effectLst/>
              <a:latin typeface="+mn-lt"/>
              <a:ea typeface="+mn-ea"/>
              <a:cs typeface="+mn-cs"/>
            </a:rPr>
            <a:t>Marketing/Sales Manager</a:t>
          </a:r>
          <a:r>
            <a:rPr lang="en-US" sz="1100">
              <a:solidFill>
                <a:schemeClr val="dk1"/>
              </a:solidFill>
              <a:effectLst/>
              <a:latin typeface="+mn-lt"/>
              <a:ea typeface="+mn-ea"/>
              <a:cs typeface="+mn-cs"/>
            </a:rPr>
            <a:t>: Sales performance compared to plan &amp; trends.</a:t>
          </a:r>
          <a:endParaRPr lang="en-AU">
            <a:effectLst/>
          </a:endParaRPr>
        </a:p>
        <a:p>
          <a:r>
            <a:rPr lang="en-US" sz="1100" b="1">
              <a:solidFill>
                <a:schemeClr val="dk1"/>
              </a:solidFill>
              <a:effectLst/>
              <a:latin typeface="+mn-lt"/>
              <a:ea typeface="+mn-ea"/>
              <a:cs typeface="+mn-cs"/>
            </a:rPr>
            <a:t>Staff/Administration Manager</a:t>
          </a:r>
          <a:r>
            <a:rPr lang="en-US" sz="1100">
              <a:solidFill>
                <a:schemeClr val="dk1"/>
              </a:solidFill>
              <a:effectLst/>
              <a:latin typeface="+mn-lt"/>
              <a:ea typeface="+mn-ea"/>
              <a:cs typeface="+mn-cs"/>
            </a:rPr>
            <a:t>: Staff allocation and performance.</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Omega has sales outlets in Brisbane, Gold Coast, Townsville, and Cairns and </a:t>
          </a:r>
          <a:r>
            <a:rPr lang="en-US" sz="1100" i="1" u="sng">
              <a:solidFill>
                <a:schemeClr val="dk1"/>
              </a:solidFill>
              <a:effectLst/>
              <a:latin typeface="+mn-lt"/>
              <a:ea typeface="+mn-ea"/>
              <a:cs typeface="+mn-cs"/>
            </a:rPr>
            <a:t>is considering opening a new outlet at Maroochydore</a:t>
          </a:r>
          <a:r>
            <a:rPr lang="en-US" sz="1100">
              <a:solidFill>
                <a:schemeClr val="dk1"/>
              </a:solidFill>
              <a:effectLst/>
              <a:latin typeface="+mn-lt"/>
              <a:ea typeface="+mn-ea"/>
              <a:cs typeface="+mn-cs"/>
            </a:rPr>
            <a:t>. The sales volumes and costs from this new outlet are expected to be similar to the Gold Coast, but there is a one-time establishment cost of </a:t>
          </a:r>
          <a:r>
            <a:rPr lang="en-US" sz="1100" u="sng">
              <a:solidFill>
                <a:schemeClr val="dk1"/>
              </a:solidFill>
              <a:effectLst/>
              <a:latin typeface="+mn-lt"/>
              <a:ea typeface="+mn-ea"/>
              <a:cs typeface="+mn-cs"/>
            </a:rPr>
            <a:t>$0.5 million.</a:t>
          </a:r>
          <a:endParaRPr lang="en-AU">
            <a:effectLst/>
          </a:endParaRPr>
        </a:p>
        <a:p>
          <a:r>
            <a:rPr lang="en-US" sz="1100">
              <a:solidFill>
                <a:schemeClr val="dk1"/>
              </a:solidFill>
              <a:effectLst/>
              <a:latin typeface="+mn-lt"/>
              <a:ea typeface="+mn-ea"/>
              <a:cs typeface="+mn-cs"/>
            </a:rPr>
            <a:t> </a:t>
          </a:r>
          <a:endParaRPr lang="en-AU">
            <a:effectLst/>
          </a:endParaRPr>
        </a:p>
        <a:p>
          <a:r>
            <a:rPr lang="en-US" sz="1100">
              <a:solidFill>
                <a:schemeClr val="dk1"/>
              </a:solidFill>
              <a:effectLst/>
              <a:latin typeface="+mn-lt"/>
              <a:ea typeface="+mn-ea"/>
              <a:cs typeface="+mn-cs"/>
            </a:rPr>
            <a:t>The General Manager is uncertain what staffing levels should be set for this new outlet, and has requested advice on whether Omega should open the new store. You have been asked to use your decision modeling skills to obtain information to include in a summary report (1200 words) for the next executive management group meeting in one month time.</a:t>
          </a:r>
          <a:endParaRPr lang="en-AU">
            <a:effectLst/>
          </a:endParaRPr>
        </a:p>
        <a:p>
          <a:endParaRPr lang="en-AU" sz="1100" b="1">
            <a:solidFill>
              <a:schemeClr val="dk1"/>
            </a:solidFill>
            <a:effectLst/>
            <a:latin typeface="+mn-lt"/>
            <a:ea typeface="+mn-ea"/>
            <a:cs typeface="+mn-cs"/>
          </a:endParaRPr>
        </a:p>
        <a:p>
          <a:r>
            <a:rPr lang="en-AU" sz="1400" b="1">
              <a:solidFill>
                <a:sysClr val="windowText" lastClr="000000"/>
              </a:solidFill>
            </a:rPr>
            <a:t>See</a:t>
          </a:r>
          <a:r>
            <a:rPr lang="en-AU" sz="1400" b="1" baseline="0">
              <a:solidFill>
                <a:sysClr val="windowText" lastClr="000000"/>
              </a:solidFill>
            </a:rPr>
            <a:t> </a:t>
          </a:r>
          <a:r>
            <a:rPr lang="en-AU" sz="1400" b="1" baseline="0">
              <a:solidFill>
                <a:schemeClr val="accent5">
                  <a:lumMod val="50000"/>
                </a:schemeClr>
              </a:solidFill>
            </a:rPr>
            <a:t>'Blue Colour</a:t>
          </a:r>
          <a:r>
            <a:rPr lang="en-AU" sz="1400" b="1" baseline="0">
              <a:solidFill>
                <a:sysClr val="windowText" lastClr="000000"/>
              </a:solidFill>
            </a:rPr>
            <a:t>' Tab for inputs and '</a:t>
          </a:r>
          <a:r>
            <a:rPr lang="en-AU" sz="1400" b="1" baseline="0">
              <a:solidFill>
                <a:schemeClr val="accent2">
                  <a:lumMod val="75000"/>
                </a:schemeClr>
              </a:solidFill>
            </a:rPr>
            <a:t>Pink</a:t>
          </a:r>
          <a:r>
            <a:rPr lang="en-AU" sz="1400" b="1" baseline="0">
              <a:solidFill>
                <a:sysClr val="windowText" lastClr="000000"/>
              </a:solidFill>
            </a:rPr>
            <a:t>'Tab for Model</a:t>
          </a:r>
        </a:p>
        <a:p>
          <a:r>
            <a:rPr lang="en-AU" sz="1400" b="1" baseline="0">
              <a:solidFill>
                <a:sysClr val="windowText" lastClr="000000"/>
              </a:solidFill>
            </a:rPr>
            <a:t> Assumptions.</a:t>
          </a:r>
          <a:endParaRPr lang="en-AU" sz="1400" b="1">
            <a:solidFill>
              <a:sysClr val="windowText" lastClr="000000"/>
            </a:solidFill>
          </a:endParaRPr>
        </a:p>
      </xdr:txBody>
    </xdr:sp>
    <xdr:clientData/>
  </xdr:twoCellAnchor>
  <xdr:twoCellAnchor>
    <xdr:from>
      <xdr:col>25</xdr:col>
      <xdr:colOff>272143</xdr:colOff>
      <xdr:row>1</xdr:row>
      <xdr:rowOff>40821</xdr:rowOff>
    </xdr:from>
    <xdr:to>
      <xdr:col>29</xdr:col>
      <xdr:colOff>68036</xdr:colOff>
      <xdr:row>7</xdr:row>
      <xdr:rowOff>149679</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bwMode="auto">
        <a:xfrm>
          <a:off x="15580179" y="204107"/>
          <a:ext cx="2245178" cy="1088572"/>
        </a:xfrm>
        <a:prstGeom prst="round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ctr" upright="1"/>
        <a:lstStyle/>
        <a:p>
          <a:pPr algn="ctr"/>
          <a:r>
            <a:rPr lang="en-US" sz="2800" b="1">
              <a:latin typeface="Arial" panose="020B0604020202020204" pitchFamily="34" charset="0"/>
              <a:cs typeface="Arial" panose="020B0604020202020204" pitchFamily="34" charset="0"/>
            </a:rPr>
            <a:t>Group 28</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590550</xdr:colOff>
      <xdr:row>2</xdr:row>
      <xdr:rowOff>28574</xdr:rowOff>
    </xdr:from>
    <xdr:to>
      <xdr:col>17</xdr:col>
      <xdr:colOff>409575</xdr:colOff>
      <xdr:row>87</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0550" y="419099"/>
          <a:ext cx="10315575" cy="14316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Model Assumptions</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Profitability &amp; Financial Performance</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Total Operating Income (Profit) = Total Revenue – Total Operating Costs</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Total Revenue = Revenue 2012 + Revenue 2013 + Revenue 2014</a:t>
          </a:r>
          <a:endParaRPr lang="en-AU">
            <a:effectLst/>
          </a:endParaRPr>
        </a:p>
        <a:p>
          <a:r>
            <a:rPr lang="en-AU" sz="1100">
              <a:solidFill>
                <a:schemeClr val="dk1"/>
              </a:solidFill>
              <a:effectLst/>
              <a:latin typeface="+mn-lt"/>
              <a:ea typeface="+mn-ea"/>
              <a:cs typeface="+mn-cs"/>
            </a:rPr>
            <a:t>Revenue (2012) = Actual Sales (2012) * AV sales price ($/item)   </a:t>
          </a:r>
          <a:endParaRPr lang="en-AU">
            <a:effectLst/>
          </a:endParaRPr>
        </a:p>
        <a:p>
          <a:r>
            <a:rPr lang="en-AU" sz="1100">
              <a:solidFill>
                <a:schemeClr val="dk1"/>
              </a:solidFill>
              <a:effectLst/>
              <a:latin typeface="+mn-lt"/>
              <a:ea typeface="+mn-ea"/>
              <a:cs typeface="+mn-cs"/>
            </a:rPr>
            <a:t>Revenue (2013) = Actual Sales (2013) * AV sales price ($/item)</a:t>
          </a:r>
          <a:endParaRPr lang="en-AU">
            <a:effectLst/>
          </a:endParaRPr>
        </a:p>
        <a:p>
          <a:r>
            <a:rPr lang="en-AU" sz="1100">
              <a:solidFill>
                <a:schemeClr val="dk1"/>
              </a:solidFill>
              <a:effectLst/>
              <a:latin typeface="+mn-lt"/>
              <a:ea typeface="+mn-ea"/>
              <a:cs typeface="+mn-cs"/>
            </a:rPr>
            <a:t>Revenue (2014) = Actual Sales (2014) * AV sales price ($/item)</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Revenue = Actual Sales * Av Sales price ($/item)</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Total Operating Cost = Operating Costs 2012 + Operating Costs 2013 + Operating Cost 2014</a:t>
          </a:r>
          <a:endParaRPr lang="en-AU">
            <a:effectLst/>
          </a:endParaRPr>
        </a:p>
        <a:p>
          <a:r>
            <a:rPr lang="en-AU" sz="1100">
              <a:solidFill>
                <a:schemeClr val="dk1"/>
              </a:solidFill>
              <a:effectLst/>
              <a:latin typeface="+mn-lt"/>
              <a:ea typeface="+mn-ea"/>
              <a:cs typeface="+mn-cs"/>
            </a:rPr>
            <a:t>Operation Costs  (2012) = Labour Cost (2012) + FAOC (2012) + VUAOC(2012) +   </a:t>
          </a:r>
          <a:endParaRPr lang="en-AU">
            <a:effectLst/>
          </a:endParaRPr>
        </a:p>
        <a:p>
          <a:r>
            <a:rPr lang="en-AU" sz="1100">
              <a:solidFill>
                <a:schemeClr val="dk1"/>
              </a:solidFill>
              <a:effectLst/>
              <a:latin typeface="+mn-lt"/>
              <a:ea typeface="+mn-ea"/>
              <a:cs typeface="+mn-cs"/>
            </a:rPr>
            <a:t>                                                           APC(2012)  +  COGS (2012)</a:t>
          </a:r>
          <a:endParaRPr lang="en-AU">
            <a:effectLst/>
          </a:endParaRPr>
        </a:p>
        <a:p>
          <a:r>
            <a:rPr lang="en-AU" sz="1100">
              <a:solidFill>
                <a:schemeClr val="dk1"/>
              </a:solidFill>
              <a:effectLst/>
              <a:latin typeface="+mn-lt"/>
              <a:ea typeface="+mn-ea"/>
              <a:cs typeface="+mn-cs"/>
            </a:rPr>
            <a:t>Operation Costs  (2013) = Labour Cost (2013) + FAOC (2013) + VUAOC(2013) +   </a:t>
          </a:r>
          <a:endParaRPr lang="en-AU">
            <a:effectLst/>
          </a:endParaRPr>
        </a:p>
        <a:p>
          <a:r>
            <a:rPr lang="en-AU" sz="1100">
              <a:solidFill>
                <a:schemeClr val="dk1"/>
              </a:solidFill>
              <a:effectLst/>
              <a:latin typeface="+mn-lt"/>
              <a:ea typeface="+mn-ea"/>
              <a:cs typeface="+mn-cs"/>
            </a:rPr>
            <a:t>                                                           APC(2013)  +  COGS (2013)</a:t>
          </a:r>
          <a:endParaRPr lang="en-AU">
            <a:effectLst/>
          </a:endParaRPr>
        </a:p>
        <a:p>
          <a:r>
            <a:rPr lang="en-AU" sz="1100">
              <a:solidFill>
                <a:schemeClr val="dk1"/>
              </a:solidFill>
              <a:effectLst/>
              <a:latin typeface="+mn-lt"/>
              <a:ea typeface="+mn-ea"/>
              <a:cs typeface="+mn-cs"/>
            </a:rPr>
            <a:t>Operation Costs  (2014) = Labour Cost (2014) + FAOC (2014) + VUAOC(2014) +   </a:t>
          </a:r>
          <a:endParaRPr lang="en-AU">
            <a:effectLst/>
          </a:endParaRPr>
        </a:p>
        <a:p>
          <a:r>
            <a:rPr lang="en-AU" sz="1100">
              <a:solidFill>
                <a:schemeClr val="dk1"/>
              </a:solidFill>
              <a:effectLst/>
              <a:latin typeface="+mn-lt"/>
              <a:ea typeface="+mn-ea"/>
              <a:cs typeface="+mn-cs"/>
            </a:rPr>
            <a:t>                                                           APC(2014)  +  COGS (2014)</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Labour Cost = Staffing Level * Labour Cost for staff pa/person</a:t>
          </a:r>
          <a:endParaRPr lang="en-AU">
            <a:effectLst/>
          </a:endParaRPr>
        </a:p>
        <a:p>
          <a:r>
            <a:rPr lang="en-AU" sz="1100">
              <a:solidFill>
                <a:schemeClr val="dk1"/>
              </a:solidFill>
              <a:effectLst/>
              <a:latin typeface="+mn-lt"/>
              <a:ea typeface="+mn-ea"/>
              <a:cs typeface="+mn-cs"/>
            </a:rPr>
            <a:t>FAOC  (given)</a:t>
          </a:r>
          <a:endParaRPr lang="en-AU">
            <a:effectLst/>
          </a:endParaRPr>
        </a:p>
        <a:p>
          <a:r>
            <a:rPr lang="en-AU" sz="1100">
              <a:solidFill>
                <a:schemeClr val="dk1"/>
              </a:solidFill>
              <a:effectLst/>
              <a:latin typeface="+mn-lt"/>
              <a:ea typeface="+mn-ea"/>
              <a:cs typeface="+mn-cs"/>
            </a:rPr>
            <a:t>APC (given)</a:t>
          </a:r>
          <a:endParaRPr lang="en-AU">
            <a:effectLst/>
          </a:endParaRPr>
        </a:p>
        <a:p>
          <a:r>
            <a:rPr lang="en-AU" sz="1100">
              <a:solidFill>
                <a:schemeClr val="dk1"/>
              </a:solidFill>
              <a:effectLst/>
              <a:latin typeface="+mn-lt"/>
              <a:ea typeface="+mn-ea"/>
              <a:cs typeface="+mn-cs"/>
            </a:rPr>
            <a:t>COGS = Actual Sales * Av wholesale cost ($/item)</a:t>
          </a:r>
          <a:endParaRPr lang="en-AU">
            <a:effectLst/>
          </a:endParaRPr>
        </a:p>
        <a:p>
          <a:r>
            <a:rPr lang="en-AU" sz="1100">
              <a:solidFill>
                <a:schemeClr val="dk1"/>
              </a:solidFill>
              <a:effectLst/>
              <a:latin typeface="+mn-lt"/>
              <a:ea typeface="+mn-ea"/>
              <a:cs typeface="+mn-cs"/>
            </a:rPr>
            <a:t>VUAOC = VUAOC Cost for Location * Total  Av inventories for Location</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Product Profitability = Revenue – COGS</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Inventory Turnover Performance</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Inventory Turnover = COGS / Average Inventory Costs</a:t>
          </a:r>
          <a:endParaRPr lang="en-AU">
            <a:effectLst/>
          </a:endParaRPr>
        </a:p>
        <a:p>
          <a:r>
            <a:rPr lang="en-AU" sz="1100">
              <a:solidFill>
                <a:schemeClr val="dk1"/>
              </a:solidFill>
              <a:effectLst/>
              <a:latin typeface="+mn-lt"/>
              <a:ea typeface="+mn-ea"/>
              <a:cs typeface="+mn-cs"/>
            </a:rPr>
            <a:t>                                = Actual Sales*Av wholesale cost/Average Inventory*Av wholesale cost</a:t>
          </a:r>
          <a:endParaRPr lang="en-AU">
            <a:effectLst/>
          </a:endParaRPr>
        </a:p>
        <a:p>
          <a:r>
            <a:rPr lang="en-AU" sz="1100">
              <a:solidFill>
                <a:schemeClr val="dk1"/>
              </a:solidFill>
              <a:effectLst/>
              <a:latin typeface="+mn-lt"/>
              <a:ea typeface="+mn-ea"/>
              <a:cs typeface="+mn-cs"/>
            </a:rPr>
            <a:t>                           = Actual Sales / Average Inventory</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Sales Performance</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Sales Performance = (Actual Sales - Sales Target) / Sales Target </a:t>
          </a:r>
          <a:endParaRPr lang="en-AU">
            <a:effectLst/>
          </a:endParaRPr>
        </a:p>
        <a:p>
          <a:r>
            <a:rPr lang="en-AU" sz="1100">
              <a:solidFill>
                <a:schemeClr val="dk1"/>
              </a:solidFill>
              <a:effectLst/>
              <a:latin typeface="+mn-lt"/>
              <a:ea typeface="+mn-ea"/>
              <a:cs typeface="+mn-cs"/>
            </a:rPr>
            <a:t>Revenue Contribution = Average Revenue / Total Average Revenue</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Staff Allocation and Performance</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Staff Allocation Analysis: -: Comparing Staff Composition against Average Revenue</a:t>
          </a:r>
          <a:endParaRPr lang="en-AU">
            <a:effectLst/>
          </a:endParaRPr>
        </a:p>
        <a:p>
          <a:r>
            <a:rPr lang="en-AU" sz="1100">
              <a:solidFill>
                <a:schemeClr val="dk1"/>
              </a:solidFill>
              <a:effectLst/>
              <a:latin typeface="+mn-lt"/>
              <a:ea typeface="+mn-ea"/>
              <a:cs typeface="+mn-cs"/>
            </a:rPr>
            <a:t>                                              Contribution</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Staff Composition = Total staff Level at a Location / Total Staff (All Location)</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Staff Performance = Sales / staff</a:t>
          </a:r>
          <a:endParaRPr lang="en-AU">
            <a:effectLst/>
          </a:endParaRPr>
        </a:p>
        <a:p>
          <a:r>
            <a:rPr lang="en-AU" sz="1100">
              <a:solidFill>
                <a:schemeClr val="dk1"/>
              </a:solidFill>
              <a:effectLst/>
              <a:latin typeface="+mn-lt"/>
              <a:ea typeface="+mn-ea"/>
              <a:cs typeface="+mn-cs"/>
            </a:rPr>
            <a:t>                               = Revenue / no of Sales Staff</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Maroochydore Outlet Analysis</a:t>
          </a:r>
          <a:endParaRPr lang="en-AU">
            <a:effectLst/>
          </a:endParaRPr>
        </a:p>
        <a:p>
          <a:r>
            <a:rPr lang="en-AU" sz="1100" b="1">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Assumptions:</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The sales volumes and cost from the new outlet, Maroochydore are expected to be similar to the Gold Coast.	</a:t>
          </a:r>
          <a:endParaRPr lang="en-AU">
            <a:effectLst/>
          </a:endParaRPr>
        </a:p>
        <a:p>
          <a:r>
            <a:rPr lang="en-AU" sz="1100">
              <a:solidFill>
                <a:schemeClr val="dk1"/>
              </a:solidFill>
              <a:effectLst/>
              <a:latin typeface="+mn-lt"/>
              <a:ea typeface="+mn-ea"/>
              <a:cs typeface="+mn-cs"/>
            </a:rPr>
            <a:t>There is one time establishment cost of $0.5 million </a:t>
          </a:r>
          <a:endParaRPr lang="en-AU">
            <a:effectLst/>
          </a:endParaRPr>
        </a:p>
        <a:p>
          <a:r>
            <a:rPr lang="en-AU" sz="1100">
              <a:solidFill>
                <a:schemeClr val="dk1"/>
              </a:solidFill>
              <a:effectLst/>
              <a:latin typeface="+mn-lt"/>
              <a:ea typeface="+mn-ea"/>
              <a:cs typeface="+mn-cs"/>
            </a:rPr>
            <a:t>The Forecast Income Statement for Maroochydore is similar to the Gold Coast with additional establishment cost of $0.5 million.</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Scenario Analysis</a:t>
          </a:r>
          <a:endParaRPr lang="en-AU">
            <a:effectLst/>
          </a:endParaRPr>
        </a:p>
        <a:p>
          <a:r>
            <a:rPr lang="en-AU" sz="1100">
              <a:solidFill>
                <a:schemeClr val="dk1"/>
              </a:solidFill>
              <a:effectLst/>
              <a:latin typeface="+mn-lt"/>
              <a:ea typeface="+mn-ea"/>
              <a:cs typeface="+mn-cs"/>
            </a:rPr>
            <a:t>Construct forest income statement for Maroochydore and varying sales target (0% growth, 10% decrease, 10% increase and 20% increase) AND</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Create Scenario 1: Setting staff level to 11 staff (1 Manager, 2 Admin Staff, 9 Sale Staff)</a:t>
          </a:r>
          <a:endParaRPr lang="en-AU">
            <a:effectLst/>
          </a:endParaRPr>
        </a:p>
        <a:p>
          <a:r>
            <a:rPr lang="en-AU" sz="1100">
              <a:solidFill>
                <a:schemeClr val="dk1"/>
              </a:solidFill>
              <a:effectLst/>
              <a:latin typeface="+mn-lt"/>
              <a:ea typeface="+mn-ea"/>
              <a:cs typeface="+mn-cs"/>
            </a:rPr>
            <a:t>           Scenario 2: Setting staff level to 6 staff (1 Manager, 1 Admin Staff, 4 Sale Staff) </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(You can use other settings, but the interpretation MUST be based on scenarios of your setting) </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NOTE:</a:t>
          </a:r>
          <a:endParaRPr lang="en-AU">
            <a:effectLst/>
          </a:endParaRPr>
        </a:p>
        <a:p>
          <a:r>
            <a:rPr lang="en-AU" sz="1100" b="1" i="1">
              <a:solidFill>
                <a:schemeClr val="dk1"/>
              </a:solidFill>
              <a:effectLst/>
              <a:latin typeface="+mn-lt"/>
              <a:ea typeface="+mn-ea"/>
              <a:cs typeface="+mn-cs"/>
            </a:rPr>
            <a:t>The power, interpretation and analysis of your results /findings are very must depends on the right types of graphs, charts, tables, what-if-analysis (goal seek, data tables, scenarios), and PIVOT table created.  </a:t>
          </a:r>
          <a:endParaRPr lang="en-AU">
            <a:effectLst/>
          </a:endParaRPr>
        </a:p>
        <a:p>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342900</xdr:colOff>
      <xdr:row>5</xdr:row>
      <xdr:rowOff>123825</xdr:rowOff>
    </xdr:from>
    <xdr:to>
      <xdr:col>19</xdr:col>
      <xdr:colOff>447675</xdr:colOff>
      <xdr:row>28</xdr:row>
      <xdr:rowOff>57150</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892969" y="1183481"/>
          <a:ext cx="10770394" cy="3767138"/>
          <a:chOff x="190500" y="1323974"/>
          <a:chExt cx="12239625" cy="3581400"/>
        </a:xfrm>
      </xdr:grpSpPr>
      <xdr:sp macro="" textlink="">
        <xdr:nvSpPr>
          <xdr:cNvPr id="4" name="Rectangle: Rounded Corners 3">
            <a:extLst>
              <a:ext uri="{FF2B5EF4-FFF2-40B4-BE49-F238E27FC236}">
                <a16:creationId xmlns:a16="http://schemas.microsoft.com/office/drawing/2014/main" id="{00000000-0008-0000-0300-000004000000}"/>
              </a:ext>
            </a:extLst>
          </xdr:cNvPr>
          <xdr:cNvSpPr/>
        </xdr:nvSpPr>
        <xdr:spPr bwMode="auto">
          <a:xfrm>
            <a:off x="4781550" y="1428750"/>
            <a:ext cx="2733675" cy="3371850"/>
          </a:xfrm>
          <a:prstGeom prst="roundRect">
            <a:avLst/>
          </a:prstGeom>
          <a:ln>
            <a:headEnd type="none" w="med" len="med"/>
            <a:tailEnd type="none" w="med" len="med"/>
          </a:ln>
          <a:extLst/>
        </xdr:spPr>
        <xdr:style>
          <a:lnRef idx="0">
            <a:schemeClr val="dk1"/>
          </a:lnRef>
          <a:fillRef idx="3">
            <a:schemeClr val="dk1"/>
          </a:fillRef>
          <a:effectRef idx="3">
            <a:schemeClr val="dk1"/>
          </a:effectRef>
          <a:fontRef idx="minor">
            <a:schemeClr val="lt1"/>
          </a:fontRef>
        </xdr:style>
        <xdr:txBody>
          <a:bodyPr vertOverflow="clip" horzOverflow="clip" wrap="square" lIns="18288" tIns="0" rIns="0" bIns="0" rtlCol="0" anchor="ctr" upright="1"/>
          <a:lstStyle/>
          <a:p>
            <a:pPr algn="ct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rial" panose="020B0604020202020204" pitchFamily="34" charset="0"/>
                <a:cs typeface="Arial" panose="020B0604020202020204" pitchFamily="34" charset="0"/>
              </a:rPr>
              <a:t>Omega</a:t>
            </a: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rial" panose="020B0604020202020204" pitchFamily="34" charset="0"/>
                <a:cs typeface="Arial" panose="020B0604020202020204" pitchFamily="34" charset="0"/>
              </a:rPr>
              <a:t>'s </a:t>
            </a: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rial" panose="020B0604020202020204" pitchFamily="34" charset="0"/>
                <a:cs typeface="Arial" panose="020B0604020202020204" pitchFamily="34" charset="0"/>
              </a:rPr>
              <a:t>Black</a:t>
            </a: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rial" panose="020B0604020202020204" pitchFamily="34" charset="0"/>
                <a:cs typeface="Arial" panose="020B0604020202020204" pitchFamily="34" charset="0"/>
              </a:rPr>
              <a:t>Box</a:t>
            </a:r>
            <a:endPar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Arial" panose="020B0604020202020204" pitchFamily="34" charset="0"/>
              <a:cs typeface="Arial" panose="020B0604020202020204" pitchFamily="34" charset="0"/>
            </a:endParaRPr>
          </a:p>
        </xdr:txBody>
      </xdr:sp>
      <xdr:graphicFrame macro="">
        <xdr:nvGraphicFramePr>
          <xdr:cNvPr id="5" name="Diagram 4">
            <a:extLst>
              <a:ext uri="{FF2B5EF4-FFF2-40B4-BE49-F238E27FC236}">
                <a16:creationId xmlns:a16="http://schemas.microsoft.com/office/drawing/2014/main" id="{00000000-0008-0000-0300-000005000000}"/>
              </a:ext>
            </a:extLst>
          </xdr:cNvPr>
          <xdr:cNvGraphicFramePr/>
        </xdr:nvGraphicFramePr>
        <xdr:xfrm>
          <a:off x="190500" y="1447799"/>
          <a:ext cx="4572000" cy="3457575"/>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graphicFrame macro="">
        <xdr:nvGraphicFramePr>
          <xdr:cNvPr id="8" name="Diagram 7">
            <a:extLst>
              <a:ext uri="{FF2B5EF4-FFF2-40B4-BE49-F238E27FC236}">
                <a16:creationId xmlns:a16="http://schemas.microsoft.com/office/drawing/2014/main" id="{00000000-0008-0000-0300-000008000000}"/>
              </a:ext>
            </a:extLst>
          </xdr:cNvPr>
          <xdr:cNvGraphicFramePr/>
        </xdr:nvGraphicFramePr>
        <xdr:xfrm>
          <a:off x="7534275" y="1323974"/>
          <a:ext cx="4895850" cy="3552825"/>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grpSp>
    <xdr:clientData/>
  </xdr:twoCellAnchor>
  <xdr:twoCellAnchor>
    <xdr:from>
      <xdr:col>16</xdr:col>
      <xdr:colOff>507206</xdr:colOff>
      <xdr:row>1</xdr:row>
      <xdr:rowOff>64293</xdr:rowOff>
    </xdr:from>
    <xdr:to>
      <xdr:col>19</xdr:col>
      <xdr:colOff>409234</xdr:colOff>
      <xdr:row>4</xdr:row>
      <xdr:rowOff>202406</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bwMode="auto">
        <a:xfrm>
          <a:off x="9901237" y="230981"/>
          <a:ext cx="1723685" cy="769144"/>
        </a:xfrm>
        <a:prstGeom prst="round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ctr" upright="1"/>
        <a:lstStyle/>
        <a:p>
          <a:pPr algn="ctr"/>
          <a:r>
            <a:rPr lang="en-US" sz="2800" b="1">
              <a:latin typeface="Arial" panose="020B0604020202020204" pitchFamily="34" charset="0"/>
              <a:cs typeface="Arial" panose="020B0604020202020204" pitchFamily="34" charset="0"/>
            </a:rPr>
            <a:t>Group 28</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317724</xdr:colOff>
      <xdr:row>3</xdr:row>
      <xdr:rowOff>54770</xdr:rowOff>
    </xdr:from>
    <xdr:to>
      <xdr:col>17</xdr:col>
      <xdr:colOff>190500</xdr:colOff>
      <xdr:row>38</xdr:row>
      <xdr:rowOff>83343</xdr:rowOff>
    </xdr:to>
    <xdr:graphicFrame macro="">
      <xdr:nvGraphicFramePr>
        <xdr:cNvPr id="3" name="Diagram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3</xdr:col>
      <xdr:colOff>280988</xdr:colOff>
      <xdr:row>26</xdr:row>
      <xdr:rowOff>7144</xdr:rowOff>
    </xdr:from>
    <xdr:to>
      <xdr:col>4</xdr:col>
      <xdr:colOff>404813</xdr:colOff>
      <xdr:row>30</xdr:row>
      <xdr:rowOff>97632</xdr:rowOff>
    </xdr:to>
    <xdr:cxnSp macro="">
      <xdr:nvCxnSpPr>
        <xdr:cNvPr id="35" name="Straight Arrow Connector 34">
          <a:extLst>
            <a:ext uri="{FF2B5EF4-FFF2-40B4-BE49-F238E27FC236}">
              <a16:creationId xmlns:a16="http://schemas.microsoft.com/office/drawing/2014/main" id="{00000000-0008-0000-0400-000023000000}"/>
            </a:ext>
          </a:extLst>
        </xdr:cNvPr>
        <xdr:cNvCxnSpPr/>
      </xdr:nvCxnSpPr>
      <xdr:spPr bwMode="auto">
        <a:xfrm flipV="1">
          <a:off x="2102644" y="4602957"/>
          <a:ext cx="731044" cy="757238"/>
        </a:xfrm>
        <a:prstGeom prst="straightConnector1">
          <a:avLst/>
        </a:prstGeom>
        <a:ln>
          <a:headEnd type="none" w="med" len="med"/>
          <a:tailEnd type="triangle"/>
        </a:ln>
        <a:ex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19050</xdr:colOff>
      <xdr:row>4</xdr:row>
      <xdr:rowOff>4763</xdr:rowOff>
    </xdr:from>
    <xdr:to>
      <xdr:col>15</xdr:col>
      <xdr:colOff>530679</xdr:colOff>
      <xdr:row>8</xdr:row>
      <xdr:rowOff>107156</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bwMode="auto">
        <a:xfrm>
          <a:off x="7912894" y="933451"/>
          <a:ext cx="1726066" cy="769143"/>
        </a:xfrm>
        <a:prstGeom prst="round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ctr" upright="1"/>
        <a:lstStyle/>
        <a:p>
          <a:pPr algn="ctr"/>
          <a:r>
            <a:rPr lang="en-US" sz="2800" b="1">
              <a:latin typeface="Arial" panose="020B0604020202020204" pitchFamily="34" charset="0"/>
              <a:cs typeface="Arial" panose="020B0604020202020204" pitchFamily="34" charset="0"/>
            </a:rPr>
            <a:t>Group 28</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23</xdr:col>
      <xdr:colOff>113771</xdr:colOff>
      <xdr:row>0</xdr:row>
      <xdr:rowOff>1321</xdr:rowOff>
    </xdr:from>
    <xdr:to>
      <xdr:col>27</xdr:col>
      <xdr:colOff>402166</xdr:colOff>
      <xdr:row>11</xdr:row>
      <xdr:rowOff>10583</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111124</xdr:colOff>
      <xdr:row>11</xdr:row>
      <xdr:rowOff>127000</xdr:rowOff>
    </xdr:from>
    <xdr:to>
      <xdr:col>27</xdr:col>
      <xdr:colOff>391584</xdr:colOff>
      <xdr:row>25</xdr:row>
      <xdr:rowOff>84666</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132290</xdr:colOff>
      <xdr:row>25</xdr:row>
      <xdr:rowOff>157690</xdr:rowOff>
    </xdr:from>
    <xdr:to>
      <xdr:col>27</xdr:col>
      <xdr:colOff>380999</xdr:colOff>
      <xdr:row>38</xdr:row>
      <xdr:rowOff>84666</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261937</xdr:colOff>
      <xdr:row>0</xdr:row>
      <xdr:rowOff>63102</xdr:rowOff>
    </xdr:from>
    <xdr:to>
      <xdr:col>35</xdr:col>
      <xdr:colOff>1309687</xdr:colOff>
      <xdr:row>18</xdr:row>
      <xdr:rowOff>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107156</xdr:colOff>
      <xdr:row>57</xdr:row>
      <xdr:rowOff>95250</xdr:rowOff>
    </xdr:from>
    <xdr:to>
      <xdr:col>8</xdr:col>
      <xdr:colOff>11565</xdr:colOff>
      <xdr:row>60</xdr:row>
      <xdr:rowOff>221455</xdr:rowOff>
    </xdr:to>
    <xdr:sp macro="" textlink="">
      <xdr:nvSpPr>
        <xdr:cNvPr id="2" name="Rectangle: Rounded Corners 1">
          <a:extLst>
            <a:ext uri="{FF2B5EF4-FFF2-40B4-BE49-F238E27FC236}">
              <a16:creationId xmlns:a16="http://schemas.microsoft.com/office/drawing/2014/main" id="{00000000-0008-0000-0600-000002000000}"/>
            </a:ext>
          </a:extLst>
        </xdr:cNvPr>
        <xdr:cNvSpPr/>
      </xdr:nvSpPr>
      <xdr:spPr bwMode="auto">
        <a:xfrm>
          <a:off x="5976937" y="11965781"/>
          <a:ext cx="1726066" cy="769143"/>
        </a:xfrm>
        <a:prstGeom prst="round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ctr" upright="1"/>
        <a:lstStyle/>
        <a:p>
          <a:pPr algn="ctr"/>
          <a:r>
            <a:rPr lang="en-US" sz="2800" b="1">
              <a:latin typeface="Arial" panose="020B0604020202020204" pitchFamily="34" charset="0"/>
              <a:cs typeface="Arial" panose="020B0604020202020204" pitchFamily="34" charset="0"/>
            </a:rPr>
            <a:t>Group 28</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21</xdr:col>
      <xdr:colOff>597013</xdr:colOff>
      <xdr:row>11</xdr:row>
      <xdr:rowOff>6123</xdr:rowOff>
    </xdr:from>
    <xdr:to>
      <xdr:col>27</xdr:col>
      <xdr:colOff>803502</xdr:colOff>
      <xdr:row>29</xdr:row>
      <xdr:rowOff>147979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xdr:colOff>
      <xdr:row>10</xdr:row>
      <xdr:rowOff>164305</xdr:rowOff>
    </xdr:from>
    <xdr:to>
      <xdr:col>34</xdr:col>
      <xdr:colOff>785812</xdr:colOff>
      <xdr:row>30</xdr:row>
      <xdr:rowOff>11905</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23812</xdr:colOff>
      <xdr:row>0</xdr:row>
      <xdr:rowOff>35719</xdr:rowOff>
    </xdr:from>
    <xdr:to>
      <xdr:col>43</xdr:col>
      <xdr:colOff>54428</xdr:colOff>
      <xdr:row>1</xdr:row>
      <xdr:rowOff>59531</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34337625" y="35719"/>
          <a:ext cx="5805147"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Assumption :  Sales Target Performance = (Actual Sales - Sales Target) / Sales Target </a:t>
          </a:r>
          <a:r>
            <a:rPr lang="en-US" sz="1100"/>
            <a:t> </a:t>
          </a:r>
        </a:p>
        <a:p>
          <a:r>
            <a:rPr lang="en-US" sz="1100"/>
            <a:t>                                                                          =</a:t>
          </a:r>
          <a:r>
            <a:rPr lang="en-US" sz="1100" b="1">
              <a:solidFill>
                <a:schemeClr val="accent6">
                  <a:lumMod val="50000"/>
                </a:schemeClr>
              </a:solidFill>
            </a:rPr>
            <a:t> (Actual Sales / Sales Target )- 1</a:t>
          </a:r>
          <a:endParaRPr lang="en-AU" sz="1100" b="1">
            <a:solidFill>
              <a:schemeClr val="accent6">
                <a:lumMod val="50000"/>
              </a:schemeClr>
            </a:solidFill>
          </a:endParaRPr>
        </a:p>
      </xdr:txBody>
    </xdr:sp>
    <xdr:clientData/>
  </xdr:twoCellAnchor>
  <xdr:twoCellAnchor>
    <xdr:from>
      <xdr:col>42</xdr:col>
      <xdr:colOff>571500</xdr:colOff>
      <xdr:row>10</xdr:row>
      <xdr:rowOff>128587</xdr:rowOff>
    </xdr:from>
    <xdr:to>
      <xdr:col>48</xdr:col>
      <xdr:colOff>654844</xdr:colOff>
      <xdr:row>32</xdr:row>
      <xdr:rowOff>83343</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35721</xdr:colOff>
      <xdr:row>44</xdr:row>
      <xdr:rowOff>40480</xdr:rowOff>
    </xdr:from>
    <xdr:to>
      <xdr:col>6</xdr:col>
      <xdr:colOff>452439</xdr:colOff>
      <xdr:row>49</xdr:row>
      <xdr:rowOff>11905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642940" y="8410574"/>
          <a:ext cx="5048249" cy="80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Labour cost demonstrate increasing trend over the 3 years.  Sales Staff cost is</a:t>
          </a:r>
          <a:r>
            <a:rPr lang="en-AU" sz="1100" baseline="0"/>
            <a:t> the largest component up to 75% of the total labour cost.</a:t>
          </a:r>
          <a:endParaRPr lang="en-AU" sz="1100"/>
        </a:p>
      </xdr:txBody>
    </xdr:sp>
    <xdr:clientData/>
  </xdr:twoCellAnchor>
  <xdr:twoCellAnchor>
    <xdr:from>
      <xdr:col>7</xdr:col>
      <xdr:colOff>291700</xdr:colOff>
      <xdr:row>25</xdr:row>
      <xdr:rowOff>57148</xdr:rowOff>
    </xdr:from>
    <xdr:to>
      <xdr:col>17</xdr:col>
      <xdr:colOff>83343</xdr:colOff>
      <xdr:row>55</xdr:row>
      <xdr:rowOff>47625</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10584</xdr:colOff>
      <xdr:row>8</xdr:row>
      <xdr:rowOff>52916</xdr:rowOff>
    </xdr:from>
    <xdr:to>
      <xdr:col>22</xdr:col>
      <xdr:colOff>119062</xdr:colOff>
      <xdr:row>30</xdr:row>
      <xdr:rowOff>71437</xdr:rowOff>
    </xdr:to>
    <xdr:graphicFrame macro="">
      <xdr:nvGraphicFramePr>
        <xdr:cNvPr id="5" name="Chart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601265</xdr:colOff>
      <xdr:row>9</xdr:row>
      <xdr:rowOff>146447</xdr:rowOff>
    </xdr:from>
    <xdr:to>
      <xdr:col>33</xdr:col>
      <xdr:colOff>559594</xdr:colOff>
      <xdr:row>29</xdr:row>
      <xdr:rowOff>119062</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821532</xdr:colOff>
      <xdr:row>9</xdr:row>
      <xdr:rowOff>53181</xdr:rowOff>
    </xdr:from>
    <xdr:to>
      <xdr:col>22</xdr:col>
      <xdr:colOff>575470</xdr:colOff>
      <xdr:row>40</xdr:row>
      <xdr:rowOff>130969</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8</xdr:col>
      <xdr:colOff>23812</xdr:colOff>
      <xdr:row>20</xdr:row>
      <xdr:rowOff>142874</xdr:rowOff>
    </xdr:from>
    <xdr:to>
      <xdr:col>11</xdr:col>
      <xdr:colOff>761998</xdr:colOff>
      <xdr:row>24</xdr:row>
      <xdr:rowOff>190500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12489656" y="2166937"/>
          <a:ext cx="3440905" cy="869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1. Construct a Pivot Table to Analyse the Total Cost   </a:t>
          </a:r>
        </a:p>
        <a:p>
          <a:r>
            <a:rPr lang="en-AU" sz="1100"/>
            <a:t>2.Use the Pivot Table result to plot a</a:t>
          </a:r>
          <a:r>
            <a:rPr lang="en-AU" sz="1100" baseline="0"/>
            <a:t> graph. </a:t>
          </a:r>
        </a:p>
        <a:p>
          <a:r>
            <a:rPr lang="en-AU" sz="1100" baseline="0"/>
            <a:t>3.Interpret the results.</a:t>
          </a:r>
          <a:endParaRPr lang="en-AU" sz="1100"/>
        </a:p>
      </xdr:txBody>
    </xdr:sp>
    <xdr:clientData/>
  </xdr:twoCellAnchor>
  <xdr:twoCellAnchor>
    <xdr:from>
      <xdr:col>14</xdr:col>
      <xdr:colOff>107156</xdr:colOff>
      <xdr:row>2</xdr:row>
      <xdr:rowOff>92867</xdr:rowOff>
    </xdr:from>
    <xdr:to>
      <xdr:col>21</xdr:col>
      <xdr:colOff>35719</xdr:colOff>
      <xdr:row>32</xdr:row>
      <xdr:rowOff>47625</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25</xdr:row>
      <xdr:rowOff>178593</xdr:rowOff>
    </xdr:from>
    <xdr:to>
      <xdr:col>9</xdr:col>
      <xdr:colOff>835819</xdr:colOff>
      <xdr:row>31</xdr:row>
      <xdr:rowOff>154781</xdr:rowOff>
    </xdr:to>
    <xdr:sp macro="" textlink="">
      <xdr:nvSpPr>
        <xdr:cNvPr id="4" name="Rectangle: Rounded Corners 3">
          <a:extLst>
            <a:ext uri="{FF2B5EF4-FFF2-40B4-BE49-F238E27FC236}">
              <a16:creationId xmlns:a16="http://schemas.microsoft.com/office/drawing/2014/main" id="{00000000-0008-0000-0B00-000004000000}"/>
            </a:ext>
          </a:extLst>
        </xdr:cNvPr>
        <xdr:cNvSpPr/>
      </xdr:nvSpPr>
      <xdr:spPr bwMode="auto">
        <a:xfrm>
          <a:off x="5607844" y="5179218"/>
          <a:ext cx="1859756" cy="1285876"/>
        </a:xfrm>
        <a:prstGeom prst="roundRect">
          <a:avLst/>
        </a:prstGeom>
        <a:ln>
          <a:headEnd type="none" w="med" len="med"/>
          <a:tailEnd type="none" w="med" len="med"/>
        </a:ln>
        <a:extLst/>
      </xdr:spPr>
      <xdr:style>
        <a:lnRef idx="2">
          <a:schemeClr val="accent2"/>
        </a:lnRef>
        <a:fillRef idx="1">
          <a:schemeClr val="lt1"/>
        </a:fillRef>
        <a:effectRef idx="0">
          <a:schemeClr val="accent2"/>
        </a:effectRef>
        <a:fontRef idx="minor">
          <a:schemeClr val="dk1"/>
        </a:fontRef>
      </xdr:style>
      <xdr:txBody>
        <a:bodyPr vertOverflow="clip" horzOverflow="clip" wrap="square" lIns="18288" tIns="0" rIns="0" bIns="0" rtlCol="0" anchor="t" upright="1"/>
        <a:lstStyle/>
        <a:p>
          <a:pPr algn="l"/>
          <a:r>
            <a:rPr lang="en-US" sz="1100"/>
            <a:t>All outlets</a:t>
          </a:r>
          <a:r>
            <a:rPr lang="en-US" sz="1100" baseline="0"/>
            <a:t> increase in cost over 3 year except Gold Coast </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23</xdr:col>
      <xdr:colOff>154783</xdr:colOff>
      <xdr:row>9</xdr:row>
      <xdr:rowOff>23813</xdr:rowOff>
    </xdr:from>
    <xdr:to>
      <xdr:col>27</xdr:col>
      <xdr:colOff>321470</xdr:colOff>
      <xdr:row>13</xdr:row>
      <xdr:rowOff>35718</xdr:rowOff>
    </xdr:to>
    <xdr:sp macro="" textlink="">
      <xdr:nvSpPr>
        <xdr:cNvPr id="5" name="TextBox 4">
          <a:extLst>
            <a:ext uri="{FF2B5EF4-FFF2-40B4-BE49-F238E27FC236}">
              <a16:creationId xmlns:a16="http://schemas.microsoft.com/office/drawing/2014/main" id="{00000000-0008-0000-0C00-000005000000}"/>
            </a:ext>
          </a:extLst>
        </xdr:cNvPr>
        <xdr:cNvSpPr txBox="1"/>
      </xdr:nvSpPr>
      <xdr:spPr>
        <a:xfrm>
          <a:off x="21074064" y="1524001"/>
          <a:ext cx="3643312" cy="678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Construct a Pivot Table to Analyse the Sales and Revnue</a:t>
          </a:r>
        </a:p>
        <a:p>
          <a:r>
            <a:rPr lang="en-AU" sz="1100"/>
            <a:t>2.Use the Pivot Table result to plot a</a:t>
          </a:r>
          <a:r>
            <a:rPr lang="en-AU" sz="1100" baseline="0"/>
            <a:t> graph.</a:t>
          </a:r>
        </a:p>
        <a:p>
          <a:r>
            <a:rPr lang="en-AU" sz="1100" baseline="0"/>
            <a:t>3. Interpret the results.</a:t>
          </a:r>
          <a:endParaRPr lang="en-AU" sz="1100"/>
        </a:p>
      </xdr:txBody>
    </xdr:sp>
    <xdr:clientData/>
  </xdr:twoCellAnchor>
  <xdr:twoCellAnchor>
    <xdr:from>
      <xdr:col>15</xdr:col>
      <xdr:colOff>559593</xdr:colOff>
      <xdr:row>8</xdr:row>
      <xdr:rowOff>57149</xdr:rowOff>
    </xdr:from>
    <xdr:to>
      <xdr:col>22</xdr:col>
      <xdr:colOff>547686</xdr:colOff>
      <xdr:row>38</xdr:row>
      <xdr:rowOff>71437</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154783</xdr:colOff>
      <xdr:row>14</xdr:row>
      <xdr:rowOff>11908</xdr:rowOff>
    </xdr:from>
    <xdr:to>
      <xdr:col>26</xdr:col>
      <xdr:colOff>11907</xdr:colOff>
      <xdr:row>17</xdr:row>
      <xdr:rowOff>107157</xdr:rowOff>
    </xdr:to>
    <xdr:sp macro="" textlink="">
      <xdr:nvSpPr>
        <xdr:cNvPr id="3" name="Rectangle: Rounded Corners 2">
          <a:extLst>
            <a:ext uri="{FF2B5EF4-FFF2-40B4-BE49-F238E27FC236}">
              <a16:creationId xmlns:a16="http://schemas.microsoft.com/office/drawing/2014/main" id="{00000000-0008-0000-0C00-000003000000}"/>
            </a:ext>
          </a:extLst>
        </xdr:cNvPr>
        <xdr:cNvSpPr/>
      </xdr:nvSpPr>
      <xdr:spPr bwMode="auto">
        <a:xfrm>
          <a:off x="15561471" y="2440783"/>
          <a:ext cx="2893217" cy="595312"/>
        </a:xfrm>
        <a:prstGeom prst="roundRect">
          <a:avLst/>
        </a:prstGeom>
        <a:ln>
          <a:headEnd type="none" w="med" len="med"/>
          <a:tailEnd type="none" w="med" len="med"/>
        </a:ln>
        <a:extLst/>
      </xdr:spPr>
      <xdr:style>
        <a:lnRef idx="2">
          <a:schemeClr val="accent2"/>
        </a:lnRef>
        <a:fillRef idx="1">
          <a:schemeClr val="lt1"/>
        </a:fillRef>
        <a:effectRef idx="0">
          <a:schemeClr val="accent2"/>
        </a:effectRef>
        <a:fontRef idx="minor">
          <a:schemeClr val="dk1"/>
        </a:fontRef>
      </xdr:style>
      <xdr:txBody>
        <a:bodyPr vertOverflow="clip" horzOverflow="clip" wrap="square" lIns="18288" tIns="0" rIns="0" bIns="0" rtlCol="0" anchor="t" upright="1"/>
        <a:lstStyle/>
        <a:p>
          <a:pPr algn="l"/>
          <a:r>
            <a:rPr lang="en-US" sz="1100"/>
            <a:t>All outlet increase in Sales with</a:t>
          </a:r>
          <a:r>
            <a:rPr lang="en-US" sz="1100" baseline="0"/>
            <a:t> different level, </a:t>
          </a:r>
        </a:p>
        <a:p>
          <a:pPr algn="l"/>
          <a:r>
            <a:rPr lang="en-US" sz="1100" baseline="0"/>
            <a:t>except Gold Coast</a:t>
          </a:r>
        </a:p>
        <a:p>
          <a:pPr algn="l"/>
          <a:endParaRPr lang="en-US" sz="1100" baseline="0"/>
        </a:p>
        <a:p>
          <a:pPr algn="l"/>
          <a:r>
            <a:rPr lang="en-US" sz="1100" baseline="0"/>
            <a:t>I</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277020</xdr:colOff>
      <xdr:row>0</xdr:row>
      <xdr:rowOff>89693</xdr:rowOff>
    </xdr:from>
    <xdr:to>
      <xdr:col>17</xdr:col>
      <xdr:colOff>1142999</xdr:colOff>
      <xdr:row>3</xdr:row>
      <xdr:rowOff>15874</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2873833" y="89693"/>
          <a:ext cx="3485354" cy="688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rPr>
            <a:t>Operating</a:t>
          </a:r>
          <a:r>
            <a:rPr lang="en-AU" sz="1400" b="1" u="none" baseline="0">
              <a:solidFill>
                <a:srgbClr val="002060"/>
              </a:solidFill>
            </a:rPr>
            <a:t> Income Analysis</a:t>
          </a:r>
          <a:endParaRPr lang="en-AU" sz="1100" b="1" u="sng"/>
        </a:p>
        <a:p>
          <a:pPr rtl="0"/>
          <a:r>
            <a:rPr lang="en-AU" sz="1100" b="0" u="none"/>
            <a:t>Analyst and Interpret the Income Statement </a:t>
          </a:r>
        </a:p>
      </xdr:txBody>
    </xdr:sp>
    <xdr:clientData/>
  </xdr:twoCellAnchor>
  <xdr:twoCellAnchor>
    <xdr:from>
      <xdr:col>14</xdr:col>
      <xdr:colOff>280987</xdr:colOff>
      <xdr:row>3</xdr:row>
      <xdr:rowOff>130969</xdr:rowOff>
    </xdr:from>
    <xdr:to>
      <xdr:col>17</xdr:col>
      <xdr:colOff>1142999</xdr:colOff>
      <xdr:row>6</xdr:row>
      <xdr:rowOff>190500</xdr:rowOff>
    </xdr:to>
    <xdr:sp macro="" textlink="">
      <xdr:nvSpPr>
        <xdr:cNvPr id="13" name="TextBox 12">
          <a:extLst>
            <a:ext uri="{FF2B5EF4-FFF2-40B4-BE49-F238E27FC236}">
              <a16:creationId xmlns:a16="http://schemas.microsoft.com/office/drawing/2014/main" id="{00000000-0008-0000-0D00-00000D000000}"/>
            </a:ext>
          </a:extLst>
        </xdr:cNvPr>
        <xdr:cNvSpPr txBox="1"/>
      </xdr:nvSpPr>
      <xdr:spPr>
        <a:xfrm>
          <a:off x="12877800" y="892969"/>
          <a:ext cx="3481387" cy="702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effectLst/>
            </a:rPr>
            <a:t>Profit</a:t>
          </a:r>
          <a:r>
            <a:rPr lang="en-AU" sz="1400" b="1" u="none" baseline="0">
              <a:solidFill>
                <a:srgbClr val="002060"/>
              </a:solidFill>
              <a:effectLst/>
            </a:rPr>
            <a:t> Contribution Analysis</a:t>
          </a:r>
        </a:p>
        <a:p>
          <a:pPr marL="0" marR="0" lvl="0" indent="0" defTabSz="914400" rtl="0" eaLnBrk="1" fontAlgn="auto" latinLnBrk="0" hangingPunct="1">
            <a:lnSpc>
              <a:spcPct val="100000"/>
            </a:lnSpc>
            <a:spcBef>
              <a:spcPts val="0"/>
            </a:spcBef>
            <a:spcAft>
              <a:spcPts val="0"/>
            </a:spcAft>
            <a:buClrTx/>
            <a:buSzTx/>
            <a:buFontTx/>
            <a:buNone/>
            <a:tabLst/>
            <a:defRPr/>
          </a:pPr>
          <a:r>
            <a:rPr lang="en-AU" sz="1100" b="1" baseline="0">
              <a:solidFill>
                <a:schemeClr val="dk1"/>
              </a:solidFill>
              <a:effectLst/>
              <a:latin typeface="+mn-lt"/>
              <a:ea typeface="+mn-ea"/>
              <a:cs typeface="+mn-cs"/>
            </a:rPr>
            <a:t>(Refer to Report)</a:t>
          </a:r>
          <a:endParaRPr lang="en-US" sz="1400">
            <a:effectLst/>
          </a:endParaRPr>
        </a:p>
        <a:p>
          <a:pPr rtl="0"/>
          <a:endParaRPr lang="en-AU" sz="1400" b="1" u="none" baseline="0">
            <a:solidFill>
              <a:srgbClr val="002060"/>
            </a:solidFill>
            <a:effectLst/>
          </a:endParaRPr>
        </a:p>
        <a:p>
          <a:pPr rtl="0"/>
          <a:endParaRPr lang="en-AU">
            <a:effectLst/>
          </a:endParaRPr>
        </a:p>
        <a:p>
          <a:pPr rtl="0"/>
          <a:endParaRPr lang="en-AU">
            <a:effectLst/>
          </a:endParaRPr>
        </a:p>
      </xdr:txBody>
    </xdr:sp>
    <xdr:clientData/>
  </xdr:twoCellAnchor>
  <xdr:twoCellAnchor>
    <xdr:from>
      <xdr:col>14</xdr:col>
      <xdr:colOff>302420</xdr:colOff>
      <xdr:row>7</xdr:row>
      <xdr:rowOff>38101</xdr:rowOff>
    </xdr:from>
    <xdr:to>
      <xdr:col>17</xdr:col>
      <xdr:colOff>1142999</xdr:colOff>
      <xdr:row>11</xdr:row>
      <xdr:rowOff>1</xdr:rowOff>
    </xdr:to>
    <xdr:sp macro="" textlink="">
      <xdr:nvSpPr>
        <xdr:cNvPr id="10" name="TextBox 9">
          <a:extLst>
            <a:ext uri="{FF2B5EF4-FFF2-40B4-BE49-F238E27FC236}">
              <a16:creationId xmlns:a16="http://schemas.microsoft.com/office/drawing/2014/main" id="{00000000-0008-0000-0D00-00000A000000}"/>
            </a:ext>
          </a:extLst>
        </xdr:cNvPr>
        <xdr:cNvSpPr txBox="1"/>
      </xdr:nvSpPr>
      <xdr:spPr>
        <a:xfrm>
          <a:off x="12899233" y="1681164"/>
          <a:ext cx="345995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400" b="1" u="none">
              <a:solidFill>
                <a:srgbClr val="002060"/>
              </a:solidFill>
              <a:effectLst/>
            </a:rPr>
            <a:t>Break-Even</a:t>
          </a:r>
          <a:r>
            <a:rPr lang="en-AU" sz="1400" b="1" u="none" baseline="0">
              <a:solidFill>
                <a:srgbClr val="002060"/>
              </a:solidFill>
              <a:effectLst/>
            </a:rPr>
            <a:t> Analysis</a:t>
          </a:r>
        </a:p>
        <a:p>
          <a:pPr rtl="0" eaLnBrk="1" fontAlgn="auto" latinLnBrk="0" hangingPunct="1"/>
          <a:r>
            <a:rPr lang="en-AU" sz="1100" b="1" baseline="0">
              <a:solidFill>
                <a:schemeClr val="dk1"/>
              </a:solidFill>
              <a:effectLst/>
              <a:latin typeface="+mn-lt"/>
              <a:ea typeface="+mn-ea"/>
              <a:cs typeface="+mn-cs"/>
            </a:rPr>
            <a:t>(Refer to Report)</a:t>
          </a:r>
          <a:endParaRPr lang="en-AU">
            <a:effectLst/>
          </a:endParaRPr>
        </a:p>
        <a:p>
          <a:pPr rtl="0"/>
          <a:endParaRPr lang="en-AU" baseline="0">
            <a:effectLst/>
          </a:endParaRPr>
        </a:p>
        <a:p>
          <a:pPr rtl="0"/>
          <a:r>
            <a:rPr lang="en-AU" baseline="0">
              <a:effectLst/>
            </a:rPr>
            <a:t>  </a:t>
          </a:r>
          <a:endParaRPr lang="en-AU">
            <a:effectLst/>
          </a:endParaRPr>
        </a:p>
      </xdr:txBody>
    </xdr:sp>
    <xdr:clientData/>
  </xdr:twoCellAnchor>
  <xdr:twoCellAnchor>
    <xdr:from>
      <xdr:col>6</xdr:col>
      <xdr:colOff>130967</xdr:colOff>
      <xdr:row>0</xdr:row>
      <xdr:rowOff>59531</xdr:rowOff>
    </xdr:from>
    <xdr:to>
      <xdr:col>14</xdr:col>
      <xdr:colOff>0</xdr:colOff>
      <xdr:row>24</xdr:row>
      <xdr:rowOff>-1</xdr:rowOff>
    </xdr:to>
    <xdr:graphicFrame macro="">
      <xdr:nvGraphicFramePr>
        <xdr:cNvPr id="5" name="Chart 4">
          <a:extLst>
            <a:ext uri="{FF2B5EF4-FFF2-40B4-BE49-F238E27FC236}">
              <a16:creationId xmlns:a16="http://schemas.microsoft.com/office/drawing/2014/main"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1189</xdr:colOff>
      <xdr:row>46</xdr:row>
      <xdr:rowOff>35717</xdr:rowOff>
    </xdr:from>
    <xdr:to>
      <xdr:col>17</xdr:col>
      <xdr:colOff>547688</xdr:colOff>
      <xdr:row>73</xdr:row>
      <xdr:rowOff>11905</xdr:rowOff>
    </xdr:to>
    <xdr:graphicFrame macro="">
      <xdr:nvGraphicFramePr>
        <xdr:cNvPr id="6" name="Chart 5">
          <a:extLst>
            <a:ext uri="{FF2B5EF4-FFF2-40B4-BE49-F238E27FC236}">
              <a16:creationId xmlns:a16="http://schemas.microsoft.com/office/drawing/2014/main" id="{00000000-0008-0000-0D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11905</xdr:colOff>
      <xdr:row>0</xdr:row>
      <xdr:rowOff>47625</xdr:rowOff>
    </xdr:from>
    <xdr:to>
      <xdr:col>5</xdr:col>
      <xdr:colOff>488155</xdr:colOff>
      <xdr:row>5</xdr:row>
      <xdr:rowOff>214312</xdr:rowOff>
    </xdr:to>
    <xdr:sp macro="" textlink="">
      <xdr:nvSpPr>
        <xdr:cNvPr id="7" name="Rectangle: Rounded Corners 6">
          <a:extLst>
            <a:ext uri="{FF2B5EF4-FFF2-40B4-BE49-F238E27FC236}">
              <a16:creationId xmlns:a16="http://schemas.microsoft.com/office/drawing/2014/main" id="{00000000-0008-0000-0D00-000007000000}"/>
            </a:ext>
          </a:extLst>
        </xdr:cNvPr>
        <xdr:cNvSpPr/>
      </xdr:nvSpPr>
      <xdr:spPr bwMode="auto">
        <a:xfrm>
          <a:off x="619124" y="47625"/>
          <a:ext cx="4381500" cy="13335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lang="en-US" sz="1100" b="1" i="0" u="none" strike="noStrike">
              <a:effectLst/>
              <a:latin typeface="+mn-lt"/>
              <a:ea typeface="+mn-ea"/>
              <a:cs typeface="+mn-cs"/>
            </a:rPr>
            <a:t>Assumption :  </a:t>
          </a:r>
        </a:p>
        <a:p>
          <a:pPr algn="l"/>
          <a:r>
            <a:rPr lang="en-US" sz="1100" b="0" i="0" u="none" strike="noStrike">
              <a:effectLst/>
              <a:latin typeface="+mn-lt"/>
              <a:ea typeface="+mn-ea"/>
              <a:cs typeface="+mn-cs"/>
            </a:rPr>
            <a:t>Total Cost = Total Labour Cost + FAOC + VUAOC + APC + COGS</a:t>
          </a:r>
          <a:r>
            <a:rPr lang="en-US"/>
            <a:t> </a:t>
          </a:r>
        </a:p>
        <a:p>
          <a:pPr algn="l"/>
          <a:r>
            <a:rPr lang="en-US" sz="1100" b="0" i="0" u="none" strike="noStrike">
              <a:effectLst/>
              <a:latin typeface="+mn-lt"/>
              <a:ea typeface="+mn-ea"/>
              <a:cs typeface="+mn-cs"/>
            </a:rPr>
            <a:t>Revenue = Actual Sales * Av sales price($/item)</a:t>
          </a:r>
          <a:r>
            <a:rPr lang="en-US" b="0"/>
            <a:t> </a:t>
          </a:r>
        </a:p>
        <a:p>
          <a:pPr algn="l"/>
          <a:r>
            <a:rPr lang="en-US" sz="1100" b="0" i="0" u="none" strike="noStrike">
              <a:effectLst/>
              <a:latin typeface="+mn-lt"/>
              <a:ea typeface="+mn-ea"/>
              <a:cs typeface="+mn-cs"/>
            </a:rPr>
            <a:t>Operation Income (Profit) = Revenue - Total Cost</a:t>
          </a:r>
          <a:r>
            <a:rPr lang="en-US" b="0"/>
            <a:t> </a:t>
          </a:r>
        </a:p>
        <a:p>
          <a:pPr algn="l"/>
          <a:r>
            <a:rPr lang="en-US" sz="1100" b="0" i="0" u="none" strike="noStrike">
              <a:effectLst/>
              <a:latin typeface="+mn-lt"/>
              <a:ea typeface="+mn-ea"/>
              <a:cs typeface="+mn-cs"/>
            </a:rPr>
            <a:t>The 2015 Forecast Income Statement  was forecast using the</a:t>
          </a:r>
          <a:r>
            <a:rPr lang="en-US" b="0"/>
            <a:t> </a:t>
          </a:r>
          <a:r>
            <a:rPr lang="en-US" sz="1100" b="0" i="0" u="none" strike="noStrike">
              <a:effectLst/>
              <a:latin typeface="+mn-lt"/>
              <a:ea typeface="+mn-ea"/>
              <a:cs typeface="+mn-cs"/>
            </a:rPr>
            <a:t>last  3 years figures</a:t>
          </a:r>
          <a:r>
            <a:rPr lang="en-US" sz="1100" b="0" i="0" u="none" strike="noStrike" baseline="0">
              <a:effectLst/>
              <a:latin typeface="+mn-lt"/>
              <a:ea typeface="+mn-ea"/>
              <a:cs typeface="+mn-cs"/>
            </a:rPr>
            <a:t> </a:t>
          </a:r>
          <a:r>
            <a:rPr lang="en-US" sz="1100" b="0" i="0" u="none" strike="noStrike">
              <a:effectLst/>
              <a:latin typeface="+mn-lt"/>
              <a:ea typeface="+mn-ea"/>
              <a:cs typeface="+mn-cs"/>
            </a:rPr>
            <a:t>(using FORECAST function).</a:t>
          </a:r>
          <a:r>
            <a:rPr lang="en-US" b="0"/>
            <a:t> </a:t>
          </a:r>
          <a:endParaRPr lang="en-US" sz="1100" b="0"/>
        </a:p>
      </xdr:txBody>
    </xdr:sp>
    <xdr:clientData/>
  </xdr:twoCellAnchor>
  <xdr:twoCellAnchor>
    <xdr:from>
      <xdr:col>19</xdr:col>
      <xdr:colOff>464341</xdr:colOff>
      <xdr:row>10</xdr:row>
      <xdr:rowOff>140492</xdr:rowOff>
    </xdr:from>
    <xdr:to>
      <xdr:col>25</xdr:col>
      <xdr:colOff>523874</xdr:colOff>
      <xdr:row>28</xdr:row>
      <xdr:rowOff>83342</xdr:rowOff>
    </xdr:to>
    <xdr:graphicFrame macro="">
      <xdr:nvGraphicFramePr>
        <xdr:cNvPr id="8" name="Chart 7">
          <a:extLst>
            <a:ext uri="{FF2B5EF4-FFF2-40B4-BE49-F238E27FC236}">
              <a16:creationId xmlns:a16="http://schemas.microsoft.com/office/drawing/2014/main" id="{00000000-0008-0000-0D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119064</xdr:colOff>
      <xdr:row>10</xdr:row>
      <xdr:rowOff>154783</xdr:rowOff>
    </xdr:from>
    <xdr:to>
      <xdr:col>33</xdr:col>
      <xdr:colOff>321469</xdr:colOff>
      <xdr:row>28</xdr:row>
      <xdr:rowOff>95250</xdr:rowOff>
    </xdr:to>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452437</xdr:colOff>
      <xdr:row>30</xdr:row>
      <xdr:rowOff>0</xdr:rowOff>
    </xdr:from>
    <xdr:to>
      <xdr:col>25</xdr:col>
      <xdr:colOff>595312</xdr:colOff>
      <xdr:row>45</xdr:row>
      <xdr:rowOff>83343</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201385</xdr:colOff>
      <xdr:row>0</xdr:row>
      <xdr:rowOff>130628</xdr:rowOff>
    </xdr:from>
    <xdr:to>
      <xdr:col>13</xdr:col>
      <xdr:colOff>27214</xdr:colOff>
      <xdr:row>3</xdr:row>
      <xdr:rowOff>40821</xdr:rowOff>
    </xdr:to>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9971314" y="130628"/>
          <a:ext cx="3118757" cy="481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u="sng"/>
            <a:t>Sales Target Performance Analysis</a:t>
          </a:r>
        </a:p>
        <a:p>
          <a:endParaRPr lang="en-AU" sz="1100"/>
        </a:p>
        <a:p>
          <a:pPr rtl="0"/>
          <a:endParaRPr lang="en-AU">
            <a:effectLst/>
          </a:endParaRPr>
        </a:p>
      </xdr:txBody>
    </xdr:sp>
    <xdr:clientData/>
  </xdr:twoCellAnchor>
  <xdr:twoCellAnchor>
    <xdr:from>
      <xdr:col>0</xdr:col>
      <xdr:colOff>598715</xdr:colOff>
      <xdr:row>0</xdr:row>
      <xdr:rowOff>32318</xdr:rowOff>
    </xdr:from>
    <xdr:to>
      <xdr:col>6</xdr:col>
      <xdr:colOff>81643</xdr:colOff>
      <xdr:row>2</xdr:row>
      <xdr:rowOff>130969</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598715" y="32318"/>
          <a:ext cx="5805147" cy="503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Assumption :  Sales Target Performance = (Actual Sales - Sales Target) / Sales Target </a:t>
          </a:r>
          <a:r>
            <a:rPr lang="en-US" sz="1100"/>
            <a:t> </a:t>
          </a:r>
        </a:p>
        <a:p>
          <a:r>
            <a:rPr lang="en-US" sz="1100"/>
            <a:t>                                                                          =</a:t>
          </a:r>
          <a:r>
            <a:rPr lang="en-US" sz="1100" b="1">
              <a:solidFill>
                <a:schemeClr val="accent6">
                  <a:lumMod val="50000"/>
                </a:schemeClr>
              </a:solidFill>
            </a:rPr>
            <a:t> (Actual Sales / Sales Target )- 1</a:t>
          </a:r>
          <a:endParaRPr lang="en-AU" sz="1100" b="1">
            <a:solidFill>
              <a:schemeClr val="accent6">
                <a:lumMod val="50000"/>
              </a:schemeClr>
            </a:solidFill>
          </a:endParaRPr>
        </a:p>
      </xdr:txBody>
    </xdr:sp>
    <xdr:clientData/>
  </xdr:twoCellAnchor>
  <xdr:twoCellAnchor>
    <xdr:from>
      <xdr:col>7</xdr:col>
      <xdr:colOff>13606</xdr:colOff>
      <xdr:row>12</xdr:row>
      <xdr:rowOff>0</xdr:rowOff>
    </xdr:from>
    <xdr:to>
      <xdr:col>14</xdr:col>
      <xdr:colOff>881063</xdr:colOff>
      <xdr:row>41</xdr:row>
      <xdr:rowOff>95250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6</xdr:col>
      <xdr:colOff>341540</xdr:colOff>
      <xdr:row>0</xdr:row>
      <xdr:rowOff>11570</xdr:rowOff>
    </xdr:from>
    <xdr:to>
      <xdr:col>12</xdr:col>
      <xdr:colOff>1360</xdr:colOff>
      <xdr:row>1</xdr:row>
      <xdr:rowOff>166688</xdr:rowOff>
    </xdr:to>
    <xdr:sp macro="" textlink="">
      <xdr:nvSpPr>
        <xdr:cNvPr id="5" name="TextBox 4">
          <a:extLst>
            <a:ext uri="{FF2B5EF4-FFF2-40B4-BE49-F238E27FC236}">
              <a16:creationId xmlns:a16="http://schemas.microsoft.com/office/drawing/2014/main" id="{00000000-0008-0000-0F00-000005000000}"/>
            </a:ext>
          </a:extLst>
        </xdr:cNvPr>
        <xdr:cNvSpPr txBox="1"/>
      </xdr:nvSpPr>
      <xdr:spPr>
        <a:xfrm>
          <a:off x="3520509" y="11570"/>
          <a:ext cx="4958101" cy="417056"/>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r>
            <a:rPr lang="en-AU" sz="1100" b="1"/>
            <a:t>Product Profitability Analysis</a:t>
          </a:r>
        </a:p>
        <a:p>
          <a:endParaRPr lang="en-AU" sz="1100"/>
        </a:p>
        <a:p>
          <a:endParaRPr lang="en-AU" sz="1100"/>
        </a:p>
      </xdr:txBody>
    </xdr:sp>
    <xdr:clientData/>
  </xdr:twoCellAnchor>
  <xdr:twoCellAnchor>
    <xdr:from>
      <xdr:col>7</xdr:col>
      <xdr:colOff>13608</xdr:colOff>
      <xdr:row>17</xdr:row>
      <xdr:rowOff>40820</xdr:rowOff>
    </xdr:from>
    <xdr:to>
      <xdr:col>9</xdr:col>
      <xdr:colOff>0</xdr:colOff>
      <xdr:row>20</xdr:row>
      <xdr:rowOff>47623</xdr:rowOff>
    </xdr:to>
    <xdr:sp macro="" textlink="">
      <xdr:nvSpPr>
        <xdr:cNvPr id="4" name="TextBox 3">
          <a:extLst>
            <a:ext uri="{FF2B5EF4-FFF2-40B4-BE49-F238E27FC236}">
              <a16:creationId xmlns:a16="http://schemas.microsoft.com/office/drawing/2014/main" id="{00000000-0008-0000-0F00-000004000000}"/>
            </a:ext>
          </a:extLst>
        </xdr:cNvPr>
        <xdr:cNvSpPr txBox="1"/>
      </xdr:nvSpPr>
      <xdr:spPr>
        <a:xfrm>
          <a:off x="6764452" y="3350758"/>
          <a:ext cx="2689111" cy="6140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Construct  Pivot</a:t>
          </a:r>
          <a:r>
            <a:rPr lang="en-AU" sz="1100" baseline="0"/>
            <a:t> Table here. </a:t>
          </a:r>
        </a:p>
        <a:p>
          <a:r>
            <a:rPr lang="en-AU" sz="1100" baseline="0"/>
            <a:t>Use the Pivot Table to generate graphs and analyst the trend and result.</a:t>
          </a:r>
        </a:p>
      </xdr:txBody>
    </xdr:sp>
    <xdr:clientData/>
  </xdr:twoCellAnchor>
  <xdr:twoCellAnchor>
    <xdr:from>
      <xdr:col>13</xdr:col>
      <xdr:colOff>170090</xdr:colOff>
      <xdr:row>0</xdr:row>
      <xdr:rowOff>60550</xdr:rowOff>
    </xdr:from>
    <xdr:to>
      <xdr:col>23</xdr:col>
      <xdr:colOff>380999</xdr:colOff>
      <xdr:row>32</xdr:row>
      <xdr:rowOff>59531</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20</xdr:row>
      <xdr:rowOff>188121</xdr:rowOff>
    </xdr:from>
    <xdr:to>
      <xdr:col>12</xdr:col>
      <xdr:colOff>583406</xdr:colOff>
      <xdr:row>35</xdr:row>
      <xdr:rowOff>178593</xdr:rowOff>
    </xdr:to>
    <xdr:sp macro="" textlink="">
      <xdr:nvSpPr>
        <xdr:cNvPr id="3" name="Rectangle: Rounded Corners 2">
          <a:extLst>
            <a:ext uri="{FF2B5EF4-FFF2-40B4-BE49-F238E27FC236}">
              <a16:creationId xmlns:a16="http://schemas.microsoft.com/office/drawing/2014/main" id="{00000000-0008-0000-0F00-000003000000}"/>
            </a:ext>
          </a:extLst>
        </xdr:cNvPr>
        <xdr:cNvSpPr/>
      </xdr:nvSpPr>
      <xdr:spPr bwMode="auto">
        <a:xfrm>
          <a:off x="5810250" y="4367215"/>
          <a:ext cx="5536406" cy="2990847"/>
        </a:xfrm>
        <a:prstGeom prst="roundRect">
          <a:avLst/>
        </a:prstGeom>
        <a:ln>
          <a:headEnd type="none" w="med" len="med"/>
          <a:tailEnd type="none" w="med" len="med"/>
        </a:ln>
        <a:extLst/>
      </xdr:spPr>
      <xdr:style>
        <a:lnRef idx="2">
          <a:schemeClr val="accent2"/>
        </a:lnRef>
        <a:fillRef idx="1">
          <a:schemeClr val="lt1"/>
        </a:fillRef>
        <a:effectRef idx="0">
          <a:schemeClr val="accent2"/>
        </a:effectRef>
        <a:fontRef idx="minor">
          <a:schemeClr val="dk1"/>
        </a:fontRef>
      </xdr:style>
      <xdr:txBody>
        <a:bodyPr vertOverflow="clip" horzOverflow="clip" wrap="square" lIns="18288" tIns="0" rIns="0" bIns="0" rtlCol="0" anchor="t" upright="1"/>
        <a:lstStyle/>
        <a:p>
          <a:pPr algn="l"/>
          <a:r>
            <a:rPr lang="en-US" sz="1100" b="1"/>
            <a:t>-</a:t>
          </a:r>
          <a:r>
            <a:rPr lang="en-US" sz="1100" b="1" baseline="0"/>
            <a:t> In terms of Outlets:</a:t>
          </a:r>
          <a:r>
            <a:rPr lang="en-US" sz="1100" baseline="0"/>
            <a:t> Brisban achieve highes profit in all 7 types of products</a:t>
          </a:r>
        </a:p>
        <a:p>
          <a:pPr algn="l"/>
          <a:endParaRPr lang="en-US" sz="1100" baseline="0"/>
        </a:p>
        <a:p>
          <a:pPr algn="l"/>
          <a:r>
            <a:rPr lang="en-US" sz="1100" baseline="0"/>
            <a:t>Cairns has lowest profit for all products except Computer and Tablet as well as TVS.  In those 2 products the lowest profit -&gt; Townsville</a:t>
          </a:r>
        </a:p>
        <a:p>
          <a:pPr algn="l"/>
          <a:endParaRPr lang="en-US" sz="1100" baseline="0"/>
        </a:p>
        <a:p>
          <a:pPr algn="l"/>
          <a:r>
            <a:rPr lang="en-US" sz="1100" b="1" baseline="0"/>
            <a:t>- In terms of each product category:</a:t>
          </a:r>
        </a:p>
        <a:p>
          <a:pPr algn="l"/>
          <a:r>
            <a:rPr lang="en-US" sz="1100" b="0" baseline="0"/>
            <a:t>Mobile Phones generate highest profit for all outlets</a:t>
          </a:r>
        </a:p>
        <a:p>
          <a:pPr algn="l"/>
          <a:endParaRPr lang="en-US" sz="1100" b="0" baseline="0"/>
        </a:p>
        <a:p>
          <a:pPr algn="l"/>
          <a:r>
            <a:rPr lang="en-US" sz="1100" b="0" baseline="0"/>
            <a:t>Lowest:</a:t>
          </a:r>
        </a:p>
        <a:p>
          <a:pPr algn="l"/>
          <a:r>
            <a:rPr lang="en-US" sz="1100" b="0" baseline="0"/>
            <a:t>- Computer &amp; Tablets for Brisbane, Gold Coast, Townsville</a:t>
          </a:r>
        </a:p>
        <a:p>
          <a:pPr algn="l"/>
          <a:r>
            <a:rPr lang="en-US" sz="1100" b="0" baseline="0"/>
            <a:t>- Washing machine for Cairns</a:t>
          </a:r>
        </a:p>
        <a:p>
          <a:pPr algn="l"/>
          <a:endParaRPr lang="en-US" sz="1100" b="0" baseline="0"/>
        </a:p>
        <a:p>
          <a:pPr algn="l"/>
          <a:r>
            <a:rPr lang="en-US" sz="1100" b="1"/>
            <a:t>- In terms of</a:t>
          </a:r>
          <a:r>
            <a:rPr lang="en-US" sz="1100" b="1" baseline="0"/>
            <a:t> time:(2012-2013-2014).....</a:t>
          </a:r>
          <a:r>
            <a:rPr lang="en-US" sz="1100" b="0" baseline="0"/>
            <a:t>......... (filter to see result)</a:t>
          </a:r>
          <a:endParaRPr lang="en-US" sz="1100" b="0"/>
        </a:p>
      </xdr:txBody>
    </xdr:sp>
    <xdr:clientData/>
  </xdr:twoCellAnchor>
  <xdr:twoCellAnchor>
    <xdr:from>
      <xdr:col>24</xdr:col>
      <xdr:colOff>0</xdr:colOff>
      <xdr:row>12</xdr:row>
      <xdr:rowOff>116682</xdr:rowOff>
    </xdr:from>
    <xdr:to>
      <xdr:col>31</xdr:col>
      <xdr:colOff>59530</xdr:colOff>
      <xdr:row>35</xdr:row>
      <xdr:rowOff>190500</xdr:rowOff>
    </xdr:to>
    <xdr:graphicFrame macro="">
      <xdr:nvGraphicFramePr>
        <xdr:cNvPr id="6" name="Chart 5">
          <a:extLst>
            <a:ext uri="{FF2B5EF4-FFF2-40B4-BE49-F238E27FC236}">
              <a16:creationId xmlns:a16="http://schemas.microsoft.com/office/drawing/2014/main" id="{00000000-0008-0000-0F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816429</xdr:colOff>
      <xdr:row>0</xdr:row>
      <xdr:rowOff>58508</xdr:rowOff>
    </xdr:from>
    <xdr:to>
      <xdr:col>6</xdr:col>
      <xdr:colOff>23813</xdr:colOff>
      <xdr:row>4</xdr:row>
      <xdr:rowOff>190500</xdr:rowOff>
    </xdr:to>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5019335" y="58508"/>
          <a:ext cx="1171916" cy="1132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Construct a Pivot Table or graph to analyse the Inventory</a:t>
          </a:r>
          <a:r>
            <a:rPr lang="en-AU" sz="1100" baseline="0"/>
            <a:t> Turnover</a:t>
          </a:r>
        </a:p>
        <a:p>
          <a:endParaRPr lang="en-AU" sz="1100"/>
        </a:p>
      </xdr:txBody>
    </xdr:sp>
    <xdr:clientData/>
  </xdr:twoCellAnchor>
  <xdr:twoCellAnchor>
    <xdr:from>
      <xdr:col>1</xdr:col>
      <xdr:colOff>13607</xdr:colOff>
      <xdr:row>0</xdr:row>
      <xdr:rowOff>31297</xdr:rowOff>
    </xdr:from>
    <xdr:to>
      <xdr:col>4</xdr:col>
      <xdr:colOff>789215</xdr:colOff>
      <xdr:row>4</xdr:row>
      <xdr:rowOff>149680</xdr:rowOff>
    </xdr:to>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244928" y="31297"/>
          <a:ext cx="4844144" cy="1016454"/>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Asummption : </a:t>
          </a:r>
        </a:p>
        <a:p>
          <a:r>
            <a:rPr lang="en-US" sz="1100" b="1" i="0" u="none" strike="noStrike">
              <a:solidFill>
                <a:schemeClr val="dk1"/>
              </a:solidFill>
              <a:effectLst/>
              <a:latin typeface="+mn-lt"/>
              <a:ea typeface="+mn-ea"/>
              <a:cs typeface="+mn-cs"/>
            </a:rPr>
            <a:t>Inventory Turnover   </a:t>
          </a:r>
        </a:p>
        <a:p>
          <a:r>
            <a:rPr lang="en-US" sz="1100" b="1" i="0" u="none" strike="noStrike">
              <a:solidFill>
                <a:schemeClr val="dk1"/>
              </a:solidFill>
              <a:effectLst/>
              <a:latin typeface="+mn-lt"/>
              <a:ea typeface="+mn-ea"/>
              <a:cs typeface="+mn-cs"/>
            </a:rPr>
            <a:t>=  Cost of Good Sold /  Average Inventory Cost</a:t>
          </a:r>
          <a:r>
            <a:rPr lang="en-US"/>
            <a:t> </a:t>
          </a:r>
          <a:r>
            <a:rPr lang="en-US" sz="1100" b="1" i="0" u="none" strike="noStrike">
              <a:solidFill>
                <a:schemeClr val="dk1"/>
              </a:solidFill>
              <a:effectLst/>
              <a:latin typeface="+mn-lt"/>
              <a:ea typeface="+mn-ea"/>
              <a:cs typeface="+mn-cs"/>
            </a:rPr>
            <a:t>                                                            = Actual Sales*Av wholesale cost / Average Inventories* Av wholesale cost</a:t>
          </a:r>
          <a:r>
            <a:rPr lang="en-US"/>
            <a:t> </a:t>
          </a:r>
          <a:r>
            <a:rPr lang="en-US" sz="1100" b="1" i="0" u="none" strike="noStrike">
              <a:solidFill>
                <a:schemeClr val="dk1"/>
              </a:solidFill>
              <a:effectLst/>
              <a:latin typeface="+mn-lt"/>
              <a:ea typeface="+mn-ea"/>
              <a:cs typeface="+mn-cs"/>
            </a:rPr>
            <a:t>          </a:t>
          </a:r>
        </a:p>
        <a:p>
          <a:r>
            <a:rPr lang="en-US" sz="1100" b="1" i="0" u="none" strike="noStrike">
              <a:solidFill>
                <a:schemeClr val="dk1"/>
              </a:solidFill>
              <a:effectLst/>
              <a:latin typeface="+mn-lt"/>
              <a:ea typeface="+mn-ea"/>
              <a:cs typeface="+mn-cs"/>
            </a:rPr>
            <a:t>= Actual Sales / Average Inventories</a:t>
          </a:r>
          <a:r>
            <a:rPr lang="en-US"/>
            <a:t> </a:t>
          </a:r>
        </a:p>
        <a:p>
          <a:endParaRPr lang="en-AU" sz="1100"/>
        </a:p>
      </xdr:txBody>
    </xdr:sp>
    <xdr:clientData/>
  </xdr:twoCellAnchor>
  <xdr:twoCellAnchor>
    <xdr:from>
      <xdr:col>9</xdr:col>
      <xdr:colOff>190499</xdr:colOff>
      <xdr:row>0</xdr:row>
      <xdr:rowOff>17690</xdr:rowOff>
    </xdr:from>
    <xdr:to>
      <xdr:col>13</xdr:col>
      <xdr:colOff>557892</xdr:colOff>
      <xdr:row>3</xdr:row>
      <xdr:rowOff>231321</xdr:rowOff>
    </xdr:to>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7266213" y="17690"/>
          <a:ext cx="3891643" cy="866774"/>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t"/>
        <a:lstStyle/>
        <a:p>
          <a:r>
            <a:rPr lang="en-US" sz="1400" b="1" i="0" u="none" strike="noStrike">
              <a:solidFill>
                <a:schemeClr val="bg1"/>
              </a:solidFill>
              <a:effectLst/>
              <a:latin typeface="+mn-lt"/>
              <a:ea typeface="+mn-ea"/>
              <a:cs typeface="+mn-cs"/>
            </a:rPr>
            <a:t>There are 2 types of report:</a:t>
          </a:r>
        </a:p>
        <a:p>
          <a:r>
            <a:rPr lang="en-US" sz="1400" b="1" i="0" u="none" strike="noStrike">
              <a:solidFill>
                <a:schemeClr val="bg1"/>
              </a:solidFill>
              <a:effectLst/>
              <a:latin typeface="+mn-lt"/>
              <a:ea typeface="+mn-ea"/>
              <a:cs typeface="+mn-cs"/>
            </a:rPr>
            <a:t>1. By Times inverntory turnover </a:t>
          </a:r>
        </a:p>
        <a:p>
          <a:r>
            <a:rPr lang="en-US" sz="1400" b="1" i="0" u="none" strike="noStrike">
              <a:solidFill>
                <a:schemeClr val="bg1"/>
              </a:solidFill>
              <a:effectLst/>
              <a:latin typeface="+mn-lt"/>
              <a:ea typeface="+mn-ea"/>
              <a:cs typeface="+mn-cs"/>
            </a:rPr>
            <a:t>2.</a:t>
          </a:r>
          <a:r>
            <a:rPr lang="en-US" sz="1400" b="1" i="0" u="none" strike="noStrike" baseline="0">
              <a:solidFill>
                <a:schemeClr val="bg1"/>
              </a:solidFill>
              <a:effectLst/>
              <a:latin typeface="+mn-lt"/>
              <a:ea typeface="+mn-ea"/>
              <a:cs typeface="+mn-cs"/>
            </a:rPr>
            <a:t> </a:t>
          </a:r>
          <a:r>
            <a:rPr lang="en-US" sz="1400" b="1" i="0" u="none" strike="noStrike">
              <a:solidFill>
                <a:schemeClr val="bg1"/>
              </a:solidFill>
              <a:effectLst/>
              <a:latin typeface="+mn-lt"/>
              <a:ea typeface="+mn-ea"/>
              <a:cs typeface="+mn-cs"/>
            </a:rPr>
            <a:t>By</a:t>
          </a:r>
          <a:r>
            <a:rPr lang="en-US" sz="1400" b="1" i="0" u="none" strike="noStrike" baseline="0">
              <a:solidFill>
                <a:schemeClr val="bg1"/>
              </a:solidFill>
              <a:effectLst/>
              <a:latin typeface="+mn-lt"/>
              <a:ea typeface="+mn-ea"/>
              <a:cs typeface="+mn-cs"/>
            </a:rPr>
            <a:t> D</a:t>
          </a:r>
          <a:r>
            <a:rPr lang="en-US" sz="1400" b="1" i="0" u="none" strike="noStrike">
              <a:solidFill>
                <a:schemeClr val="bg1"/>
              </a:solidFill>
              <a:effectLst/>
              <a:latin typeface="+mn-lt"/>
              <a:ea typeface="+mn-ea"/>
              <a:cs typeface="+mn-cs"/>
            </a:rPr>
            <a:t>ays inventory in a year</a:t>
          </a:r>
          <a:r>
            <a:rPr lang="en-US" sz="1400">
              <a:solidFill>
                <a:schemeClr val="bg1"/>
              </a:solidFill>
            </a:rPr>
            <a:t> </a:t>
          </a:r>
          <a:endParaRPr lang="en-AU" sz="1400">
            <a:solidFill>
              <a:schemeClr val="bg1"/>
            </a:solidFill>
          </a:endParaRPr>
        </a:p>
      </xdr:txBody>
    </xdr:sp>
    <xdr:clientData/>
  </xdr:twoCellAnchor>
  <xdr:twoCellAnchor>
    <xdr:from>
      <xdr:col>9</xdr:col>
      <xdr:colOff>11906</xdr:colOff>
      <xdr:row>15</xdr:row>
      <xdr:rowOff>95249</xdr:rowOff>
    </xdr:from>
    <xdr:to>
      <xdr:col>14</xdr:col>
      <xdr:colOff>1023938</xdr:colOff>
      <xdr:row>39</xdr:row>
      <xdr:rowOff>139302</xdr:rowOff>
    </xdr:to>
    <xdr:graphicFrame macro="">
      <xdr:nvGraphicFramePr>
        <xdr:cNvPr id="7" name="Chart 6">
          <a:extLst>
            <a:ext uri="{FF2B5EF4-FFF2-40B4-BE49-F238E27FC236}">
              <a16:creationId xmlns:a16="http://schemas.microsoft.com/office/drawing/2014/main" id="{00000000-0008-0000-1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738187</xdr:colOff>
      <xdr:row>0</xdr:row>
      <xdr:rowOff>47625</xdr:rowOff>
    </xdr:from>
    <xdr:to>
      <xdr:col>18</xdr:col>
      <xdr:colOff>202406</xdr:colOff>
      <xdr:row>13</xdr:row>
      <xdr:rowOff>35720</xdr:rowOff>
    </xdr:to>
    <xdr:sp macro="" textlink="">
      <xdr:nvSpPr>
        <xdr:cNvPr id="2" name="Rectangle: Rounded Corners 1">
          <a:extLst>
            <a:ext uri="{FF2B5EF4-FFF2-40B4-BE49-F238E27FC236}">
              <a16:creationId xmlns:a16="http://schemas.microsoft.com/office/drawing/2014/main" id="{00000000-0008-0000-1000-000002000000}"/>
            </a:ext>
          </a:extLst>
        </xdr:cNvPr>
        <xdr:cNvSpPr/>
      </xdr:nvSpPr>
      <xdr:spPr bwMode="auto">
        <a:xfrm>
          <a:off x="10632281" y="47625"/>
          <a:ext cx="3048000" cy="2905126"/>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lang="en-US" sz="1100"/>
            <a:t>- All outlet, Times inventory turnover</a:t>
          </a:r>
          <a:r>
            <a:rPr lang="en-US" sz="1100" baseline="0"/>
            <a:t> decrease over 3 years, except Cairns slightly improved in 2014</a:t>
          </a:r>
        </a:p>
        <a:p>
          <a:pPr algn="l"/>
          <a:endParaRPr lang="en-US" sz="1100" baseline="0"/>
        </a:p>
        <a:p>
          <a:pPr algn="l"/>
          <a:r>
            <a:rPr lang="en-US" sz="1100"/>
            <a:t>- # of days inventory staying in warehouse inverse times turnover of inventory. The</a:t>
          </a:r>
          <a:r>
            <a:rPr lang="en-US" sz="1100" baseline="0"/>
            <a:t> more turnover times (working harder), the less days it spends on ther warehouse</a:t>
          </a:r>
        </a:p>
        <a:p>
          <a:pPr algn="l"/>
          <a:r>
            <a:rPr lang="en-US" sz="1100" baseline="0"/>
            <a:t>Therefore, Cairns is more efficient in converting inventory to cash =&gt; Improve cash cycle. And Gold Coast and Townsvilles are likely to have problem about cashflow in future if they won't find the way to solve it</a:t>
          </a:r>
          <a:endParaRPr lang="en-US" sz="1100"/>
        </a:p>
      </xdr:txBody>
    </xdr:sp>
    <xdr:clientData/>
  </xdr:twoCellAnchor>
  <xdr:twoCellAnchor>
    <xdr:from>
      <xdr:col>24</xdr:col>
      <xdr:colOff>11906</xdr:colOff>
      <xdr:row>15</xdr:row>
      <xdr:rowOff>0</xdr:rowOff>
    </xdr:from>
    <xdr:to>
      <xdr:col>32</xdr:col>
      <xdr:colOff>11905</xdr:colOff>
      <xdr:row>39</xdr:row>
      <xdr:rowOff>35719</xdr:rowOff>
    </xdr:to>
    <xdr:graphicFrame macro="">
      <xdr:nvGraphicFramePr>
        <xdr:cNvPr id="6" name="Chart 5">
          <a:extLst>
            <a:ext uri="{FF2B5EF4-FFF2-40B4-BE49-F238E27FC236}">
              <a16:creationId xmlns:a16="http://schemas.microsoft.com/office/drawing/2014/main" id="{00000000-0008-0000-1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601263</xdr:colOff>
      <xdr:row>57</xdr:row>
      <xdr:rowOff>166686</xdr:rowOff>
    </xdr:from>
    <xdr:to>
      <xdr:col>17</xdr:col>
      <xdr:colOff>0</xdr:colOff>
      <xdr:row>87</xdr:row>
      <xdr:rowOff>59530</xdr:rowOff>
    </xdr:to>
    <xdr:graphicFrame macro="">
      <xdr:nvGraphicFramePr>
        <xdr:cNvPr id="8" name="Chart 7">
          <a:extLst>
            <a:ext uri="{FF2B5EF4-FFF2-40B4-BE49-F238E27FC236}">
              <a16:creationId xmlns:a16="http://schemas.microsoft.com/office/drawing/2014/main" id="{00000000-0008-0000-1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11906</xdr:colOff>
      <xdr:row>57</xdr:row>
      <xdr:rowOff>140494</xdr:rowOff>
    </xdr:from>
    <xdr:to>
      <xdr:col>33</xdr:col>
      <xdr:colOff>595312</xdr:colOff>
      <xdr:row>87</xdr:row>
      <xdr:rowOff>47625</xdr:rowOff>
    </xdr:to>
    <xdr:graphicFrame macro="">
      <xdr:nvGraphicFramePr>
        <xdr:cNvPr id="9" name="Chart 8">
          <a:extLst>
            <a:ext uri="{FF2B5EF4-FFF2-40B4-BE49-F238E27FC236}">
              <a16:creationId xmlns:a16="http://schemas.microsoft.com/office/drawing/2014/main" id="{00000000-0008-0000-1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49326</xdr:colOff>
      <xdr:row>0</xdr:row>
      <xdr:rowOff>31297</xdr:rowOff>
    </xdr:from>
    <xdr:to>
      <xdr:col>31</xdr:col>
      <xdr:colOff>595313</xdr:colOff>
      <xdr:row>3</xdr:row>
      <xdr:rowOff>142874</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14015357" y="31297"/>
          <a:ext cx="5344206" cy="75451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Formula:   </a:t>
          </a:r>
        </a:p>
        <a:p>
          <a:r>
            <a:rPr lang="en-US" sz="1100" b="0" i="0" u="none" strike="noStrike">
              <a:solidFill>
                <a:schemeClr val="dk1"/>
              </a:solidFill>
              <a:effectLst/>
              <a:latin typeface="+mn-lt"/>
              <a:ea typeface="+mn-ea"/>
              <a:cs typeface="+mn-cs"/>
            </a:rPr>
            <a:t>a) Times Inventory Turnover   =  Cost of Good Sold /  Average Inventory Cost</a:t>
          </a:r>
          <a:r>
            <a:rPr lang="en-US" b="0"/>
            <a:t> </a:t>
          </a:r>
        </a:p>
        <a:p>
          <a:r>
            <a:rPr lang="en-US" sz="1100" b="0" i="0" u="none" strike="noStrike">
              <a:solidFill>
                <a:schemeClr val="dk1"/>
              </a:solidFill>
              <a:effectLst/>
              <a:latin typeface="+mn-lt"/>
              <a:ea typeface="+mn-ea"/>
              <a:cs typeface="+mn-cs"/>
            </a:rPr>
            <a:t>b) Days Inventory</a:t>
          </a:r>
          <a:r>
            <a:rPr lang="en-US" sz="1100" b="0" i="0" u="none" strike="noStrike" baseline="0">
              <a:solidFill>
                <a:schemeClr val="dk1"/>
              </a:solidFill>
              <a:effectLst/>
              <a:latin typeface="+mn-lt"/>
              <a:ea typeface="+mn-ea"/>
              <a:cs typeface="+mn-cs"/>
            </a:rPr>
            <a:t> Turnover = 356 / Times Inventory Turnover</a:t>
          </a:r>
          <a:endParaRPr lang="en-US" sz="1100" b="0" i="0" u="none" strike="noStrike">
            <a:solidFill>
              <a:schemeClr val="dk1"/>
            </a:solidFill>
            <a:effectLst/>
            <a:latin typeface="+mn-lt"/>
            <a:ea typeface="+mn-ea"/>
            <a:cs typeface="+mn-cs"/>
          </a:endParaRPr>
        </a:p>
        <a:p>
          <a:endParaRPr lang="en-AU" sz="1100" b="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9525</xdr:colOff>
      <xdr:row>31</xdr:row>
      <xdr:rowOff>9526</xdr:rowOff>
    </xdr:from>
    <xdr:to>
      <xdr:col>18</xdr:col>
      <xdr:colOff>1095375</xdr:colOff>
      <xdr:row>38</xdr:row>
      <xdr:rowOff>76201</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11029950" y="5991226"/>
          <a:ext cx="8696325"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u="sng">
              <a:solidFill>
                <a:srgbClr val="002060"/>
              </a:solidFill>
            </a:rPr>
            <a:t>Profit Sensitivity Analysis</a:t>
          </a:r>
        </a:p>
        <a:p>
          <a:r>
            <a:rPr lang="en-AU" sz="1100" b="1" u="sng">
              <a:solidFill>
                <a:srgbClr val="002060"/>
              </a:solidFill>
            </a:rPr>
            <a:t>Impact of </a:t>
          </a:r>
          <a:r>
            <a:rPr lang="en-AU" sz="1100" b="1" u="sng" baseline="0">
              <a:solidFill>
                <a:srgbClr val="002060"/>
              </a:solidFill>
            </a:rPr>
            <a:t> Total Operating Costs and Revenue</a:t>
          </a:r>
        </a:p>
        <a:p>
          <a:endParaRPr lang="en-AU" sz="1100" b="1" u="sng" baseline="0">
            <a:solidFill>
              <a:srgbClr val="002060"/>
            </a:solidFill>
          </a:endParaRPr>
        </a:p>
        <a:p>
          <a:r>
            <a:rPr lang="en-AU" sz="1100" b="1" u="none">
              <a:solidFill>
                <a:srgbClr val="C00000"/>
              </a:solidFill>
            </a:rPr>
            <a:t>Analyse and intepret the result</a:t>
          </a:r>
        </a:p>
      </xdr:txBody>
    </xdr:sp>
    <xdr:clientData/>
  </xdr:twoCellAnchor>
  <xdr:twoCellAnchor>
    <xdr:from>
      <xdr:col>1</xdr:col>
      <xdr:colOff>3402</xdr:colOff>
      <xdr:row>0</xdr:row>
      <xdr:rowOff>0</xdr:rowOff>
    </xdr:from>
    <xdr:to>
      <xdr:col>6</xdr:col>
      <xdr:colOff>415018</xdr:colOff>
      <xdr:row>2</xdr:row>
      <xdr:rowOff>153080</xdr:rowOff>
    </xdr:to>
    <xdr:sp macro="" textlink="">
      <xdr:nvSpPr>
        <xdr:cNvPr id="4" name="TextBox 3">
          <a:extLst>
            <a:ext uri="{FF2B5EF4-FFF2-40B4-BE49-F238E27FC236}">
              <a16:creationId xmlns:a16="http://schemas.microsoft.com/office/drawing/2014/main" id="{00000000-0008-0000-1200-000004000000}"/>
            </a:ext>
          </a:extLst>
        </xdr:cNvPr>
        <xdr:cNvSpPr txBox="1"/>
      </xdr:nvSpPr>
      <xdr:spPr>
        <a:xfrm>
          <a:off x="610621" y="0"/>
          <a:ext cx="5971835" cy="48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Copy and paste the Pivot</a:t>
          </a:r>
          <a:r>
            <a:rPr lang="en-AU" sz="1100" baseline="0"/>
            <a:t> Table constructed ealier.</a:t>
          </a:r>
        </a:p>
        <a:p>
          <a:r>
            <a:rPr lang="en-AU" sz="1100" baseline="0"/>
            <a:t>2. Rearrange the items in the Pivot Table to construct the following income statement</a:t>
          </a:r>
          <a:endParaRPr lang="en-AU"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0</xdr:colOff>
      <xdr:row>0</xdr:row>
      <xdr:rowOff>1</xdr:rowOff>
    </xdr:from>
    <xdr:to>
      <xdr:col>19</xdr:col>
      <xdr:colOff>1166811</xdr:colOff>
      <xdr:row>6</xdr:row>
      <xdr:rowOff>119401</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1668125" y="1"/>
          <a:ext cx="8762999" cy="7861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rtl="0"/>
          <a:r>
            <a:rPr lang="en-AU" sz="1400" b="1" i="0" u="none" baseline="0">
              <a:solidFill>
                <a:srgbClr val="002060"/>
              </a:solidFill>
              <a:effectLst/>
              <a:latin typeface="+mn-lt"/>
              <a:ea typeface="+mn-ea"/>
              <a:cs typeface="+mn-cs"/>
            </a:rPr>
            <a:t>Maroochydore Establishment Analysis</a:t>
          </a:r>
        </a:p>
        <a:p>
          <a:pPr rtl="0"/>
          <a:r>
            <a:rPr lang="en-AU" sz="1400" b="0" i="0" u="none" baseline="0">
              <a:solidFill>
                <a:srgbClr val="002060"/>
              </a:solidFill>
              <a:effectLst/>
              <a:latin typeface="+mn-lt"/>
              <a:ea typeface="+mn-ea"/>
              <a:cs typeface="+mn-cs"/>
            </a:rPr>
            <a:t>Should go for scenario 2 as break-even point lower. But, need to consider which business model should be selected, learn from other outlet (Cairns, Townvilles). Details please refer to Report for openning a new outlet)</a:t>
          </a:r>
        </a:p>
        <a:p>
          <a:pPr rtl="0"/>
          <a:endParaRPr lang="en-AU" sz="1400" b="0" i="0" baseline="0">
            <a:solidFill>
              <a:schemeClr val="dk1"/>
            </a:solidFill>
            <a:effectLst/>
            <a:latin typeface="+mn-lt"/>
            <a:ea typeface="+mn-ea"/>
            <a:cs typeface="+mn-cs"/>
          </a:endParaRPr>
        </a:p>
        <a:p>
          <a:endParaRPr lang="en-AU" sz="1100"/>
        </a:p>
      </xdr:txBody>
    </xdr:sp>
    <xdr:clientData/>
  </xdr:twoCellAnchor>
  <xdr:twoCellAnchor>
    <xdr:from>
      <xdr:col>2</xdr:col>
      <xdr:colOff>71438</xdr:colOff>
      <xdr:row>0</xdr:row>
      <xdr:rowOff>95251</xdr:rowOff>
    </xdr:from>
    <xdr:to>
      <xdr:col>9</xdr:col>
      <xdr:colOff>535781</xdr:colOff>
      <xdr:row>5</xdr:row>
      <xdr:rowOff>11906</xdr:rowOff>
    </xdr:to>
    <xdr:sp macro="" textlink="">
      <xdr:nvSpPr>
        <xdr:cNvPr id="3" name="Rectangle: Rounded Corners 2">
          <a:extLst>
            <a:ext uri="{FF2B5EF4-FFF2-40B4-BE49-F238E27FC236}">
              <a16:creationId xmlns:a16="http://schemas.microsoft.com/office/drawing/2014/main" id="{00000000-0008-0000-1300-000003000000}"/>
            </a:ext>
          </a:extLst>
        </xdr:cNvPr>
        <xdr:cNvSpPr/>
      </xdr:nvSpPr>
      <xdr:spPr bwMode="auto">
        <a:xfrm>
          <a:off x="2702719" y="95251"/>
          <a:ext cx="7596187" cy="892968"/>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lang="en-US" sz="1100" b="0" i="0" u="none" strike="noStrike">
              <a:effectLst/>
              <a:latin typeface="+mn-lt"/>
              <a:ea typeface="+mn-ea"/>
              <a:cs typeface="+mn-cs"/>
            </a:rPr>
            <a:t>Assumptions :</a:t>
          </a:r>
        </a:p>
        <a:p>
          <a:pPr algn="l"/>
          <a:r>
            <a:rPr lang="en-US" sz="1100" b="0" i="0" u="none" strike="noStrike">
              <a:effectLst/>
              <a:latin typeface="+mn-lt"/>
              <a:ea typeface="+mn-ea"/>
              <a:cs typeface="+mn-cs"/>
            </a:rPr>
            <a:t>1.   The sales volumes and cost from the new outlet, Maroochydore</a:t>
          </a:r>
          <a:r>
            <a:rPr lang="en-US" sz="1100" b="1" i="0" u="none" strike="noStrike">
              <a:effectLst/>
              <a:latin typeface="+mn-lt"/>
              <a:ea typeface="+mn-ea"/>
              <a:cs typeface="+mn-cs"/>
            </a:rPr>
            <a:t> are </a:t>
          </a:r>
          <a:r>
            <a:rPr lang="en-US" sz="1100" b="0" i="0" u="none" strike="noStrike">
              <a:effectLst/>
              <a:latin typeface="+mn-lt"/>
              <a:ea typeface="+mn-ea"/>
              <a:cs typeface="+mn-cs"/>
            </a:rPr>
            <a:t>expected to be similar to the Gold Coast</a:t>
          </a:r>
          <a:r>
            <a:rPr lang="en-US" b="0"/>
            <a:t> </a:t>
          </a:r>
          <a:r>
            <a:rPr lang="en-US" sz="1100" b="0" i="0" u="none" strike="noStrike">
              <a:effectLst/>
              <a:latin typeface="+mn-lt"/>
              <a:ea typeface="+mn-ea"/>
              <a:cs typeface="+mn-cs"/>
            </a:rPr>
            <a:t>                       </a:t>
          </a:r>
        </a:p>
        <a:p>
          <a:pPr algn="l"/>
          <a:r>
            <a:rPr lang="en-US" sz="1100" b="0" i="0" u="none" strike="noStrike">
              <a:effectLst/>
              <a:latin typeface="+mn-lt"/>
              <a:ea typeface="+mn-ea"/>
              <a:cs typeface="+mn-cs"/>
            </a:rPr>
            <a:t>2.  There is one time establishment cost of $0.5 million</a:t>
          </a:r>
        </a:p>
        <a:p>
          <a:pPr algn="l"/>
          <a:r>
            <a:rPr lang="en-US" sz="1100" b="0" i="0" u="none" strike="noStrike">
              <a:effectLst/>
              <a:latin typeface="+mn-lt"/>
              <a:ea typeface="+mn-ea"/>
              <a:cs typeface="+mn-cs"/>
            </a:rPr>
            <a:t>3.  The Forecast Income Statement for Maroochydore is similar to Gold Coast with additional estabishment cost of $0.5 millon</a:t>
          </a:r>
          <a:r>
            <a:rPr lang="en-US" b="0"/>
            <a:t> </a:t>
          </a:r>
          <a:endParaRPr lang="en-US" sz="1100" b="0" i="0" u="none" strike="noStrike">
            <a:effectLst/>
            <a:latin typeface="+mn-lt"/>
            <a:ea typeface="+mn-ea"/>
            <a:cs typeface="+mn-cs"/>
          </a:endParaRPr>
        </a:p>
        <a:p>
          <a:pPr algn="l"/>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638175</xdr:colOff>
      <xdr:row>36</xdr:row>
      <xdr:rowOff>0</xdr:rowOff>
    </xdr:from>
    <xdr:to>
      <xdr:col>9</xdr:col>
      <xdr:colOff>914400</xdr:colOff>
      <xdr:row>42</xdr:row>
      <xdr:rowOff>0</xdr:rowOff>
    </xdr:to>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4867275" y="6477000"/>
          <a:ext cx="5476875"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100" b="1" i="0" u="sng" baseline="0">
              <a:solidFill>
                <a:schemeClr val="dk1"/>
              </a:solidFill>
              <a:effectLst/>
              <a:latin typeface="+mn-lt"/>
              <a:ea typeface="+mn-ea"/>
              <a:cs typeface="+mn-cs"/>
            </a:rPr>
            <a:t>Staff Level and Revenue Analysis</a:t>
          </a:r>
        </a:p>
        <a:p>
          <a:pPr rtl="0"/>
          <a:endParaRPr lang="en-AU" sz="1100" b="0" i="0" baseline="0">
            <a:solidFill>
              <a:schemeClr val="dk1"/>
            </a:solidFill>
            <a:effectLst/>
            <a:latin typeface="+mn-lt"/>
            <a:ea typeface="+mn-ea"/>
            <a:cs typeface="+mn-cs"/>
          </a:endParaRPr>
        </a:p>
        <a:p>
          <a:endParaRPr lang="en-AU" sz="1100"/>
        </a:p>
      </xdr:txBody>
    </xdr:sp>
    <xdr:clientData/>
  </xdr:twoCellAnchor>
  <xdr:twoCellAnchor>
    <xdr:from>
      <xdr:col>15</xdr:col>
      <xdr:colOff>0</xdr:colOff>
      <xdr:row>35</xdr:row>
      <xdr:rowOff>0</xdr:rowOff>
    </xdr:from>
    <xdr:to>
      <xdr:col>19</xdr:col>
      <xdr:colOff>723900</xdr:colOff>
      <xdr:row>39</xdr:row>
      <xdr:rowOff>142875</xdr:rowOff>
    </xdr:to>
    <xdr:sp macro="" textlink="">
      <xdr:nvSpPr>
        <xdr:cNvPr id="12" name="TextBox 11">
          <a:extLst>
            <a:ext uri="{FF2B5EF4-FFF2-40B4-BE49-F238E27FC236}">
              <a16:creationId xmlns:a16="http://schemas.microsoft.com/office/drawing/2014/main" id="{00000000-0008-0000-1500-00000C000000}"/>
            </a:ext>
          </a:extLst>
        </xdr:cNvPr>
        <xdr:cNvSpPr txBox="1"/>
      </xdr:nvSpPr>
      <xdr:spPr>
        <a:xfrm>
          <a:off x="16249650" y="6315075"/>
          <a:ext cx="5476875"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1100" b="1" i="0" u="sng" baseline="0">
              <a:solidFill>
                <a:schemeClr val="dk1"/>
              </a:solidFill>
              <a:effectLst/>
              <a:latin typeface="+mn-lt"/>
              <a:ea typeface="+mn-ea"/>
              <a:cs typeface="+mn-cs"/>
            </a:rPr>
            <a:t>Staff Performance Analysis</a:t>
          </a:r>
        </a:p>
        <a:p>
          <a:pPr rtl="0"/>
          <a:endParaRPr lang="en-AU" sz="1100" b="0" i="0" baseline="0">
            <a:solidFill>
              <a:schemeClr val="dk1"/>
            </a:solidFill>
            <a:effectLst/>
            <a:latin typeface="+mn-lt"/>
            <a:ea typeface="+mn-ea"/>
            <a:cs typeface="+mn-cs"/>
          </a:endParaRPr>
        </a:p>
        <a:p>
          <a:pPr rtl="0"/>
          <a:endParaRPr lang="en-AU">
            <a:effectLst/>
          </a:endParaRPr>
        </a:p>
        <a:p>
          <a:endParaRPr lang="en-AU" sz="1100"/>
        </a:p>
      </xdr:txBody>
    </xdr:sp>
    <xdr:clientData/>
  </xdr:twoCellAnchor>
  <xdr:twoCellAnchor>
    <xdr:from>
      <xdr:col>1</xdr:col>
      <xdr:colOff>180975</xdr:colOff>
      <xdr:row>15</xdr:row>
      <xdr:rowOff>104775</xdr:rowOff>
    </xdr:from>
    <xdr:to>
      <xdr:col>6</xdr:col>
      <xdr:colOff>514350</xdr:colOff>
      <xdr:row>31</xdr:row>
      <xdr:rowOff>104775</xdr:rowOff>
    </xdr:to>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1028700" y="3181350"/>
          <a:ext cx="5972175"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Construct a grpah to show</a:t>
          </a:r>
          <a:r>
            <a:rPr lang="en-AU" sz="1100" baseline="0"/>
            <a:t> Staff Composition</a:t>
          </a:r>
          <a:endParaRPr lang="en-AU" sz="1100"/>
        </a:p>
      </xdr:txBody>
    </xdr:sp>
    <xdr:clientData/>
  </xdr:twoCellAnchor>
  <xdr:twoCellAnchor>
    <xdr:from>
      <xdr:col>8</xdr:col>
      <xdr:colOff>0</xdr:colOff>
      <xdr:row>16</xdr:row>
      <xdr:rowOff>0</xdr:rowOff>
    </xdr:from>
    <xdr:to>
      <xdr:col>13</xdr:col>
      <xdr:colOff>600075</xdr:colOff>
      <xdr:row>32</xdr:row>
      <xdr:rowOff>0</xdr:rowOff>
    </xdr:to>
    <xdr:sp macro="" textlink="">
      <xdr:nvSpPr>
        <xdr:cNvPr id="8" name="TextBox 7">
          <a:extLst>
            <a:ext uri="{FF2B5EF4-FFF2-40B4-BE49-F238E27FC236}">
              <a16:creationId xmlns:a16="http://schemas.microsoft.com/office/drawing/2014/main" id="{00000000-0008-0000-1500-000008000000}"/>
            </a:ext>
          </a:extLst>
        </xdr:cNvPr>
        <xdr:cNvSpPr txBox="1"/>
      </xdr:nvSpPr>
      <xdr:spPr>
        <a:xfrm>
          <a:off x="8448675" y="3238500"/>
          <a:ext cx="5972175"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Construct a grpah to show</a:t>
          </a:r>
          <a:r>
            <a:rPr lang="en-AU" sz="1100" baseline="0"/>
            <a:t> Revenue Contrubution</a:t>
          </a:r>
          <a:endParaRPr lang="en-AU" sz="1100"/>
        </a:p>
      </xdr:txBody>
    </xdr:sp>
    <xdr:clientData/>
  </xdr:twoCellAnchor>
  <xdr:twoCellAnchor>
    <xdr:from>
      <xdr:col>15</xdr:col>
      <xdr:colOff>0</xdr:colOff>
      <xdr:row>15</xdr:row>
      <xdr:rowOff>0</xdr:rowOff>
    </xdr:from>
    <xdr:to>
      <xdr:col>20</xdr:col>
      <xdr:colOff>247650</xdr:colOff>
      <xdr:row>31</xdr:row>
      <xdr:rowOff>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6249650" y="3076575"/>
          <a:ext cx="5972175"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Construct a grpah to show</a:t>
          </a:r>
          <a:r>
            <a:rPr lang="en-AU" sz="1100" baseline="0"/>
            <a:t> Staff Performance</a:t>
          </a:r>
          <a:endParaRPr lang="en-AU" sz="1100"/>
        </a:p>
      </xdr:txBody>
    </xdr:sp>
    <xdr:clientData/>
  </xdr:twoCellAnchor>
  <xdr:twoCellAnchor>
    <xdr:from>
      <xdr:col>21</xdr:col>
      <xdr:colOff>583406</xdr:colOff>
      <xdr:row>9</xdr:row>
      <xdr:rowOff>200025</xdr:rowOff>
    </xdr:from>
    <xdr:to>
      <xdr:col>28</xdr:col>
      <xdr:colOff>-1</xdr:colOff>
      <xdr:row>31</xdr:row>
      <xdr:rowOff>104774</xdr:rowOff>
    </xdr:to>
    <xdr:graphicFrame macro="">
      <xdr:nvGraphicFramePr>
        <xdr:cNvPr id="4" name="Chart 3">
          <a:extLst>
            <a:ext uri="{FF2B5EF4-FFF2-40B4-BE49-F238E27FC236}">
              <a16:creationId xmlns:a16="http://schemas.microsoft.com/office/drawing/2014/main" id="{00000000-0008-0000-1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0</xdr:row>
      <xdr:rowOff>0</xdr:rowOff>
    </xdr:from>
    <xdr:to>
      <xdr:col>6</xdr:col>
      <xdr:colOff>1</xdr:colOff>
      <xdr:row>5</xdr:row>
      <xdr:rowOff>83343</xdr:rowOff>
    </xdr:to>
    <xdr:sp macro="" textlink="">
      <xdr:nvSpPr>
        <xdr:cNvPr id="5" name="Rectangle: Rounded Corners 4">
          <a:extLst>
            <a:ext uri="{FF2B5EF4-FFF2-40B4-BE49-F238E27FC236}">
              <a16:creationId xmlns:a16="http://schemas.microsoft.com/office/drawing/2014/main" id="{00000000-0008-0000-1500-000005000000}"/>
            </a:ext>
          </a:extLst>
        </xdr:cNvPr>
        <xdr:cNvSpPr/>
      </xdr:nvSpPr>
      <xdr:spPr bwMode="auto">
        <a:xfrm>
          <a:off x="845345" y="0"/>
          <a:ext cx="5631656" cy="1166812"/>
        </a:xfrm>
        <a:prstGeom prst="roundRect">
          <a:avLst/>
        </a:prstGeom>
        <a:ln>
          <a:headEnd type="none" w="med" len="med"/>
          <a:tailEnd type="none" w="med" len="med"/>
        </a:ln>
        <a:extLst/>
      </xdr:spPr>
      <xdr:style>
        <a:lnRef idx="1">
          <a:schemeClr val="accent1"/>
        </a:lnRef>
        <a:fillRef idx="2">
          <a:schemeClr val="accent1"/>
        </a:fillRef>
        <a:effectRef idx="1">
          <a:schemeClr val="accent1"/>
        </a:effectRef>
        <a:fontRef idx="minor">
          <a:schemeClr val="dk1"/>
        </a:fontRef>
      </xdr:style>
      <xdr:txBody>
        <a:bodyPr vertOverflow="clip" horzOverflow="clip" wrap="square" lIns="18288" tIns="0" rIns="0" bIns="0" rtlCol="0" anchor="t" upright="1"/>
        <a:lstStyle/>
        <a:p>
          <a:pPr algn="l"/>
          <a:r>
            <a:rPr lang="en-US" sz="1100" b="1" i="0" u="none" strike="noStrike">
              <a:effectLst/>
              <a:latin typeface="+mn-lt"/>
              <a:ea typeface="+mn-ea"/>
              <a:cs typeface="+mn-cs"/>
            </a:rPr>
            <a:t>Assumption :  </a:t>
          </a:r>
        </a:p>
        <a:p>
          <a:pPr algn="l"/>
          <a:r>
            <a:rPr lang="en-US" sz="1100" b="0" i="0" u="none" strike="noStrike">
              <a:effectLst/>
              <a:latin typeface="+mn-lt"/>
              <a:ea typeface="+mn-ea"/>
              <a:cs typeface="+mn-cs"/>
            </a:rPr>
            <a:t>a) Staff Allocation Analysis:  Comparing Staff Composition against Average Revenue Contribution</a:t>
          </a:r>
          <a:r>
            <a:rPr lang="en-US" b="0"/>
            <a:t> </a:t>
          </a:r>
          <a:r>
            <a:rPr lang="en-US" sz="1100" b="0" i="0" u="none" strike="noStrike">
              <a:effectLst/>
              <a:latin typeface="+mn-lt"/>
              <a:ea typeface="+mn-ea"/>
              <a:cs typeface="+mn-cs"/>
            </a:rPr>
            <a:t>                       </a:t>
          </a:r>
        </a:p>
        <a:p>
          <a:pPr algn="l"/>
          <a:r>
            <a:rPr lang="en-US" sz="1100" b="0" i="0" u="none" strike="noStrike">
              <a:effectLst/>
              <a:latin typeface="+mn-lt"/>
              <a:ea typeface="+mn-ea"/>
              <a:cs typeface="+mn-cs"/>
            </a:rPr>
            <a:t>b)   Staff Composition = Total staff Level at a Location / Total Staff (All Location)</a:t>
          </a:r>
          <a:r>
            <a:rPr lang="en-US" b="0"/>
            <a:t> </a:t>
          </a:r>
          <a:r>
            <a:rPr lang="en-US" sz="1100" b="0" i="0" u="none" strike="noStrike">
              <a:effectLst/>
              <a:latin typeface="+mn-lt"/>
              <a:ea typeface="+mn-ea"/>
              <a:cs typeface="+mn-cs"/>
            </a:rPr>
            <a:t>                       </a:t>
          </a:r>
        </a:p>
        <a:p>
          <a:pPr algn="l"/>
          <a:r>
            <a:rPr lang="en-US" sz="1100" b="0" i="0" u="none" strike="noStrike">
              <a:effectLst/>
              <a:latin typeface="+mn-lt"/>
              <a:ea typeface="+mn-ea"/>
              <a:cs typeface="+mn-cs"/>
            </a:rPr>
            <a:t>c)   Revenue Contribution = Average Revenue / Total Average Revenue</a:t>
          </a:r>
          <a:r>
            <a:rPr lang="en-US" b="0"/>
            <a:t> </a:t>
          </a:r>
          <a:r>
            <a:rPr lang="en-US" sz="1100" b="0" i="0" u="none" strike="noStrike">
              <a:effectLst/>
              <a:latin typeface="+mn-lt"/>
              <a:ea typeface="+mn-ea"/>
              <a:cs typeface="+mn-cs"/>
            </a:rPr>
            <a:t> </a:t>
          </a:r>
        </a:p>
        <a:p>
          <a:pPr algn="l"/>
          <a:r>
            <a:rPr lang="en-US" sz="1100" b="0" i="0" u="none" strike="noStrike">
              <a:effectLst/>
              <a:latin typeface="+mn-lt"/>
              <a:ea typeface="+mn-ea"/>
              <a:cs typeface="+mn-cs"/>
            </a:rPr>
            <a:t>d)  Staff Performance = Sales  of Each Sales  Staff</a:t>
          </a:r>
          <a:r>
            <a:rPr lang="en-US" b="0"/>
            <a:t> </a:t>
          </a:r>
          <a:endParaRPr lang="en-US" sz="1100" b="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pivotCacheDefinition1.xml><?xml version="1.0" encoding="utf-8"?>
<pivotCacheDefinition xmlns="http://schemas.openxmlformats.org/spreadsheetml/2006/main" xmlns:r="http://schemas.openxmlformats.org/officeDocument/2006/relationships" r:id="rId1" refreshedBy="Kim" refreshedDate="42604.485976157404" createdVersion="6" refreshedVersion="6" minRefreshableVersion="3" recordCount="84">
  <cacheSource type="consolidation">
    <consolidation autoPage="0">
      <pages count="1">
        <page count="3">
          <pageItem name="2012"/>
          <pageItem name="2013"/>
          <pageItem name="2014"/>
        </page>
      </pages>
      <rangeSets count="3">
        <rangeSet i1="0" ref="B8:F15" sheet="Inventory Turnover"/>
        <rangeSet i1="1" ref="B20:F27" sheet="Inventory Turnover"/>
        <rangeSet i1="2" ref="B31:F38" sheet="Inventory Turnover"/>
      </rangeSets>
    </consolidation>
  </cacheSource>
  <cacheFields count="6">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minValue="22.315789473684209" maxValue="138.85714285714286"/>
    </cacheField>
    <cacheField name="Page1" numFmtId="0">
      <sharedItems count="3">
        <s v="2012"/>
        <s v="2013"/>
        <s v="2014"/>
      </sharedItems>
    </cacheField>
    <cacheField name="TEST" numFmtId="0" formula=" 365/Column" databaseField="0"/>
    <cacheField name="Expect" numFmtId="0" formula="365/Value"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Kim" refreshedDate="42604.97560972222" refreshedVersion="6" recordCount="84">
  <cacheSource type="consolidation">
    <consolidation autoPage="0">
      <pages count="1">
        <page count="6">
          <pageItem name="COGS2012"/>
          <pageItem name="COGS2013"/>
          <pageItem name="COGS2014"/>
          <pageItem name="2012"/>
          <pageItem name="2013"/>
          <pageItem name="2014"/>
        </page>
      </pages>
      <rangeSets count="3">
        <rangeSet i1="3" ref="K5:O12" sheet="COGS"/>
        <rangeSet i1="4" ref="K17:O24" sheet="COGS"/>
        <rangeSet i1="5" ref="K29:O36" sheet="COGS"/>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279840" maxValue="1990450"/>
    </cacheField>
    <cacheField name="Page1" numFmtId="0">
      <sharedItems count="6">
        <s v="2012"/>
        <s v="2013"/>
        <s v="2014"/>
        <s v="COGS2014" u="1"/>
        <s v="COGS2013" u="1"/>
        <s v="COGS2012"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Kim" refreshedDate="42604.975705787037" createdVersion="6" refreshedVersion="6" minRefreshableVersion="3" recordCount="84">
  <cacheSource type="consolidation">
    <consolidation autoPage="0">
      <pages count="1">
        <page count="3">
          <pageItem name="2012"/>
          <pageItem name="2013"/>
          <pageItem name="2014"/>
        </page>
      </pages>
      <rangeSets count="3">
        <rangeSet i1="0" ref="H9:L16" sheet="Location VUAOC Cost"/>
        <rangeSet i1="1" ref="H21:L28" sheet="Location VUAOC Cost"/>
        <rangeSet i1="2" ref="H33:L40" sheet="Location VUAOC Cost"/>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13785" maxValue="139580"/>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Kim" refreshedDate="42604.976020717593" createdVersion="6" refreshedVersion="6" minRefreshableVersion="3" recordCount="84">
  <cacheSource type="consolidation">
    <consolidation autoPage="0">
      <pages count="1">
        <page count="3">
          <pageItem name="2012"/>
          <pageItem name="2013"/>
          <pageItem name="2014"/>
        </page>
      </pages>
      <rangeSets count="3">
        <rangeSet i1="0" ref="K4:O11" sheet="Sales and Revenue"/>
        <rangeSet i1="1" ref="K16:O23" sheet="Sales and Revenue"/>
        <rangeSet i1="2" ref="K28:O35" sheet="Sales and Revenue"/>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360400" maxValue="2352350"/>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Kim" refreshedDate="42604.983145486112" createdVersion="6" refreshedVersion="6" minRefreshableVersion="3" recordCount="84">
  <cacheSource type="consolidation">
    <consolidation autoPage="0">
      <pages count="1">
        <page count="3">
          <pageItem name="2012"/>
          <pageItem name="2013"/>
          <pageItem name="2014"/>
        </page>
      </pages>
      <rangeSets count="3">
        <rangeSet i1="0" ref="B6:F13" sheet="Product Profitability"/>
        <rangeSet i1="1" ref="B18:F25" sheet="Product Profitability"/>
        <rangeSet i1="2" ref="B30:F37" sheet="Product Profitability"/>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78545" maxValue="761020"/>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Kim" refreshedDate="42605.022420254631" refreshedVersion="6" recordCount="84">
  <cacheSource type="consolidation">
    <consolidation autoPage="0">
      <pages count="1">
        <page count="3">
          <pageItem name="2012"/>
          <pageItem name="2013"/>
          <pageItem name="2014"/>
        </page>
      </pages>
      <rangeSets count="3">
        <rangeSet i1="0" ref="B5:F12" sheet="Sales Target Performance"/>
        <rangeSet i1="1" ref="B17:F24" sheet="Sales Target Performance"/>
        <rangeSet i1="2" ref="B29:F36" sheet="Sales Target Performance"/>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minValue="-0.29333333333333333" maxValue="1.1333333333333333"/>
    </cacheField>
    <cacheField name="Page1" numFmtId="0">
      <sharedItems containsBlank="1" count="4">
        <s v="2012"/>
        <s v="2013"/>
        <s v="2014"/>
        <m u="1"/>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Kim" refreshedDate="42623.370756944445" createdVersion="6" refreshedVersion="6" minRefreshableVersion="3" recordCount="84">
  <cacheSource type="consolidation">
    <consolidation autoPage="0">
      <pages count="1">
        <page count="3">
          <pageItem name="2012"/>
          <pageItem name="2013"/>
          <pageItem name="2014"/>
        </page>
      </pages>
      <rangeSets count="3">
        <rangeSet i1="0" ref="B3:F10" sheet="Average Inventories &amp; Cost"/>
        <rangeSet i1="1" ref="B14:F21" sheet="Average Inventories &amp; Cost"/>
        <rangeSet i1="2" ref="B25:F32" sheet="Average Inventories &amp; Cost"/>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5" maxValue="35" count="29">
        <n v="19"/>
        <n v="23"/>
        <n v="18"/>
        <n v="15"/>
        <n v="31"/>
        <n v="26"/>
        <n v="17"/>
        <n v="14"/>
        <n v="13"/>
        <n v="10"/>
        <n v="9"/>
        <n v="20"/>
        <n v="12"/>
        <n v="16"/>
        <n v="11"/>
        <n v="7"/>
        <n v="24"/>
        <n v="25"/>
        <n v="8"/>
        <n v="30"/>
        <n v="27"/>
        <n v="21"/>
        <n v="28"/>
        <n v="35"/>
        <n v="22"/>
        <n v="6"/>
        <n v="5"/>
        <n v="32"/>
        <n v="34"/>
      </sharedItems>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Kim" refreshedDate="42623.382978125002" createdVersion="6" refreshedVersion="6" minRefreshableVersion="3" recordCount="84">
  <cacheSource type="consolidation">
    <consolidation autoPage="0">
      <pages count="1">
        <page count="3">
          <pageItem name="2012"/>
          <pageItem name="2013"/>
          <pageItem name="2014"/>
        </page>
      </pages>
      <rangeSets count="3">
        <rangeSet i1="0" ref="K3:O10" sheet="Average Inventories &amp; Cost"/>
        <rangeSet i1="1" ref="K14:O21" sheet="Average Inventories &amp; Cost"/>
        <rangeSet i1="2" ref="K25:O32" sheet="Average Inventories &amp; Cost"/>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2720" maxValue="19250"/>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Kim" refreshedDate="42623.502910300929" createdVersion="6" refreshedVersion="6" minRefreshableVersion="3" recordCount="84">
  <cacheSource type="consolidation">
    <consolidation autoPage="0">
      <pages count="1">
        <page count="3">
          <pageItem name="2012"/>
          <pageItem name="2013"/>
          <pageItem name="2014"/>
        </page>
      </pages>
      <rangeSets count="3">
        <rangeSet i1="0" ref="H3:L10" sheet="Sales Target &amp; Actual"/>
        <rangeSet i1="1" ref="H14:L21" sheet="Sales Target &amp; Actual"/>
        <rangeSet i1="2" ref="H25:L32" sheet="Sales Target &amp; Actual"/>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424" maxValue="3619"/>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Kim" refreshedDate="42623.930851504629" createdVersion="6" refreshedVersion="6" minRefreshableVersion="3" recordCount="84">
  <cacheSource type="consolidation">
    <consolidation autoPage="0">
      <pages count="1">
        <page count="3">
          <pageItem name="2012"/>
          <pageItem name="2013"/>
          <pageItem name="2014"/>
        </page>
      </pages>
      <rangeSets count="3">
        <rangeSet i1="0" ref="B3:F10" sheet="Sales Target &amp; Actual"/>
        <rangeSet i1="1" ref="B14:F21" sheet="Sales Target &amp; Actual"/>
        <rangeSet i1="2" ref="B25:F32" sheet="Sales Target &amp; Actual"/>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containsInteger="1" minValue="300" maxValue="3210" count="29">
        <n v="2000"/>
        <n v="1800"/>
        <n v="1100"/>
        <n v="800"/>
        <n v="3000"/>
        <n v="2600"/>
        <n v="1600"/>
        <n v="700"/>
        <n v="500"/>
        <n v="300"/>
        <n v="2400"/>
        <n v="2100"/>
        <n v="1300"/>
        <n v="900"/>
        <n v="1400"/>
        <n v="1200"/>
        <n v="1900"/>
        <n v="1700"/>
        <n v="1000"/>
        <n v="2300"/>
        <n v="400"/>
        <n v="600"/>
        <n v="1500"/>
        <n v="2140"/>
        <n v="3210"/>
        <n v="856"/>
        <n v="2568"/>
        <n v="1498"/>
        <n v="2033"/>
      </sharedItems>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Kim" refreshedDate="42623.943354976851" createdVersion="6" refreshedVersion="6" minRefreshableVersion="3" recordCount="84">
  <cacheSource type="consolidation">
    <consolidation autoPage="0">
      <pages count="1">
        <page count="3">
          <pageItem name="2012"/>
          <pageItem name="2013"/>
          <pageItem name="2014"/>
        </page>
      </pages>
      <rangeSets count="3">
        <rangeSet i1="0" ref="AK3:AO10" sheet="Sales Target &amp; Actual"/>
        <rangeSet i1="1" ref="AK14:AO21" sheet="Sales Target &amp; Actual"/>
        <rangeSet i1="2" ref="AK25:AO32" sheet="Sales Target &amp; Actual"/>
      </rangeSets>
    </consolidation>
  </cacheSource>
  <cacheFields count="4">
    <cacheField name="Row" numFmtId="0">
      <sharedItems count="7">
        <s v="Washing Machines"/>
        <s v="Fridges"/>
        <s v="Computers and Tablets"/>
        <s v="Microwaves"/>
        <s v="TVs"/>
        <s v="Mobile Phones"/>
        <s v="Games and Consoles"/>
      </sharedItems>
    </cacheField>
    <cacheField name="Column" numFmtId="0">
      <sharedItems count="4">
        <s v="Brisbane"/>
        <s v="Gold Coast"/>
        <s v="Townsville"/>
        <s v="Cairns"/>
      </sharedItems>
    </cacheField>
    <cacheField name="Value" numFmtId="0">
      <sharedItems containsSemiMixedTypes="0" containsString="0" containsNumber="1" minValue="-0.29333333333333333" maxValue="1.1333333333333333"/>
    </cacheField>
    <cacheField name="Page1" numFmtId="0">
      <sharedItems count="3">
        <s v="2012"/>
        <s v="2013"/>
        <s v="2014"/>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Kim" refreshedDate="42624.065630555553" createdVersion="6" refreshedVersion="6" minRefreshableVersion="3" recordCount="72">
  <cacheSource type="consolidation">
    <consolidation autoPage="0">
      <pages count="1">
        <page count="6">
          <pageItem name="Revenue"/>
          <pageItem name="Labour Cost"/>
          <pageItem name="FAOC"/>
          <pageItem name="VUAOC"/>
          <pageItem name="APC"/>
          <pageItem name="COGS"/>
        </page>
      </pages>
      <rangeSets count="6">
        <rangeSet i1="0" ref="Q4:U7" sheet="Sales and Revenue"/>
        <rangeSet i1="1" ref="B6:F9" sheet="Total Operating Cost"/>
        <rangeSet i1="2" ref="B13:F16" sheet="Total Operating Cost"/>
        <rangeSet i1="3" ref="B20:F23" sheet="Total Operating Cost"/>
        <rangeSet i1="4" ref="B27:F30" sheet="Total Operating Cost"/>
        <rangeSet i1="5" ref="B34:F37" sheet="Total Operating Cost"/>
      </rangeSets>
    </consolidation>
  </cacheSource>
  <cacheFields count="4">
    <cacheField name="Row" numFmtId="0">
      <sharedItems containsSemiMixedTypes="0" containsString="0" containsNumber="1" containsInteger="1" minValue="2012" maxValue="2014" count="3">
        <n v="2012"/>
        <n v="2013"/>
        <n v="2014"/>
      </sharedItems>
    </cacheField>
    <cacheField name="Column" numFmtId="0">
      <sharedItems count="4">
        <s v="Brisbane"/>
        <s v="Gold Coast"/>
        <s v="Townsville"/>
        <s v="Cairns"/>
      </sharedItems>
    </cacheField>
    <cacheField name="Value" numFmtId="0">
      <sharedItems containsSemiMixedTypes="0" containsString="0" containsNumber="1" containsInteger="1" minValue="40000" maxValue="10833550"/>
    </cacheField>
    <cacheField name="Page1" numFmtId="0">
      <sharedItems count="10">
        <s v="Revenue"/>
        <s v="Labour Cost"/>
        <s v="FAOC"/>
        <s v="VUAOC"/>
        <s v="APC"/>
        <s v="COGS"/>
        <s v="Profit" f="1"/>
        <s v="Operating Cost" f="1"/>
        <s v="Gross Profit" f="1"/>
        <s v="Total Cost" f="1"/>
      </sharedItems>
    </cacheField>
  </cacheFields>
  <calculatedItems count="4">
    <calculatedItem formula="Page1[Revenue]-Page1[COGS]-Page1['Labour Cost']-Page1[FAOC]-Page1[APC]-Page1[VUAOC]">
      <pivotArea cacheIndex="1" outline="0" fieldPosition="0">
        <references count="1">
          <reference field="3" count="1">
            <x v="6"/>
          </reference>
        </references>
      </pivotArea>
    </calculatedItem>
    <calculatedItem formula="Page1[Revenue]-Page1[COGS]">
      <pivotArea cacheIndex="1" outline="0" fieldPosition="0">
        <references count="1">
          <reference field="3" count="1">
            <x v="8"/>
          </reference>
        </references>
      </pivotArea>
    </calculatedItem>
    <calculatedItem formula="Page1['Labour Cost']+Page1[FAOC]+Page1[APC]+Page1[VUAOC]">
      <pivotArea cacheIndex="1" outline="0" fieldPosition="0">
        <references count="1">
          <reference field="3" count="1">
            <x v="7"/>
          </reference>
        </references>
      </pivotArea>
    </calculatedItem>
    <calculatedItem formula="Page1[COGS]+Page1['Operating Cost']">
      <pivotArea cacheIndex="1" outline="0" fieldPosition="0">
        <references count="1">
          <reference field="3" count="1">
            <x v="9"/>
          </reference>
        </references>
      </pivotArea>
    </calculatedItem>
  </calculatedItem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Kim" refreshedDate="42624.176481828705" createdVersion="4" refreshedVersion="6" minRefreshableVersion="3" recordCount="36">
  <cacheSource type="consolidation">
    <consolidation autoPage="0">
      <pages count="1">
        <page count="4">
          <pageItem name="Brisbane"/>
          <pageItem name="Gold Coast"/>
          <pageItem name="Townsville"/>
          <pageItem name="Cairns"/>
        </page>
      </pages>
      <rangeSets count="4">
        <rangeSet i1="0" ref="B11:E14" sheet="Labour Costs"/>
        <rangeSet i1="1" ref="G11:J14" sheet="Labour Costs"/>
        <rangeSet i1="2" ref="B19:E22" sheet="Labour Costs"/>
        <rangeSet i1="3" ref="G19:J22" sheet="Labour Costs"/>
      </rangeSets>
    </consolidation>
  </cacheSource>
  <cacheFields count="4">
    <cacheField name="Row" numFmtId="0">
      <sharedItems count="3">
        <s v="Manager"/>
        <s v="Admin staff"/>
        <s v="Sales staff"/>
      </sharedItems>
    </cacheField>
    <cacheField name="Column" numFmtId="0">
      <sharedItems containsSemiMixedTypes="0" containsString="0" containsNumber="1" containsInteger="1" minValue="2010" maxValue="2014" count="5">
        <n v="2012"/>
        <n v="2013"/>
        <n v="2014"/>
        <n v="2011" u="1"/>
        <n v="2010" u="1"/>
      </sharedItems>
    </cacheField>
    <cacheField name="Value" numFmtId="0">
      <sharedItems containsSemiMixedTypes="0" containsString="0" containsNumber="1" containsInteger="1" minValue="40000" maxValue="630000" count="20">
        <n v="75000"/>
        <n v="78000"/>
        <n v="80000"/>
        <n v="82000"/>
        <n v="84000"/>
        <n v="580000"/>
        <n v="600000"/>
        <n v="630000"/>
        <n v="522000"/>
        <n v="540000"/>
        <n v="567000"/>
        <n v="40000"/>
        <n v="41000"/>
        <n v="42000"/>
        <n v="290000"/>
        <n v="300000"/>
        <n v="315000"/>
        <n v="232000"/>
        <n v="240000"/>
        <n v="252000"/>
      </sharedItems>
    </cacheField>
    <cacheField name="Page1" numFmtId="0">
      <sharedItems count="4">
        <s v="Brisbane"/>
        <s v="Gold Coast"/>
        <s v="Townsville"/>
        <s v="Cairns"/>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Kim" refreshedDate="42624.179819560188" createdVersion="6" refreshedVersion="6" minRefreshableVersion="3" recordCount="60">
  <cacheSource type="consolidation">
    <consolidation autoPage="0">
      <pages count="1">
        <page count="5">
          <pageItem name="Labour"/>
          <pageItem name="Fixed Admin FAOC"/>
          <pageItem name="Variable Admin VUAOC"/>
          <pageItem name="Advert APC"/>
          <pageItem name="COGS"/>
        </page>
      </pages>
      <rangeSets count="5">
        <rangeSet i1="0" ref="B6:F9" sheet="Total Operating Cost"/>
        <rangeSet i1="1" ref="B13:F16" sheet="Total Operating Cost"/>
        <rangeSet i1="2" ref="B20:F23" sheet="Total Operating Cost"/>
        <rangeSet i1="3" ref="B27:F30" sheet="Total Operating Cost"/>
        <rangeSet i1="4" ref="B34:F37" sheet="Total Operating Cost"/>
      </rangeSets>
    </consolidation>
  </cacheSource>
  <cacheFields count="4">
    <cacheField name="Row" numFmtId="0">
      <sharedItems containsSemiMixedTypes="0" containsString="0" containsNumber="1" containsInteger="1" minValue="2012" maxValue="2014" count="3">
        <n v="2012"/>
        <n v="2013"/>
        <n v="2014"/>
      </sharedItems>
    </cacheField>
    <cacheField name="Column" numFmtId="0">
      <sharedItems count="4">
        <s v="Brisbane"/>
        <s v="Gold Coast"/>
        <s v="Townsville"/>
        <s v="Cairns"/>
      </sharedItems>
    </cacheField>
    <cacheField name="Value" numFmtId="0">
      <sharedItems containsSemiMixedTypes="0" containsString="0" containsNumber="1" containsInteger="1" minValue="40000" maxValue="8252900"/>
    </cacheField>
    <cacheField name="Page1" numFmtId="0">
      <sharedItems count="5">
        <s v="Labour"/>
        <s v="Fixed Admin FAOC"/>
        <s v="Variable Admin VUAOC"/>
        <s v="Advert APC"/>
        <s v="COG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
  <r>
    <x v="0"/>
    <x v="0"/>
    <n v="96.684210526315795"/>
    <x v="0"/>
  </r>
  <r>
    <x v="0"/>
    <x v="1"/>
    <n v="57.217391304347828"/>
    <x v="0"/>
  </r>
  <r>
    <x v="0"/>
    <x v="2"/>
    <n v="48.388888888888886"/>
    <x v="0"/>
  </r>
  <r>
    <x v="0"/>
    <x v="3"/>
    <n v="45.533333333333331"/>
    <x v="0"/>
  </r>
  <r>
    <x v="1"/>
    <x v="0"/>
    <n v="109.61290322580645"/>
    <x v="0"/>
  </r>
  <r>
    <x v="1"/>
    <x v="1"/>
    <n v="107.30769230769231"/>
    <x v="0"/>
  </r>
  <r>
    <x v="1"/>
    <x v="2"/>
    <n v="92.411764705882348"/>
    <x v="0"/>
  </r>
  <r>
    <x v="1"/>
    <x v="3"/>
    <n v="89"/>
    <x v="0"/>
  </r>
  <r>
    <x v="2"/>
    <x v="0"/>
    <n v="63.142857142857146"/>
    <x v="0"/>
  </r>
  <r>
    <x v="2"/>
    <x v="1"/>
    <n v="41.692307692307693"/>
    <x v="0"/>
  </r>
  <r>
    <x v="2"/>
    <x v="2"/>
    <n v="51.6"/>
    <x v="0"/>
  </r>
  <r>
    <x v="2"/>
    <x v="3"/>
    <n v="71.111111111111114"/>
    <x v="0"/>
  </r>
  <r>
    <x v="3"/>
    <x v="0"/>
    <n v="80.225806451612897"/>
    <x v="0"/>
  </r>
  <r>
    <x v="3"/>
    <x v="1"/>
    <n v="98.4"/>
    <x v="0"/>
  </r>
  <r>
    <x v="3"/>
    <x v="2"/>
    <n v="66.05263157894737"/>
    <x v="0"/>
  </r>
  <r>
    <x v="3"/>
    <x v="3"/>
    <n v="95.833333333333329"/>
    <x v="0"/>
  </r>
  <r>
    <x v="4"/>
    <x v="0"/>
    <n v="107"/>
    <x v="0"/>
  </r>
  <r>
    <x v="4"/>
    <x v="1"/>
    <n v="90.933333333333337"/>
    <x v="0"/>
  </r>
  <r>
    <x v="4"/>
    <x v="2"/>
    <n v="64.909090909090907"/>
    <x v="0"/>
  </r>
  <r>
    <x v="4"/>
    <x v="3"/>
    <n v="98"/>
    <x v="0"/>
  </r>
  <r>
    <x v="5"/>
    <x v="0"/>
    <n v="93.25"/>
    <x v="0"/>
  </r>
  <r>
    <x v="5"/>
    <x v="1"/>
    <n v="74.304347826086953"/>
    <x v="0"/>
  </r>
  <r>
    <x v="5"/>
    <x v="2"/>
    <n v="78.857142857142861"/>
    <x v="0"/>
  </r>
  <r>
    <x v="5"/>
    <x v="3"/>
    <n v="138.85714285714286"/>
    <x v="0"/>
  </r>
  <r>
    <x v="6"/>
    <x v="0"/>
    <n v="91.24"/>
    <x v="0"/>
  </r>
  <r>
    <x v="6"/>
    <x v="1"/>
    <n v="101.70588235294117"/>
    <x v="0"/>
  </r>
  <r>
    <x v="6"/>
    <x v="2"/>
    <n v="124.55555555555556"/>
    <x v="0"/>
  </r>
  <r>
    <x v="6"/>
    <x v="3"/>
    <n v="114.25"/>
    <x v="0"/>
  </r>
  <r>
    <x v="0"/>
    <x v="0"/>
    <n v="80.333333333333329"/>
    <x v="1"/>
  </r>
  <r>
    <x v="0"/>
    <x v="1"/>
    <n v="60.48"/>
    <x v="1"/>
  </r>
  <r>
    <x v="0"/>
    <x v="2"/>
    <n v="74.400000000000006"/>
    <x v="1"/>
  </r>
  <r>
    <x v="0"/>
    <x v="3"/>
    <n v="82.538461538461533"/>
    <x v="1"/>
  </r>
  <r>
    <x v="1"/>
    <x v="0"/>
    <n v="102.93333333333334"/>
    <x v="1"/>
  </r>
  <r>
    <x v="1"/>
    <x v="1"/>
    <n v="86.92307692307692"/>
    <x v="1"/>
  </r>
  <r>
    <x v="1"/>
    <x v="2"/>
    <n v="106.875"/>
    <x v="1"/>
  </r>
  <r>
    <x v="1"/>
    <x v="3"/>
    <n v="103.92857142857143"/>
    <x v="1"/>
  </r>
  <r>
    <x v="2"/>
    <x v="0"/>
    <n v="76.900000000000006"/>
    <x v="1"/>
  </r>
  <r>
    <x v="2"/>
    <x v="1"/>
    <n v="56.583333333333336"/>
    <x v="1"/>
  </r>
  <r>
    <x v="2"/>
    <x v="2"/>
    <n v="65.444444444444443"/>
    <x v="1"/>
  </r>
  <r>
    <x v="2"/>
    <x v="3"/>
    <n v="75.125"/>
    <x v="1"/>
  </r>
  <r>
    <x v="3"/>
    <x v="0"/>
    <n v="114.16666666666667"/>
    <x v="1"/>
  </r>
  <r>
    <x v="3"/>
    <x v="1"/>
    <n v="107.05555555555556"/>
    <x v="1"/>
  </r>
  <r>
    <x v="3"/>
    <x v="2"/>
    <n v="93.571428571428569"/>
    <x v="1"/>
  </r>
  <r>
    <x v="3"/>
    <x v="3"/>
    <n v="56.10526315789474"/>
    <x v="1"/>
  </r>
  <r>
    <x v="4"/>
    <x v="0"/>
    <n v="118.21428571428571"/>
    <x v="1"/>
  </r>
  <r>
    <x v="4"/>
    <x v="1"/>
    <n v="88.083333333333329"/>
    <x v="1"/>
  </r>
  <r>
    <x v="4"/>
    <x v="2"/>
    <n v="69.818181818181813"/>
    <x v="1"/>
  </r>
  <r>
    <x v="4"/>
    <x v="3"/>
    <n v="77.900000000000006"/>
    <x v="1"/>
  </r>
  <r>
    <x v="5"/>
    <x v="0"/>
    <n v="88.18518518518519"/>
    <x v="1"/>
  </r>
  <r>
    <x v="5"/>
    <x v="1"/>
    <n v="63.16"/>
    <x v="1"/>
  </r>
  <r>
    <x v="5"/>
    <x v="2"/>
    <n v="92.307692307692307"/>
    <x v="1"/>
  </r>
  <r>
    <x v="5"/>
    <x v="3"/>
    <n v="74.86666666666666"/>
    <x v="1"/>
  </r>
  <r>
    <x v="6"/>
    <x v="0"/>
    <n v="91.56"/>
    <x v="1"/>
  </r>
  <r>
    <x v="6"/>
    <x v="1"/>
    <n v="74.476190476190482"/>
    <x v="1"/>
  </r>
  <r>
    <x v="6"/>
    <x v="2"/>
    <n v="70.647058823529406"/>
    <x v="1"/>
  </r>
  <r>
    <x v="6"/>
    <x v="3"/>
    <n v="55.25"/>
    <x v="1"/>
  </r>
  <r>
    <x v="0"/>
    <x v="0"/>
    <n v="85.571428571428569"/>
    <x v="2"/>
  </r>
  <r>
    <x v="0"/>
    <x v="1"/>
    <n v="64.400000000000006"/>
    <x v="2"/>
  </r>
  <r>
    <x v="0"/>
    <x v="2"/>
    <n v="61.44"/>
    <x v="2"/>
  </r>
  <r>
    <x v="0"/>
    <x v="3"/>
    <n v="96.07692307692308"/>
    <x v="2"/>
  </r>
  <r>
    <x v="1"/>
    <x v="0"/>
    <n v="103.4"/>
    <x v="2"/>
  </r>
  <r>
    <x v="1"/>
    <x v="1"/>
    <n v="104.3"/>
    <x v="2"/>
  </r>
  <r>
    <x v="1"/>
    <x v="2"/>
    <n v="92.181818181818187"/>
    <x v="2"/>
  </r>
  <r>
    <x v="1"/>
    <x v="3"/>
    <n v="92.565217391304344"/>
    <x v="2"/>
  </r>
  <r>
    <x v="2"/>
    <x v="0"/>
    <n v="62.714285714285715"/>
    <x v="2"/>
  </r>
  <r>
    <x v="2"/>
    <x v="1"/>
    <n v="22.315789473684209"/>
    <x v="2"/>
  </r>
  <r>
    <x v="2"/>
    <x v="2"/>
    <n v="77.833333333333329"/>
    <x v="2"/>
  </r>
  <r>
    <x v="2"/>
    <x v="3"/>
    <n v="133"/>
    <x v="2"/>
  </r>
  <r>
    <x v="3"/>
    <x v="0"/>
    <n v="83"/>
    <x v="2"/>
  </r>
  <r>
    <x v="3"/>
    <x v="1"/>
    <n v="63.153846153846153"/>
    <x v="2"/>
  </r>
  <r>
    <x v="3"/>
    <x v="2"/>
    <n v="61.75"/>
    <x v="2"/>
  </r>
  <r>
    <x v="3"/>
    <x v="3"/>
    <n v="80"/>
    <x v="2"/>
  </r>
  <r>
    <x v="4"/>
    <x v="0"/>
    <n v="68.037037037037038"/>
    <x v="2"/>
  </r>
  <r>
    <x v="4"/>
    <x v="1"/>
    <n v="71.333333333333329"/>
    <x v="2"/>
  </r>
  <r>
    <x v="4"/>
    <x v="2"/>
    <n v="62.375"/>
    <x v="2"/>
  </r>
  <r>
    <x v="4"/>
    <x v="3"/>
    <n v="74.529411764705884"/>
    <x v="2"/>
  </r>
  <r>
    <x v="5"/>
    <x v="0"/>
    <n v="86.088235294117652"/>
    <x v="2"/>
  </r>
  <r>
    <x v="5"/>
    <x v="1"/>
    <n v="54.148148148148145"/>
    <x v="2"/>
  </r>
  <r>
    <x v="5"/>
    <x v="2"/>
    <n v="65.695652173913047"/>
    <x v="2"/>
  </r>
  <r>
    <x v="5"/>
    <x v="3"/>
    <n v="98.625"/>
    <x v="2"/>
  </r>
  <r>
    <x v="6"/>
    <x v="0"/>
    <n v="113.04347826086956"/>
    <x v="2"/>
  </r>
  <r>
    <x v="6"/>
    <x v="1"/>
    <n v="86.428571428571431"/>
    <x v="2"/>
  </r>
  <r>
    <x v="6"/>
    <x v="2"/>
    <n v="56.125"/>
    <x v="2"/>
  </r>
  <r>
    <x v="6"/>
    <x v="3"/>
    <n v="81.5"/>
    <x v="2"/>
  </r>
</pivotCacheRecords>
</file>

<file path=xl/pivotCache/pivotCacheRecords2.xml><?xml version="1.0" encoding="utf-8"?>
<pivotCacheRecords xmlns="http://schemas.openxmlformats.org/spreadsheetml/2006/main" xmlns:r="http://schemas.openxmlformats.org/officeDocument/2006/relationships" count="84">
  <r>
    <x v="0"/>
    <x v="0"/>
    <n v="1166495"/>
    <x v="0"/>
  </r>
  <r>
    <x v="0"/>
    <x v="1"/>
    <n v="835660"/>
    <x v="0"/>
  </r>
  <r>
    <x v="0"/>
    <x v="2"/>
    <n v="553085"/>
    <x v="0"/>
  </r>
  <r>
    <x v="0"/>
    <x v="3"/>
    <n v="433705"/>
    <x v="0"/>
  </r>
  <r>
    <x v="1"/>
    <x v="0"/>
    <n v="1868900"/>
    <x v="0"/>
  </r>
  <r>
    <x v="1"/>
    <x v="1"/>
    <n v="1534500"/>
    <x v="0"/>
  </r>
  <r>
    <x v="1"/>
    <x v="2"/>
    <n v="864050"/>
    <x v="0"/>
  </r>
  <r>
    <x v="1"/>
    <x v="3"/>
    <n v="685300"/>
    <x v="0"/>
  </r>
  <r>
    <x v="2"/>
    <x v="0"/>
    <n v="583440"/>
    <x v="0"/>
  </r>
  <r>
    <x v="2"/>
    <x v="1"/>
    <n v="357720"/>
    <x v="0"/>
  </r>
  <r>
    <x v="2"/>
    <x v="2"/>
    <n v="340560"/>
    <x v="0"/>
  </r>
  <r>
    <x v="2"/>
    <x v="3"/>
    <n v="422400"/>
    <x v="0"/>
  </r>
  <r>
    <x v="3"/>
    <x v="0"/>
    <n v="746100"/>
    <x v="0"/>
  </r>
  <r>
    <x v="3"/>
    <x v="1"/>
    <n v="590400"/>
    <x v="0"/>
  </r>
  <r>
    <x v="3"/>
    <x v="2"/>
    <n v="376500"/>
    <x v="0"/>
  </r>
  <r>
    <x v="3"/>
    <x v="3"/>
    <n v="345000"/>
    <x v="0"/>
  </r>
  <r>
    <x v="4"/>
    <x v="0"/>
    <n v="838880"/>
    <x v="0"/>
  </r>
  <r>
    <x v="4"/>
    <x v="1"/>
    <n v="668360"/>
    <x v="0"/>
  </r>
  <r>
    <x v="4"/>
    <x v="2"/>
    <n v="349860"/>
    <x v="0"/>
  </r>
  <r>
    <x v="4"/>
    <x v="3"/>
    <n v="336140"/>
    <x v="0"/>
  </r>
  <r>
    <x v="5"/>
    <x v="0"/>
    <n v="1208520"/>
    <x v="0"/>
  </r>
  <r>
    <x v="5"/>
    <x v="1"/>
    <n v="922860"/>
    <x v="0"/>
  </r>
  <r>
    <x v="5"/>
    <x v="2"/>
    <n v="596160"/>
    <x v="0"/>
  </r>
  <r>
    <x v="5"/>
    <x v="3"/>
    <n v="524880"/>
    <x v="0"/>
  </r>
  <r>
    <x v="6"/>
    <x v="0"/>
    <n v="775540"/>
    <x v="0"/>
  </r>
  <r>
    <x v="6"/>
    <x v="1"/>
    <n v="587860"/>
    <x v="0"/>
  </r>
  <r>
    <x v="6"/>
    <x v="2"/>
    <n v="381140"/>
    <x v="0"/>
  </r>
  <r>
    <x v="6"/>
    <x v="3"/>
    <n v="310760"/>
    <x v="0"/>
  </r>
  <r>
    <x v="0"/>
    <x v="0"/>
    <n v="1224280"/>
    <x v="1"/>
  </r>
  <r>
    <x v="0"/>
    <x v="1"/>
    <n v="960120"/>
    <x v="1"/>
  </r>
  <r>
    <x v="0"/>
    <x v="2"/>
    <n v="708660"/>
    <x v="1"/>
  </r>
  <r>
    <x v="0"/>
    <x v="3"/>
    <n v="681355"/>
    <x v="1"/>
  </r>
  <r>
    <x v="1"/>
    <x v="0"/>
    <n v="1698400"/>
    <x v="1"/>
  </r>
  <r>
    <x v="1"/>
    <x v="1"/>
    <n v="1243000"/>
    <x v="1"/>
  </r>
  <r>
    <x v="1"/>
    <x v="2"/>
    <n v="940500"/>
    <x v="1"/>
  </r>
  <r>
    <x v="1"/>
    <x v="3"/>
    <n v="800250"/>
    <x v="1"/>
  </r>
  <r>
    <x v="2"/>
    <x v="0"/>
    <n v="507540"/>
    <x v="1"/>
  </r>
  <r>
    <x v="2"/>
    <x v="1"/>
    <n v="448140"/>
    <x v="1"/>
  </r>
  <r>
    <x v="2"/>
    <x v="2"/>
    <n v="388740"/>
    <x v="1"/>
  </r>
  <r>
    <x v="2"/>
    <x v="3"/>
    <n v="396660"/>
    <x v="1"/>
  </r>
  <r>
    <x v="3"/>
    <x v="0"/>
    <n v="822000"/>
    <x v="1"/>
  </r>
  <r>
    <x v="3"/>
    <x v="1"/>
    <n v="578100"/>
    <x v="1"/>
  </r>
  <r>
    <x v="3"/>
    <x v="2"/>
    <n v="393000"/>
    <x v="1"/>
  </r>
  <r>
    <x v="3"/>
    <x v="3"/>
    <n v="319800"/>
    <x v="1"/>
  </r>
  <r>
    <x v="4"/>
    <x v="0"/>
    <n v="810950"/>
    <x v="1"/>
  </r>
  <r>
    <x v="4"/>
    <x v="1"/>
    <n v="517930"/>
    <x v="1"/>
  </r>
  <r>
    <x v="4"/>
    <x v="2"/>
    <n v="376320"/>
    <x v="1"/>
  </r>
  <r>
    <x v="4"/>
    <x v="3"/>
    <n v="381710"/>
    <x v="1"/>
  </r>
  <r>
    <x v="5"/>
    <x v="0"/>
    <n v="1285740"/>
    <x v="1"/>
  </r>
  <r>
    <x v="5"/>
    <x v="1"/>
    <n v="852660"/>
    <x v="1"/>
  </r>
  <r>
    <x v="5"/>
    <x v="2"/>
    <n v="648000"/>
    <x v="1"/>
  </r>
  <r>
    <x v="5"/>
    <x v="3"/>
    <n v="606420"/>
    <x v="1"/>
  </r>
  <r>
    <x v="6"/>
    <x v="0"/>
    <n v="778260"/>
    <x v="1"/>
  </r>
  <r>
    <x v="6"/>
    <x v="1"/>
    <n v="531760"/>
    <x v="1"/>
  </r>
  <r>
    <x v="6"/>
    <x v="2"/>
    <n v="408340"/>
    <x v="1"/>
  </r>
  <r>
    <x v="6"/>
    <x v="3"/>
    <n v="300560"/>
    <x v="1"/>
  </r>
  <r>
    <x v="0"/>
    <x v="0"/>
    <n v="1521460"/>
    <x v="2"/>
  </r>
  <r>
    <x v="0"/>
    <x v="1"/>
    <n v="817880"/>
    <x v="2"/>
  </r>
  <r>
    <x v="0"/>
    <x v="2"/>
    <n v="975360"/>
    <x v="2"/>
  </r>
  <r>
    <x v="0"/>
    <x v="3"/>
    <n v="793115"/>
    <x v="2"/>
  </r>
  <r>
    <x v="1"/>
    <x v="0"/>
    <n v="1990450"/>
    <x v="2"/>
  </r>
  <r>
    <x v="1"/>
    <x v="1"/>
    <n v="1147300"/>
    <x v="2"/>
  </r>
  <r>
    <x v="1"/>
    <x v="2"/>
    <n v="1115400"/>
    <x v="2"/>
  </r>
  <r>
    <x v="1"/>
    <x v="3"/>
    <n v="1170950"/>
    <x v="2"/>
  </r>
  <r>
    <x v="2"/>
    <x v="0"/>
    <n v="579480"/>
    <x v="2"/>
  </r>
  <r>
    <x v="2"/>
    <x v="1"/>
    <n v="279840"/>
    <x v="2"/>
  </r>
  <r>
    <x v="2"/>
    <x v="2"/>
    <n v="308220"/>
    <x v="2"/>
  </r>
  <r>
    <x v="2"/>
    <x v="3"/>
    <n v="438900"/>
    <x v="2"/>
  </r>
  <r>
    <x v="3"/>
    <x v="0"/>
    <n v="796800"/>
    <x v="2"/>
  </r>
  <r>
    <x v="3"/>
    <x v="1"/>
    <n v="492600"/>
    <x v="2"/>
  </r>
  <r>
    <x v="3"/>
    <x v="2"/>
    <n v="518700"/>
    <x v="2"/>
  </r>
  <r>
    <x v="3"/>
    <x v="3"/>
    <n v="408000"/>
    <x v="2"/>
  </r>
  <r>
    <x v="4"/>
    <x v="0"/>
    <n v="900130"/>
    <x v="2"/>
  </r>
  <r>
    <x v="4"/>
    <x v="1"/>
    <n v="419440"/>
    <x v="2"/>
  </r>
  <r>
    <x v="4"/>
    <x v="2"/>
    <n v="489020"/>
    <x v="2"/>
  </r>
  <r>
    <x v="4"/>
    <x v="3"/>
    <n v="620830"/>
    <x v="2"/>
  </r>
  <r>
    <x v="5"/>
    <x v="0"/>
    <n v="1580580"/>
    <x v="2"/>
  </r>
  <r>
    <x v="5"/>
    <x v="1"/>
    <n v="789480"/>
    <x v="2"/>
  </r>
  <r>
    <x v="5"/>
    <x v="2"/>
    <n v="815940"/>
    <x v="2"/>
  </r>
  <r>
    <x v="5"/>
    <x v="3"/>
    <n v="852120"/>
    <x v="2"/>
  </r>
  <r>
    <x v="6"/>
    <x v="0"/>
    <n v="884000"/>
    <x v="2"/>
  </r>
  <r>
    <x v="6"/>
    <x v="1"/>
    <n v="411400"/>
    <x v="2"/>
  </r>
  <r>
    <x v="6"/>
    <x v="2"/>
    <n v="457980"/>
    <x v="2"/>
  </r>
  <r>
    <x v="6"/>
    <x v="3"/>
    <n v="498780"/>
    <x v="2"/>
  </r>
</pivotCacheRecords>
</file>

<file path=xl/pivotCache/pivotCacheRecords3.xml><?xml version="1.0" encoding="utf-8"?>
<pivotCacheRecords xmlns="http://schemas.openxmlformats.org/spreadsheetml/2006/main" xmlns:r="http://schemas.openxmlformats.org/officeDocument/2006/relationships" count="84">
  <r>
    <x v="0"/>
    <x v="0"/>
    <n v="75772"/>
    <x v="0"/>
  </r>
  <r>
    <x v="0"/>
    <x v="1"/>
    <n v="84341"/>
    <x v="0"/>
  </r>
  <r>
    <x v="0"/>
    <x v="2"/>
    <n v="63378"/>
    <x v="0"/>
  </r>
  <r>
    <x v="0"/>
    <x v="3"/>
    <n v="41355"/>
    <x v="0"/>
  </r>
  <r>
    <x v="1"/>
    <x v="0"/>
    <n v="123628"/>
    <x v="0"/>
  </r>
  <r>
    <x v="1"/>
    <x v="1"/>
    <n v="95342"/>
    <x v="0"/>
  </r>
  <r>
    <x v="1"/>
    <x v="2"/>
    <n v="59857"/>
    <x v="0"/>
  </r>
  <r>
    <x v="1"/>
    <x v="3"/>
    <n v="38598"/>
    <x v="0"/>
  </r>
  <r>
    <x v="2"/>
    <x v="0"/>
    <n v="55832"/>
    <x v="0"/>
  </r>
  <r>
    <x v="2"/>
    <x v="1"/>
    <n v="47671"/>
    <x v="0"/>
  </r>
  <r>
    <x v="2"/>
    <x v="2"/>
    <n v="35210"/>
    <x v="0"/>
  </r>
  <r>
    <x v="2"/>
    <x v="3"/>
    <n v="24813"/>
    <x v="0"/>
  </r>
  <r>
    <x v="3"/>
    <x v="0"/>
    <n v="123628"/>
    <x v="0"/>
  </r>
  <r>
    <x v="3"/>
    <x v="1"/>
    <n v="73340"/>
    <x v="0"/>
  </r>
  <r>
    <x v="3"/>
    <x v="2"/>
    <n v="66899"/>
    <x v="0"/>
  </r>
  <r>
    <x v="3"/>
    <x v="3"/>
    <n v="33084"/>
    <x v="0"/>
  </r>
  <r>
    <x v="4"/>
    <x v="0"/>
    <n v="63808"/>
    <x v="0"/>
  </r>
  <r>
    <x v="4"/>
    <x v="1"/>
    <n v="55005"/>
    <x v="0"/>
  </r>
  <r>
    <x v="4"/>
    <x v="2"/>
    <n v="38731"/>
    <x v="0"/>
  </r>
  <r>
    <x v="4"/>
    <x v="3"/>
    <n v="19299"/>
    <x v="0"/>
  </r>
  <r>
    <x v="5"/>
    <x v="0"/>
    <n v="95712"/>
    <x v="0"/>
  </r>
  <r>
    <x v="5"/>
    <x v="1"/>
    <n v="84341"/>
    <x v="0"/>
  </r>
  <r>
    <x v="5"/>
    <x v="2"/>
    <n v="49294"/>
    <x v="0"/>
  </r>
  <r>
    <x v="5"/>
    <x v="3"/>
    <n v="19299"/>
    <x v="0"/>
  </r>
  <r>
    <x v="6"/>
    <x v="0"/>
    <n v="99700"/>
    <x v="0"/>
  </r>
  <r>
    <x v="6"/>
    <x v="1"/>
    <n v="62339"/>
    <x v="0"/>
  </r>
  <r>
    <x v="6"/>
    <x v="2"/>
    <n v="31689"/>
    <x v="0"/>
  </r>
  <r>
    <x v="6"/>
    <x v="3"/>
    <n v="22056"/>
    <x v="0"/>
  </r>
  <r>
    <x v="0"/>
    <x v="0"/>
    <n v="95712"/>
    <x v="1"/>
  </r>
  <r>
    <x v="0"/>
    <x v="1"/>
    <n v="91675"/>
    <x v="1"/>
  </r>
  <r>
    <x v="0"/>
    <x v="2"/>
    <n v="52815"/>
    <x v="1"/>
  </r>
  <r>
    <x v="0"/>
    <x v="3"/>
    <n v="35841"/>
    <x v="1"/>
  </r>
  <r>
    <x v="1"/>
    <x v="0"/>
    <n v="119640"/>
    <x v="1"/>
  </r>
  <r>
    <x v="1"/>
    <x v="1"/>
    <n v="95342"/>
    <x v="1"/>
  </r>
  <r>
    <x v="1"/>
    <x v="2"/>
    <n v="56336"/>
    <x v="1"/>
  </r>
  <r>
    <x v="1"/>
    <x v="3"/>
    <n v="38598"/>
    <x v="1"/>
  </r>
  <r>
    <x v="2"/>
    <x v="0"/>
    <n v="39880"/>
    <x v="1"/>
  </r>
  <r>
    <x v="2"/>
    <x v="1"/>
    <n v="44004"/>
    <x v="1"/>
  </r>
  <r>
    <x v="2"/>
    <x v="2"/>
    <n v="31689"/>
    <x v="1"/>
  </r>
  <r>
    <x v="2"/>
    <x v="3"/>
    <n v="22056"/>
    <x v="1"/>
  </r>
  <r>
    <x v="3"/>
    <x v="0"/>
    <n v="95712"/>
    <x v="1"/>
  </r>
  <r>
    <x v="3"/>
    <x v="1"/>
    <n v="66006"/>
    <x v="1"/>
  </r>
  <r>
    <x v="3"/>
    <x v="2"/>
    <n v="49294"/>
    <x v="1"/>
  </r>
  <r>
    <x v="3"/>
    <x v="3"/>
    <n v="52383"/>
    <x v="1"/>
  </r>
  <r>
    <x v="4"/>
    <x v="0"/>
    <n v="55832"/>
    <x v="1"/>
  </r>
  <r>
    <x v="4"/>
    <x v="1"/>
    <n v="44004"/>
    <x v="1"/>
  </r>
  <r>
    <x v="4"/>
    <x v="2"/>
    <n v="38731"/>
    <x v="1"/>
  </r>
  <r>
    <x v="4"/>
    <x v="3"/>
    <n v="27570"/>
    <x v="1"/>
  </r>
  <r>
    <x v="5"/>
    <x v="0"/>
    <n v="107676"/>
    <x v="1"/>
  </r>
  <r>
    <x v="5"/>
    <x v="1"/>
    <n v="91675"/>
    <x v="1"/>
  </r>
  <r>
    <x v="5"/>
    <x v="2"/>
    <n v="45773"/>
    <x v="1"/>
  </r>
  <r>
    <x v="5"/>
    <x v="3"/>
    <n v="41355"/>
    <x v="1"/>
  </r>
  <r>
    <x v="6"/>
    <x v="0"/>
    <n v="99700"/>
    <x v="1"/>
  </r>
  <r>
    <x v="6"/>
    <x v="1"/>
    <n v="77007"/>
    <x v="1"/>
  </r>
  <r>
    <x v="6"/>
    <x v="2"/>
    <n v="59857"/>
    <x v="1"/>
  </r>
  <r>
    <x v="6"/>
    <x v="3"/>
    <n v="44112"/>
    <x v="1"/>
  </r>
  <r>
    <x v="0"/>
    <x v="0"/>
    <n v="111664"/>
    <x v="2"/>
  </r>
  <r>
    <x v="0"/>
    <x v="1"/>
    <n v="73340"/>
    <x v="2"/>
  </r>
  <r>
    <x v="0"/>
    <x v="2"/>
    <n v="88025"/>
    <x v="2"/>
  </r>
  <r>
    <x v="0"/>
    <x v="3"/>
    <n v="35841"/>
    <x v="2"/>
  </r>
  <r>
    <x v="1"/>
    <x v="0"/>
    <n v="139580"/>
    <x v="2"/>
  </r>
  <r>
    <x v="1"/>
    <x v="1"/>
    <n v="73340"/>
    <x v="2"/>
  </r>
  <r>
    <x v="1"/>
    <x v="2"/>
    <n v="77462"/>
    <x v="2"/>
  </r>
  <r>
    <x v="1"/>
    <x v="3"/>
    <n v="63411"/>
    <x v="2"/>
  </r>
  <r>
    <x v="2"/>
    <x v="0"/>
    <n v="55832"/>
    <x v="2"/>
  </r>
  <r>
    <x v="2"/>
    <x v="1"/>
    <n v="69673"/>
    <x v="2"/>
  </r>
  <r>
    <x v="2"/>
    <x v="2"/>
    <n v="21126"/>
    <x v="2"/>
  </r>
  <r>
    <x v="2"/>
    <x v="3"/>
    <n v="13785"/>
    <x v="2"/>
  </r>
  <r>
    <x v="3"/>
    <x v="0"/>
    <n v="127616"/>
    <x v="2"/>
  </r>
  <r>
    <x v="3"/>
    <x v="1"/>
    <n v="95342"/>
    <x v="2"/>
  </r>
  <r>
    <x v="3"/>
    <x v="2"/>
    <n v="98588"/>
    <x v="2"/>
  </r>
  <r>
    <x v="3"/>
    <x v="3"/>
    <n v="46869"/>
    <x v="2"/>
  </r>
  <r>
    <x v="4"/>
    <x v="0"/>
    <n v="107676"/>
    <x v="2"/>
  </r>
  <r>
    <x v="4"/>
    <x v="1"/>
    <n v="44004"/>
    <x v="2"/>
  </r>
  <r>
    <x v="4"/>
    <x v="2"/>
    <n v="56336"/>
    <x v="2"/>
  </r>
  <r>
    <x v="4"/>
    <x v="3"/>
    <n v="46869"/>
    <x v="2"/>
  </r>
  <r>
    <x v="5"/>
    <x v="0"/>
    <n v="135592"/>
    <x v="2"/>
  </r>
  <r>
    <x v="5"/>
    <x v="1"/>
    <n v="99009"/>
    <x v="2"/>
  </r>
  <r>
    <x v="5"/>
    <x v="2"/>
    <n v="80983"/>
    <x v="2"/>
  </r>
  <r>
    <x v="5"/>
    <x v="3"/>
    <n v="44112"/>
    <x v="2"/>
  </r>
  <r>
    <x v="6"/>
    <x v="0"/>
    <n v="91724"/>
    <x v="2"/>
  </r>
  <r>
    <x v="6"/>
    <x v="1"/>
    <n v="51338"/>
    <x v="2"/>
  </r>
  <r>
    <x v="6"/>
    <x v="2"/>
    <n v="84504"/>
    <x v="2"/>
  </r>
  <r>
    <x v="6"/>
    <x v="3"/>
    <n v="49626"/>
    <x v="2"/>
  </r>
</pivotCacheRecords>
</file>

<file path=xl/pivotCache/pivotCacheRecords4.xml><?xml version="1.0" encoding="utf-8"?>
<pivotCacheRecords xmlns="http://schemas.openxmlformats.org/spreadsheetml/2006/main" xmlns:r="http://schemas.openxmlformats.org/officeDocument/2006/relationships" count="84">
  <r>
    <x v="0"/>
    <x v="0"/>
    <n v="1377750"/>
    <x v="0"/>
  </r>
  <r>
    <x v="0"/>
    <x v="1"/>
    <n v="987000"/>
    <x v="0"/>
  </r>
  <r>
    <x v="0"/>
    <x v="2"/>
    <n v="653250"/>
    <x v="0"/>
  </r>
  <r>
    <x v="0"/>
    <x v="3"/>
    <n v="512250"/>
    <x v="0"/>
  </r>
  <r>
    <x v="1"/>
    <x v="0"/>
    <n v="2208700"/>
    <x v="0"/>
  </r>
  <r>
    <x v="1"/>
    <x v="1"/>
    <n v="1813500"/>
    <x v="0"/>
  </r>
  <r>
    <x v="1"/>
    <x v="2"/>
    <n v="1021150"/>
    <x v="0"/>
  </r>
  <r>
    <x v="1"/>
    <x v="3"/>
    <n v="809900"/>
    <x v="0"/>
  </r>
  <r>
    <x v="2"/>
    <x v="0"/>
    <n v="751400"/>
    <x v="0"/>
  </r>
  <r>
    <x v="2"/>
    <x v="1"/>
    <n v="460700"/>
    <x v="0"/>
  </r>
  <r>
    <x v="2"/>
    <x v="2"/>
    <n v="438600"/>
    <x v="0"/>
  </r>
  <r>
    <x v="2"/>
    <x v="3"/>
    <n v="544000"/>
    <x v="0"/>
  </r>
  <r>
    <x v="3"/>
    <x v="0"/>
    <n v="994800"/>
    <x v="0"/>
  </r>
  <r>
    <x v="3"/>
    <x v="1"/>
    <n v="787200"/>
    <x v="0"/>
  </r>
  <r>
    <x v="3"/>
    <x v="2"/>
    <n v="502000"/>
    <x v="0"/>
  </r>
  <r>
    <x v="3"/>
    <x v="3"/>
    <n v="460000"/>
    <x v="0"/>
  </r>
  <r>
    <x v="4"/>
    <x v="0"/>
    <n v="1198400"/>
    <x v="0"/>
  </r>
  <r>
    <x v="4"/>
    <x v="1"/>
    <n v="954800"/>
    <x v="0"/>
  </r>
  <r>
    <x v="4"/>
    <x v="2"/>
    <n v="499800"/>
    <x v="0"/>
  </r>
  <r>
    <x v="4"/>
    <x v="3"/>
    <n v="480200"/>
    <x v="0"/>
  </r>
  <r>
    <x v="5"/>
    <x v="0"/>
    <n v="1790400"/>
    <x v="0"/>
  </r>
  <r>
    <x v="5"/>
    <x v="1"/>
    <n v="1367200"/>
    <x v="0"/>
  </r>
  <r>
    <x v="5"/>
    <x v="2"/>
    <n v="883200"/>
    <x v="0"/>
  </r>
  <r>
    <x v="5"/>
    <x v="3"/>
    <n v="777600"/>
    <x v="0"/>
  </r>
  <r>
    <x v="6"/>
    <x v="0"/>
    <n v="1094880"/>
    <x v="0"/>
  </r>
  <r>
    <x v="6"/>
    <x v="1"/>
    <n v="829920"/>
    <x v="0"/>
  </r>
  <r>
    <x v="6"/>
    <x v="2"/>
    <n v="538080"/>
    <x v="0"/>
  </r>
  <r>
    <x v="6"/>
    <x v="3"/>
    <n v="438720"/>
    <x v="0"/>
  </r>
  <r>
    <x v="0"/>
    <x v="0"/>
    <n v="1446000"/>
    <x v="1"/>
  </r>
  <r>
    <x v="0"/>
    <x v="1"/>
    <n v="1134000"/>
    <x v="1"/>
  </r>
  <r>
    <x v="0"/>
    <x v="2"/>
    <n v="837000"/>
    <x v="1"/>
  </r>
  <r>
    <x v="0"/>
    <x v="3"/>
    <n v="804750"/>
    <x v="1"/>
  </r>
  <r>
    <x v="1"/>
    <x v="0"/>
    <n v="2007200"/>
    <x v="1"/>
  </r>
  <r>
    <x v="1"/>
    <x v="1"/>
    <n v="1469000"/>
    <x v="1"/>
  </r>
  <r>
    <x v="1"/>
    <x v="2"/>
    <n v="1111500"/>
    <x v="1"/>
  </r>
  <r>
    <x v="1"/>
    <x v="3"/>
    <n v="945750"/>
    <x v="1"/>
  </r>
  <r>
    <x v="2"/>
    <x v="0"/>
    <n v="653650"/>
    <x v="1"/>
  </r>
  <r>
    <x v="2"/>
    <x v="1"/>
    <n v="577150"/>
    <x v="1"/>
  </r>
  <r>
    <x v="2"/>
    <x v="2"/>
    <n v="500650"/>
    <x v="1"/>
  </r>
  <r>
    <x v="2"/>
    <x v="3"/>
    <n v="510850"/>
    <x v="1"/>
  </r>
  <r>
    <x v="3"/>
    <x v="0"/>
    <n v="1096000"/>
    <x v="1"/>
  </r>
  <r>
    <x v="3"/>
    <x v="1"/>
    <n v="770800"/>
    <x v="1"/>
  </r>
  <r>
    <x v="3"/>
    <x v="2"/>
    <n v="524000"/>
    <x v="1"/>
  </r>
  <r>
    <x v="3"/>
    <x v="3"/>
    <n v="426400"/>
    <x v="1"/>
  </r>
  <r>
    <x v="4"/>
    <x v="0"/>
    <n v="1158500"/>
    <x v="1"/>
  </r>
  <r>
    <x v="4"/>
    <x v="1"/>
    <n v="739900"/>
    <x v="1"/>
  </r>
  <r>
    <x v="4"/>
    <x v="2"/>
    <n v="537600"/>
    <x v="1"/>
  </r>
  <r>
    <x v="4"/>
    <x v="3"/>
    <n v="545300"/>
    <x v="1"/>
  </r>
  <r>
    <x v="5"/>
    <x v="0"/>
    <n v="1904800"/>
    <x v="1"/>
  </r>
  <r>
    <x v="5"/>
    <x v="1"/>
    <n v="1263200"/>
    <x v="1"/>
  </r>
  <r>
    <x v="5"/>
    <x v="2"/>
    <n v="960000"/>
    <x v="1"/>
  </r>
  <r>
    <x v="5"/>
    <x v="3"/>
    <n v="898400"/>
    <x v="1"/>
  </r>
  <r>
    <x v="6"/>
    <x v="0"/>
    <n v="1098720"/>
    <x v="1"/>
  </r>
  <r>
    <x v="6"/>
    <x v="1"/>
    <n v="750720"/>
    <x v="1"/>
  </r>
  <r>
    <x v="6"/>
    <x v="2"/>
    <n v="576480"/>
    <x v="1"/>
  </r>
  <r>
    <x v="6"/>
    <x v="3"/>
    <n v="424320"/>
    <x v="1"/>
  </r>
  <r>
    <x v="0"/>
    <x v="0"/>
    <n v="1797000"/>
    <x v="2"/>
  </r>
  <r>
    <x v="0"/>
    <x v="1"/>
    <n v="966000"/>
    <x v="2"/>
  </r>
  <r>
    <x v="0"/>
    <x v="2"/>
    <n v="1152000"/>
    <x v="2"/>
  </r>
  <r>
    <x v="0"/>
    <x v="3"/>
    <n v="936750"/>
    <x v="2"/>
  </r>
  <r>
    <x v="1"/>
    <x v="0"/>
    <n v="2352350"/>
    <x v="2"/>
  </r>
  <r>
    <x v="1"/>
    <x v="1"/>
    <n v="1355900"/>
    <x v="2"/>
  </r>
  <r>
    <x v="1"/>
    <x v="2"/>
    <n v="1318200"/>
    <x v="2"/>
  </r>
  <r>
    <x v="1"/>
    <x v="3"/>
    <n v="1383850"/>
    <x v="2"/>
  </r>
  <r>
    <x v="2"/>
    <x v="0"/>
    <n v="746300"/>
    <x v="2"/>
  </r>
  <r>
    <x v="2"/>
    <x v="1"/>
    <n v="360400"/>
    <x v="2"/>
  </r>
  <r>
    <x v="2"/>
    <x v="2"/>
    <n v="396950"/>
    <x v="2"/>
  </r>
  <r>
    <x v="2"/>
    <x v="3"/>
    <n v="565250"/>
    <x v="2"/>
  </r>
  <r>
    <x v="3"/>
    <x v="0"/>
    <n v="1062400"/>
    <x v="2"/>
  </r>
  <r>
    <x v="3"/>
    <x v="1"/>
    <n v="656800"/>
    <x v="2"/>
  </r>
  <r>
    <x v="3"/>
    <x v="2"/>
    <n v="691600"/>
    <x v="2"/>
  </r>
  <r>
    <x v="3"/>
    <x v="3"/>
    <n v="544000"/>
    <x v="2"/>
  </r>
  <r>
    <x v="4"/>
    <x v="0"/>
    <n v="1285900"/>
    <x v="2"/>
  </r>
  <r>
    <x v="4"/>
    <x v="1"/>
    <n v="599200"/>
    <x v="2"/>
  </r>
  <r>
    <x v="4"/>
    <x v="2"/>
    <n v="698600"/>
    <x v="2"/>
  </r>
  <r>
    <x v="4"/>
    <x v="3"/>
    <n v="886900"/>
    <x v="2"/>
  </r>
  <r>
    <x v="5"/>
    <x v="0"/>
    <n v="2341600"/>
    <x v="2"/>
  </r>
  <r>
    <x v="5"/>
    <x v="1"/>
    <n v="1169600"/>
    <x v="2"/>
  </r>
  <r>
    <x v="5"/>
    <x v="2"/>
    <n v="1208800"/>
    <x v="2"/>
  </r>
  <r>
    <x v="5"/>
    <x v="3"/>
    <n v="1262400"/>
    <x v="2"/>
  </r>
  <r>
    <x v="6"/>
    <x v="0"/>
    <n v="1248000"/>
    <x v="2"/>
  </r>
  <r>
    <x v="6"/>
    <x v="1"/>
    <n v="580800"/>
    <x v="2"/>
  </r>
  <r>
    <x v="6"/>
    <x v="2"/>
    <n v="646560"/>
    <x v="2"/>
  </r>
  <r>
    <x v="6"/>
    <x v="3"/>
    <n v="704160"/>
    <x v="2"/>
  </r>
</pivotCacheRecords>
</file>

<file path=xl/pivotCache/pivotCacheRecords5.xml><?xml version="1.0" encoding="utf-8"?>
<pivotCacheRecords xmlns="http://schemas.openxmlformats.org/spreadsheetml/2006/main" xmlns:r="http://schemas.openxmlformats.org/officeDocument/2006/relationships" count="84">
  <r>
    <x v="0"/>
    <x v="0"/>
    <n v="211255"/>
    <x v="0"/>
  </r>
  <r>
    <x v="0"/>
    <x v="1"/>
    <n v="151340"/>
    <x v="0"/>
  </r>
  <r>
    <x v="0"/>
    <x v="2"/>
    <n v="100165"/>
    <x v="0"/>
  </r>
  <r>
    <x v="0"/>
    <x v="3"/>
    <n v="78545"/>
    <x v="0"/>
  </r>
  <r>
    <x v="1"/>
    <x v="0"/>
    <n v="339800"/>
    <x v="0"/>
  </r>
  <r>
    <x v="1"/>
    <x v="1"/>
    <n v="279000"/>
    <x v="0"/>
  </r>
  <r>
    <x v="1"/>
    <x v="2"/>
    <n v="157100"/>
    <x v="0"/>
  </r>
  <r>
    <x v="1"/>
    <x v="3"/>
    <n v="124600"/>
    <x v="0"/>
  </r>
  <r>
    <x v="2"/>
    <x v="0"/>
    <n v="167960"/>
    <x v="0"/>
  </r>
  <r>
    <x v="2"/>
    <x v="1"/>
    <n v="102980"/>
    <x v="0"/>
  </r>
  <r>
    <x v="2"/>
    <x v="2"/>
    <n v="98040"/>
    <x v="0"/>
  </r>
  <r>
    <x v="2"/>
    <x v="3"/>
    <n v="121600"/>
    <x v="0"/>
  </r>
  <r>
    <x v="3"/>
    <x v="0"/>
    <n v="248700"/>
    <x v="0"/>
  </r>
  <r>
    <x v="3"/>
    <x v="1"/>
    <n v="196800"/>
    <x v="0"/>
  </r>
  <r>
    <x v="3"/>
    <x v="2"/>
    <n v="125500"/>
    <x v="0"/>
  </r>
  <r>
    <x v="3"/>
    <x v="3"/>
    <n v="115000"/>
    <x v="0"/>
  </r>
  <r>
    <x v="4"/>
    <x v="0"/>
    <n v="359520"/>
    <x v="0"/>
  </r>
  <r>
    <x v="4"/>
    <x v="1"/>
    <n v="286440"/>
    <x v="0"/>
  </r>
  <r>
    <x v="4"/>
    <x v="2"/>
    <n v="149940"/>
    <x v="0"/>
  </r>
  <r>
    <x v="4"/>
    <x v="3"/>
    <n v="144060"/>
    <x v="0"/>
  </r>
  <r>
    <x v="5"/>
    <x v="0"/>
    <n v="581880"/>
    <x v="0"/>
  </r>
  <r>
    <x v="5"/>
    <x v="1"/>
    <n v="444340"/>
    <x v="0"/>
  </r>
  <r>
    <x v="5"/>
    <x v="2"/>
    <n v="287040"/>
    <x v="0"/>
  </r>
  <r>
    <x v="5"/>
    <x v="3"/>
    <n v="252720"/>
    <x v="0"/>
  </r>
  <r>
    <x v="6"/>
    <x v="0"/>
    <n v="319340"/>
    <x v="0"/>
  </r>
  <r>
    <x v="6"/>
    <x v="1"/>
    <n v="242060"/>
    <x v="0"/>
  </r>
  <r>
    <x v="6"/>
    <x v="2"/>
    <n v="156940"/>
    <x v="0"/>
  </r>
  <r>
    <x v="6"/>
    <x v="3"/>
    <n v="127960"/>
    <x v="0"/>
  </r>
  <r>
    <x v="0"/>
    <x v="0"/>
    <n v="221720"/>
    <x v="1"/>
  </r>
  <r>
    <x v="0"/>
    <x v="1"/>
    <n v="173880"/>
    <x v="1"/>
  </r>
  <r>
    <x v="0"/>
    <x v="2"/>
    <n v="128340"/>
    <x v="1"/>
  </r>
  <r>
    <x v="0"/>
    <x v="3"/>
    <n v="123395"/>
    <x v="1"/>
  </r>
  <r>
    <x v="1"/>
    <x v="0"/>
    <n v="308800"/>
    <x v="1"/>
  </r>
  <r>
    <x v="1"/>
    <x v="1"/>
    <n v="226000"/>
    <x v="1"/>
  </r>
  <r>
    <x v="1"/>
    <x v="2"/>
    <n v="171000"/>
    <x v="1"/>
  </r>
  <r>
    <x v="1"/>
    <x v="3"/>
    <n v="145500"/>
    <x v="1"/>
  </r>
  <r>
    <x v="2"/>
    <x v="0"/>
    <n v="146110"/>
    <x v="1"/>
  </r>
  <r>
    <x v="2"/>
    <x v="1"/>
    <n v="129010"/>
    <x v="1"/>
  </r>
  <r>
    <x v="2"/>
    <x v="2"/>
    <n v="111910"/>
    <x v="1"/>
  </r>
  <r>
    <x v="2"/>
    <x v="3"/>
    <n v="114190"/>
    <x v="1"/>
  </r>
  <r>
    <x v="3"/>
    <x v="0"/>
    <n v="274000"/>
    <x v="1"/>
  </r>
  <r>
    <x v="3"/>
    <x v="1"/>
    <n v="192700"/>
    <x v="1"/>
  </r>
  <r>
    <x v="3"/>
    <x v="2"/>
    <n v="131000"/>
    <x v="1"/>
  </r>
  <r>
    <x v="3"/>
    <x v="3"/>
    <n v="106600"/>
    <x v="1"/>
  </r>
  <r>
    <x v="4"/>
    <x v="0"/>
    <n v="347550"/>
    <x v="1"/>
  </r>
  <r>
    <x v="4"/>
    <x v="1"/>
    <n v="221970"/>
    <x v="1"/>
  </r>
  <r>
    <x v="4"/>
    <x v="2"/>
    <n v="161280"/>
    <x v="1"/>
  </r>
  <r>
    <x v="4"/>
    <x v="3"/>
    <n v="163590"/>
    <x v="1"/>
  </r>
  <r>
    <x v="5"/>
    <x v="0"/>
    <n v="619060"/>
    <x v="1"/>
  </r>
  <r>
    <x v="5"/>
    <x v="1"/>
    <n v="410540"/>
    <x v="1"/>
  </r>
  <r>
    <x v="5"/>
    <x v="2"/>
    <n v="312000"/>
    <x v="1"/>
  </r>
  <r>
    <x v="5"/>
    <x v="3"/>
    <n v="291980"/>
    <x v="1"/>
  </r>
  <r>
    <x v="6"/>
    <x v="0"/>
    <n v="320460"/>
    <x v="1"/>
  </r>
  <r>
    <x v="6"/>
    <x v="1"/>
    <n v="218960"/>
    <x v="1"/>
  </r>
  <r>
    <x v="6"/>
    <x v="2"/>
    <n v="168140"/>
    <x v="1"/>
  </r>
  <r>
    <x v="6"/>
    <x v="3"/>
    <n v="123760"/>
    <x v="1"/>
  </r>
  <r>
    <x v="0"/>
    <x v="0"/>
    <n v="275540"/>
    <x v="2"/>
  </r>
  <r>
    <x v="0"/>
    <x v="1"/>
    <n v="148120"/>
    <x v="2"/>
  </r>
  <r>
    <x v="0"/>
    <x v="2"/>
    <n v="176640"/>
    <x v="2"/>
  </r>
  <r>
    <x v="0"/>
    <x v="3"/>
    <n v="143635"/>
    <x v="2"/>
  </r>
  <r>
    <x v="1"/>
    <x v="0"/>
    <n v="361900"/>
    <x v="2"/>
  </r>
  <r>
    <x v="1"/>
    <x v="1"/>
    <n v="208600"/>
    <x v="2"/>
  </r>
  <r>
    <x v="1"/>
    <x v="2"/>
    <n v="202800"/>
    <x v="2"/>
  </r>
  <r>
    <x v="1"/>
    <x v="3"/>
    <n v="212900"/>
    <x v="2"/>
  </r>
  <r>
    <x v="2"/>
    <x v="0"/>
    <n v="166820"/>
    <x v="2"/>
  </r>
  <r>
    <x v="2"/>
    <x v="1"/>
    <n v="80560"/>
    <x v="2"/>
  </r>
  <r>
    <x v="2"/>
    <x v="2"/>
    <n v="88730"/>
    <x v="2"/>
  </r>
  <r>
    <x v="2"/>
    <x v="3"/>
    <n v="126350"/>
    <x v="2"/>
  </r>
  <r>
    <x v="3"/>
    <x v="0"/>
    <n v="265600"/>
    <x v="2"/>
  </r>
  <r>
    <x v="3"/>
    <x v="1"/>
    <n v="164200"/>
    <x v="2"/>
  </r>
  <r>
    <x v="3"/>
    <x v="2"/>
    <n v="172900"/>
    <x v="2"/>
  </r>
  <r>
    <x v="3"/>
    <x v="3"/>
    <n v="136000"/>
    <x v="2"/>
  </r>
  <r>
    <x v="4"/>
    <x v="0"/>
    <n v="385770"/>
    <x v="2"/>
  </r>
  <r>
    <x v="4"/>
    <x v="1"/>
    <n v="179760"/>
    <x v="2"/>
  </r>
  <r>
    <x v="4"/>
    <x v="2"/>
    <n v="209580"/>
    <x v="2"/>
  </r>
  <r>
    <x v="4"/>
    <x v="3"/>
    <n v="266070"/>
    <x v="2"/>
  </r>
  <r>
    <x v="5"/>
    <x v="0"/>
    <n v="761020"/>
    <x v="2"/>
  </r>
  <r>
    <x v="5"/>
    <x v="1"/>
    <n v="380120"/>
    <x v="2"/>
  </r>
  <r>
    <x v="5"/>
    <x v="2"/>
    <n v="392860"/>
    <x v="2"/>
  </r>
  <r>
    <x v="5"/>
    <x v="3"/>
    <n v="410280"/>
    <x v="2"/>
  </r>
  <r>
    <x v="6"/>
    <x v="0"/>
    <n v="364000"/>
    <x v="2"/>
  </r>
  <r>
    <x v="6"/>
    <x v="1"/>
    <n v="169400"/>
    <x v="2"/>
  </r>
  <r>
    <x v="6"/>
    <x v="2"/>
    <n v="188580"/>
    <x v="2"/>
  </r>
  <r>
    <x v="6"/>
    <x v="3"/>
    <n v="205380"/>
    <x v="2"/>
  </r>
</pivotCacheRecords>
</file>

<file path=xl/pivotCache/pivotCacheRecords6.xml><?xml version="1.0" encoding="utf-8"?>
<pivotCacheRecords xmlns="http://schemas.openxmlformats.org/spreadsheetml/2006/main" xmlns:r="http://schemas.openxmlformats.org/officeDocument/2006/relationships" count="84">
  <r>
    <x v="0"/>
    <x v="0"/>
    <n v="-8.1500000000000017E-2"/>
    <x v="0"/>
  </r>
  <r>
    <x v="0"/>
    <x v="1"/>
    <n v="-0.26888888888888884"/>
    <x v="0"/>
  </r>
  <r>
    <x v="0"/>
    <x v="2"/>
    <n v="-0.20818181818181813"/>
    <x v="0"/>
  </r>
  <r>
    <x v="0"/>
    <x v="3"/>
    <n v="-0.14624999999999999"/>
    <x v="0"/>
  </r>
  <r>
    <x v="1"/>
    <x v="0"/>
    <n v="0.13266666666666671"/>
    <x v="0"/>
  </r>
  <r>
    <x v="1"/>
    <x v="1"/>
    <n v="7.3076923076923039E-2"/>
    <x v="0"/>
  </r>
  <r>
    <x v="1"/>
    <x v="2"/>
    <n v="-1.8124999999999947E-2"/>
    <x v="0"/>
  </r>
  <r>
    <x v="1"/>
    <x v="3"/>
    <n v="0.1327272727272728"/>
    <x v="0"/>
  </r>
  <r>
    <x v="2"/>
    <x v="0"/>
    <n v="0.10499999999999998"/>
    <x v="0"/>
  </r>
  <r>
    <x v="2"/>
    <x v="1"/>
    <n v="-0.22571428571428576"/>
    <x v="0"/>
  </r>
  <r>
    <x v="2"/>
    <x v="2"/>
    <n v="3.2000000000000028E-2"/>
    <x v="0"/>
  </r>
  <r>
    <x v="2"/>
    <x v="3"/>
    <n v="1.1333333333333333"/>
    <x v="0"/>
  </r>
  <r>
    <x v="3"/>
    <x v="0"/>
    <n v="3.6249999999999893E-2"/>
    <x v="0"/>
  </r>
  <r>
    <x v="3"/>
    <x v="1"/>
    <n v="-6.2857142857142834E-2"/>
    <x v="0"/>
  </r>
  <r>
    <x v="3"/>
    <x v="2"/>
    <n v="-3.4615384615384603E-2"/>
    <x v="0"/>
  </r>
  <r>
    <x v="3"/>
    <x v="3"/>
    <n v="0.27777777777777768"/>
    <x v="0"/>
  </r>
  <r>
    <x v="4"/>
    <x v="0"/>
    <n v="0.22285714285714286"/>
    <x v="0"/>
  </r>
  <r>
    <x v="4"/>
    <x v="1"/>
    <n v="0.13666666666666671"/>
    <x v="0"/>
  </r>
  <r>
    <x v="4"/>
    <x v="2"/>
    <n v="-0.10750000000000004"/>
    <x v="0"/>
  </r>
  <r>
    <x v="4"/>
    <x v="3"/>
    <n v="0.37200000000000011"/>
    <x v="0"/>
  </r>
  <r>
    <x v="5"/>
    <x v="0"/>
    <n v="0.11899999999999999"/>
    <x v="0"/>
  </r>
  <r>
    <x v="5"/>
    <x v="1"/>
    <n v="-5.0555555555555576E-2"/>
    <x v="0"/>
  </r>
  <r>
    <x v="5"/>
    <x v="2"/>
    <n v="3.6363636363636598E-3"/>
    <x v="0"/>
  </r>
  <r>
    <x v="5"/>
    <x v="3"/>
    <n v="0.21500000000000008"/>
    <x v="0"/>
  </r>
  <r>
    <x v="6"/>
    <x v="0"/>
    <n v="0.20052631578947366"/>
    <x v="0"/>
  </r>
  <r>
    <x v="6"/>
    <x v="1"/>
    <n v="1.7058823529411793E-2"/>
    <x v="0"/>
  </r>
  <r>
    <x v="6"/>
    <x v="2"/>
    <n v="0.121"/>
    <x v="0"/>
  </r>
  <r>
    <x v="6"/>
    <x v="3"/>
    <n v="0.30571428571428561"/>
    <x v="0"/>
  </r>
  <r>
    <x v="0"/>
    <x v="0"/>
    <n v="-3.6000000000000032E-2"/>
    <x v="1"/>
  </r>
  <r>
    <x v="0"/>
    <x v="1"/>
    <n v="-5.5000000000000049E-2"/>
    <x v="1"/>
  </r>
  <r>
    <x v="0"/>
    <x v="2"/>
    <n v="1.4545454545454639E-2"/>
    <x v="1"/>
  </r>
  <r>
    <x v="0"/>
    <x v="3"/>
    <n v="0.19222222222222229"/>
    <x v="1"/>
  </r>
  <r>
    <x v="1"/>
    <x v="0"/>
    <n v="2.9333333333333433E-2"/>
    <x v="1"/>
  </r>
  <r>
    <x v="1"/>
    <x v="1"/>
    <n v="-1.7391304347826098E-2"/>
    <x v="1"/>
  </r>
  <r>
    <x v="1"/>
    <x v="2"/>
    <n v="6.8750000000000089E-2"/>
    <x v="1"/>
  </r>
  <r>
    <x v="1"/>
    <x v="3"/>
    <n v="0.11923076923076925"/>
    <x v="1"/>
  </r>
  <r>
    <x v="2"/>
    <x v="0"/>
    <n v="-3.8749999999999951E-2"/>
    <x v="1"/>
  </r>
  <r>
    <x v="2"/>
    <x v="1"/>
    <n v="-3.0000000000000027E-2"/>
    <x v="1"/>
  </r>
  <r>
    <x v="2"/>
    <x v="2"/>
    <n v="0.17799999999999994"/>
    <x v="1"/>
  </r>
  <r>
    <x v="2"/>
    <x v="3"/>
    <n v="0.50249999999999995"/>
    <x v="1"/>
  </r>
  <r>
    <x v="3"/>
    <x v="0"/>
    <n v="0.14166666666666661"/>
    <x v="1"/>
  </r>
  <r>
    <x v="3"/>
    <x v="1"/>
    <n v="1.4210526315789451E-2"/>
    <x v="1"/>
  </r>
  <r>
    <x v="3"/>
    <x v="2"/>
    <n v="7.692307692307665E-3"/>
    <x v="1"/>
  </r>
  <r>
    <x v="3"/>
    <x v="3"/>
    <n v="6.6000000000000059E-2"/>
    <x v="1"/>
  </r>
  <r>
    <x v="4"/>
    <x v="0"/>
    <n v="0.18214285714285716"/>
    <x v="1"/>
  </r>
  <r>
    <x v="4"/>
    <x v="1"/>
    <n v="-3.9090909090909065E-2"/>
    <x v="1"/>
  </r>
  <r>
    <x v="4"/>
    <x v="2"/>
    <n v="-4.0000000000000036E-2"/>
    <x v="1"/>
  </r>
  <r>
    <x v="4"/>
    <x v="3"/>
    <n v="0.29833333333333334"/>
    <x v="1"/>
  </r>
  <r>
    <x v="5"/>
    <x v="0"/>
    <n v="0.19049999999999989"/>
    <x v="1"/>
  </r>
  <r>
    <x v="5"/>
    <x v="1"/>
    <n v="-1.3125000000000053E-2"/>
    <x v="1"/>
  </r>
  <r>
    <x v="5"/>
    <x v="2"/>
    <n v="9.0909090909090828E-2"/>
    <x v="1"/>
  </r>
  <r>
    <x v="5"/>
    <x v="3"/>
    <n v="0.24777777777777787"/>
    <x v="1"/>
  </r>
  <r>
    <x v="6"/>
    <x v="0"/>
    <n v="0.20473684210526311"/>
    <x v="1"/>
  </r>
  <r>
    <x v="6"/>
    <x v="1"/>
    <n v="4.2666666666666631E-2"/>
    <x v="1"/>
  </r>
  <r>
    <x v="6"/>
    <x v="2"/>
    <n v="9.1818181818181799E-2"/>
    <x v="1"/>
  </r>
  <r>
    <x v="6"/>
    <x v="3"/>
    <n v="0.10499999999999998"/>
    <x v="1"/>
  </r>
  <r>
    <x v="0"/>
    <x v="0"/>
    <n v="0.11962616822429917"/>
    <x v="2"/>
  </r>
  <r>
    <x v="0"/>
    <x v="1"/>
    <n v="-7.999999999999996E-2"/>
    <x v="2"/>
  </r>
  <r>
    <x v="0"/>
    <x v="2"/>
    <n v="0.18153846153846165"/>
    <x v="2"/>
  </r>
  <r>
    <x v="0"/>
    <x v="3"/>
    <n v="0.13545454545454549"/>
    <x v="2"/>
  </r>
  <r>
    <x v="1"/>
    <x v="0"/>
    <n v="0.12741433021806858"/>
    <x v="2"/>
  </r>
  <r>
    <x v="1"/>
    <x v="1"/>
    <n v="-6.6666666666667096E-3"/>
    <x v="2"/>
  </r>
  <r>
    <x v="1"/>
    <x v="2"/>
    <n v="6.7368421052631522E-2"/>
    <x v="2"/>
  </r>
  <r>
    <x v="1"/>
    <x v="3"/>
    <n v="0.25235294117647067"/>
    <x v="2"/>
  </r>
  <r>
    <x v="2"/>
    <x v="0"/>
    <n v="2.5700934579439227E-2"/>
    <x v="2"/>
  </r>
  <r>
    <x v="2"/>
    <x v="1"/>
    <n v="-0.29333333333333333"/>
    <x v="2"/>
  </r>
  <r>
    <x v="2"/>
    <x v="2"/>
    <n v="-6.5999999999999948E-2"/>
    <x v="2"/>
  </r>
  <r>
    <x v="2"/>
    <x v="3"/>
    <n v="0.33000000000000007"/>
    <x v="2"/>
  </r>
  <r>
    <x v="3"/>
    <x v="0"/>
    <n v="3.4267912772585563E-2"/>
    <x v="2"/>
  </r>
  <r>
    <x v="3"/>
    <x v="1"/>
    <n v="-3.4117647058823475E-2"/>
    <x v="2"/>
  </r>
  <r>
    <x v="3"/>
    <x v="2"/>
    <n v="0.15266666666666673"/>
    <x v="2"/>
  </r>
  <r>
    <x v="3"/>
    <x v="3"/>
    <n v="4.6153846153846212E-2"/>
    <x v="2"/>
  </r>
  <r>
    <x v="4"/>
    <x v="0"/>
    <n v="0.22630173564753009"/>
    <x v="2"/>
  </r>
  <r>
    <x v="4"/>
    <x v="1"/>
    <n v="-0.14400000000000002"/>
    <x v="2"/>
  </r>
  <r>
    <x v="4"/>
    <x v="2"/>
    <n v="0.10888888888888881"/>
    <x v="2"/>
  </r>
  <r>
    <x v="4"/>
    <x v="3"/>
    <n v="0.58374999999999999"/>
    <x v="2"/>
  </r>
  <r>
    <x v="5"/>
    <x v="0"/>
    <n v="0.36775700934579447"/>
    <x v="2"/>
  </r>
  <r>
    <x v="5"/>
    <x v="1"/>
    <n v="4.4285714285714262E-2"/>
    <x v="2"/>
  </r>
  <r>
    <x v="5"/>
    <x v="2"/>
    <n v="0.16230769230769226"/>
    <x v="2"/>
  </r>
  <r>
    <x v="5"/>
    <x v="3"/>
    <n v="0.43454545454545457"/>
    <x v="2"/>
  </r>
  <r>
    <x v="6"/>
    <x v="0"/>
    <n v="0.27889818002951294"/>
    <x v="2"/>
  </r>
  <r>
    <x v="6"/>
    <x v="1"/>
    <n v="-0.13571428571428568"/>
    <x v="2"/>
  </r>
  <r>
    <x v="6"/>
    <x v="2"/>
    <n v="0.12250000000000005"/>
    <x v="2"/>
  </r>
  <r>
    <x v="6"/>
    <x v="3"/>
    <n v="0.33363636363636373"/>
    <x v="2"/>
  </r>
</pivotCacheRecords>
</file>

<file path=xl/pivotCache/pivotCacheRecords7.xml><?xml version="1.0" encoding="utf-8"?>
<pivotCacheRecords xmlns="http://schemas.openxmlformats.org/spreadsheetml/2006/main" xmlns:r="http://schemas.openxmlformats.org/officeDocument/2006/relationships" count="84">
  <r>
    <x v="0"/>
    <x v="0"/>
    <x v="0"/>
    <x v="0"/>
  </r>
  <r>
    <x v="0"/>
    <x v="1"/>
    <x v="1"/>
    <x v="0"/>
  </r>
  <r>
    <x v="0"/>
    <x v="2"/>
    <x v="2"/>
    <x v="0"/>
  </r>
  <r>
    <x v="0"/>
    <x v="3"/>
    <x v="3"/>
    <x v="0"/>
  </r>
  <r>
    <x v="1"/>
    <x v="0"/>
    <x v="4"/>
    <x v="0"/>
  </r>
  <r>
    <x v="1"/>
    <x v="1"/>
    <x v="5"/>
    <x v="0"/>
  </r>
  <r>
    <x v="1"/>
    <x v="2"/>
    <x v="6"/>
    <x v="0"/>
  </r>
  <r>
    <x v="1"/>
    <x v="3"/>
    <x v="7"/>
    <x v="0"/>
  </r>
  <r>
    <x v="2"/>
    <x v="0"/>
    <x v="7"/>
    <x v="0"/>
  </r>
  <r>
    <x v="2"/>
    <x v="1"/>
    <x v="8"/>
    <x v="0"/>
  </r>
  <r>
    <x v="2"/>
    <x v="2"/>
    <x v="9"/>
    <x v="0"/>
  </r>
  <r>
    <x v="2"/>
    <x v="3"/>
    <x v="10"/>
    <x v="0"/>
  </r>
  <r>
    <x v="3"/>
    <x v="0"/>
    <x v="4"/>
    <x v="0"/>
  </r>
  <r>
    <x v="3"/>
    <x v="1"/>
    <x v="11"/>
    <x v="0"/>
  </r>
  <r>
    <x v="3"/>
    <x v="2"/>
    <x v="0"/>
    <x v="0"/>
  </r>
  <r>
    <x v="3"/>
    <x v="3"/>
    <x v="12"/>
    <x v="0"/>
  </r>
  <r>
    <x v="4"/>
    <x v="0"/>
    <x v="13"/>
    <x v="0"/>
  </r>
  <r>
    <x v="4"/>
    <x v="1"/>
    <x v="3"/>
    <x v="0"/>
  </r>
  <r>
    <x v="4"/>
    <x v="2"/>
    <x v="14"/>
    <x v="0"/>
  </r>
  <r>
    <x v="4"/>
    <x v="3"/>
    <x v="15"/>
    <x v="0"/>
  </r>
  <r>
    <x v="5"/>
    <x v="0"/>
    <x v="16"/>
    <x v="0"/>
  </r>
  <r>
    <x v="5"/>
    <x v="1"/>
    <x v="1"/>
    <x v="0"/>
  </r>
  <r>
    <x v="5"/>
    <x v="2"/>
    <x v="7"/>
    <x v="0"/>
  </r>
  <r>
    <x v="5"/>
    <x v="3"/>
    <x v="15"/>
    <x v="0"/>
  </r>
  <r>
    <x v="6"/>
    <x v="0"/>
    <x v="17"/>
    <x v="0"/>
  </r>
  <r>
    <x v="6"/>
    <x v="1"/>
    <x v="6"/>
    <x v="0"/>
  </r>
  <r>
    <x v="6"/>
    <x v="2"/>
    <x v="10"/>
    <x v="0"/>
  </r>
  <r>
    <x v="6"/>
    <x v="3"/>
    <x v="18"/>
    <x v="0"/>
  </r>
  <r>
    <x v="0"/>
    <x v="0"/>
    <x v="16"/>
    <x v="1"/>
  </r>
  <r>
    <x v="0"/>
    <x v="1"/>
    <x v="17"/>
    <x v="1"/>
  </r>
  <r>
    <x v="0"/>
    <x v="2"/>
    <x v="3"/>
    <x v="1"/>
  </r>
  <r>
    <x v="0"/>
    <x v="3"/>
    <x v="8"/>
    <x v="1"/>
  </r>
  <r>
    <x v="1"/>
    <x v="0"/>
    <x v="19"/>
    <x v="1"/>
  </r>
  <r>
    <x v="1"/>
    <x v="1"/>
    <x v="5"/>
    <x v="1"/>
  </r>
  <r>
    <x v="1"/>
    <x v="2"/>
    <x v="13"/>
    <x v="1"/>
  </r>
  <r>
    <x v="1"/>
    <x v="3"/>
    <x v="7"/>
    <x v="1"/>
  </r>
  <r>
    <x v="2"/>
    <x v="0"/>
    <x v="9"/>
    <x v="1"/>
  </r>
  <r>
    <x v="2"/>
    <x v="1"/>
    <x v="12"/>
    <x v="1"/>
  </r>
  <r>
    <x v="2"/>
    <x v="2"/>
    <x v="10"/>
    <x v="1"/>
  </r>
  <r>
    <x v="2"/>
    <x v="3"/>
    <x v="18"/>
    <x v="1"/>
  </r>
  <r>
    <x v="3"/>
    <x v="0"/>
    <x v="16"/>
    <x v="1"/>
  </r>
  <r>
    <x v="3"/>
    <x v="1"/>
    <x v="2"/>
    <x v="1"/>
  </r>
  <r>
    <x v="3"/>
    <x v="2"/>
    <x v="7"/>
    <x v="1"/>
  </r>
  <r>
    <x v="3"/>
    <x v="3"/>
    <x v="0"/>
    <x v="1"/>
  </r>
  <r>
    <x v="4"/>
    <x v="0"/>
    <x v="7"/>
    <x v="1"/>
  </r>
  <r>
    <x v="4"/>
    <x v="1"/>
    <x v="12"/>
    <x v="1"/>
  </r>
  <r>
    <x v="4"/>
    <x v="2"/>
    <x v="14"/>
    <x v="1"/>
  </r>
  <r>
    <x v="4"/>
    <x v="3"/>
    <x v="9"/>
    <x v="1"/>
  </r>
  <r>
    <x v="5"/>
    <x v="0"/>
    <x v="20"/>
    <x v="1"/>
  </r>
  <r>
    <x v="5"/>
    <x v="1"/>
    <x v="17"/>
    <x v="1"/>
  </r>
  <r>
    <x v="5"/>
    <x v="2"/>
    <x v="8"/>
    <x v="1"/>
  </r>
  <r>
    <x v="5"/>
    <x v="3"/>
    <x v="3"/>
    <x v="1"/>
  </r>
  <r>
    <x v="6"/>
    <x v="0"/>
    <x v="17"/>
    <x v="1"/>
  </r>
  <r>
    <x v="6"/>
    <x v="1"/>
    <x v="21"/>
    <x v="1"/>
  </r>
  <r>
    <x v="6"/>
    <x v="2"/>
    <x v="6"/>
    <x v="1"/>
  </r>
  <r>
    <x v="6"/>
    <x v="3"/>
    <x v="13"/>
    <x v="1"/>
  </r>
  <r>
    <x v="0"/>
    <x v="0"/>
    <x v="22"/>
    <x v="2"/>
  </r>
  <r>
    <x v="0"/>
    <x v="1"/>
    <x v="11"/>
    <x v="2"/>
  </r>
  <r>
    <x v="0"/>
    <x v="2"/>
    <x v="17"/>
    <x v="2"/>
  </r>
  <r>
    <x v="0"/>
    <x v="3"/>
    <x v="8"/>
    <x v="2"/>
  </r>
  <r>
    <x v="1"/>
    <x v="0"/>
    <x v="23"/>
    <x v="2"/>
  </r>
  <r>
    <x v="1"/>
    <x v="1"/>
    <x v="11"/>
    <x v="2"/>
  </r>
  <r>
    <x v="1"/>
    <x v="2"/>
    <x v="24"/>
    <x v="2"/>
  </r>
  <r>
    <x v="1"/>
    <x v="3"/>
    <x v="1"/>
    <x v="2"/>
  </r>
  <r>
    <x v="2"/>
    <x v="0"/>
    <x v="7"/>
    <x v="2"/>
  </r>
  <r>
    <x v="2"/>
    <x v="1"/>
    <x v="0"/>
    <x v="2"/>
  </r>
  <r>
    <x v="2"/>
    <x v="2"/>
    <x v="25"/>
    <x v="2"/>
  </r>
  <r>
    <x v="2"/>
    <x v="3"/>
    <x v="26"/>
    <x v="2"/>
  </r>
  <r>
    <x v="3"/>
    <x v="0"/>
    <x v="27"/>
    <x v="2"/>
  </r>
  <r>
    <x v="3"/>
    <x v="1"/>
    <x v="5"/>
    <x v="2"/>
  </r>
  <r>
    <x v="3"/>
    <x v="2"/>
    <x v="22"/>
    <x v="2"/>
  </r>
  <r>
    <x v="3"/>
    <x v="3"/>
    <x v="6"/>
    <x v="2"/>
  </r>
  <r>
    <x v="4"/>
    <x v="0"/>
    <x v="20"/>
    <x v="2"/>
  </r>
  <r>
    <x v="4"/>
    <x v="1"/>
    <x v="12"/>
    <x v="2"/>
  </r>
  <r>
    <x v="4"/>
    <x v="2"/>
    <x v="13"/>
    <x v="2"/>
  </r>
  <r>
    <x v="4"/>
    <x v="3"/>
    <x v="6"/>
    <x v="2"/>
  </r>
  <r>
    <x v="5"/>
    <x v="0"/>
    <x v="28"/>
    <x v="2"/>
  </r>
  <r>
    <x v="5"/>
    <x v="1"/>
    <x v="20"/>
    <x v="2"/>
  </r>
  <r>
    <x v="5"/>
    <x v="2"/>
    <x v="1"/>
    <x v="2"/>
  </r>
  <r>
    <x v="5"/>
    <x v="3"/>
    <x v="13"/>
    <x v="2"/>
  </r>
  <r>
    <x v="6"/>
    <x v="0"/>
    <x v="1"/>
    <x v="2"/>
  </r>
  <r>
    <x v="6"/>
    <x v="1"/>
    <x v="7"/>
    <x v="2"/>
  </r>
  <r>
    <x v="6"/>
    <x v="2"/>
    <x v="16"/>
    <x v="2"/>
  </r>
  <r>
    <x v="6"/>
    <x v="3"/>
    <x v="2"/>
    <x v="2"/>
  </r>
</pivotCacheRecords>
</file>

<file path=xl/pivotCache/pivotCacheRecords8.xml><?xml version="1.0" encoding="utf-8"?>
<pivotCacheRecords xmlns="http://schemas.openxmlformats.org/spreadsheetml/2006/main" xmlns:r="http://schemas.openxmlformats.org/officeDocument/2006/relationships" count="84">
  <r>
    <x v="0"/>
    <x v="0"/>
    <n v="12065"/>
    <x v="0"/>
  </r>
  <r>
    <x v="0"/>
    <x v="1"/>
    <n v="14605"/>
    <x v="0"/>
  </r>
  <r>
    <x v="0"/>
    <x v="2"/>
    <n v="11430"/>
    <x v="0"/>
  </r>
  <r>
    <x v="0"/>
    <x v="3"/>
    <n v="9525"/>
    <x v="0"/>
  </r>
  <r>
    <x v="1"/>
    <x v="0"/>
    <n v="17050"/>
    <x v="0"/>
  </r>
  <r>
    <x v="1"/>
    <x v="1"/>
    <n v="14300"/>
    <x v="0"/>
  </r>
  <r>
    <x v="1"/>
    <x v="2"/>
    <n v="9350"/>
    <x v="0"/>
  </r>
  <r>
    <x v="1"/>
    <x v="3"/>
    <n v="7700"/>
    <x v="0"/>
  </r>
  <r>
    <x v="2"/>
    <x v="0"/>
    <n v="9240"/>
    <x v="0"/>
  </r>
  <r>
    <x v="2"/>
    <x v="1"/>
    <n v="8580"/>
    <x v="0"/>
  </r>
  <r>
    <x v="2"/>
    <x v="2"/>
    <n v="6600"/>
    <x v="0"/>
  </r>
  <r>
    <x v="2"/>
    <x v="3"/>
    <n v="5940"/>
    <x v="0"/>
  </r>
  <r>
    <x v="3"/>
    <x v="0"/>
    <n v="9300"/>
    <x v="0"/>
  </r>
  <r>
    <x v="3"/>
    <x v="1"/>
    <n v="6000"/>
    <x v="0"/>
  </r>
  <r>
    <x v="3"/>
    <x v="2"/>
    <n v="5700"/>
    <x v="0"/>
  </r>
  <r>
    <x v="3"/>
    <x v="3"/>
    <n v="3600"/>
    <x v="0"/>
  </r>
  <r>
    <x v="4"/>
    <x v="0"/>
    <n v="7840"/>
    <x v="0"/>
  </r>
  <r>
    <x v="4"/>
    <x v="1"/>
    <n v="7350"/>
    <x v="0"/>
  </r>
  <r>
    <x v="4"/>
    <x v="2"/>
    <n v="5390"/>
    <x v="0"/>
  </r>
  <r>
    <x v="4"/>
    <x v="3"/>
    <n v="3430"/>
    <x v="0"/>
  </r>
  <r>
    <x v="5"/>
    <x v="0"/>
    <n v="12960"/>
    <x v="0"/>
  </r>
  <r>
    <x v="5"/>
    <x v="1"/>
    <n v="12420"/>
    <x v="0"/>
  </r>
  <r>
    <x v="5"/>
    <x v="2"/>
    <n v="7560"/>
    <x v="0"/>
  </r>
  <r>
    <x v="5"/>
    <x v="3"/>
    <n v="3780"/>
    <x v="0"/>
  </r>
  <r>
    <x v="6"/>
    <x v="0"/>
    <n v="8500"/>
    <x v="0"/>
  </r>
  <r>
    <x v="6"/>
    <x v="1"/>
    <n v="5780"/>
    <x v="0"/>
  </r>
  <r>
    <x v="6"/>
    <x v="2"/>
    <n v="3060"/>
    <x v="0"/>
  </r>
  <r>
    <x v="6"/>
    <x v="3"/>
    <n v="2720"/>
    <x v="0"/>
  </r>
  <r>
    <x v="0"/>
    <x v="0"/>
    <n v="15240"/>
    <x v="1"/>
  </r>
  <r>
    <x v="0"/>
    <x v="1"/>
    <n v="15875"/>
    <x v="1"/>
  </r>
  <r>
    <x v="0"/>
    <x v="2"/>
    <n v="9525"/>
    <x v="1"/>
  </r>
  <r>
    <x v="0"/>
    <x v="3"/>
    <n v="8255"/>
    <x v="1"/>
  </r>
  <r>
    <x v="1"/>
    <x v="0"/>
    <n v="16500"/>
    <x v="1"/>
  </r>
  <r>
    <x v="1"/>
    <x v="1"/>
    <n v="14300"/>
    <x v="1"/>
  </r>
  <r>
    <x v="1"/>
    <x v="2"/>
    <n v="8800"/>
    <x v="1"/>
  </r>
  <r>
    <x v="1"/>
    <x v="3"/>
    <n v="7700"/>
    <x v="1"/>
  </r>
  <r>
    <x v="2"/>
    <x v="0"/>
    <n v="6600"/>
    <x v="1"/>
  </r>
  <r>
    <x v="2"/>
    <x v="1"/>
    <n v="7920"/>
    <x v="1"/>
  </r>
  <r>
    <x v="2"/>
    <x v="2"/>
    <n v="5940"/>
    <x v="1"/>
  </r>
  <r>
    <x v="2"/>
    <x v="3"/>
    <n v="5280"/>
    <x v="1"/>
  </r>
  <r>
    <x v="3"/>
    <x v="0"/>
    <n v="7200"/>
    <x v="1"/>
  </r>
  <r>
    <x v="3"/>
    <x v="1"/>
    <n v="5400"/>
    <x v="1"/>
  </r>
  <r>
    <x v="3"/>
    <x v="2"/>
    <n v="4200"/>
    <x v="1"/>
  </r>
  <r>
    <x v="3"/>
    <x v="3"/>
    <n v="5700"/>
    <x v="1"/>
  </r>
  <r>
    <x v="4"/>
    <x v="0"/>
    <n v="6860"/>
    <x v="1"/>
  </r>
  <r>
    <x v="4"/>
    <x v="1"/>
    <n v="5880"/>
    <x v="1"/>
  </r>
  <r>
    <x v="4"/>
    <x v="2"/>
    <n v="5390"/>
    <x v="1"/>
  </r>
  <r>
    <x v="4"/>
    <x v="3"/>
    <n v="4900"/>
    <x v="1"/>
  </r>
  <r>
    <x v="5"/>
    <x v="0"/>
    <n v="14580"/>
    <x v="1"/>
  </r>
  <r>
    <x v="5"/>
    <x v="1"/>
    <n v="13500"/>
    <x v="1"/>
  </r>
  <r>
    <x v="5"/>
    <x v="2"/>
    <n v="7020"/>
    <x v="1"/>
  </r>
  <r>
    <x v="5"/>
    <x v="3"/>
    <n v="8100"/>
    <x v="1"/>
  </r>
  <r>
    <x v="6"/>
    <x v="0"/>
    <n v="8500"/>
    <x v="1"/>
  </r>
  <r>
    <x v="6"/>
    <x v="1"/>
    <n v="7140"/>
    <x v="1"/>
  </r>
  <r>
    <x v="6"/>
    <x v="2"/>
    <n v="5780"/>
    <x v="1"/>
  </r>
  <r>
    <x v="6"/>
    <x v="3"/>
    <n v="5440"/>
    <x v="1"/>
  </r>
  <r>
    <x v="0"/>
    <x v="0"/>
    <n v="17780"/>
    <x v="2"/>
  </r>
  <r>
    <x v="0"/>
    <x v="1"/>
    <n v="12700"/>
    <x v="2"/>
  </r>
  <r>
    <x v="0"/>
    <x v="2"/>
    <n v="15875"/>
    <x v="2"/>
  </r>
  <r>
    <x v="0"/>
    <x v="3"/>
    <n v="8255"/>
    <x v="2"/>
  </r>
  <r>
    <x v="1"/>
    <x v="0"/>
    <n v="19250"/>
    <x v="2"/>
  </r>
  <r>
    <x v="1"/>
    <x v="1"/>
    <n v="11000"/>
    <x v="2"/>
  </r>
  <r>
    <x v="1"/>
    <x v="2"/>
    <n v="12100"/>
    <x v="2"/>
  </r>
  <r>
    <x v="1"/>
    <x v="3"/>
    <n v="12650"/>
    <x v="2"/>
  </r>
  <r>
    <x v="2"/>
    <x v="0"/>
    <n v="9240"/>
    <x v="2"/>
  </r>
  <r>
    <x v="2"/>
    <x v="1"/>
    <n v="12540"/>
    <x v="2"/>
  </r>
  <r>
    <x v="2"/>
    <x v="2"/>
    <n v="3960"/>
    <x v="2"/>
  </r>
  <r>
    <x v="2"/>
    <x v="3"/>
    <n v="3300"/>
    <x v="2"/>
  </r>
  <r>
    <x v="3"/>
    <x v="0"/>
    <n v="9600"/>
    <x v="2"/>
  </r>
  <r>
    <x v="3"/>
    <x v="1"/>
    <n v="7800"/>
    <x v="2"/>
  </r>
  <r>
    <x v="3"/>
    <x v="2"/>
    <n v="8400"/>
    <x v="2"/>
  </r>
  <r>
    <x v="3"/>
    <x v="3"/>
    <n v="5100"/>
    <x v="2"/>
  </r>
  <r>
    <x v="4"/>
    <x v="0"/>
    <n v="13230"/>
    <x v="2"/>
  </r>
  <r>
    <x v="4"/>
    <x v="1"/>
    <n v="5880"/>
    <x v="2"/>
  </r>
  <r>
    <x v="4"/>
    <x v="2"/>
    <n v="7840"/>
    <x v="2"/>
  </r>
  <r>
    <x v="4"/>
    <x v="3"/>
    <n v="8330"/>
    <x v="2"/>
  </r>
  <r>
    <x v="5"/>
    <x v="0"/>
    <n v="18360"/>
    <x v="2"/>
  </r>
  <r>
    <x v="5"/>
    <x v="1"/>
    <n v="14580"/>
    <x v="2"/>
  </r>
  <r>
    <x v="5"/>
    <x v="2"/>
    <n v="12420"/>
    <x v="2"/>
  </r>
  <r>
    <x v="5"/>
    <x v="3"/>
    <n v="8640"/>
    <x v="2"/>
  </r>
  <r>
    <x v="6"/>
    <x v="0"/>
    <n v="7820"/>
    <x v="2"/>
  </r>
  <r>
    <x v="6"/>
    <x v="1"/>
    <n v="4760"/>
    <x v="2"/>
  </r>
  <r>
    <x v="6"/>
    <x v="2"/>
    <n v="8160"/>
    <x v="2"/>
  </r>
  <r>
    <x v="6"/>
    <x v="3"/>
    <n v="6120"/>
    <x v="2"/>
  </r>
</pivotCacheRecords>
</file>

<file path=xl/pivotCache/pivotCacheRecords9.xml><?xml version="1.0" encoding="utf-8"?>
<pivotCacheRecords xmlns="http://schemas.openxmlformats.org/spreadsheetml/2006/main" xmlns:r="http://schemas.openxmlformats.org/officeDocument/2006/relationships" count="84">
  <r>
    <x v="0"/>
    <x v="0"/>
    <n v="1837"/>
    <x v="0"/>
  </r>
  <r>
    <x v="0"/>
    <x v="1"/>
    <n v="1316"/>
    <x v="0"/>
  </r>
  <r>
    <x v="0"/>
    <x v="2"/>
    <n v="871"/>
    <x v="0"/>
  </r>
  <r>
    <x v="0"/>
    <x v="3"/>
    <n v="683"/>
    <x v="0"/>
  </r>
  <r>
    <x v="1"/>
    <x v="0"/>
    <n v="3398"/>
    <x v="0"/>
  </r>
  <r>
    <x v="1"/>
    <x v="1"/>
    <n v="2790"/>
    <x v="0"/>
  </r>
  <r>
    <x v="1"/>
    <x v="2"/>
    <n v="1571"/>
    <x v="0"/>
  </r>
  <r>
    <x v="1"/>
    <x v="3"/>
    <n v="1246"/>
    <x v="0"/>
  </r>
  <r>
    <x v="2"/>
    <x v="0"/>
    <n v="884"/>
    <x v="0"/>
  </r>
  <r>
    <x v="2"/>
    <x v="1"/>
    <n v="542"/>
    <x v="0"/>
  </r>
  <r>
    <x v="2"/>
    <x v="2"/>
    <n v="516"/>
    <x v="0"/>
  </r>
  <r>
    <x v="2"/>
    <x v="3"/>
    <n v="640"/>
    <x v="0"/>
  </r>
  <r>
    <x v="3"/>
    <x v="0"/>
    <n v="2487"/>
    <x v="0"/>
  </r>
  <r>
    <x v="3"/>
    <x v="1"/>
    <n v="1968"/>
    <x v="0"/>
  </r>
  <r>
    <x v="3"/>
    <x v="2"/>
    <n v="1255"/>
    <x v="0"/>
  </r>
  <r>
    <x v="3"/>
    <x v="3"/>
    <n v="1150"/>
    <x v="0"/>
  </r>
  <r>
    <x v="4"/>
    <x v="0"/>
    <n v="1712"/>
    <x v="0"/>
  </r>
  <r>
    <x v="4"/>
    <x v="1"/>
    <n v="1364"/>
    <x v="0"/>
  </r>
  <r>
    <x v="4"/>
    <x v="2"/>
    <n v="714"/>
    <x v="0"/>
  </r>
  <r>
    <x v="4"/>
    <x v="3"/>
    <n v="686"/>
    <x v="0"/>
  </r>
  <r>
    <x v="5"/>
    <x v="0"/>
    <n v="2238"/>
    <x v="0"/>
  </r>
  <r>
    <x v="5"/>
    <x v="1"/>
    <n v="1709"/>
    <x v="0"/>
  </r>
  <r>
    <x v="5"/>
    <x v="2"/>
    <n v="1104"/>
    <x v="0"/>
  </r>
  <r>
    <x v="5"/>
    <x v="3"/>
    <n v="972"/>
    <x v="0"/>
  </r>
  <r>
    <x v="6"/>
    <x v="0"/>
    <n v="2281"/>
    <x v="0"/>
  </r>
  <r>
    <x v="6"/>
    <x v="1"/>
    <n v="1729"/>
    <x v="0"/>
  </r>
  <r>
    <x v="6"/>
    <x v="2"/>
    <n v="1121"/>
    <x v="0"/>
  </r>
  <r>
    <x v="6"/>
    <x v="3"/>
    <n v="914"/>
    <x v="0"/>
  </r>
  <r>
    <x v="0"/>
    <x v="0"/>
    <n v="1928"/>
    <x v="1"/>
  </r>
  <r>
    <x v="0"/>
    <x v="1"/>
    <n v="1512"/>
    <x v="1"/>
  </r>
  <r>
    <x v="0"/>
    <x v="2"/>
    <n v="1116"/>
    <x v="1"/>
  </r>
  <r>
    <x v="0"/>
    <x v="3"/>
    <n v="1073"/>
    <x v="1"/>
  </r>
  <r>
    <x v="1"/>
    <x v="0"/>
    <n v="3088"/>
    <x v="1"/>
  </r>
  <r>
    <x v="1"/>
    <x v="1"/>
    <n v="2260"/>
    <x v="1"/>
  </r>
  <r>
    <x v="1"/>
    <x v="2"/>
    <n v="1710"/>
    <x v="1"/>
  </r>
  <r>
    <x v="1"/>
    <x v="3"/>
    <n v="1455"/>
    <x v="1"/>
  </r>
  <r>
    <x v="2"/>
    <x v="0"/>
    <n v="769"/>
    <x v="1"/>
  </r>
  <r>
    <x v="2"/>
    <x v="1"/>
    <n v="679"/>
    <x v="1"/>
  </r>
  <r>
    <x v="2"/>
    <x v="2"/>
    <n v="589"/>
    <x v="1"/>
  </r>
  <r>
    <x v="2"/>
    <x v="3"/>
    <n v="601"/>
    <x v="1"/>
  </r>
  <r>
    <x v="3"/>
    <x v="0"/>
    <n v="2740"/>
    <x v="1"/>
  </r>
  <r>
    <x v="3"/>
    <x v="1"/>
    <n v="1927"/>
    <x v="1"/>
  </r>
  <r>
    <x v="3"/>
    <x v="2"/>
    <n v="1310"/>
    <x v="1"/>
  </r>
  <r>
    <x v="3"/>
    <x v="3"/>
    <n v="1066"/>
    <x v="1"/>
  </r>
  <r>
    <x v="4"/>
    <x v="0"/>
    <n v="1655"/>
    <x v="1"/>
  </r>
  <r>
    <x v="4"/>
    <x v="1"/>
    <n v="1057"/>
    <x v="1"/>
  </r>
  <r>
    <x v="4"/>
    <x v="2"/>
    <n v="768"/>
    <x v="1"/>
  </r>
  <r>
    <x v="4"/>
    <x v="3"/>
    <n v="779"/>
    <x v="1"/>
  </r>
  <r>
    <x v="5"/>
    <x v="0"/>
    <n v="2381"/>
    <x v="1"/>
  </r>
  <r>
    <x v="5"/>
    <x v="1"/>
    <n v="1579"/>
    <x v="1"/>
  </r>
  <r>
    <x v="5"/>
    <x v="2"/>
    <n v="1200"/>
    <x v="1"/>
  </r>
  <r>
    <x v="5"/>
    <x v="3"/>
    <n v="1123"/>
    <x v="1"/>
  </r>
  <r>
    <x v="6"/>
    <x v="0"/>
    <n v="2289"/>
    <x v="1"/>
  </r>
  <r>
    <x v="6"/>
    <x v="1"/>
    <n v="1564"/>
    <x v="1"/>
  </r>
  <r>
    <x v="6"/>
    <x v="2"/>
    <n v="1201"/>
    <x v="1"/>
  </r>
  <r>
    <x v="6"/>
    <x v="3"/>
    <n v="884"/>
    <x v="1"/>
  </r>
  <r>
    <x v="0"/>
    <x v="0"/>
    <n v="2396"/>
    <x v="2"/>
  </r>
  <r>
    <x v="0"/>
    <x v="1"/>
    <n v="1288"/>
    <x v="2"/>
  </r>
  <r>
    <x v="0"/>
    <x v="2"/>
    <n v="1536"/>
    <x v="2"/>
  </r>
  <r>
    <x v="0"/>
    <x v="3"/>
    <n v="1249"/>
    <x v="2"/>
  </r>
  <r>
    <x v="1"/>
    <x v="0"/>
    <n v="3619"/>
    <x v="2"/>
  </r>
  <r>
    <x v="1"/>
    <x v="1"/>
    <n v="2086"/>
    <x v="2"/>
  </r>
  <r>
    <x v="1"/>
    <x v="2"/>
    <n v="2028"/>
    <x v="2"/>
  </r>
  <r>
    <x v="1"/>
    <x v="3"/>
    <n v="2129"/>
    <x v="2"/>
  </r>
  <r>
    <x v="2"/>
    <x v="0"/>
    <n v="878"/>
    <x v="2"/>
  </r>
  <r>
    <x v="2"/>
    <x v="1"/>
    <n v="424"/>
    <x v="2"/>
  </r>
  <r>
    <x v="2"/>
    <x v="2"/>
    <n v="467"/>
    <x v="2"/>
  </r>
  <r>
    <x v="2"/>
    <x v="3"/>
    <n v="665"/>
    <x v="2"/>
  </r>
  <r>
    <x v="3"/>
    <x v="0"/>
    <n v="2656"/>
    <x v="2"/>
  </r>
  <r>
    <x v="3"/>
    <x v="1"/>
    <n v="1642"/>
    <x v="2"/>
  </r>
  <r>
    <x v="3"/>
    <x v="2"/>
    <n v="1729"/>
    <x v="2"/>
  </r>
  <r>
    <x v="3"/>
    <x v="3"/>
    <n v="1360"/>
    <x v="2"/>
  </r>
  <r>
    <x v="4"/>
    <x v="0"/>
    <n v="1837"/>
    <x v="2"/>
  </r>
  <r>
    <x v="4"/>
    <x v="1"/>
    <n v="856"/>
    <x v="2"/>
  </r>
  <r>
    <x v="4"/>
    <x v="2"/>
    <n v="998"/>
    <x v="2"/>
  </r>
  <r>
    <x v="4"/>
    <x v="3"/>
    <n v="1267"/>
    <x v="2"/>
  </r>
  <r>
    <x v="5"/>
    <x v="0"/>
    <n v="2927"/>
    <x v="2"/>
  </r>
  <r>
    <x v="5"/>
    <x v="1"/>
    <n v="1462"/>
    <x v="2"/>
  </r>
  <r>
    <x v="5"/>
    <x v="2"/>
    <n v="1511"/>
    <x v="2"/>
  </r>
  <r>
    <x v="5"/>
    <x v="3"/>
    <n v="1578"/>
    <x v="2"/>
  </r>
  <r>
    <x v="6"/>
    <x v="0"/>
    <n v="2600"/>
    <x v="2"/>
  </r>
  <r>
    <x v="6"/>
    <x v="1"/>
    <n v="1210"/>
    <x v="2"/>
  </r>
  <r>
    <x v="6"/>
    <x v="2"/>
    <n v="1347"/>
    <x v="2"/>
  </r>
  <r>
    <x v="6"/>
    <x v="3"/>
    <n v="1467"/>
    <x v="2"/>
  </r>
</pivotCacheRecords>
</file>

<file path=xl/pivotCache/pivotCacheRecords10.xml><?xml version="1.0" encoding="utf-8"?>
<pivotCacheRecords xmlns="http://schemas.openxmlformats.org/spreadsheetml/2006/main" xmlns:r="http://schemas.openxmlformats.org/officeDocument/2006/relationships" count="84">
  <r>
    <x v="0"/>
    <x v="0"/>
    <x v="0"/>
    <x v="0"/>
  </r>
  <r>
    <x v="0"/>
    <x v="1"/>
    <x v="1"/>
    <x v="0"/>
  </r>
  <r>
    <x v="0"/>
    <x v="2"/>
    <x v="2"/>
    <x v="0"/>
  </r>
  <r>
    <x v="0"/>
    <x v="3"/>
    <x v="3"/>
    <x v="0"/>
  </r>
  <r>
    <x v="1"/>
    <x v="0"/>
    <x v="4"/>
    <x v="0"/>
  </r>
  <r>
    <x v="1"/>
    <x v="1"/>
    <x v="5"/>
    <x v="0"/>
  </r>
  <r>
    <x v="1"/>
    <x v="2"/>
    <x v="6"/>
    <x v="0"/>
  </r>
  <r>
    <x v="1"/>
    <x v="3"/>
    <x v="2"/>
    <x v="0"/>
  </r>
  <r>
    <x v="2"/>
    <x v="0"/>
    <x v="3"/>
    <x v="0"/>
  </r>
  <r>
    <x v="2"/>
    <x v="1"/>
    <x v="7"/>
    <x v="0"/>
  </r>
  <r>
    <x v="2"/>
    <x v="2"/>
    <x v="8"/>
    <x v="0"/>
  </r>
  <r>
    <x v="2"/>
    <x v="3"/>
    <x v="9"/>
    <x v="0"/>
  </r>
  <r>
    <x v="3"/>
    <x v="0"/>
    <x v="10"/>
    <x v="0"/>
  </r>
  <r>
    <x v="3"/>
    <x v="1"/>
    <x v="11"/>
    <x v="0"/>
  </r>
  <r>
    <x v="3"/>
    <x v="2"/>
    <x v="12"/>
    <x v="0"/>
  </r>
  <r>
    <x v="3"/>
    <x v="3"/>
    <x v="13"/>
    <x v="0"/>
  </r>
  <r>
    <x v="4"/>
    <x v="0"/>
    <x v="14"/>
    <x v="0"/>
  </r>
  <r>
    <x v="4"/>
    <x v="1"/>
    <x v="15"/>
    <x v="0"/>
  </r>
  <r>
    <x v="4"/>
    <x v="2"/>
    <x v="3"/>
    <x v="0"/>
  </r>
  <r>
    <x v="4"/>
    <x v="3"/>
    <x v="8"/>
    <x v="0"/>
  </r>
  <r>
    <x v="5"/>
    <x v="0"/>
    <x v="0"/>
    <x v="0"/>
  </r>
  <r>
    <x v="5"/>
    <x v="1"/>
    <x v="1"/>
    <x v="0"/>
  </r>
  <r>
    <x v="5"/>
    <x v="2"/>
    <x v="2"/>
    <x v="0"/>
  </r>
  <r>
    <x v="5"/>
    <x v="3"/>
    <x v="3"/>
    <x v="0"/>
  </r>
  <r>
    <x v="6"/>
    <x v="0"/>
    <x v="16"/>
    <x v="0"/>
  </r>
  <r>
    <x v="6"/>
    <x v="1"/>
    <x v="17"/>
    <x v="0"/>
  </r>
  <r>
    <x v="6"/>
    <x v="2"/>
    <x v="18"/>
    <x v="0"/>
  </r>
  <r>
    <x v="6"/>
    <x v="3"/>
    <x v="7"/>
    <x v="0"/>
  </r>
  <r>
    <x v="0"/>
    <x v="0"/>
    <x v="0"/>
    <x v="1"/>
  </r>
  <r>
    <x v="0"/>
    <x v="1"/>
    <x v="6"/>
    <x v="1"/>
  </r>
  <r>
    <x v="0"/>
    <x v="2"/>
    <x v="2"/>
    <x v="1"/>
  </r>
  <r>
    <x v="0"/>
    <x v="3"/>
    <x v="13"/>
    <x v="1"/>
  </r>
  <r>
    <x v="1"/>
    <x v="0"/>
    <x v="4"/>
    <x v="1"/>
  </r>
  <r>
    <x v="1"/>
    <x v="1"/>
    <x v="19"/>
    <x v="1"/>
  </r>
  <r>
    <x v="1"/>
    <x v="2"/>
    <x v="6"/>
    <x v="1"/>
  </r>
  <r>
    <x v="1"/>
    <x v="3"/>
    <x v="12"/>
    <x v="1"/>
  </r>
  <r>
    <x v="2"/>
    <x v="0"/>
    <x v="3"/>
    <x v="1"/>
  </r>
  <r>
    <x v="2"/>
    <x v="1"/>
    <x v="7"/>
    <x v="1"/>
  </r>
  <r>
    <x v="2"/>
    <x v="2"/>
    <x v="8"/>
    <x v="1"/>
  </r>
  <r>
    <x v="2"/>
    <x v="3"/>
    <x v="20"/>
    <x v="1"/>
  </r>
  <r>
    <x v="3"/>
    <x v="0"/>
    <x v="10"/>
    <x v="1"/>
  </r>
  <r>
    <x v="3"/>
    <x v="1"/>
    <x v="16"/>
    <x v="1"/>
  </r>
  <r>
    <x v="3"/>
    <x v="2"/>
    <x v="12"/>
    <x v="1"/>
  </r>
  <r>
    <x v="3"/>
    <x v="3"/>
    <x v="18"/>
    <x v="1"/>
  </r>
  <r>
    <x v="4"/>
    <x v="0"/>
    <x v="14"/>
    <x v="1"/>
  </r>
  <r>
    <x v="4"/>
    <x v="1"/>
    <x v="2"/>
    <x v="1"/>
  </r>
  <r>
    <x v="4"/>
    <x v="2"/>
    <x v="3"/>
    <x v="1"/>
  </r>
  <r>
    <x v="4"/>
    <x v="3"/>
    <x v="21"/>
    <x v="1"/>
  </r>
  <r>
    <x v="5"/>
    <x v="0"/>
    <x v="0"/>
    <x v="1"/>
  </r>
  <r>
    <x v="5"/>
    <x v="1"/>
    <x v="6"/>
    <x v="1"/>
  </r>
  <r>
    <x v="5"/>
    <x v="2"/>
    <x v="2"/>
    <x v="1"/>
  </r>
  <r>
    <x v="5"/>
    <x v="3"/>
    <x v="13"/>
    <x v="1"/>
  </r>
  <r>
    <x v="6"/>
    <x v="0"/>
    <x v="16"/>
    <x v="1"/>
  </r>
  <r>
    <x v="6"/>
    <x v="1"/>
    <x v="22"/>
    <x v="1"/>
  </r>
  <r>
    <x v="6"/>
    <x v="2"/>
    <x v="2"/>
    <x v="1"/>
  </r>
  <r>
    <x v="6"/>
    <x v="3"/>
    <x v="3"/>
    <x v="1"/>
  </r>
  <r>
    <x v="0"/>
    <x v="0"/>
    <x v="23"/>
    <x v="2"/>
  </r>
  <r>
    <x v="0"/>
    <x v="1"/>
    <x v="14"/>
    <x v="2"/>
  </r>
  <r>
    <x v="0"/>
    <x v="2"/>
    <x v="12"/>
    <x v="2"/>
  </r>
  <r>
    <x v="0"/>
    <x v="3"/>
    <x v="2"/>
    <x v="2"/>
  </r>
  <r>
    <x v="1"/>
    <x v="0"/>
    <x v="24"/>
    <x v="2"/>
  </r>
  <r>
    <x v="1"/>
    <x v="1"/>
    <x v="11"/>
    <x v="2"/>
  </r>
  <r>
    <x v="1"/>
    <x v="2"/>
    <x v="16"/>
    <x v="2"/>
  </r>
  <r>
    <x v="1"/>
    <x v="3"/>
    <x v="17"/>
    <x v="2"/>
  </r>
  <r>
    <x v="2"/>
    <x v="0"/>
    <x v="25"/>
    <x v="2"/>
  </r>
  <r>
    <x v="2"/>
    <x v="1"/>
    <x v="21"/>
    <x v="2"/>
  </r>
  <r>
    <x v="2"/>
    <x v="2"/>
    <x v="8"/>
    <x v="2"/>
  </r>
  <r>
    <x v="2"/>
    <x v="3"/>
    <x v="8"/>
    <x v="2"/>
  </r>
  <r>
    <x v="3"/>
    <x v="0"/>
    <x v="26"/>
    <x v="2"/>
  </r>
  <r>
    <x v="3"/>
    <x v="1"/>
    <x v="17"/>
    <x v="2"/>
  </r>
  <r>
    <x v="3"/>
    <x v="2"/>
    <x v="22"/>
    <x v="2"/>
  </r>
  <r>
    <x v="3"/>
    <x v="3"/>
    <x v="12"/>
    <x v="2"/>
  </r>
  <r>
    <x v="4"/>
    <x v="0"/>
    <x v="27"/>
    <x v="2"/>
  </r>
  <r>
    <x v="4"/>
    <x v="1"/>
    <x v="18"/>
    <x v="2"/>
  </r>
  <r>
    <x v="4"/>
    <x v="2"/>
    <x v="13"/>
    <x v="2"/>
  </r>
  <r>
    <x v="4"/>
    <x v="3"/>
    <x v="3"/>
    <x v="2"/>
  </r>
  <r>
    <x v="5"/>
    <x v="0"/>
    <x v="23"/>
    <x v="2"/>
  </r>
  <r>
    <x v="5"/>
    <x v="1"/>
    <x v="14"/>
    <x v="2"/>
  </r>
  <r>
    <x v="5"/>
    <x v="2"/>
    <x v="12"/>
    <x v="2"/>
  </r>
  <r>
    <x v="5"/>
    <x v="3"/>
    <x v="2"/>
    <x v="2"/>
  </r>
  <r>
    <x v="6"/>
    <x v="0"/>
    <x v="28"/>
    <x v="2"/>
  </r>
  <r>
    <x v="6"/>
    <x v="1"/>
    <x v="14"/>
    <x v="2"/>
  </r>
  <r>
    <x v="6"/>
    <x v="2"/>
    <x v="15"/>
    <x v="2"/>
  </r>
  <r>
    <x v="6"/>
    <x v="3"/>
    <x v="2"/>
    <x v="2"/>
  </r>
</pivotCacheRecords>
</file>

<file path=xl/pivotCache/pivotCacheRecords11.xml><?xml version="1.0" encoding="utf-8"?>
<pivotCacheRecords xmlns="http://schemas.openxmlformats.org/spreadsheetml/2006/main" xmlns:r="http://schemas.openxmlformats.org/officeDocument/2006/relationships" count="84">
  <r>
    <x v="0"/>
    <x v="0"/>
    <n v="-8.1500000000000017E-2"/>
    <x v="0"/>
  </r>
  <r>
    <x v="0"/>
    <x v="1"/>
    <n v="-0.26888888888888884"/>
    <x v="0"/>
  </r>
  <r>
    <x v="0"/>
    <x v="2"/>
    <n v="-0.20818181818181813"/>
    <x v="0"/>
  </r>
  <r>
    <x v="0"/>
    <x v="3"/>
    <n v="-0.14624999999999999"/>
    <x v="0"/>
  </r>
  <r>
    <x v="1"/>
    <x v="0"/>
    <n v="0.13266666666666671"/>
    <x v="0"/>
  </r>
  <r>
    <x v="1"/>
    <x v="1"/>
    <n v="7.3076923076923039E-2"/>
    <x v="0"/>
  </r>
  <r>
    <x v="1"/>
    <x v="2"/>
    <n v="-1.8124999999999947E-2"/>
    <x v="0"/>
  </r>
  <r>
    <x v="1"/>
    <x v="3"/>
    <n v="0.1327272727272728"/>
    <x v="0"/>
  </r>
  <r>
    <x v="2"/>
    <x v="0"/>
    <n v="0.10499999999999998"/>
    <x v="0"/>
  </r>
  <r>
    <x v="2"/>
    <x v="1"/>
    <n v="-0.22571428571428576"/>
    <x v="0"/>
  </r>
  <r>
    <x v="2"/>
    <x v="2"/>
    <n v="3.2000000000000028E-2"/>
    <x v="0"/>
  </r>
  <r>
    <x v="2"/>
    <x v="3"/>
    <n v="1.1333333333333333"/>
    <x v="0"/>
  </r>
  <r>
    <x v="3"/>
    <x v="0"/>
    <n v="3.6249999999999893E-2"/>
    <x v="0"/>
  </r>
  <r>
    <x v="3"/>
    <x v="1"/>
    <n v="-6.2857142857142834E-2"/>
    <x v="0"/>
  </r>
  <r>
    <x v="3"/>
    <x v="2"/>
    <n v="-3.4615384615384603E-2"/>
    <x v="0"/>
  </r>
  <r>
    <x v="3"/>
    <x v="3"/>
    <n v="0.27777777777777768"/>
    <x v="0"/>
  </r>
  <r>
    <x v="4"/>
    <x v="0"/>
    <n v="0.22285714285714286"/>
    <x v="0"/>
  </r>
  <r>
    <x v="4"/>
    <x v="1"/>
    <n v="0.13666666666666671"/>
    <x v="0"/>
  </r>
  <r>
    <x v="4"/>
    <x v="2"/>
    <n v="-0.10750000000000004"/>
    <x v="0"/>
  </r>
  <r>
    <x v="4"/>
    <x v="3"/>
    <n v="0.37200000000000011"/>
    <x v="0"/>
  </r>
  <r>
    <x v="5"/>
    <x v="0"/>
    <n v="0.11899999999999999"/>
    <x v="0"/>
  </r>
  <r>
    <x v="5"/>
    <x v="1"/>
    <n v="-5.0555555555555576E-2"/>
    <x v="0"/>
  </r>
  <r>
    <x v="5"/>
    <x v="2"/>
    <n v="3.6363636363636598E-3"/>
    <x v="0"/>
  </r>
  <r>
    <x v="5"/>
    <x v="3"/>
    <n v="0.21500000000000008"/>
    <x v="0"/>
  </r>
  <r>
    <x v="6"/>
    <x v="0"/>
    <n v="0.20052631578947366"/>
    <x v="0"/>
  </r>
  <r>
    <x v="6"/>
    <x v="1"/>
    <n v="1.7058823529411793E-2"/>
    <x v="0"/>
  </r>
  <r>
    <x v="6"/>
    <x v="2"/>
    <n v="0.121"/>
    <x v="0"/>
  </r>
  <r>
    <x v="6"/>
    <x v="3"/>
    <n v="0.30571428571428561"/>
    <x v="0"/>
  </r>
  <r>
    <x v="0"/>
    <x v="0"/>
    <n v="-3.6000000000000032E-2"/>
    <x v="1"/>
  </r>
  <r>
    <x v="0"/>
    <x v="1"/>
    <n v="-5.5000000000000049E-2"/>
    <x v="1"/>
  </r>
  <r>
    <x v="0"/>
    <x v="2"/>
    <n v="1.4545454545454639E-2"/>
    <x v="1"/>
  </r>
  <r>
    <x v="0"/>
    <x v="3"/>
    <n v="0.19222222222222229"/>
    <x v="1"/>
  </r>
  <r>
    <x v="1"/>
    <x v="0"/>
    <n v="2.9333333333333433E-2"/>
    <x v="1"/>
  </r>
  <r>
    <x v="1"/>
    <x v="1"/>
    <n v="-1.7391304347826098E-2"/>
    <x v="1"/>
  </r>
  <r>
    <x v="1"/>
    <x v="2"/>
    <n v="6.8750000000000089E-2"/>
    <x v="1"/>
  </r>
  <r>
    <x v="1"/>
    <x v="3"/>
    <n v="0.11923076923076925"/>
    <x v="1"/>
  </r>
  <r>
    <x v="2"/>
    <x v="0"/>
    <n v="-3.8749999999999951E-2"/>
    <x v="1"/>
  </r>
  <r>
    <x v="2"/>
    <x v="1"/>
    <n v="-3.0000000000000027E-2"/>
    <x v="1"/>
  </r>
  <r>
    <x v="2"/>
    <x v="2"/>
    <n v="0.17799999999999994"/>
    <x v="1"/>
  </r>
  <r>
    <x v="2"/>
    <x v="3"/>
    <n v="0.50249999999999995"/>
    <x v="1"/>
  </r>
  <r>
    <x v="3"/>
    <x v="0"/>
    <n v="0.14166666666666661"/>
    <x v="1"/>
  </r>
  <r>
    <x v="3"/>
    <x v="1"/>
    <n v="1.4210526315789451E-2"/>
    <x v="1"/>
  </r>
  <r>
    <x v="3"/>
    <x v="2"/>
    <n v="7.692307692307665E-3"/>
    <x v="1"/>
  </r>
  <r>
    <x v="3"/>
    <x v="3"/>
    <n v="6.6000000000000059E-2"/>
    <x v="1"/>
  </r>
  <r>
    <x v="4"/>
    <x v="0"/>
    <n v="0.18214285714285716"/>
    <x v="1"/>
  </r>
  <r>
    <x v="4"/>
    <x v="1"/>
    <n v="-3.9090909090909065E-2"/>
    <x v="1"/>
  </r>
  <r>
    <x v="4"/>
    <x v="2"/>
    <n v="-4.0000000000000036E-2"/>
    <x v="1"/>
  </r>
  <r>
    <x v="4"/>
    <x v="3"/>
    <n v="0.29833333333333334"/>
    <x v="1"/>
  </r>
  <r>
    <x v="5"/>
    <x v="0"/>
    <n v="0.19049999999999989"/>
    <x v="1"/>
  </r>
  <r>
    <x v="5"/>
    <x v="1"/>
    <n v="-1.3125000000000053E-2"/>
    <x v="1"/>
  </r>
  <r>
    <x v="5"/>
    <x v="2"/>
    <n v="9.0909090909090828E-2"/>
    <x v="1"/>
  </r>
  <r>
    <x v="5"/>
    <x v="3"/>
    <n v="0.24777777777777787"/>
    <x v="1"/>
  </r>
  <r>
    <x v="6"/>
    <x v="0"/>
    <n v="0.20473684210526311"/>
    <x v="1"/>
  </r>
  <r>
    <x v="6"/>
    <x v="1"/>
    <n v="4.2666666666666631E-2"/>
    <x v="1"/>
  </r>
  <r>
    <x v="6"/>
    <x v="2"/>
    <n v="9.1818181818181799E-2"/>
    <x v="1"/>
  </r>
  <r>
    <x v="6"/>
    <x v="3"/>
    <n v="0.10499999999999998"/>
    <x v="1"/>
  </r>
  <r>
    <x v="0"/>
    <x v="0"/>
    <n v="0.11962616822429917"/>
    <x v="2"/>
  </r>
  <r>
    <x v="0"/>
    <x v="1"/>
    <n v="-7.999999999999996E-2"/>
    <x v="2"/>
  </r>
  <r>
    <x v="0"/>
    <x v="2"/>
    <n v="0.18153846153846165"/>
    <x v="2"/>
  </r>
  <r>
    <x v="0"/>
    <x v="3"/>
    <n v="0.13545454545454549"/>
    <x v="2"/>
  </r>
  <r>
    <x v="1"/>
    <x v="0"/>
    <n v="0.12741433021806858"/>
    <x v="2"/>
  </r>
  <r>
    <x v="1"/>
    <x v="1"/>
    <n v="-6.6666666666667096E-3"/>
    <x v="2"/>
  </r>
  <r>
    <x v="1"/>
    <x v="2"/>
    <n v="6.7368421052631522E-2"/>
    <x v="2"/>
  </r>
  <r>
    <x v="1"/>
    <x v="3"/>
    <n v="0.25235294117647067"/>
    <x v="2"/>
  </r>
  <r>
    <x v="2"/>
    <x v="0"/>
    <n v="2.5700934579439227E-2"/>
    <x v="2"/>
  </r>
  <r>
    <x v="2"/>
    <x v="1"/>
    <n v="-0.29333333333333333"/>
    <x v="2"/>
  </r>
  <r>
    <x v="2"/>
    <x v="2"/>
    <n v="-6.5999999999999948E-2"/>
    <x v="2"/>
  </r>
  <r>
    <x v="2"/>
    <x v="3"/>
    <n v="0.33000000000000007"/>
    <x v="2"/>
  </r>
  <r>
    <x v="3"/>
    <x v="0"/>
    <n v="3.4267912772585563E-2"/>
    <x v="2"/>
  </r>
  <r>
    <x v="3"/>
    <x v="1"/>
    <n v="-3.4117647058823475E-2"/>
    <x v="2"/>
  </r>
  <r>
    <x v="3"/>
    <x v="2"/>
    <n v="0.15266666666666673"/>
    <x v="2"/>
  </r>
  <r>
    <x v="3"/>
    <x v="3"/>
    <n v="4.6153846153846212E-2"/>
    <x v="2"/>
  </r>
  <r>
    <x v="4"/>
    <x v="0"/>
    <n v="0.22630173564753009"/>
    <x v="2"/>
  </r>
  <r>
    <x v="4"/>
    <x v="1"/>
    <n v="-0.14400000000000002"/>
    <x v="2"/>
  </r>
  <r>
    <x v="4"/>
    <x v="2"/>
    <n v="0.10888888888888881"/>
    <x v="2"/>
  </r>
  <r>
    <x v="4"/>
    <x v="3"/>
    <n v="0.58374999999999999"/>
    <x v="2"/>
  </r>
  <r>
    <x v="5"/>
    <x v="0"/>
    <n v="0.36775700934579447"/>
    <x v="2"/>
  </r>
  <r>
    <x v="5"/>
    <x v="1"/>
    <n v="4.4285714285714262E-2"/>
    <x v="2"/>
  </r>
  <r>
    <x v="5"/>
    <x v="2"/>
    <n v="0.16230769230769226"/>
    <x v="2"/>
  </r>
  <r>
    <x v="5"/>
    <x v="3"/>
    <n v="0.43454545454545457"/>
    <x v="2"/>
  </r>
  <r>
    <x v="6"/>
    <x v="0"/>
    <n v="0.27889818002951294"/>
    <x v="2"/>
  </r>
  <r>
    <x v="6"/>
    <x v="1"/>
    <n v="-0.13571428571428568"/>
    <x v="2"/>
  </r>
  <r>
    <x v="6"/>
    <x v="2"/>
    <n v="0.12250000000000005"/>
    <x v="2"/>
  </r>
  <r>
    <x v="6"/>
    <x v="3"/>
    <n v="0.33363636363636373"/>
    <x v="2"/>
  </r>
</pivotCacheRecords>
</file>

<file path=xl/pivotCache/pivotCacheRecords12.xml><?xml version="1.0" encoding="utf-8"?>
<pivotCacheRecords xmlns="http://schemas.openxmlformats.org/spreadsheetml/2006/main" xmlns:r="http://schemas.openxmlformats.org/officeDocument/2006/relationships" count="72">
  <r>
    <x v="0"/>
    <x v="0"/>
    <n v="9416330"/>
    <x v="0"/>
  </r>
  <r>
    <x v="0"/>
    <x v="1"/>
    <n v="7200320"/>
    <x v="0"/>
  </r>
  <r>
    <x v="0"/>
    <x v="2"/>
    <n v="4536080"/>
    <x v="0"/>
  </r>
  <r>
    <x v="0"/>
    <x v="3"/>
    <n v="4022670"/>
    <x v="0"/>
  </r>
  <r>
    <x v="1"/>
    <x v="0"/>
    <n v="9364870"/>
    <x v="0"/>
  </r>
  <r>
    <x v="1"/>
    <x v="1"/>
    <n v="6704770"/>
    <x v="0"/>
  </r>
  <r>
    <x v="1"/>
    <x v="2"/>
    <n v="5047230"/>
    <x v="0"/>
  </r>
  <r>
    <x v="1"/>
    <x v="3"/>
    <n v="4555770"/>
    <x v="0"/>
  </r>
  <r>
    <x v="2"/>
    <x v="0"/>
    <n v="10833550"/>
    <x v="0"/>
  </r>
  <r>
    <x v="2"/>
    <x v="1"/>
    <n v="5688700"/>
    <x v="0"/>
  </r>
  <r>
    <x v="2"/>
    <x v="2"/>
    <n v="6112710"/>
    <x v="0"/>
  </r>
  <r>
    <x v="2"/>
    <x v="3"/>
    <n v="6283310"/>
    <x v="0"/>
  </r>
  <r>
    <x v="0"/>
    <x v="0"/>
    <n v="735000"/>
    <x v="1"/>
  </r>
  <r>
    <x v="0"/>
    <x v="1"/>
    <n v="677000"/>
    <x v="1"/>
  </r>
  <r>
    <x v="0"/>
    <x v="2"/>
    <n v="405000"/>
    <x v="1"/>
  </r>
  <r>
    <x v="0"/>
    <x v="3"/>
    <n v="347000"/>
    <x v="1"/>
  </r>
  <r>
    <x v="1"/>
    <x v="0"/>
    <n v="760000"/>
    <x v="1"/>
  </r>
  <r>
    <x v="1"/>
    <x v="1"/>
    <n v="700000"/>
    <x v="1"/>
  </r>
  <r>
    <x v="1"/>
    <x v="2"/>
    <n v="419000"/>
    <x v="1"/>
  </r>
  <r>
    <x v="1"/>
    <x v="3"/>
    <n v="359000"/>
    <x v="1"/>
  </r>
  <r>
    <x v="2"/>
    <x v="0"/>
    <n v="794000"/>
    <x v="1"/>
  </r>
  <r>
    <x v="2"/>
    <x v="1"/>
    <n v="731000"/>
    <x v="1"/>
  </r>
  <r>
    <x v="2"/>
    <x v="2"/>
    <n v="437000"/>
    <x v="1"/>
  </r>
  <r>
    <x v="2"/>
    <x v="3"/>
    <n v="374000"/>
    <x v="1"/>
  </r>
  <r>
    <x v="0"/>
    <x v="0"/>
    <n v="300000"/>
    <x v="2"/>
  </r>
  <r>
    <x v="0"/>
    <x v="1"/>
    <n v="285000"/>
    <x v="2"/>
  </r>
  <r>
    <x v="0"/>
    <x v="2"/>
    <n v="130000"/>
    <x v="2"/>
  </r>
  <r>
    <x v="0"/>
    <x v="3"/>
    <n v="115000"/>
    <x v="2"/>
  </r>
  <r>
    <x v="1"/>
    <x v="0"/>
    <n v="300000"/>
    <x v="2"/>
  </r>
  <r>
    <x v="1"/>
    <x v="1"/>
    <n v="285000"/>
    <x v="2"/>
  </r>
  <r>
    <x v="1"/>
    <x v="2"/>
    <n v="130000"/>
    <x v="2"/>
  </r>
  <r>
    <x v="1"/>
    <x v="3"/>
    <n v="115000"/>
    <x v="2"/>
  </r>
  <r>
    <x v="2"/>
    <x v="0"/>
    <n v="300000"/>
    <x v="2"/>
  </r>
  <r>
    <x v="2"/>
    <x v="1"/>
    <n v="285000"/>
    <x v="2"/>
  </r>
  <r>
    <x v="2"/>
    <x v="2"/>
    <n v="130000"/>
    <x v="2"/>
  </r>
  <r>
    <x v="2"/>
    <x v="3"/>
    <n v="115000"/>
    <x v="2"/>
  </r>
  <r>
    <x v="0"/>
    <x v="0"/>
    <n v="638080"/>
    <x v="3"/>
  </r>
  <r>
    <x v="0"/>
    <x v="1"/>
    <n v="502379"/>
    <x v="3"/>
  </r>
  <r>
    <x v="0"/>
    <x v="2"/>
    <n v="345058"/>
    <x v="3"/>
  </r>
  <r>
    <x v="0"/>
    <x v="3"/>
    <n v="198504"/>
    <x v="3"/>
  </r>
  <r>
    <x v="1"/>
    <x v="0"/>
    <n v="614152"/>
    <x v="3"/>
  </r>
  <r>
    <x v="1"/>
    <x v="1"/>
    <n v="509713"/>
    <x v="3"/>
  </r>
  <r>
    <x v="1"/>
    <x v="2"/>
    <n v="334495"/>
    <x v="3"/>
  </r>
  <r>
    <x v="1"/>
    <x v="3"/>
    <n v="261915"/>
    <x v="3"/>
  </r>
  <r>
    <x v="2"/>
    <x v="0"/>
    <n v="769684"/>
    <x v="3"/>
  </r>
  <r>
    <x v="2"/>
    <x v="1"/>
    <n v="506046"/>
    <x v="3"/>
  </r>
  <r>
    <x v="2"/>
    <x v="2"/>
    <n v="507024"/>
    <x v="3"/>
  </r>
  <r>
    <x v="2"/>
    <x v="3"/>
    <n v="300513"/>
    <x v="3"/>
  </r>
  <r>
    <x v="0"/>
    <x v="0"/>
    <n v="95000"/>
    <x v="4"/>
  </r>
  <r>
    <x v="0"/>
    <x v="1"/>
    <n v="90000"/>
    <x v="4"/>
  </r>
  <r>
    <x v="0"/>
    <x v="2"/>
    <n v="60000"/>
    <x v="4"/>
  </r>
  <r>
    <x v="0"/>
    <x v="3"/>
    <n v="40000"/>
    <x v="4"/>
  </r>
  <r>
    <x v="1"/>
    <x v="0"/>
    <n v="95000"/>
    <x v="4"/>
  </r>
  <r>
    <x v="1"/>
    <x v="1"/>
    <n v="85000"/>
    <x v="4"/>
  </r>
  <r>
    <x v="1"/>
    <x v="2"/>
    <n v="70000"/>
    <x v="4"/>
  </r>
  <r>
    <x v="1"/>
    <x v="3"/>
    <n v="40000"/>
    <x v="4"/>
  </r>
  <r>
    <x v="2"/>
    <x v="0"/>
    <n v="100000"/>
    <x v="4"/>
  </r>
  <r>
    <x v="2"/>
    <x v="1"/>
    <n v="85000"/>
    <x v="4"/>
  </r>
  <r>
    <x v="2"/>
    <x v="2"/>
    <n v="75000"/>
    <x v="4"/>
  </r>
  <r>
    <x v="2"/>
    <x v="3"/>
    <n v="42000"/>
    <x v="4"/>
  </r>
  <r>
    <x v="0"/>
    <x v="0"/>
    <n v="7187875"/>
    <x v="5"/>
  </r>
  <r>
    <x v="0"/>
    <x v="1"/>
    <n v="5497360"/>
    <x v="5"/>
  </r>
  <r>
    <x v="0"/>
    <x v="2"/>
    <n v="3461355"/>
    <x v="5"/>
  </r>
  <r>
    <x v="0"/>
    <x v="3"/>
    <n v="3058185"/>
    <x v="5"/>
  </r>
  <r>
    <x v="1"/>
    <x v="0"/>
    <n v="7127170"/>
    <x v="5"/>
  </r>
  <r>
    <x v="1"/>
    <x v="1"/>
    <n v="5131710"/>
    <x v="5"/>
  </r>
  <r>
    <x v="1"/>
    <x v="2"/>
    <n v="3863560"/>
    <x v="5"/>
  </r>
  <r>
    <x v="1"/>
    <x v="3"/>
    <n v="3486755"/>
    <x v="5"/>
  </r>
  <r>
    <x v="2"/>
    <x v="0"/>
    <n v="8252900"/>
    <x v="5"/>
  </r>
  <r>
    <x v="2"/>
    <x v="1"/>
    <n v="4357940"/>
    <x v="5"/>
  </r>
  <r>
    <x v="2"/>
    <x v="2"/>
    <n v="4680620"/>
    <x v="5"/>
  </r>
  <r>
    <x v="2"/>
    <x v="3"/>
    <n v="4782695"/>
    <x v="5"/>
  </r>
</pivotCacheRecords>
</file>

<file path=xl/pivotCache/pivotCacheRecords13.xml><?xml version="1.0" encoding="utf-8"?>
<pivotCacheRecords xmlns="http://schemas.openxmlformats.org/spreadsheetml/2006/main" xmlns:r="http://schemas.openxmlformats.org/officeDocument/2006/relationships" count="36">
  <r>
    <x v="0"/>
    <x v="0"/>
    <x v="0"/>
    <x v="0"/>
  </r>
  <r>
    <x v="0"/>
    <x v="1"/>
    <x v="1"/>
    <x v="0"/>
  </r>
  <r>
    <x v="0"/>
    <x v="2"/>
    <x v="2"/>
    <x v="0"/>
  </r>
  <r>
    <x v="1"/>
    <x v="0"/>
    <x v="2"/>
    <x v="0"/>
  </r>
  <r>
    <x v="1"/>
    <x v="1"/>
    <x v="3"/>
    <x v="0"/>
  </r>
  <r>
    <x v="1"/>
    <x v="2"/>
    <x v="4"/>
    <x v="0"/>
  </r>
  <r>
    <x v="2"/>
    <x v="0"/>
    <x v="5"/>
    <x v="0"/>
  </r>
  <r>
    <x v="2"/>
    <x v="1"/>
    <x v="6"/>
    <x v="0"/>
  </r>
  <r>
    <x v="2"/>
    <x v="2"/>
    <x v="7"/>
    <x v="0"/>
  </r>
  <r>
    <x v="0"/>
    <x v="0"/>
    <x v="0"/>
    <x v="1"/>
  </r>
  <r>
    <x v="0"/>
    <x v="1"/>
    <x v="1"/>
    <x v="1"/>
  </r>
  <r>
    <x v="0"/>
    <x v="2"/>
    <x v="2"/>
    <x v="1"/>
  </r>
  <r>
    <x v="1"/>
    <x v="0"/>
    <x v="2"/>
    <x v="1"/>
  </r>
  <r>
    <x v="1"/>
    <x v="1"/>
    <x v="3"/>
    <x v="1"/>
  </r>
  <r>
    <x v="1"/>
    <x v="2"/>
    <x v="4"/>
    <x v="1"/>
  </r>
  <r>
    <x v="2"/>
    <x v="0"/>
    <x v="8"/>
    <x v="1"/>
  </r>
  <r>
    <x v="2"/>
    <x v="1"/>
    <x v="9"/>
    <x v="1"/>
  </r>
  <r>
    <x v="2"/>
    <x v="2"/>
    <x v="10"/>
    <x v="1"/>
  </r>
  <r>
    <x v="0"/>
    <x v="0"/>
    <x v="0"/>
    <x v="2"/>
  </r>
  <r>
    <x v="0"/>
    <x v="1"/>
    <x v="1"/>
    <x v="2"/>
  </r>
  <r>
    <x v="0"/>
    <x v="2"/>
    <x v="2"/>
    <x v="2"/>
  </r>
  <r>
    <x v="1"/>
    <x v="0"/>
    <x v="11"/>
    <x v="2"/>
  </r>
  <r>
    <x v="1"/>
    <x v="1"/>
    <x v="12"/>
    <x v="2"/>
  </r>
  <r>
    <x v="1"/>
    <x v="2"/>
    <x v="13"/>
    <x v="2"/>
  </r>
  <r>
    <x v="2"/>
    <x v="0"/>
    <x v="14"/>
    <x v="2"/>
  </r>
  <r>
    <x v="2"/>
    <x v="1"/>
    <x v="15"/>
    <x v="2"/>
  </r>
  <r>
    <x v="2"/>
    <x v="2"/>
    <x v="16"/>
    <x v="2"/>
  </r>
  <r>
    <x v="0"/>
    <x v="0"/>
    <x v="0"/>
    <x v="3"/>
  </r>
  <r>
    <x v="0"/>
    <x v="1"/>
    <x v="1"/>
    <x v="3"/>
  </r>
  <r>
    <x v="0"/>
    <x v="2"/>
    <x v="2"/>
    <x v="3"/>
  </r>
  <r>
    <x v="1"/>
    <x v="0"/>
    <x v="11"/>
    <x v="3"/>
  </r>
  <r>
    <x v="1"/>
    <x v="1"/>
    <x v="12"/>
    <x v="3"/>
  </r>
  <r>
    <x v="1"/>
    <x v="2"/>
    <x v="13"/>
    <x v="3"/>
  </r>
  <r>
    <x v="2"/>
    <x v="0"/>
    <x v="17"/>
    <x v="3"/>
  </r>
  <r>
    <x v="2"/>
    <x v="1"/>
    <x v="18"/>
    <x v="3"/>
  </r>
  <r>
    <x v="2"/>
    <x v="2"/>
    <x v="19"/>
    <x v="3"/>
  </r>
</pivotCacheRecords>
</file>

<file path=xl/pivotCache/pivotCacheRecords14.xml><?xml version="1.0" encoding="utf-8"?>
<pivotCacheRecords xmlns="http://schemas.openxmlformats.org/spreadsheetml/2006/main" xmlns:r="http://schemas.openxmlformats.org/officeDocument/2006/relationships" count="60">
  <r>
    <x v="0"/>
    <x v="0"/>
    <n v="735000"/>
    <x v="0"/>
  </r>
  <r>
    <x v="0"/>
    <x v="1"/>
    <n v="677000"/>
    <x v="0"/>
  </r>
  <r>
    <x v="0"/>
    <x v="2"/>
    <n v="405000"/>
    <x v="0"/>
  </r>
  <r>
    <x v="0"/>
    <x v="3"/>
    <n v="347000"/>
    <x v="0"/>
  </r>
  <r>
    <x v="1"/>
    <x v="0"/>
    <n v="760000"/>
    <x v="0"/>
  </r>
  <r>
    <x v="1"/>
    <x v="1"/>
    <n v="700000"/>
    <x v="0"/>
  </r>
  <r>
    <x v="1"/>
    <x v="2"/>
    <n v="419000"/>
    <x v="0"/>
  </r>
  <r>
    <x v="1"/>
    <x v="3"/>
    <n v="359000"/>
    <x v="0"/>
  </r>
  <r>
    <x v="2"/>
    <x v="0"/>
    <n v="794000"/>
    <x v="0"/>
  </r>
  <r>
    <x v="2"/>
    <x v="1"/>
    <n v="731000"/>
    <x v="0"/>
  </r>
  <r>
    <x v="2"/>
    <x v="2"/>
    <n v="437000"/>
    <x v="0"/>
  </r>
  <r>
    <x v="2"/>
    <x v="3"/>
    <n v="374000"/>
    <x v="0"/>
  </r>
  <r>
    <x v="0"/>
    <x v="0"/>
    <n v="300000"/>
    <x v="1"/>
  </r>
  <r>
    <x v="0"/>
    <x v="1"/>
    <n v="285000"/>
    <x v="1"/>
  </r>
  <r>
    <x v="0"/>
    <x v="2"/>
    <n v="130000"/>
    <x v="1"/>
  </r>
  <r>
    <x v="0"/>
    <x v="3"/>
    <n v="115000"/>
    <x v="1"/>
  </r>
  <r>
    <x v="1"/>
    <x v="0"/>
    <n v="300000"/>
    <x v="1"/>
  </r>
  <r>
    <x v="1"/>
    <x v="1"/>
    <n v="285000"/>
    <x v="1"/>
  </r>
  <r>
    <x v="1"/>
    <x v="2"/>
    <n v="130000"/>
    <x v="1"/>
  </r>
  <r>
    <x v="1"/>
    <x v="3"/>
    <n v="115000"/>
    <x v="1"/>
  </r>
  <r>
    <x v="2"/>
    <x v="0"/>
    <n v="300000"/>
    <x v="1"/>
  </r>
  <r>
    <x v="2"/>
    <x v="1"/>
    <n v="285000"/>
    <x v="1"/>
  </r>
  <r>
    <x v="2"/>
    <x v="2"/>
    <n v="130000"/>
    <x v="1"/>
  </r>
  <r>
    <x v="2"/>
    <x v="3"/>
    <n v="115000"/>
    <x v="1"/>
  </r>
  <r>
    <x v="0"/>
    <x v="0"/>
    <n v="638080"/>
    <x v="2"/>
  </r>
  <r>
    <x v="0"/>
    <x v="1"/>
    <n v="502379"/>
    <x v="2"/>
  </r>
  <r>
    <x v="0"/>
    <x v="2"/>
    <n v="345058"/>
    <x v="2"/>
  </r>
  <r>
    <x v="0"/>
    <x v="3"/>
    <n v="198504"/>
    <x v="2"/>
  </r>
  <r>
    <x v="1"/>
    <x v="0"/>
    <n v="614152"/>
    <x v="2"/>
  </r>
  <r>
    <x v="1"/>
    <x v="1"/>
    <n v="509713"/>
    <x v="2"/>
  </r>
  <r>
    <x v="1"/>
    <x v="2"/>
    <n v="334495"/>
    <x v="2"/>
  </r>
  <r>
    <x v="1"/>
    <x v="3"/>
    <n v="261915"/>
    <x v="2"/>
  </r>
  <r>
    <x v="2"/>
    <x v="0"/>
    <n v="769684"/>
    <x v="2"/>
  </r>
  <r>
    <x v="2"/>
    <x v="1"/>
    <n v="506046"/>
    <x v="2"/>
  </r>
  <r>
    <x v="2"/>
    <x v="2"/>
    <n v="507024"/>
    <x v="2"/>
  </r>
  <r>
    <x v="2"/>
    <x v="3"/>
    <n v="300513"/>
    <x v="2"/>
  </r>
  <r>
    <x v="0"/>
    <x v="0"/>
    <n v="95000"/>
    <x v="3"/>
  </r>
  <r>
    <x v="0"/>
    <x v="1"/>
    <n v="90000"/>
    <x v="3"/>
  </r>
  <r>
    <x v="0"/>
    <x v="2"/>
    <n v="60000"/>
    <x v="3"/>
  </r>
  <r>
    <x v="0"/>
    <x v="3"/>
    <n v="40000"/>
    <x v="3"/>
  </r>
  <r>
    <x v="1"/>
    <x v="0"/>
    <n v="95000"/>
    <x v="3"/>
  </r>
  <r>
    <x v="1"/>
    <x v="1"/>
    <n v="85000"/>
    <x v="3"/>
  </r>
  <r>
    <x v="1"/>
    <x v="2"/>
    <n v="70000"/>
    <x v="3"/>
  </r>
  <r>
    <x v="1"/>
    <x v="3"/>
    <n v="40000"/>
    <x v="3"/>
  </r>
  <r>
    <x v="2"/>
    <x v="0"/>
    <n v="100000"/>
    <x v="3"/>
  </r>
  <r>
    <x v="2"/>
    <x v="1"/>
    <n v="85000"/>
    <x v="3"/>
  </r>
  <r>
    <x v="2"/>
    <x v="2"/>
    <n v="75000"/>
    <x v="3"/>
  </r>
  <r>
    <x v="2"/>
    <x v="3"/>
    <n v="42000"/>
    <x v="3"/>
  </r>
  <r>
    <x v="0"/>
    <x v="0"/>
    <n v="7187875"/>
    <x v="4"/>
  </r>
  <r>
    <x v="0"/>
    <x v="1"/>
    <n v="5497360"/>
    <x v="4"/>
  </r>
  <r>
    <x v="0"/>
    <x v="2"/>
    <n v="3461355"/>
    <x v="4"/>
  </r>
  <r>
    <x v="0"/>
    <x v="3"/>
    <n v="3058185"/>
    <x v="4"/>
  </r>
  <r>
    <x v="1"/>
    <x v="0"/>
    <n v="7127170"/>
    <x v="4"/>
  </r>
  <r>
    <x v="1"/>
    <x v="1"/>
    <n v="5131710"/>
    <x v="4"/>
  </r>
  <r>
    <x v="1"/>
    <x v="2"/>
    <n v="3863560"/>
    <x v="4"/>
  </r>
  <r>
    <x v="1"/>
    <x v="3"/>
    <n v="3486755"/>
    <x v="4"/>
  </r>
  <r>
    <x v="2"/>
    <x v="0"/>
    <n v="8252900"/>
    <x v="4"/>
  </r>
  <r>
    <x v="2"/>
    <x v="1"/>
    <n v="4357940"/>
    <x v="4"/>
  </r>
  <r>
    <x v="2"/>
    <x v="2"/>
    <n v="4680620"/>
    <x v="4"/>
  </r>
  <r>
    <x v="2"/>
    <x v="3"/>
    <n v="478269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B11:F23" firstHeaderRow="1" firstDataRow="2" firstDataCol="1" rowPageCount="1" colPageCount="1"/>
  <pivotFields count="4">
    <pivotField axis="axisCol" showAll="0">
      <items count="4">
        <item x="0"/>
        <item x="1"/>
        <item x="2"/>
        <item t="default"/>
      </items>
    </pivotField>
    <pivotField axis="axisPage" showAll="0">
      <items count="5">
        <item x="0"/>
        <item x="3"/>
        <item x="1"/>
        <item x="2"/>
        <item t="default"/>
      </items>
    </pivotField>
    <pivotField dataField="1" showAll="0"/>
    <pivotField axis="axisRow" showAll="0">
      <items count="11">
        <item x="0"/>
        <item x="5"/>
        <item x="1"/>
        <item x="2"/>
        <item x="4"/>
        <item x="3"/>
        <item f="1" x="6"/>
        <item f="1" x="8"/>
        <item f="1" x="7"/>
        <item f="1" x="9"/>
        <item t="default"/>
      </items>
    </pivotField>
  </pivotFields>
  <rowFields count="1">
    <field x="3"/>
  </rowFields>
  <rowItems count="11">
    <i>
      <x/>
    </i>
    <i>
      <x v="1"/>
    </i>
    <i>
      <x v="2"/>
    </i>
    <i>
      <x v="3"/>
    </i>
    <i>
      <x v="4"/>
    </i>
    <i>
      <x v="5"/>
    </i>
    <i>
      <x v="6"/>
    </i>
    <i>
      <x v="7"/>
    </i>
    <i>
      <x v="8"/>
    </i>
    <i>
      <x v="9"/>
    </i>
    <i t="grand">
      <x/>
    </i>
  </rowItems>
  <colFields count="1">
    <field x="0"/>
  </colFields>
  <colItems count="4">
    <i>
      <x/>
    </i>
    <i>
      <x v="1"/>
    </i>
    <i>
      <x v="2"/>
    </i>
    <i t="grand">
      <x/>
    </i>
  </colItems>
  <pageFields count="1">
    <pageField fld="1" hier="-1"/>
  </pageFields>
  <dataFields count="1">
    <dataField name="Sum of Value" fld="2" baseField="3" baseItem="0" numFmtId="3"/>
  </dataFields>
  <chartFormats count="6">
    <chartFormat chart="0" format="5" series="1">
      <pivotArea type="data" outline="0" fieldPosition="0">
        <references count="2">
          <reference field="4294967294" count="1" selected="0">
            <x v="0"/>
          </reference>
          <reference field="0" count="1" selected="0">
            <x v="0"/>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2"/>
          </reference>
        </references>
      </pivotArea>
    </chartFormat>
    <chartFormat chart="1" format="8" series="1">
      <pivotArea type="data" outline="0" fieldPosition="0">
        <references count="2">
          <reference field="4294967294" count="1" selected="0">
            <x v="0"/>
          </reference>
          <reference field="0" count="1" selected="0">
            <x v="0"/>
          </reference>
        </references>
      </pivotArea>
    </chartFormat>
    <chartFormat chart="1" format="9" series="1">
      <pivotArea type="data" outline="0" fieldPosition="0">
        <references count="2">
          <reference field="4294967294" count="1" selected="0">
            <x v="0"/>
          </reference>
          <reference field="0" count="1" selected="0">
            <x v="1"/>
          </reference>
        </references>
      </pivotArea>
    </chartFormat>
    <chartFormat chart="1" format="10"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46:G58" firstHeaderRow="1" firstDataRow="2" firstDataCol="1" rowPageCount="1" colPageCount="1"/>
  <pivotFields count="4">
    <pivotField axis="axisPage" showAll="0">
      <items count="4">
        <item x="0"/>
        <item x="1"/>
        <item x="2"/>
        <item t="default"/>
      </items>
    </pivotField>
    <pivotField axis="axisCol" showAll="0">
      <items count="5">
        <item x="0"/>
        <item x="1"/>
        <item x="2"/>
        <item x="3"/>
        <item t="default"/>
      </items>
    </pivotField>
    <pivotField dataField="1" showAll="0"/>
    <pivotField axis="axisRow" showAll="0">
      <items count="11">
        <item x="0"/>
        <item x="5"/>
        <item x="1"/>
        <item x="2"/>
        <item x="4"/>
        <item x="3"/>
        <item f="1" x="6"/>
        <item f="1" x="8"/>
        <item f="1" x="7"/>
        <item f="1" x="9"/>
        <item t="default"/>
      </items>
    </pivotField>
  </pivotFields>
  <rowFields count="1">
    <field x="3"/>
  </rowFields>
  <rowItems count="11">
    <i>
      <x/>
    </i>
    <i>
      <x v="1"/>
    </i>
    <i>
      <x v="2"/>
    </i>
    <i>
      <x v="3"/>
    </i>
    <i>
      <x v="4"/>
    </i>
    <i>
      <x v="5"/>
    </i>
    <i>
      <x v="6"/>
    </i>
    <i>
      <x v="7"/>
    </i>
    <i>
      <x v="8"/>
    </i>
    <i>
      <x v="9"/>
    </i>
    <i t="grand">
      <x/>
    </i>
  </rowItems>
  <colFields count="1">
    <field x="1"/>
  </colFields>
  <colItems count="5">
    <i>
      <x/>
    </i>
    <i>
      <x v="1"/>
    </i>
    <i>
      <x v="2"/>
    </i>
    <i>
      <x v="3"/>
    </i>
    <i t="grand">
      <x/>
    </i>
  </colItems>
  <pageFields count="1">
    <pageField fld="0" hier="-1"/>
  </pageFields>
  <dataFields count="1">
    <dataField name="Sum of Value" fld="2" baseField="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Q5:V10" firstHeaderRow="1" firstDataRow="2" firstDataCol="1"/>
  <pivotFields count="4">
    <pivotField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dataFields count="1">
    <dataField name="Sum of Value" fld="2" baseField="0" baseItem="0"/>
  </dataFields>
  <chartFormats count="4">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4">
  <location ref="AC20:AK26" firstHeaderRow="1" firstDataRow="2" firstDataCol="1" rowPageCount="1" colPageCount="1"/>
  <pivotFields count="4">
    <pivotField axis="axisCol" showAll="0">
      <items count="8">
        <item x="2"/>
        <item x="1"/>
        <item x="6"/>
        <item x="3"/>
        <item x="5"/>
        <item x="4"/>
        <item x="0"/>
        <item t="default"/>
      </items>
    </pivotField>
    <pivotField axis="axisRow" showAll="0">
      <items count="5">
        <item x="0"/>
        <item x="1"/>
        <item x="2"/>
        <item x="3"/>
        <item t="default"/>
      </items>
    </pivotField>
    <pivotField dataField="1" showAll="0"/>
    <pivotField axis="axisPage" showAll="0">
      <items count="4">
        <item x="0"/>
        <item x="1"/>
        <item x="2"/>
        <item t="default"/>
      </items>
    </pivotField>
  </pivotFields>
  <rowFields count="1">
    <field x="1"/>
  </rowFields>
  <rowItems count="5">
    <i>
      <x/>
    </i>
    <i>
      <x v="1"/>
    </i>
    <i>
      <x v="2"/>
    </i>
    <i>
      <x v="3"/>
    </i>
    <i t="grand">
      <x/>
    </i>
  </rowItems>
  <colFields count="1">
    <field x="0"/>
  </colFields>
  <colItems count="8">
    <i>
      <x/>
    </i>
    <i>
      <x v="1"/>
    </i>
    <i>
      <x v="2"/>
    </i>
    <i>
      <x v="3"/>
    </i>
    <i>
      <x v="4"/>
    </i>
    <i>
      <x v="5"/>
    </i>
    <i>
      <x v="6"/>
    </i>
    <i t="grand">
      <x/>
    </i>
  </colItems>
  <pageFields count="1">
    <pageField fld="3" item="0" hier="-1"/>
  </pageFields>
  <dataFields count="1">
    <dataField name="Sum of Value" fld="2" showDataAs="percentOfRow" baseField="0" baseItem="2" numFmtId="10"/>
  </dataFields>
  <chartFormats count="16">
    <chartFormat chart="0" format="8" series="1">
      <pivotArea type="data" outline="0" fieldPosition="0">
        <references count="2">
          <reference field="4294967294" count="1" selected="0">
            <x v="0"/>
          </reference>
          <reference field="1"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0" format="11" series="1">
      <pivotArea type="data" outline="0" fieldPosition="0">
        <references count="2">
          <reference field="4294967294" count="1" selected="0">
            <x v="0"/>
          </reference>
          <reference field="1" count="1" selected="0">
            <x v="3"/>
          </reference>
        </references>
      </pivotArea>
    </chartFormat>
    <chartFormat chart="19" format="15" series="1">
      <pivotArea type="data" outline="0" fieldPosition="0">
        <references count="2">
          <reference field="4294967294" count="1" selected="0">
            <x v="0"/>
          </reference>
          <reference field="1" count="1" selected="0">
            <x v="0"/>
          </reference>
        </references>
      </pivotArea>
    </chartFormat>
    <chartFormat chart="19" format="16" series="1">
      <pivotArea type="data" outline="0" fieldPosition="0">
        <references count="2">
          <reference field="4294967294" count="1" selected="0">
            <x v="0"/>
          </reference>
          <reference field="1" count="1" selected="0">
            <x v="1"/>
          </reference>
        </references>
      </pivotArea>
    </chartFormat>
    <chartFormat chart="19" format="17" series="1">
      <pivotArea type="data" outline="0" fieldPosition="0">
        <references count="2">
          <reference field="4294967294" count="1" selected="0">
            <x v="0"/>
          </reference>
          <reference field="1" count="1" selected="0">
            <x v="2"/>
          </reference>
        </references>
      </pivotArea>
    </chartFormat>
    <chartFormat chart="19" format="18" series="1">
      <pivotArea type="data" outline="0" fieldPosition="0">
        <references count="2">
          <reference field="4294967294" count="1" selected="0">
            <x v="0"/>
          </reference>
          <reference field="1" count="1" selected="0">
            <x v="3"/>
          </reference>
        </references>
      </pivotArea>
    </chartFormat>
    <chartFormat chart="19"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0" count="1" selected="0">
            <x v="0"/>
          </reference>
        </references>
      </pivotArea>
    </chartFormat>
    <chartFormat chart="19" format="21" series="1">
      <pivotArea type="data" outline="0" fieldPosition="0">
        <references count="2">
          <reference field="4294967294" count="1" selected="0">
            <x v="0"/>
          </reference>
          <reference field="0" count="1" selected="0">
            <x v="1"/>
          </reference>
        </references>
      </pivotArea>
    </chartFormat>
    <chartFormat chart="19" format="22" series="1">
      <pivotArea type="data" outline="0" fieldPosition="0">
        <references count="2">
          <reference field="4294967294" count="1" selected="0">
            <x v="0"/>
          </reference>
          <reference field="0" count="1" selected="0">
            <x v="2"/>
          </reference>
        </references>
      </pivotArea>
    </chartFormat>
    <chartFormat chart="19" format="23" series="1">
      <pivotArea type="data" outline="0" fieldPosition="0">
        <references count="2">
          <reference field="4294967294" count="1" selected="0">
            <x v="0"/>
          </reference>
          <reference field="0" count="1" selected="0">
            <x v="3"/>
          </reference>
        </references>
      </pivotArea>
    </chartFormat>
    <chartFormat chart="19" format="24" series="1">
      <pivotArea type="data" outline="0" fieldPosition="0">
        <references count="2">
          <reference field="4294967294" count="1" selected="0">
            <x v="0"/>
          </reference>
          <reference field="0" count="1" selected="0">
            <x v="4"/>
          </reference>
        </references>
      </pivotArea>
    </chartFormat>
    <chartFormat chart="19" format="25" series="1">
      <pivotArea type="data" outline="0" fieldPosition="0">
        <references count="2">
          <reference field="4294967294" count="1" selected="0">
            <x v="0"/>
          </reference>
          <reference field="0" count="1" selected="0">
            <x v="5"/>
          </reference>
        </references>
      </pivotArea>
    </chartFormat>
    <chartFormat chart="19" format="26"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Q18:V23"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0" baseItem="2" numFmtId="4"/>
  </dataFields>
  <chartFormats count="4">
    <chartFormat chart="0" format="8" series="1">
      <pivotArea type="data" outline="0" fieldPosition="0">
        <references count="2">
          <reference field="4294967294" count="1" selected="0">
            <x v="0"/>
          </reference>
          <reference field="1"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0"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D5:AI10"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0" baseItem="0"/>
  </dataFields>
  <chartFormats count="4">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3"/>
          </reference>
        </references>
      </pivotArea>
    </chartFormat>
    <chartFormat chart="0" format="6" series="1">
      <pivotArea type="data" outline="0" fieldPosition="0">
        <references count="2">
          <reference field="4294967294" count="1" selected="0">
            <x v="0"/>
          </reference>
          <reference field="1" count="1" selected="0">
            <x v="1"/>
          </reference>
        </references>
      </pivotArea>
    </chartFormat>
    <chartFormat chart="0" format="7"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6" minRefreshableVersion="3" asteriskTotals="1" useAutoFormatting="1" itemPrintTitles="1" createdVersion="6" indent="0" outline="1" outlineData="1" multipleFieldFilters="0" chartFormat="91">
  <location ref="W5:AB10"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3" baseItem="1" numFmtId="3"/>
  </dataFields>
  <chartFormats count="4">
    <chartFormat chart="0" format="31" series="1">
      <pivotArea type="data" outline="0" fieldPosition="0">
        <references count="2">
          <reference field="4294967294" count="1" selected="0">
            <x v="0"/>
          </reference>
          <reference field="1" count="1" selected="0">
            <x v="0"/>
          </reference>
        </references>
      </pivotArea>
    </chartFormat>
    <chartFormat chart="0" format="32" series="1">
      <pivotArea type="data" outline="0" fieldPosition="0">
        <references count="2">
          <reference field="4294967294" count="1" selected="0">
            <x v="0"/>
          </reference>
          <reference field="1" count="1" selected="0">
            <x v="1"/>
          </reference>
        </references>
      </pivotArea>
    </chartFormat>
    <chartFormat chart="0" format="33" series="1">
      <pivotArea type="data" outline="0" fieldPosition="0">
        <references count="2">
          <reference field="4294967294" count="1" selected="0">
            <x v="0"/>
          </reference>
          <reference field="1" count="1" selected="0">
            <x v="2"/>
          </reference>
        </references>
      </pivotArea>
    </chartFormat>
    <chartFormat chart="0" format="34"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R5:AW10" firstHeaderRow="1" firstDataRow="2" firstDataCol="1"/>
  <pivotFields count="4">
    <pivotField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dataFields count="1">
    <dataField name="Sum of Value" fld="2" baseField="0" baseItem="0" numFmtId="40"/>
  </dataFields>
  <chartFormats count="4">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6" rowHeaderCaption="Year">
  <location ref="B38:G43" firstHeaderRow="1" firstDataRow="2" firstDataCol="1" rowPageCount="1" colPageCount="1"/>
  <pivotFields count="4">
    <pivotField name="Staff" axis="axisPage" showAll="0">
      <items count="4">
        <item x="1"/>
        <item x="0"/>
        <item x="2"/>
        <item t="default"/>
      </items>
    </pivotField>
    <pivotField axis="axisRow" showAll="0">
      <items count="6">
        <item m="1" x="4"/>
        <item m="1" x="3"/>
        <item x="0"/>
        <item x="1"/>
        <item x="2"/>
        <item t="default"/>
      </items>
    </pivotField>
    <pivotField dataField="1" showAll="0"/>
    <pivotField axis="axisCol" showAll="0">
      <items count="5">
        <item x="0"/>
        <item x="1"/>
        <item x="2"/>
        <item x="3"/>
        <item t="default"/>
      </items>
    </pivotField>
  </pivotFields>
  <rowFields count="1">
    <field x="1"/>
  </rowFields>
  <rowItems count="4">
    <i>
      <x v="2"/>
    </i>
    <i>
      <x v="3"/>
    </i>
    <i>
      <x v="4"/>
    </i>
    <i t="grand">
      <x/>
    </i>
  </rowItems>
  <colFields count="1">
    <field x="3"/>
  </colFields>
  <colItems count="5">
    <i>
      <x/>
    </i>
    <i>
      <x v="1"/>
    </i>
    <i>
      <x v="2"/>
    </i>
    <i>
      <x v="3"/>
    </i>
    <i t="grand">
      <x/>
    </i>
  </colItems>
  <pageFields count="1">
    <pageField fld="0" hier="-1"/>
  </pageFields>
  <dataFields count="1">
    <dataField name="Sum of Value" fld="2" baseField="0" baseItem="0" numFmtId="166"/>
  </dataFields>
  <formats count="1">
    <format dxfId="2">
      <pivotArea field="0" type="button" dataOnly="0" labelOnly="1" outline="0" axis="axisPage" fieldPosition="0"/>
    </format>
  </formats>
  <chartFormats count="1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1" count="1" selected="0">
            <x v="2"/>
          </reference>
        </references>
      </pivotArea>
    </chartFormat>
    <chartFormat chart="6" format="8" series="1">
      <pivotArea type="data" outline="0" fieldPosition="0">
        <references count="2">
          <reference field="4294967294" count="1" selected="0">
            <x v="0"/>
          </reference>
          <reference field="1" count="1" selected="0">
            <x v="3"/>
          </reference>
        </references>
      </pivotArea>
    </chartFormat>
    <chartFormat chart="6" format="9" series="1">
      <pivotArea type="data" outline="0" fieldPosition="0">
        <references count="2">
          <reference field="4294967294" count="1" selected="0">
            <x v="0"/>
          </reference>
          <reference field="1" count="1" selected="0">
            <x v="4"/>
          </reference>
        </references>
      </pivotArea>
    </chartFormat>
    <chartFormat chart="15" format="4" series="1">
      <pivotArea type="data" outline="0" fieldPosition="0">
        <references count="2">
          <reference field="4294967294" count="1" selected="0">
            <x v="0"/>
          </reference>
          <reference field="3" count="1" selected="0">
            <x v="0"/>
          </reference>
        </references>
      </pivotArea>
    </chartFormat>
    <chartFormat chart="15" format="5" series="1">
      <pivotArea type="data" outline="0" fieldPosition="0">
        <references count="2">
          <reference field="4294967294" count="1" selected="0">
            <x v="0"/>
          </reference>
          <reference field="3" count="1" selected="0">
            <x v="1"/>
          </reference>
        </references>
      </pivotArea>
    </chartFormat>
    <chartFormat chart="15" format="6" series="1">
      <pivotArea type="data" outline="0" fieldPosition="0">
        <references count="2">
          <reference field="4294967294" count="1" selected="0">
            <x v="0"/>
          </reference>
          <reference field="3" count="1" selected="0">
            <x v="3"/>
          </reference>
        </references>
      </pivotArea>
    </chartFormat>
    <chartFormat chart="15" format="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Year">
  <location ref="O3:T8"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3" baseItem="0" numFmtId="3"/>
  </dataFields>
  <chartFormats count="4">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rowHeaderCaption="Year">
  <location ref="Y4:AD9"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3" baseItem="0" numFmtId="3"/>
  </dataFields>
  <chartFormats count="8">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0"/>
          </reference>
        </references>
      </pivotArea>
    </chartFormat>
    <chartFormat chart="1" format="5" series="1">
      <pivotArea type="data" outline="0" fieldPosition="0">
        <references count="2">
          <reference field="4294967294" count="1" selected="0">
            <x v="0"/>
          </reference>
          <reference field="1" count="1" selected="0">
            <x v="1"/>
          </reference>
        </references>
      </pivotArea>
    </chartFormat>
    <chartFormat chart="1" format="6" series="1">
      <pivotArea type="data" outline="0" fieldPosition="0">
        <references count="2">
          <reference field="4294967294" count="1" selected="0">
            <x v="0"/>
          </reference>
          <reference field="1" count="1" selected="0">
            <x v="2"/>
          </reference>
        </references>
      </pivotArea>
    </chartFormat>
    <chartFormat chart="1"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rowHeaderCaption="Year">
  <location ref="X4:AC9"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7">
        <item m="1" x="5"/>
        <item m="1" x="4"/>
        <item m="1" x="3"/>
        <item x="0"/>
        <item x="1"/>
        <item x="2"/>
        <item t="default"/>
      </items>
    </pivotField>
  </pivotFields>
  <rowFields count="1">
    <field x="3"/>
  </rowFields>
  <rowItems count="4">
    <i>
      <x v="3"/>
    </i>
    <i>
      <x v="4"/>
    </i>
    <i>
      <x v="5"/>
    </i>
    <i t="grand">
      <x/>
    </i>
  </rowItems>
  <colFields count="1">
    <field x="1"/>
  </colFields>
  <colItems count="5">
    <i>
      <x/>
    </i>
    <i>
      <x v="1"/>
    </i>
    <i>
      <x v="2"/>
    </i>
    <i>
      <x v="3"/>
    </i>
    <i t="grand">
      <x/>
    </i>
  </colItems>
  <pageFields count="1">
    <pageField fld="0" hier="-1"/>
  </pageFields>
  <dataFields count="1">
    <dataField name="Sum of Value" fld="2" baseField="3" baseItem="0" numFmtId="3"/>
  </dataFields>
  <chartFormats count="4">
    <chartFormat chart="0" format="8" series="1">
      <pivotArea type="data" outline="0" fieldPosition="0">
        <references count="2">
          <reference field="4294967294" count="1" selected="0">
            <x v="0"/>
          </reference>
          <reference field="1"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0"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9"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Year">
  <location ref="I15:N20" firstHeaderRow="1" firstDataRow="2" firstDataCol="1" rowPageCount="1" colPageCount="1"/>
  <pivotFields count="4">
    <pivotField axis="axisRow" showAll="0">
      <items count="4">
        <item x="0"/>
        <item x="1"/>
        <item x="2"/>
        <item t="default"/>
      </items>
    </pivotField>
    <pivotField axis="axisCol" showAll="0">
      <items count="5">
        <item x="0"/>
        <item x="1"/>
        <item x="2"/>
        <item x="3"/>
        <item t="default"/>
      </items>
    </pivotField>
    <pivotField dataField="1" showAll="0"/>
    <pivotField axis="axisPage" showAll="0">
      <items count="6">
        <item x="3"/>
        <item x="4"/>
        <item x="1"/>
        <item x="0"/>
        <item x="2"/>
        <item t="default"/>
      </items>
    </pivotField>
  </pivotFields>
  <rowFields count="1">
    <field x="0"/>
  </rowFields>
  <rowItems count="4">
    <i>
      <x/>
    </i>
    <i>
      <x v="1"/>
    </i>
    <i>
      <x v="2"/>
    </i>
    <i t="grand">
      <x/>
    </i>
  </rowItems>
  <colFields count="1">
    <field x="1"/>
  </colFields>
  <colItems count="5">
    <i>
      <x/>
    </i>
    <i>
      <x v="1"/>
    </i>
    <i>
      <x v="2"/>
    </i>
    <i>
      <x v="3"/>
    </i>
    <i t="grand">
      <x/>
    </i>
  </colItems>
  <pageFields count="1">
    <pageField fld="3" hier="-1"/>
  </pageFields>
  <dataFields count="1">
    <dataField name="Sum of Value" fld="2" baseField="0" baseItem="2" numFmtId="3"/>
  </dataFields>
  <chartFormats count="4">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1" rowHeaderCaption="Year">
  <location ref="X3:AC8"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3" baseItem="0" numFmtId="3"/>
  </dataFields>
  <chartFormats count="14">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1"/>
          </reference>
        </references>
      </pivotArea>
    </chartFormat>
    <chartFormat chart="0" format="18" series="1">
      <pivotArea type="data" outline="0" fieldPosition="0">
        <references count="2">
          <reference field="4294967294" count="1" selected="0">
            <x v="0"/>
          </reference>
          <reference field="3" count="1" selected="0">
            <x v="2"/>
          </reference>
        </references>
      </pivotArea>
    </chartFormat>
    <chartFormat chart="0" format="19" series="1">
      <pivotArea type="data" outline="0" fieldPosition="0">
        <references count="2">
          <reference field="4294967294" count="1" selected="0">
            <x v="0"/>
          </reference>
          <reference field="0" count="1" selected="0">
            <x v="3"/>
          </reference>
        </references>
      </pivotArea>
    </chartFormat>
    <chartFormat chart="0" format="20" series="1">
      <pivotArea type="data" outline="0" fieldPosition="0">
        <references count="2">
          <reference field="4294967294" count="1" selected="0">
            <x v="0"/>
          </reference>
          <reference field="0" count="1" selected="0">
            <x v="4"/>
          </reference>
        </references>
      </pivotArea>
    </chartFormat>
    <chartFormat chart="0" format="21" series="1">
      <pivotArea type="data" outline="0" fieldPosition="0">
        <references count="2">
          <reference field="4294967294" count="1" selected="0">
            <x v="0"/>
          </reference>
          <reference field="0" count="1" selected="0">
            <x v="5"/>
          </reference>
        </references>
      </pivotArea>
    </chartFormat>
    <chartFormat chart="0" format="22" series="1">
      <pivotArea type="data" outline="0" fieldPosition="0">
        <references count="2">
          <reference field="4294967294" count="1" selected="0">
            <x v="0"/>
          </reference>
          <reference field="0" count="1" selected="0">
            <x v="6"/>
          </reference>
        </references>
      </pivotArea>
    </chartFormat>
    <chartFormat chart="0" format="23" series="1">
      <pivotArea type="data" outline="0" fieldPosition="0">
        <references count="2">
          <reference field="4294967294" count="1" selected="0">
            <x v="0"/>
          </reference>
          <reference field="0" count="1" selected="0">
            <x v="0"/>
          </reference>
        </references>
      </pivotArea>
    </chartFormat>
    <chartFormat chart="0" format="24" series="1">
      <pivotArea type="data" outline="0" fieldPosition="0">
        <references count="2">
          <reference field="4294967294" count="1" selected="0">
            <x v="0"/>
          </reference>
          <reference field="0" count="1" selected="0">
            <x v="1"/>
          </reference>
        </references>
      </pivotArea>
    </chartFormat>
    <chartFormat chart="0" format="25" series="1">
      <pivotArea type="data" outline="0" fieldPosition="0">
        <references count="2">
          <reference field="4294967294" count="1" selected="0">
            <x v="0"/>
          </reference>
          <reference field="0" count="1" selected="0">
            <x v="2"/>
          </reference>
        </references>
      </pivotArea>
    </chartFormat>
    <chartFormat chart="0" format="26" series="1">
      <pivotArea type="data" outline="0" fieldPosition="0">
        <references count="1">
          <reference field="4294967294" count="1" selected="0">
            <x v="0"/>
          </reference>
        </references>
      </pivotArea>
    </chartFormat>
    <chartFormat chart="0" format="27" series="1">
      <pivotArea type="data" outline="0" fieldPosition="0">
        <references count="2">
          <reference field="4294967294" count="1" selected="0">
            <x v="0"/>
          </reference>
          <reference field="1" count="1" selected="0">
            <x v="1"/>
          </reference>
        </references>
      </pivotArea>
    </chartFormat>
    <chartFormat chart="0" format="28" series="1">
      <pivotArea type="data" outline="0" fieldPosition="0">
        <references count="2">
          <reference field="4294967294" count="1" selected="0">
            <x v="0"/>
          </reference>
          <reference field="1" count="1" selected="0">
            <x v="2"/>
          </reference>
        </references>
      </pivotArea>
    </chartFormat>
    <chartFormat chart="0" format="29"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location ref="B47:G59" firstHeaderRow="1" firstDataRow="2" firstDataCol="1" rowPageCount="1" colPageCount="1"/>
  <pivotFields count="4">
    <pivotField axis="axisPage" showAll="0">
      <items count="4">
        <item x="0"/>
        <item x="1"/>
        <item x="2"/>
        <item t="default"/>
      </items>
    </pivotField>
    <pivotField axis="axisCol" showAll="0">
      <items count="5">
        <item x="0"/>
        <item x="1"/>
        <item x="2"/>
        <item x="3"/>
        <item t="default"/>
      </items>
    </pivotField>
    <pivotField dataField="1" showAll="0"/>
    <pivotField axis="axisRow" showAll="0">
      <items count="11">
        <item x="0"/>
        <item x="5"/>
        <item f="1" x="8"/>
        <item x="1"/>
        <item x="2"/>
        <item x="4"/>
        <item x="3"/>
        <item f="1" x="7"/>
        <item f="1" x="9"/>
        <item f="1" x="6"/>
        <item t="default"/>
      </items>
    </pivotField>
  </pivotFields>
  <rowFields count="1">
    <field x="3"/>
  </rowFields>
  <rowItems count="11">
    <i>
      <x/>
    </i>
    <i>
      <x v="1"/>
    </i>
    <i>
      <x v="2"/>
    </i>
    <i>
      <x v="3"/>
    </i>
    <i>
      <x v="4"/>
    </i>
    <i>
      <x v="5"/>
    </i>
    <i>
      <x v="6"/>
    </i>
    <i>
      <x v="7"/>
    </i>
    <i>
      <x v="8"/>
    </i>
    <i>
      <x v="9"/>
    </i>
    <i t="grand">
      <x/>
    </i>
  </rowItems>
  <colFields count="1">
    <field x="1"/>
  </colFields>
  <colItems count="5">
    <i>
      <x/>
    </i>
    <i>
      <x v="1"/>
    </i>
    <i>
      <x v="2"/>
    </i>
    <i>
      <x v="3"/>
    </i>
    <i t="grand">
      <x/>
    </i>
  </colItems>
  <pageFields count="1">
    <pageField fld="0" hier="-1"/>
  </pageFields>
  <dataFields count="1">
    <dataField name="Sum of Value" fld="2" baseField="3" baseItem="4" numFmtId="3"/>
  </dataFields>
  <chartFormats count="4">
    <chartFormat chart="1" format="8" series="1">
      <pivotArea type="data" outline="0" fieldPosition="0">
        <references count="2">
          <reference field="4294967294" count="1" selected="0">
            <x v="0"/>
          </reference>
          <reference field="1" count="1" selected="0">
            <x v="0"/>
          </reference>
        </references>
      </pivotArea>
    </chartFormat>
    <chartFormat chart="1" format="9" series="1">
      <pivotArea type="data" outline="0" fieldPosition="0">
        <references count="2">
          <reference field="4294967294" count="1" selected="0">
            <x v="0"/>
          </reference>
          <reference field="1" count="1" selected="0">
            <x v="1"/>
          </reference>
        </references>
      </pivotArea>
    </chartFormat>
    <chartFormat chart="1" format="10" series="1">
      <pivotArea type="data" outline="0" fieldPosition="0">
        <references count="2">
          <reference field="4294967294" count="1" selected="0">
            <x v="0"/>
          </reference>
          <reference field="1" count="1" selected="0">
            <x v="2"/>
          </reference>
        </references>
      </pivotArea>
    </chartFormat>
    <chartFormat chart="1"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2" cacheId="11" applyNumberFormats="0" applyBorderFormats="0" applyFontFormats="0" applyPatternFormats="0" applyAlignmentFormats="0" applyWidthHeightFormats="1" dataCaption="Values" updatedVersion="6" minRefreshableVersion="3" asteriskTotals="1" useAutoFormatting="1" itemPrintTitles="1" createdVersion="6" indent="0" outline="1" outlineData="1" multipleFieldFilters="0" chartFormat="115">
  <location ref="B11:F23" firstHeaderRow="1" firstDataRow="2" firstDataCol="1" rowPageCount="1" colPageCount="1"/>
  <pivotFields count="4">
    <pivotField axis="axisCol" showAll="0">
      <items count="4">
        <item x="0"/>
        <item x="1"/>
        <item x="2"/>
        <item t="default"/>
      </items>
    </pivotField>
    <pivotField axis="axisPage" multipleItemSelectionAllowed="1" showAll="0">
      <items count="5">
        <item x="0"/>
        <item x="3"/>
        <item x="1"/>
        <item x="2"/>
        <item t="default"/>
      </items>
    </pivotField>
    <pivotField dataField="1" showAll="0"/>
    <pivotField axis="axisRow" showAll="0">
      <items count="11">
        <item x="0"/>
        <item x="5"/>
        <item f="1" x="8"/>
        <item x="1"/>
        <item x="2"/>
        <item x="4"/>
        <item x="3"/>
        <item f="1" x="7"/>
        <item f="1" x="9"/>
        <item f="1" x="6"/>
        <item t="default"/>
      </items>
    </pivotField>
  </pivotFields>
  <rowFields count="1">
    <field x="3"/>
  </rowFields>
  <rowItems count="11">
    <i>
      <x/>
    </i>
    <i>
      <x v="1"/>
    </i>
    <i>
      <x v="2"/>
    </i>
    <i>
      <x v="3"/>
    </i>
    <i>
      <x v="4"/>
    </i>
    <i>
      <x v="5"/>
    </i>
    <i>
      <x v="6"/>
    </i>
    <i>
      <x v="7"/>
    </i>
    <i>
      <x v="8"/>
    </i>
    <i>
      <x v="9"/>
    </i>
    <i t="grand">
      <x/>
    </i>
  </rowItems>
  <colFields count="1">
    <field x="0"/>
  </colFields>
  <colItems count="4">
    <i>
      <x/>
    </i>
    <i>
      <x v="1"/>
    </i>
    <i>
      <x v="2"/>
    </i>
    <i t="grand">
      <x/>
    </i>
  </colItems>
  <pageFields count="1">
    <pageField fld="1" hier="-1"/>
  </pageFields>
  <dataFields count="1">
    <dataField name="Sum of Value" fld="2" baseField="3" baseItem="5" numFmtId="3"/>
  </dataFields>
  <chartFormats count="12">
    <chartFormat chart="0" format="34" series="1">
      <pivotArea type="data" outline="0" fieldPosition="0">
        <references count="1">
          <reference field="4294967294" count="1" selected="0">
            <x v="0"/>
          </reference>
        </references>
      </pivotArea>
    </chartFormat>
    <chartFormat chart="0" format="35" series="1">
      <pivotArea type="data" outline="0" fieldPosition="0">
        <references count="2">
          <reference field="4294967294" count="1" selected="0">
            <x v="0"/>
          </reference>
          <reference field="3" count="1" selected="0">
            <x v="1"/>
          </reference>
        </references>
      </pivotArea>
    </chartFormat>
    <chartFormat chart="0" format="36" series="1">
      <pivotArea type="data" outline="0" fieldPosition="0">
        <references count="2">
          <reference field="4294967294" count="1" selected="0">
            <x v="0"/>
          </reference>
          <reference field="3" count="1" selected="0">
            <x v="7"/>
          </reference>
        </references>
      </pivotArea>
    </chartFormat>
    <chartFormat chart="0" format="37" series="1">
      <pivotArea type="data" outline="0" fieldPosition="0">
        <references count="2">
          <reference field="4294967294" count="1" selected="0">
            <x v="0"/>
          </reference>
          <reference field="3" count="1" selected="0">
            <x v="9"/>
          </reference>
        </references>
      </pivotArea>
    </chartFormat>
    <chartFormat chart="0" format="38" series="1">
      <pivotArea type="data" outline="0" fieldPosition="0">
        <references count="2">
          <reference field="4294967294" count="1" selected="0">
            <x v="0"/>
          </reference>
          <reference field="3" count="1" selected="0">
            <x v="4"/>
          </reference>
        </references>
      </pivotArea>
    </chartFormat>
    <chartFormat chart="0" format="39" series="1">
      <pivotArea type="data" outline="0" fieldPosition="0">
        <references count="2">
          <reference field="4294967294" count="1" selected="0">
            <x v="0"/>
          </reference>
          <reference field="3" count="1" selected="0">
            <x v="5"/>
          </reference>
        </references>
      </pivotArea>
    </chartFormat>
    <chartFormat chart="0" format="40" series="1">
      <pivotArea type="data" outline="0" fieldPosition="0">
        <references count="2">
          <reference field="4294967294" count="1" selected="0">
            <x v="0"/>
          </reference>
          <reference field="3" count="1" selected="0">
            <x v="6"/>
          </reference>
        </references>
      </pivotArea>
    </chartFormat>
    <chartFormat chart="0" format="41" series="1">
      <pivotArea type="data" outline="0" fieldPosition="0">
        <references count="2">
          <reference field="4294967294" count="1" selected="0">
            <x v="0"/>
          </reference>
          <reference field="3" count="1" selected="0">
            <x v="8"/>
          </reference>
        </references>
      </pivotArea>
    </chartFormat>
    <chartFormat chart="0" format="42" series="1">
      <pivotArea type="data" outline="0" fieldPosition="0">
        <references count="2">
          <reference field="4294967294" count="1" selected="0">
            <x v="0"/>
          </reference>
          <reference field="0" count="1" selected="0">
            <x v="1"/>
          </reference>
        </references>
      </pivotArea>
    </chartFormat>
    <chartFormat chart="0" format="43" series="1">
      <pivotArea type="data" outline="0" fieldPosition="0">
        <references count="2">
          <reference field="4294967294" count="1" selected="0">
            <x v="0"/>
          </reference>
          <reference field="0" count="1" selected="0">
            <x v="2"/>
          </reference>
        </references>
      </pivotArea>
    </chartFormat>
    <chartFormat chart="0" format="44" series="1">
      <pivotArea type="data" outline="0" fieldPosition="0">
        <references count="3">
          <reference field="4294967294" count="1" selected="0">
            <x v="0"/>
          </reference>
          <reference field="0" count="1" selected="0">
            <x v="0"/>
          </reference>
          <reference field="1" count="1" selected="0">
            <x v="3"/>
          </reference>
        </references>
      </pivotArea>
    </chartFormat>
    <chartFormat chart="0" format="45" series="1">
      <pivotArea type="data" outline="0" fieldPosition="0">
        <references count="3">
          <reference field="4294967294" count="1" selected="0">
            <x v="0"/>
          </reference>
          <reference field="0"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asteriskTotals="1" useAutoFormatting="1" itemPrintTitles="1" createdVersion="6" indent="0" outline="1" outlineData="1" multipleFieldFilters="0" chartFormat="64">
  <location ref="H5:P11" firstHeaderRow="1" firstDataRow="2" firstDataCol="1" rowPageCount="1" colPageCount="1"/>
  <pivotFields count="4">
    <pivotField axis="axisCol" showAll="0">
      <items count="8">
        <item x="2"/>
        <item x="1"/>
        <item x="6"/>
        <item x="3"/>
        <item x="5"/>
        <item x="4"/>
        <item x="0"/>
        <item t="default"/>
      </items>
    </pivotField>
    <pivotField axis="axisRow" showAll="0">
      <items count="5">
        <item x="0"/>
        <item x="1"/>
        <item x="2"/>
        <item x="3"/>
        <item t="default"/>
      </items>
    </pivotField>
    <pivotField dataField="1" showAll="0"/>
    <pivotField axis="axisPage" showAll="0">
      <items count="5">
        <item x="0"/>
        <item x="1"/>
        <item m="1" x="3"/>
        <item x="2"/>
        <item t="default"/>
      </items>
    </pivotField>
  </pivotFields>
  <rowFields count="1">
    <field x="1"/>
  </rowFields>
  <rowItems count="5">
    <i>
      <x/>
    </i>
    <i>
      <x v="1"/>
    </i>
    <i>
      <x v="2"/>
    </i>
    <i>
      <x v="3"/>
    </i>
    <i t="grand">
      <x/>
    </i>
  </rowItems>
  <colFields count="1">
    <field x="0"/>
  </colFields>
  <colItems count="8">
    <i>
      <x/>
    </i>
    <i>
      <x v="1"/>
    </i>
    <i>
      <x v="2"/>
    </i>
    <i>
      <x v="3"/>
    </i>
    <i>
      <x v="4"/>
    </i>
    <i>
      <x v="5"/>
    </i>
    <i>
      <x v="6"/>
    </i>
    <i t="grand">
      <x/>
    </i>
  </colItems>
  <pageFields count="1">
    <pageField fld="3" hier="-1"/>
  </pageFields>
  <dataFields count="1">
    <dataField name="Sum of Value" fld="2" baseField="3" baseItem="1" numFmtId="40"/>
  </dataFields>
  <chartFormats count="7">
    <chartFormat chart="0" format="22" series="1">
      <pivotArea type="data" outline="0" fieldPosition="0">
        <references count="2">
          <reference field="4294967294" count="1" selected="0">
            <x v="0"/>
          </reference>
          <reference field="0" count="1" selected="0">
            <x v="0"/>
          </reference>
        </references>
      </pivotArea>
    </chartFormat>
    <chartFormat chart="0" format="23" series="1">
      <pivotArea type="data" outline="0" fieldPosition="0">
        <references count="2">
          <reference field="4294967294" count="1" selected="0">
            <x v="0"/>
          </reference>
          <reference field="0" count="1" selected="0">
            <x v="1"/>
          </reference>
        </references>
      </pivotArea>
    </chartFormat>
    <chartFormat chart="0" format="24" series="1">
      <pivotArea type="data" outline="0" fieldPosition="0">
        <references count="2">
          <reference field="4294967294" count="1" selected="0">
            <x v="0"/>
          </reference>
          <reference field="0" count="1" selected="0">
            <x v="2"/>
          </reference>
        </references>
      </pivotArea>
    </chartFormat>
    <chartFormat chart="0" format="25" series="1">
      <pivotArea type="data" outline="0" fieldPosition="0">
        <references count="2">
          <reference field="4294967294" count="1" selected="0">
            <x v="0"/>
          </reference>
          <reference field="0" count="1" selected="0">
            <x v="3"/>
          </reference>
        </references>
      </pivotArea>
    </chartFormat>
    <chartFormat chart="0" format="26" series="1">
      <pivotArea type="data" outline="0" fieldPosition="0">
        <references count="2">
          <reference field="4294967294" count="1" selected="0">
            <x v="0"/>
          </reference>
          <reference field="0" count="1" selected="0">
            <x v="4"/>
          </reference>
        </references>
      </pivotArea>
    </chartFormat>
    <chartFormat chart="0" format="27" series="1">
      <pivotArea type="data" outline="0" fieldPosition="0">
        <references count="2">
          <reference field="4294967294" count="1" selected="0">
            <x v="0"/>
          </reference>
          <reference field="0" count="1" selected="0">
            <x v="5"/>
          </reference>
        </references>
      </pivotArea>
    </chartFormat>
    <chartFormat chart="0" format="28"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6">
  <location ref="Y6:AG12" firstHeaderRow="1" firstDataRow="2" firstDataCol="1" rowPageCount="1" colPageCount="1"/>
  <pivotFields count="4">
    <pivotField axis="axisCol" showAll="0">
      <items count="8">
        <item x="2"/>
        <item x="1"/>
        <item x="6"/>
        <item x="3"/>
        <item x="5"/>
        <item x="4"/>
        <item x="0"/>
        <item t="default"/>
      </items>
    </pivotField>
    <pivotField axis="axisRow" showAll="0">
      <items count="5">
        <item x="0"/>
        <item x="1"/>
        <item x="2"/>
        <item x="3"/>
        <item t="default"/>
      </items>
    </pivotField>
    <pivotField dataField="1" showAll="0"/>
    <pivotField axis="axisPage" showAll="0">
      <items count="4">
        <item x="0"/>
        <item x="1"/>
        <item x="2"/>
        <item t="default"/>
      </items>
    </pivotField>
  </pivotFields>
  <rowFields count="1">
    <field x="1"/>
  </rowFields>
  <rowItems count="5">
    <i>
      <x/>
    </i>
    <i>
      <x v="1"/>
    </i>
    <i>
      <x v="2"/>
    </i>
    <i>
      <x v="3"/>
    </i>
    <i t="grand">
      <x/>
    </i>
  </rowItems>
  <colFields count="1">
    <field x="0"/>
  </colFields>
  <colItems count="8">
    <i>
      <x/>
    </i>
    <i>
      <x v="1"/>
    </i>
    <i>
      <x v="2"/>
    </i>
    <i>
      <x v="3"/>
    </i>
    <i>
      <x v="4"/>
    </i>
    <i>
      <x v="5"/>
    </i>
    <i>
      <x v="6"/>
    </i>
    <i t="grand">
      <x/>
    </i>
  </colItems>
  <pageFields count="1">
    <pageField fld="3" hier="-1"/>
  </pageFields>
  <dataFields count="1">
    <dataField name="Sum of Value" fld="2" showDataAs="percentOfRow" baseField="1" baseItem="0" numFmtId="10"/>
  </dataFields>
  <chartFormats count="7">
    <chartFormat chart="62" format="8" series="1">
      <pivotArea type="data" outline="0" fieldPosition="0">
        <references count="1">
          <reference field="4294967294" count="1" selected="0">
            <x v="0"/>
          </reference>
        </references>
      </pivotArea>
    </chartFormat>
    <chartFormat chart="62" format="9" series="1">
      <pivotArea type="data" outline="0" fieldPosition="0">
        <references count="2">
          <reference field="4294967294" count="1" selected="0">
            <x v="0"/>
          </reference>
          <reference field="0" count="1" selected="0">
            <x v="1"/>
          </reference>
        </references>
      </pivotArea>
    </chartFormat>
    <chartFormat chart="62" format="10" series="1">
      <pivotArea type="data" outline="0" fieldPosition="0">
        <references count="2">
          <reference field="4294967294" count="1" selected="0">
            <x v="0"/>
          </reference>
          <reference field="0" count="1" selected="0">
            <x v="2"/>
          </reference>
        </references>
      </pivotArea>
    </chartFormat>
    <chartFormat chart="62" format="11" series="1">
      <pivotArea type="data" outline="0" fieldPosition="0">
        <references count="2">
          <reference field="4294967294" count="1" selected="0">
            <x v="0"/>
          </reference>
          <reference field="0" count="1" selected="0">
            <x v="3"/>
          </reference>
        </references>
      </pivotArea>
    </chartFormat>
    <chartFormat chart="62" format="12" series="1">
      <pivotArea type="data" outline="0" fieldPosition="0">
        <references count="2">
          <reference field="4294967294" count="1" selected="0">
            <x v="0"/>
          </reference>
          <reference field="0" count="1" selected="0">
            <x v="4"/>
          </reference>
        </references>
      </pivotArea>
    </chartFormat>
    <chartFormat chart="62" format="13" series="1">
      <pivotArea type="data" outline="0" fieldPosition="0">
        <references count="2">
          <reference field="4294967294" count="1" selected="0">
            <x v="0"/>
          </reference>
          <reference field="0" count="1" selected="0">
            <x v="5"/>
          </reference>
        </references>
      </pivotArea>
    </chartFormat>
    <chartFormat chart="62" format="14"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1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2">
  <location ref="H6:M15" firstHeaderRow="1" firstDataRow="2" firstDataCol="1" rowPageCount="1" colPageCount="1"/>
  <pivotFields count="4">
    <pivotField axis="axisRow" showAll="0">
      <items count="8">
        <item x="2"/>
        <item x="1"/>
        <item x="6"/>
        <item x="3"/>
        <item x="5"/>
        <item x="4"/>
        <item x="0"/>
        <item t="default"/>
      </items>
    </pivotField>
    <pivotField axis="axisCol" showAll="0">
      <items count="5">
        <item x="0"/>
        <item x="1"/>
        <item x="2"/>
        <item x="3"/>
        <item t="default"/>
      </items>
    </pivotField>
    <pivotField dataField="1" showAll="0"/>
    <pivotField axis="axisPage" showAll="0">
      <items count="4">
        <item x="0"/>
        <item x="1"/>
        <item x="2"/>
        <item t="default"/>
      </items>
    </pivotField>
  </pivotFields>
  <rowFields count="1">
    <field x="0"/>
  </rowFields>
  <rowItems count="8">
    <i>
      <x/>
    </i>
    <i>
      <x v="1"/>
    </i>
    <i>
      <x v="2"/>
    </i>
    <i>
      <x v="3"/>
    </i>
    <i>
      <x v="4"/>
    </i>
    <i>
      <x v="5"/>
    </i>
    <i>
      <x v="6"/>
    </i>
    <i t="grand">
      <x/>
    </i>
  </rowItems>
  <colFields count="1">
    <field x="1"/>
  </colFields>
  <colItems count="5">
    <i>
      <x/>
    </i>
    <i>
      <x v="1"/>
    </i>
    <i>
      <x v="2"/>
    </i>
    <i>
      <x v="3"/>
    </i>
    <i t="grand">
      <x/>
    </i>
  </colItems>
  <pageFields count="1">
    <pageField fld="3" item="2" hier="-1"/>
  </pageFields>
  <dataFields count="1">
    <dataField name="Sum of Value" fld="2" baseField="3" baseItem="1" numFmtId="3"/>
  </dataFields>
  <chartFormats count="4">
    <chartFormat chart="0" format="15" series="1">
      <pivotArea type="data" outline="0" fieldPosition="0">
        <references count="2">
          <reference field="4294967294" count="1" selected="0">
            <x v="0"/>
          </reference>
          <reference field="1" count="1" selected="0">
            <x v="0"/>
          </reference>
        </references>
      </pivotArea>
    </chartFormat>
    <chartFormat chart="0" format="16" series="1">
      <pivotArea type="data" outline="0" fieldPosition="0">
        <references count="2">
          <reference field="4294967294" count="1" selected="0">
            <x v="0"/>
          </reference>
          <reference field="1" count="1" selected="0">
            <x v="1"/>
          </reference>
        </references>
      </pivotArea>
    </chartFormat>
    <chartFormat chart="0" format="17" series="1">
      <pivotArea type="data" outline="0" fieldPosition="0">
        <references count="2">
          <reference field="4294967294" count="1" selected="0">
            <x v="0"/>
          </reference>
          <reference field="1" count="1" selected="0">
            <x v="2"/>
          </reference>
        </references>
      </pivotArea>
    </chartFormat>
    <chartFormat chart="0" format="18"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J48:N57" firstHeaderRow="1" firstDataRow="2" firstDataCol="1" rowPageCount="1" colPageCount="1"/>
  <pivotFields count="6">
    <pivotField axis="axisRow" showAll="0">
      <items count="8">
        <item x="2"/>
        <item x="1"/>
        <item x="6"/>
        <item x="3"/>
        <item x="5"/>
        <item x="4"/>
        <item x="0"/>
        <item t="default"/>
      </items>
    </pivotField>
    <pivotField axis="axisPage" showAll="0">
      <items count="5">
        <item x="0"/>
        <item x="1"/>
        <item x="2"/>
        <item x="3"/>
        <item t="default"/>
      </items>
    </pivotField>
    <pivotField dataField="1" showAll="0"/>
    <pivotField axis="axisCol" showAll="0">
      <items count="4">
        <item x="0"/>
        <item x="1"/>
        <item x="2"/>
        <item t="default"/>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Fields count="1">
    <field x="3"/>
  </colFields>
  <colItems count="4">
    <i>
      <x/>
    </i>
    <i>
      <x v="1"/>
    </i>
    <i>
      <x v="2"/>
    </i>
    <i t="grand">
      <x/>
    </i>
  </colItems>
  <pageFields count="1">
    <pageField fld="1" hier="-1"/>
  </pageFields>
  <dataFields count="1">
    <dataField name="Average of Value" fld="2" subtotal="average" baseField="3" baseItem="0" numFmtId="169"/>
  </dataFields>
  <chartFormats count="13">
    <chartFormat chart="0" format="12" series="1">
      <pivotArea type="data" outline="0" fieldPosition="0">
        <references count="2">
          <reference field="4294967294" count="1" selected="0">
            <x v="0"/>
          </reference>
          <reference field="3" count="1" selected="0">
            <x v="0"/>
          </reference>
        </references>
      </pivotArea>
    </chartFormat>
    <chartFormat chart="0" format="13" series="1">
      <pivotArea type="data" outline="0" fieldPosition="0">
        <references count="2">
          <reference field="4294967294" count="1" selected="0">
            <x v="0"/>
          </reference>
          <reference field="3" count="1" selected="0">
            <x v="1"/>
          </reference>
        </references>
      </pivotArea>
    </chartFormat>
    <chartFormat chart="0" format="14" series="1">
      <pivotArea type="data" outline="0" fieldPosition="0">
        <references count="2">
          <reference field="4294967294" count="1" selected="0">
            <x v="0"/>
          </reference>
          <reference field="3" count="1" selected="0">
            <x v="2"/>
          </reference>
        </references>
      </pivotArea>
    </chartFormat>
    <chartFormat chart="12" format="3" series="1">
      <pivotArea type="data" outline="0" fieldPosition="0">
        <references count="2">
          <reference field="4294967294" count="1" selected="0">
            <x v="0"/>
          </reference>
          <reference field="0" count="1" selected="0">
            <x v="3"/>
          </reference>
        </references>
      </pivotArea>
    </chartFormat>
    <chartFormat chart="12" format="4" series="1">
      <pivotArea type="data" outline="0" fieldPosition="0">
        <references count="2">
          <reference field="4294967294" count="1" selected="0">
            <x v="0"/>
          </reference>
          <reference field="0" count="1" selected="0">
            <x v="4"/>
          </reference>
        </references>
      </pivotArea>
    </chartFormat>
    <chartFormat chart="12" format="5" series="1">
      <pivotArea type="data" outline="0" fieldPosition="0">
        <references count="2">
          <reference field="4294967294" count="1" selected="0">
            <x v="0"/>
          </reference>
          <reference field="0" count="1" selected="0">
            <x v="5"/>
          </reference>
        </references>
      </pivotArea>
    </chartFormat>
    <chartFormat chart="12" format="6" series="1">
      <pivotArea type="data" outline="0" fieldPosition="0">
        <references count="2">
          <reference field="4294967294" count="1" selected="0">
            <x v="0"/>
          </reference>
          <reference field="0" count="1" selected="0">
            <x v="6"/>
          </reference>
        </references>
      </pivotArea>
    </chartFormat>
    <chartFormat chart="12" format="7" series="1">
      <pivotArea type="data" outline="0" fieldPosition="0">
        <references count="2">
          <reference field="4294967294" count="1" selected="0">
            <x v="0"/>
          </reference>
          <reference field="0" count="1" selected="0">
            <x v="0"/>
          </reference>
        </references>
      </pivotArea>
    </chartFormat>
    <chartFormat chart="12" format="8" series="1">
      <pivotArea type="data" outline="0" fieldPosition="0">
        <references count="2">
          <reference field="4294967294" count="1" selected="0">
            <x v="0"/>
          </reference>
          <reference field="0" count="1" selected="0">
            <x v="1"/>
          </reference>
        </references>
      </pivotArea>
    </chartFormat>
    <chartFormat chart="12" format="9" series="1">
      <pivotArea type="data" outline="0" fieldPosition="0">
        <references count="2">
          <reference field="4294967294" count="1" selected="0">
            <x v="0"/>
          </reference>
          <reference field="0" count="1" selected="0">
            <x v="2"/>
          </reference>
        </references>
      </pivotArea>
    </chartFormat>
    <chartFormat chart="12" format="10" series="1">
      <pivotArea type="data" outline="0" fieldPosition="0">
        <references count="2">
          <reference field="4294967294" count="1" selected="0">
            <x v="0"/>
          </reference>
          <reference field="3" count="1" selected="0">
            <x v="0"/>
          </reference>
        </references>
      </pivotArea>
    </chartFormat>
    <chartFormat chart="12" format="11" series="1">
      <pivotArea type="data" outline="0" fieldPosition="0">
        <references count="2">
          <reference field="4294967294" count="1" selected="0">
            <x v="0"/>
          </reference>
          <reference field="3" count="1" selected="0">
            <x v="1"/>
          </reference>
        </references>
      </pivotArea>
    </chartFormat>
    <chartFormat chart="12" format="1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J9:N15" firstHeaderRow="1" firstDataRow="2" firstDataCol="1" rowPageCount="1" colPageCount="1"/>
  <pivotFields count="6">
    <pivotField axis="axisPage" showAll="0">
      <items count="8">
        <item x="2"/>
        <item x="1"/>
        <item x="6"/>
        <item x="3"/>
        <item x="5"/>
        <item x="4"/>
        <item x="0"/>
        <item t="default"/>
      </items>
    </pivotField>
    <pivotField axis="axisRow" showAll="0">
      <items count="5">
        <item x="0"/>
        <item x="1"/>
        <item x="2"/>
        <item x="3"/>
        <item t="default"/>
      </items>
    </pivotField>
    <pivotField dataField="1" showAll="0"/>
    <pivotField axis="axisCol" showAll="0">
      <items count="4">
        <item x="0"/>
        <item x="1"/>
        <item x="2"/>
        <item t="default"/>
      </items>
    </pivotField>
    <pivotField dragToRow="0" dragToCol="0" dragToPage="0" showAll="0" defaultSubtotal="0"/>
    <pivotField dragToRow="0" dragToCol="0" dragToPage="0" showAll="0" defaultSubtotal="0"/>
  </pivotFields>
  <rowFields count="1">
    <field x="1"/>
  </rowFields>
  <rowItems count="5">
    <i>
      <x/>
    </i>
    <i>
      <x v="1"/>
    </i>
    <i>
      <x v="2"/>
    </i>
    <i>
      <x v="3"/>
    </i>
    <i t="grand">
      <x/>
    </i>
  </rowItems>
  <colFields count="1">
    <field x="3"/>
  </colFields>
  <colItems count="4">
    <i>
      <x/>
    </i>
    <i>
      <x v="1"/>
    </i>
    <i>
      <x v="2"/>
    </i>
    <i t="grand">
      <x/>
    </i>
  </colItems>
  <pageFields count="1">
    <pageField fld="0" hier="-1"/>
  </pageFields>
  <dataFields count="1">
    <dataField name="Average of Value" fld="2" subtotal="average" baseField="3" baseItem="0" numFmtId="169"/>
  </dataFields>
  <chartFormats count="7">
    <chartFormat chart="0" format="8" series="1">
      <pivotArea type="data" outline="0" fieldPosition="0">
        <references count="2">
          <reference field="4294967294" count="1" selected="0">
            <x v="0"/>
          </reference>
          <reference field="1"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0" format="11" series="1">
      <pivotArea type="data" outline="0" fieldPosition="0">
        <references count="2">
          <reference field="4294967294" count="1" selected="0">
            <x v="0"/>
          </reference>
          <reference field="1" count="1" selected="0">
            <x v="3"/>
          </reference>
        </references>
      </pivotArea>
    </chartFormat>
    <chartFormat chart="0" format="12" series="1">
      <pivotArea type="data" outline="0" fieldPosition="0">
        <references count="2">
          <reference field="4294967294" count="1" selected="0">
            <x v="0"/>
          </reference>
          <reference field="3" count="1" selected="0">
            <x v="0"/>
          </reference>
        </references>
      </pivotArea>
    </chartFormat>
    <chartFormat chart="0" format="13" series="1">
      <pivotArea type="data" outline="0" fieldPosition="0">
        <references count="2">
          <reference field="4294967294" count="1" selected="0">
            <x v="0"/>
          </reference>
          <reference field="3" count="1" selected="0">
            <x v="1"/>
          </reference>
        </references>
      </pivotArea>
    </chartFormat>
    <chartFormat chart="0"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PivotTable1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6:G18" firstHeaderRow="1" firstDataRow="2" firstDataCol="1" rowPageCount="1" colPageCount="1"/>
  <pivotFields count="4">
    <pivotField axis="axisPage" showAll="0">
      <items count="4">
        <item x="0"/>
        <item x="1"/>
        <item x="2"/>
        <item t="default"/>
      </items>
    </pivotField>
    <pivotField axis="axisCol" showAll="0">
      <items count="5">
        <item x="0"/>
        <item x="1"/>
        <item x="2"/>
        <item x="3"/>
        <item t="default"/>
      </items>
    </pivotField>
    <pivotField dataField="1" showAll="0"/>
    <pivotField axis="axisRow" showAll="0">
      <items count="11">
        <item x="0"/>
        <item x="4"/>
        <item x="5"/>
        <item x="2"/>
        <item x="1"/>
        <item x="3"/>
        <item f="1" x="6"/>
        <item f="1" x="8"/>
        <item f="1" x="7"/>
        <item f="1" x="9"/>
        <item t="default"/>
      </items>
    </pivotField>
  </pivotFields>
  <rowFields count="1">
    <field x="3"/>
  </rowFields>
  <rowItems count="11">
    <i>
      <x/>
    </i>
    <i>
      <x v="1"/>
    </i>
    <i>
      <x v="2"/>
    </i>
    <i>
      <x v="3"/>
    </i>
    <i>
      <x v="4"/>
    </i>
    <i>
      <x v="5"/>
    </i>
    <i>
      <x v="6"/>
    </i>
    <i>
      <x v="7"/>
    </i>
    <i>
      <x v="8"/>
    </i>
    <i>
      <x v="9"/>
    </i>
    <i t="grand">
      <x/>
    </i>
  </rowItems>
  <colFields count="1">
    <field x="1"/>
  </colFields>
  <colItems count="5">
    <i>
      <x/>
    </i>
    <i>
      <x v="1"/>
    </i>
    <i>
      <x v="2"/>
    </i>
    <i>
      <x v="3"/>
    </i>
    <i t="grand">
      <x/>
    </i>
  </colItems>
  <pageFields count="1">
    <pageField fld="0" hier="-1"/>
  </pageFields>
  <dataFields count="1">
    <dataField name="Sum of Value" fld="2" baseField="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asteriskTotals="1" useAutoFormatting="1" itemPrintTitles="1" createdVersion="6" indent="0" outline="1" outlineData="1" multipleFieldFilters="0" chartFormat="115">
  <location ref="V9:Z21" firstHeaderRow="1" firstDataRow="2" firstDataCol="1" rowPageCount="1" colPageCount="1"/>
  <pivotFields count="4">
    <pivotField axis="axisCol" showAll="0">
      <items count="4">
        <item x="0"/>
        <item x="1"/>
        <item x="2"/>
        <item t="default"/>
      </items>
    </pivotField>
    <pivotField axis="axisPage" multipleItemSelectionAllowed="1" showAll="0">
      <items count="5">
        <item h="1" x="0"/>
        <item h="1" x="3"/>
        <item x="1"/>
        <item h="1" x="2"/>
        <item t="default"/>
      </items>
    </pivotField>
    <pivotField dataField="1" showAll="0"/>
    <pivotField axis="axisRow" showAll="0">
      <items count="11">
        <item x="0"/>
        <item x="5"/>
        <item f="1" x="8"/>
        <item x="1"/>
        <item x="2"/>
        <item x="4"/>
        <item x="3"/>
        <item f="1" x="7"/>
        <item f="1" x="9"/>
        <item f="1" x="6"/>
        <item t="default"/>
      </items>
    </pivotField>
  </pivotFields>
  <rowFields count="1">
    <field x="3"/>
  </rowFields>
  <rowItems count="11">
    <i>
      <x/>
    </i>
    <i>
      <x v="1"/>
    </i>
    <i>
      <x v="2"/>
    </i>
    <i>
      <x v="3"/>
    </i>
    <i>
      <x v="4"/>
    </i>
    <i>
      <x v="5"/>
    </i>
    <i>
      <x v="6"/>
    </i>
    <i>
      <x v="7"/>
    </i>
    <i>
      <x v="8"/>
    </i>
    <i>
      <x v="9"/>
    </i>
    <i t="grand">
      <x/>
    </i>
  </rowItems>
  <colFields count="1">
    <field x="0"/>
  </colFields>
  <colItems count="4">
    <i>
      <x/>
    </i>
    <i>
      <x v="1"/>
    </i>
    <i>
      <x v="2"/>
    </i>
    <i t="grand">
      <x/>
    </i>
  </colItems>
  <pageFields count="1">
    <pageField fld="1" hier="-1"/>
  </pageFields>
  <dataFields count="1">
    <dataField name="Sum of Value" fld="2" baseField="3" baseItem="5" numFmtId="3"/>
  </dataFields>
  <formats count="2">
    <format dxfId="1">
      <pivotArea collapsedLevelsAreSubtotals="1" fieldPosition="0">
        <references count="1">
          <reference field="3" count="1">
            <x v="2"/>
          </reference>
        </references>
      </pivotArea>
    </format>
    <format dxfId="0">
      <pivotArea dataOnly="0" labelOnly="1" fieldPosition="0">
        <references count="1">
          <reference field="3" count="1">
            <x v="2"/>
          </reference>
        </references>
      </pivotArea>
    </format>
  </formats>
  <chartFormats count="12">
    <chartFormat chart="0" format="34" series="1">
      <pivotArea type="data" outline="0" fieldPosition="0">
        <references count="1">
          <reference field="4294967294" count="1" selected="0">
            <x v="0"/>
          </reference>
        </references>
      </pivotArea>
    </chartFormat>
    <chartFormat chart="0" format="35" series="1">
      <pivotArea type="data" outline="0" fieldPosition="0">
        <references count="2">
          <reference field="4294967294" count="1" selected="0">
            <x v="0"/>
          </reference>
          <reference field="3" count="1" selected="0">
            <x v="1"/>
          </reference>
        </references>
      </pivotArea>
    </chartFormat>
    <chartFormat chart="0" format="36" series="1">
      <pivotArea type="data" outline="0" fieldPosition="0">
        <references count="2">
          <reference field="4294967294" count="1" selected="0">
            <x v="0"/>
          </reference>
          <reference field="3" count="1" selected="0">
            <x v="7"/>
          </reference>
        </references>
      </pivotArea>
    </chartFormat>
    <chartFormat chart="0" format="37" series="1">
      <pivotArea type="data" outline="0" fieldPosition="0">
        <references count="2">
          <reference field="4294967294" count="1" selected="0">
            <x v="0"/>
          </reference>
          <reference field="3" count="1" selected="0">
            <x v="9"/>
          </reference>
        </references>
      </pivotArea>
    </chartFormat>
    <chartFormat chart="0" format="38" series="1">
      <pivotArea type="data" outline="0" fieldPosition="0">
        <references count="2">
          <reference field="4294967294" count="1" selected="0">
            <x v="0"/>
          </reference>
          <reference field="3" count="1" selected="0">
            <x v="4"/>
          </reference>
        </references>
      </pivotArea>
    </chartFormat>
    <chartFormat chart="0" format="39" series="1">
      <pivotArea type="data" outline="0" fieldPosition="0">
        <references count="2">
          <reference field="4294967294" count="1" selected="0">
            <x v="0"/>
          </reference>
          <reference field="3" count="1" selected="0">
            <x v="5"/>
          </reference>
        </references>
      </pivotArea>
    </chartFormat>
    <chartFormat chart="0" format="40" series="1">
      <pivotArea type="data" outline="0" fieldPosition="0">
        <references count="2">
          <reference field="4294967294" count="1" selected="0">
            <x v="0"/>
          </reference>
          <reference field="3" count="1" selected="0">
            <x v="6"/>
          </reference>
        </references>
      </pivotArea>
    </chartFormat>
    <chartFormat chart="0" format="41" series="1">
      <pivotArea type="data" outline="0" fieldPosition="0">
        <references count="2">
          <reference field="4294967294" count="1" selected="0">
            <x v="0"/>
          </reference>
          <reference field="3" count="1" selected="0">
            <x v="8"/>
          </reference>
        </references>
      </pivotArea>
    </chartFormat>
    <chartFormat chart="0" format="42" series="1">
      <pivotArea type="data" outline="0" fieldPosition="0">
        <references count="2">
          <reference field="4294967294" count="1" selected="0">
            <x v="0"/>
          </reference>
          <reference field="0" count="1" selected="0">
            <x v="1"/>
          </reference>
        </references>
      </pivotArea>
    </chartFormat>
    <chartFormat chart="0" format="43" series="1">
      <pivotArea type="data" outline="0" fieldPosition="0">
        <references count="2">
          <reference field="4294967294" count="1" selected="0">
            <x v="0"/>
          </reference>
          <reference field="0" count="1" selected="0">
            <x v="2"/>
          </reference>
        </references>
      </pivotArea>
    </chartFormat>
    <chartFormat chart="0" format="44" series="1">
      <pivotArea type="data" outline="0" fieldPosition="0">
        <references count="3">
          <reference field="4294967294" count="1" selected="0">
            <x v="0"/>
          </reference>
          <reference field="0" count="1" selected="0">
            <x v="0"/>
          </reference>
          <reference field="1" count="1" selected="0">
            <x v="3"/>
          </reference>
        </references>
      </pivotArea>
    </chartFormat>
    <chartFormat chart="0" format="45" series="1">
      <pivotArea type="data" outline="0" fieldPosition="0">
        <references count="3">
          <reference field="4294967294" count="1" selected="0">
            <x v="0"/>
          </reference>
          <reference field="0"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1" rowHeaderCaption="Year">
  <location ref="W4:AB9" firstHeaderRow="1" firstDataRow="2" firstDataCol="1" rowPageCount="1" colPageCount="1"/>
  <pivotFields count="4">
    <pivotField axis="axisPage" showAll="0">
      <items count="8">
        <item x="2"/>
        <item x="1"/>
        <item x="6"/>
        <item x="3"/>
        <item x="5"/>
        <item x="4"/>
        <item x="0"/>
        <item t="default"/>
      </items>
    </pivotField>
    <pivotField axis="axisCol" showAll="0">
      <items count="5">
        <item x="0"/>
        <item x="1"/>
        <item x="2"/>
        <item x="3"/>
        <item t="default"/>
      </items>
    </pivotField>
    <pivotField dataField="1" showAll="0"/>
    <pivotField axis="axisRow" showAll="0">
      <items count="4">
        <item x="0"/>
        <item x="1"/>
        <item x="2"/>
        <item t="default"/>
      </items>
    </pivotField>
  </pivotFields>
  <rowFields count="1">
    <field x="3"/>
  </rowFields>
  <rowItems count="4">
    <i>
      <x/>
    </i>
    <i>
      <x v="1"/>
    </i>
    <i>
      <x v="2"/>
    </i>
    <i t="grand">
      <x/>
    </i>
  </rowItems>
  <colFields count="1">
    <field x="1"/>
  </colFields>
  <colItems count="5">
    <i>
      <x/>
    </i>
    <i>
      <x v="1"/>
    </i>
    <i>
      <x v="2"/>
    </i>
    <i>
      <x v="3"/>
    </i>
    <i t="grand">
      <x/>
    </i>
  </colItems>
  <pageFields count="1">
    <pageField fld="0" hier="-1"/>
  </pageFields>
  <dataFields count="1">
    <dataField name="Sum of Value" fld="2" baseField="3" baseItem="0" numFmtId="3"/>
  </dataFields>
  <chartFormats count="14">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1"/>
          </reference>
        </references>
      </pivotArea>
    </chartFormat>
    <chartFormat chart="0" format="18" series="1">
      <pivotArea type="data" outline="0" fieldPosition="0">
        <references count="2">
          <reference field="4294967294" count="1" selected="0">
            <x v="0"/>
          </reference>
          <reference field="3" count="1" selected="0">
            <x v="2"/>
          </reference>
        </references>
      </pivotArea>
    </chartFormat>
    <chartFormat chart="0" format="19" series="1">
      <pivotArea type="data" outline="0" fieldPosition="0">
        <references count="2">
          <reference field="4294967294" count="1" selected="0">
            <x v="0"/>
          </reference>
          <reference field="0" count="1" selected="0">
            <x v="3"/>
          </reference>
        </references>
      </pivotArea>
    </chartFormat>
    <chartFormat chart="0" format="20" series="1">
      <pivotArea type="data" outline="0" fieldPosition="0">
        <references count="2">
          <reference field="4294967294" count="1" selected="0">
            <x v="0"/>
          </reference>
          <reference field="0" count="1" selected="0">
            <x v="4"/>
          </reference>
        </references>
      </pivotArea>
    </chartFormat>
    <chartFormat chart="0" format="21" series="1">
      <pivotArea type="data" outline="0" fieldPosition="0">
        <references count="2">
          <reference field="4294967294" count="1" selected="0">
            <x v="0"/>
          </reference>
          <reference field="0" count="1" selected="0">
            <x v="5"/>
          </reference>
        </references>
      </pivotArea>
    </chartFormat>
    <chartFormat chart="0" format="22" series="1">
      <pivotArea type="data" outline="0" fieldPosition="0">
        <references count="2">
          <reference field="4294967294" count="1" selected="0">
            <x v="0"/>
          </reference>
          <reference field="0" count="1" selected="0">
            <x v="6"/>
          </reference>
        </references>
      </pivotArea>
    </chartFormat>
    <chartFormat chart="0" format="23" series="1">
      <pivotArea type="data" outline="0" fieldPosition="0">
        <references count="2">
          <reference field="4294967294" count="1" selected="0">
            <x v="0"/>
          </reference>
          <reference field="0" count="1" selected="0">
            <x v="0"/>
          </reference>
        </references>
      </pivotArea>
    </chartFormat>
    <chartFormat chart="0" format="24" series="1">
      <pivotArea type="data" outline="0" fieldPosition="0">
        <references count="2">
          <reference field="4294967294" count="1" selected="0">
            <x v="0"/>
          </reference>
          <reference field="0" count="1" selected="0">
            <x v="1"/>
          </reference>
        </references>
      </pivotArea>
    </chartFormat>
    <chartFormat chart="0" format="25" series="1">
      <pivotArea type="data" outline="0" fieldPosition="0">
        <references count="2">
          <reference field="4294967294" count="1" selected="0">
            <x v="0"/>
          </reference>
          <reference field="0" count="1" selected="0">
            <x v="2"/>
          </reference>
        </references>
      </pivotArea>
    </chartFormat>
    <chartFormat chart="0" format="26" series="1">
      <pivotArea type="data" outline="0" fieldPosition="0">
        <references count="1">
          <reference field="4294967294" count="1" selected="0">
            <x v="0"/>
          </reference>
        </references>
      </pivotArea>
    </chartFormat>
    <chartFormat chart="0" format="27" series="1">
      <pivotArea type="data" outline="0" fieldPosition="0">
        <references count="2">
          <reference field="4294967294" count="1" selected="0">
            <x v="0"/>
          </reference>
          <reference field="1" count="1" selected="0">
            <x v="1"/>
          </reference>
        </references>
      </pivotArea>
    </chartFormat>
    <chartFormat chart="0" format="28" series="1">
      <pivotArea type="data" outline="0" fieldPosition="0">
        <references count="2">
          <reference field="4294967294" count="1" selected="0">
            <x v="0"/>
          </reference>
          <reference field="1" count="1" selected="0">
            <x v="2"/>
          </reference>
        </references>
      </pivotArea>
    </chartFormat>
    <chartFormat chart="0" format="29"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7" Type="http://schemas.openxmlformats.org/officeDocument/2006/relationships/comments" Target="../comments2.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vmlDrawing" Target="../drawings/vmlDrawing2.vm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2.bin"/><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pivotTable" Target="../pivotTables/pivotTable1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ivotTable" Target="../pivotTables/pivotTable19.xml"/><Relationship Id="rId1" Type="http://schemas.openxmlformats.org/officeDocument/2006/relationships/pivotTable" Target="../pivotTables/pivotTable18.xm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ivotTable" Target="../pivotTables/pivotTable21.xml"/><Relationship Id="rId1" Type="http://schemas.openxmlformats.org/officeDocument/2006/relationships/pivotTable" Target="../pivotTables/pivotTable20.xml"/><Relationship Id="rId4"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7.bin"/><Relationship Id="rId1" Type="http://schemas.openxmlformats.org/officeDocument/2006/relationships/pivotTable" Target="../pivotTables/pivotTable22.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pivotTable" Target="../pivotTables/pivotTable23.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pivotTable" Target="../pivotTables/pivotTable24.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B2:X93"/>
  <sheetViews>
    <sheetView topLeftCell="A67" zoomScale="80" zoomScaleNormal="80" workbookViewId="0">
      <selection activeCell="E80" sqref="E80"/>
    </sheetView>
  </sheetViews>
  <sheetFormatPr defaultRowHeight="12.75" x14ac:dyDescent="0.2"/>
  <cols>
    <col min="2" max="2" width="15.5703125" customWidth="1"/>
    <col min="3" max="3" width="19.140625" customWidth="1"/>
    <col min="4" max="5" width="12" customWidth="1"/>
    <col min="6" max="6" width="10.85546875" customWidth="1"/>
    <col min="7" max="7" width="12.42578125" customWidth="1"/>
    <col min="8" max="8" width="16" customWidth="1"/>
    <col min="9" max="9" width="15.5703125" customWidth="1"/>
    <col min="10" max="10" width="16.85546875" customWidth="1"/>
    <col min="11" max="11" width="15.140625" customWidth="1"/>
    <col min="12" max="12" width="15.28515625" customWidth="1"/>
    <col min="13" max="17" width="11.140625" customWidth="1"/>
    <col min="18" max="18" width="12.140625" customWidth="1"/>
    <col min="19" max="19" width="7" customWidth="1"/>
    <col min="20" max="20" width="11.85546875" customWidth="1"/>
    <col min="21" max="21" width="9" customWidth="1"/>
    <col min="22" max="22" width="8" customWidth="1"/>
    <col min="23" max="23" width="16.140625" customWidth="1"/>
    <col min="24" max="24" width="12.7109375" customWidth="1"/>
    <col min="25" max="25" width="9" customWidth="1"/>
    <col min="26" max="26" width="7" customWidth="1"/>
    <col min="27" max="27" width="11.85546875" customWidth="1"/>
    <col min="28" max="28" width="9" customWidth="1"/>
    <col min="29" max="29" width="8" customWidth="1"/>
    <col min="30" max="30" width="16" customWidth="1"/>
    <col min="31" max="31" width="11.7109375" bestFit="1" customWidth="1"/>
  </cols>
  <sheetData>
    <row r="2" spans="2:7" ht="18.75" x14ac:dyDescent="0.3">
      <c r="B2" s="2" t="s">
        <v>24</v>
      </c>
      <c r="C2" s="8"/>
      <c r="D2" s="8"/>
      <c r="E2" s="8"/>
      <c r="F2" s="2"/>
      <c r="G2" s="2"/>
    </row>
    <row r="3" spans="2:7" ht="18.75" x14ac:dyDescent="0.3">
      <c r="B3" s="8" t="s">
        <v>27</v>
      </c>
      <c r="C3" s="8"/>
      <c r="D3" s="8"/>
      <c r="E3" s="8"/>
      <c r="F3" s="2"/>
      <c r="G3" s="2"/>
    </row>
    <row r="4" spans="2:7" ht="18.75" x14ac:dyDescent="0.3">
      <c r="B4" s="3" t="s">
        <v>28</v>
      </c>
      <c r="C4" s="3"/>
      <c r="D4" s="3"/>
      <c r="E4" s="3"/>
      <c r="F4" s="2"/>
      <c r="G4" s="2"/>
    </row>
    <row r="6" spans="2:7" ht="18.75" x14ac:dyDescent="0.3">
      <c r="B6" s="3" t="s">
        <v>143</v>
      </c>
      <c r="C6" s="3"/>
      <c r="D6" s="3"/>
      <c r="E6" s="3"/>
      <c r="F6" s="3"/>
      <c r="G6" s="3"/>
    </row>
    <row r="7" spans="2:7" ht="18.75" x14ac:dyDescent="0.3">
      <c r="B7" s="3" t="s">
        <v>33</v>
      </c>
    </row>
    <row r="9" spans="2:7" x14ac:dyDescent="0.2">
      <c r="B9" s="77" t="s">
        <v>165</v>
      </c>
      <c r="C9" t="s">
        <v>31</v>
      </c>
    </row>
    <row r="11" spans="2:7" x14ac:dyDescent="0.2">
      <c r="B11" s="77" t="s">
        <v>88</v>
      </c>
      <c r="C11" s="77" t="s">
        <v>89</v>
      </c>
    </row>
    <row r="12" spans="2:7" x14ac:dyDescent="0.2">
      <c r="B12" s="77" t="s">
        <v>90</v>
      </c>
      <c r="C12">
        <v>2012</v>
      </c>
      <c r="D12">
        <v>2013</v>
      </c>
      <c r="E12">
        <v>2014</v>
      </c>
      <c r="F12" t="s">
        <v>32</v>
      </c>
    </row>
    <row r="13" spans="2:7" x14ac:dyDescent="0.2">
      <c r="B13" s="78" t="s">
        <v>48</v>
      </c>
      <c r="C13" s="131">
        <v>25175400</v>
      </c>
      <c r="D13" s="131">
        <v>25672640</v>
      </c>
      <c r="E13" s="131">
        <v>28918270</v>
      </c>
      <c r="F13" s="131">
        <v>79766310</v>
      </c>
    </row>
    <row r="14" spans="2:7" x14ac:dyDescent="0.2">
      <c r="B14" s="78" t="s">
        <v>102</v>
      </c>
      <c r="C14" s="131">
        <v>19204775</v>
      </c>
      <c r="D14" s="131">
        <v>19609195</v>
      </c>
      <c r="E14" s="131">
        <v>22074155</v>
      </c>
      <c r="F14" s="131">
        <v>60888125</v>
      </c>
    </row>
    <row r="15" spans="2:7" x14ac:dyDescent="0.2">
      <c r="B15" s="78" t="s">
        <v>166</v>
      </c>
      <c r="C15" s="131">
        <v>2164000</v>
      </c>
      <c r="D15" s="131">
        <v>2238000</v>
      </c>
      <c r="E15" s="131">
        <v>2336000</v>
      </c>
      <c r="F15" s="131">
        <v>6738000</v>
      </c>
    </row>
    <row r="16" spans="2:7" x14ac:dyDescent="0.2">
      <c r="B16" s="78" t="s">
        <v>44</v>
      </c>
      <c r="C16" s="131">
        <v>830000</v>
      </c>
      <c r="D16" s="131">
        <v>830000</v>
      </c>
      <c r="E16" s="131">
        <v>830000</v>
      </c>
      <c r="F16" s="131">
        <v>2490000</v>
      </c>
    </row>
    <row r="17" spans="2:12" x14ac:dyDescent="0.2">
      <c r="B17" s="78" t="s">
        <v>45</v>
      </c>
      <c r="C17" s="131">
        <v>285000</v>
      </c>
      <c r="D17" s="131">
        <v>290000</v>
      </c>
      <c r="E17" s="131">
        <v>302000</v>
      </c>
      <c r="F17" s="131">
        <v>877000</v>
      </c>
      <c r="G17" s="131"/>
    </row>
    <row r="18" spans="2:12" x14ac:dyDescent="0.2">
      <c r="B18" s="78" t="s">
        <v>46</v>
      </c>
      <c r="C18" s="131">
        <v>1684021</v>
      </c>
      <c r="D18" s="131">
        <v>1720275</v>
      </c>
      <c r="E18" s="131">
        <v>2083267</v>
      </c>
      <c r="F18" s="131">
        <v>5487563</v>
      </c>
      <c r="G18" s="131"/>
    </row>
    <row r="19" spans="2:12" x14ac:dyDescent="0.2">
      <c r="B19" s="78" t="s">
        <v>186</v>
      </c>
      <c r="C19" s="131">
        <v>1007604</v>
      </c>
      <c r="D19" s="131">
        <v>985170</v>
      </c>
      <c r="E19" s="131">
        <v>1292848</v>
      </c>
      <c r="F19" s="131">
        <v>3285622</v>
      </c>
      <c r="G19" s="131"/>
    </row>
    <row r="20" spans="2:12" x14ac:dyDescent="0.2">
      <c r="B20" s="78" t="s">
        <v>187</v>
      </c>
      <c r="C20" s="131">
        <v>5970625</v>
      </c>
      <c r="D20" s="131">
        <v>6063445</v>
      </c>
      <c r="E20" s="131">
        <v>6844115</v>
      </c>
      <c r="F20" s="131">
        <v>18878185</v>
      </c>
    </row>
    <row r="21" spans="2:12" x14ac:dyDescent="0.2">
      <c r="B21" s="78" t="s">
        <v>188</v>
      </c>
      <c r="C21" s="131">
        <v>4963021</v>
      </c>
      <c r="D21" s="131">
        <v>5078275</v>
      </c>
      <c r="E21" s="131">
        <v>5551267</v>
      </c>
      <c r="F21" s="131">
        <v>15592563</v>
      </c>
    </row>
    <row r="22" spans="2:12" x14ac:dyDescent="0.2">
      <c r="B22" s="78" t="s">
        <v>129</v>
      </c>
      <c r="C22" s="131">
        <v>24167796</v>
      </c>
      <c r="D22" s="131">
        <v>24687470</v>
      </c>
      <c r="E22" s="131">
        <v>27625422</v>
      </c>
      <c r="F22" s="131">
        <v>76480688</v>
      </c>
    </row>
    <row r="23" spans="2:12" x14ac:dyDescent="0.2">
      <c r="B23" s="78" t="s">
        <v>32</v>
      </c>
      <c r="C23" s="131">
        <v>85452242</v>
      </c>
      <c r="D23" s="131">
        <v>87174470</v>
      </c>
      <c r="E23" s="131">
        <v>97857344</v>
      </c>
      <c r="F23" s="131">
        <v>270484056</v>
      </c>
    </row>
    <row r="24" spans="2:12" x14ac:dyDescent="0.2">
      <c r="D24" s="79"/>
      <c r="E24" s="79"/>
      <c r="F24" s="79"/>
    </row>
    <row r="25" spans="2:12" x14ac:dyDescent="0.2">
      <c r="B25" s="91" t="s">
        <v>104</v>
      </c>
      <c r="C25" s="91"/>
      <c r="D25" s="92"/>
      <c r="E25" s="92"/>
      <c r="F25" s="79"/>
    </row>
    <row r="26" spans="2:12" ht="20.25" x14ac:dyDescent="0.2">
      <c r="B26" s="411" t="s">
        <v>105</v>
      </c>
      <c r="C26" s="412"/>
      <c r="D26" s="413"/>
      <c r="E26" s="99" t="s">
        <v>30</v>
      </c>
      <c r="F26" s="414" t="str">
        <f>C9</f>
        <v>(All)</v>
      </c>
      <c r="G26" s="414"/>
      <c r="H26" s="414"/>
      <c r="I26" s="414"/>
      <c r="J26" s="414"/>
      <c r="K26" s="414"/>
      <c r="L26" s="415"/>
    </row>
    <row r="27" spans="2:12" ht="16.5" thickBot="1" x14ac:dyDescent="0.3">
      <c r="B27" s="38"/>
      <c r="C27" s="39"/>
      <c r="D27" s="39"/>
      <c r="E27" s="416" t="s">
        <v>34</v>
      </c>
      <c r="F27" s="417"/>
      <c r="G27" s="418"/>
      <c r="H27" s="419" t="s">
        <v>35</v>
      </c>
      <c r="I27" s="420"/>
      <c r="J27" s="105" t="s">
        <v>36</v>
      </c>
      <c r="K27" s="106" t="s">
        <v>37</v>
      </c>
      <c r="L27" s="107" t="s">
        <v>38</v>
      </c>
    </row>
    <row r="28" spans="2:12" ht="15.75" x14ac:dyDescent="0.25">
      <c r="B28" s="43"/>
      <c r="C28" s="44"/>
      <c r="D28" s="44"/>
      <c r="E28" s="225">
        <v>2012</v>
      </c>
      <c r="F28" s="225">
        <v>2013</v>
      </c>
      <c r="G28" s="225">
        <v>2014</v>
      </c>
      <c r="H28" s="100">
        <v>2015</v>
      </c>
      <c r="I28" s="100" t="s">
        <v>39</v>
      </c>
      <c r="J28" s="108">
        <v>2015</v>
      </c>
      <c r="K28" s="109">
        <v>2015</v>
      </c>
      <c r="L28" s="110">
        <v>2015</v>
      </c>
    </row>
    <row r="29" spans="2:12" ht="15.75" x14ac:dyDescent="0.25">
      <c r="B29" s="84" t="s">
        <v>48</v>
      </c>
      <c r="C29" s="39"/>
      <c r="D29" s="39"/>
      <c r="E29" s="122">
        <f>GETPIVOTDATA("Value",$B$11,"Row",2012,"Page1","Revenue")</f>
        <v>25175400</v>
      </c>
      <c r="F29" s="122">
        <f>GETPIVOTDATA("Value",$B$11,"Row",2013,"Page1","Revenue")</f>
        <v>25672640</v>
      </c>
      <c r="G29" s="123">
        <f>GETPIVOTDATA("Value",$B$11,"Row",2014,"Page1","Revenue")</f>
        <v>28918270</v>
      </c>
      <c r="H29" s="101">
        <f>FORECAST($H$28,E29:G29,$E$28:$G$28)</f>
        <v>30331640</v>
      </c>
      <c r="I29" s="102">
        <f>(H29-G29)/G29*100</f>
        <v>4.8874638766426903</v>
      </c>
      <c r="J29" s="111">
        <f>G29*0.9</f>
        <v>26026443</v>
      </c>
      <c r="K29" s="112">
        <f>G29*1.1</f>
        <v>31810097.000000004</v>
      </c>
      <c r="L29" s="113">
        <f>G29*1.2</f>
        <v>34701924</v>
      </c>
    </row>
    <row r="30" spans="2:12" ht="15.75" x14ac:dyDescent="0.25">
      <c r="B30" s="38"/>
      <c r="C30" s="39"/>
      <c r="D30" s="39"/>
      <c r="E30" s="122" t="s">
        <v>22</v>
      </c>
      <c r="F30" s="122" t="s">
        <v>22</v>
      </c>
      <c r="G30" s="123" t="s">
        <v>22</v>
      </c>
      <c r="H30" s="101"/>
      <c r="I30" s="102"/>
      <c r="J30" s="114"/>
      <c r="K30" s="115"/>
      <c r="L30" s="116"/>
    </row>
    <row r="31" spans="2:12" ht="16.5" thickBot="1" x14ac:dyDescent="0.3">
      <c r="B31" s="45" t="s">
        <v>22</v>
      </c>
      <c r="C31" s="87" t="s">
        <v>40</v>
      </c>
      <c r="D31" s="46"/>
      <c r="E31" s="124">
        <f>GETPIVOTDATA("Value",$B$11,"Row",2012,"Page1","COGS")</f>
        <v>19204775</v>
      </c>
      <c r="F31" s="124">
        <f>GETPIVOTDATA("Value",$B$11,"Row",2013,"Page1","COGS")</f>
        <v>19609195</v>
      </c>
      <c r="G31" s="125">
        <f>GETPIVOTDATA("Value",$B$11,"Row",2014,"Page1","COGS")</f>
        <v>22074155</v>
      </c>
      <c r="H31" s="101">
        <f>FORECAST($H$28,E31:G31,$E$28:$G$28)</f>
        <v>23165421.666666508</v>
      </c>
      <c r="I31" s="102">
        <f t="shared" ref="I31:I32" si="0">(H31-G31)/G31*100</f>
        <v>4.9436395942064726</v>
      </c>
      <c r="J31" s="111">
        <f>$H$31</f>
        <v>23165421.666666508</v>
      </c>
      <c r="K31" s="111">
        <f>$H$31</f>
        <v>23165421.666666508</v>
      </c>
      <c r="L31" s="111">
        <f>$H$31</f>
        <v>23165421.666666508</v>
      </c>
    </row>
    <row r="32" spans="2:12" ht="16.5" thickTop="1" x14ac:dyDescent="0.25">
      <c r="B32" s="86" t="s">
        <v>41</v>
      </c>
      <c r="C32" s="42"/>
      <c r="D32" s="42"/>
      <c r="E32" s="122">
        <f>E29-E31</f>
        <v>5970625</v>
      </c>
      <c r="F32" s="122">
        <f>F29-F31</f>
        <v>6063445</v>
      </c>
      <c r="G32" s="123">
        <f>G29-G31</f>
        <v>6844115</v>
      </c>
      <c r="H32" s="101">
        <f>FORECAST($H$28,E32:G32,$E$28:$G$28)</f>
        <v>7166218.3333333731</v>
      </c>
      <c r="I32" s="102">
        <f t="shared" si="0"/>
        <v>4.7062817228140243</v>
      </c>
      <c r="J32" s="117">
        <f>J29-J31</f>
        <v>2861021.3333334923</v>
      </c>
      <c r="K32" s="117">
        <f t="shared" ref="K32:L32" si="1">K29-K31</f>
        <v>8644675.333333496</v>
      </c>
      <c r="L32" s="117">
        <f t="shared" si="1"/>
        <v>11536502.333333492</v>
      </c>
    </row>
    <row r="33" spans="2:24" ht="15.75" x14ac:dyDescent="0.25">
      <c r="B33" s="38"/>
      <c r="C33" s="88" t="s">
        <v>42</v>
      </c>
      <c r="D33" s="39"/>
      <c r="E33" s="122"/>
      <c r="F33" s="122"/>
      <c r="G33" s="123"/>
      <c r="H33" s="101"/>
      <c r="I33" s="102"/>
      <c r="J33" s="114"/>
      <c r="K33" s="114"/>
      <c r="L33" s="114"/>
    </row>
    <row r="34" spans="2:24" ht="15.75" x14ac:dyDescent="0.25">
      <c r="B34" s="38" t="s">
        <v>22</v>
      </c>
      <c r="C34" s="39"/>
      <c r="D34" s="39" t="s">
        <v>43</v>
      </c>
      <c r="E34" s="126">
        <f>GETPIVOTDATA("Value",$B$11,"Row",2012,"Page1","Labour Cost")</f>
        <v>2164000</v>
      </c>
      <c r="F34" s="126">
        <f>GETPIVOTDATA("Value",$B$11,"Row",2013,"Page1","Labour Cost")</f>
        <v>2238000</v>
      </c>
      <c r="G34" s="126">
        <f>GETPIVOTDATA("Value",$B$11,"Row",2014,"Page1","Labour Cost")</f>
        <v>2336000</v>
      </c>
      <c r="H34" s="101">
        <f>FORECAST($H$28,E34:G34,$E$28:$G$28)</f>
        <v>2418000</v>
      </c>
      <c r="I34" s="102">
        <f t="shared" ref="I34:I36" si="2">(H34-G34)/G34*100</f>
        <v>3.5102739726027399</v>
      </c>
      <c r="J34" s="111">
        <f>$H$34</f>
        <v>2418000</v>
      </c>
      <c r="K34" s="111">
        <f>$H$34</f>
        <v>2418000</v>
      </c>
      <c r="L34" s="111">
        <f>$H$34</f>
        <v>2418000</v>
      </c>
    </row>
    <row r="35" spans="2:24" ht="15.75" x14ac:dyDescent="0.25">
      <c r="B35" s="38"/>
      <c r="C35" s="39"/>
      <c r="D35" s="39" t="s">
        <v>44</v>
      </c>
      <c r="E35" s="126">
        <f>GETPIVOTDATA("Value",$B$11,"Row",2012,"Page1","FAOC")</f>
        <v>830000</v>
      </c>
      <c r="F35" s="126">
        <f>GETPIVOTDATA("Value",$B$11,"Row",2013,"Page1","FAOC")</f>
        <v>830000</v>
      </c>
      <c r="G35" s="126">
        <f>GETPIVOTDATA("Value",$B$11,"Row",2014,"Page1","FAOC")</f>
        <v>830000</v>
      </c>
      <c r="H35" s="101">
        <f>FORECAST($H$28,E35:G35,$E$28:$G$28)</f>
        <v>830000</v>
      </c>
      <c r="I35" s="102">
        <f t="shared" si="2"/>
        <v>0</v>
      </c>
      <c r="J35" s="111">
        <f>$H$35</f>
        <v>830000</v>
      </c>
      <c r="K35" s="111">
        <f>$H$35</f>
        <v>830000</v>
      </c>
      <c r="L35" s="111">
        <f>$H$35</f>
        <v>830000</v>
      </c>
    </row>
    <row r="36" spans="2:24" ht="15.75" x14ac:dyDescent="0.25">
      <c r="B36" s="38"/>
      <c r="C36" s="39"/>
      <c r="D36" s="39" t="s">
        <v>45</v>
      </c>
      <c r="E36" s="126">
        <f>GETPIVOTDATA("Value",$B$11,"Row",2012,"Page1","APC")</f>
        <v>285000</v>
      </c>
      <c r="F36" s="126">
        <f>GETPIVOTDATA("Value",$B$11,"Row",2013,"Page1","APC")</f>
        <v>290000</v>
      </c>
      <c r="G36" s="126">
        <f>GETPIVOTDATA("Value",$B$11,"Row",2014,"Page1","APC")</f>
        <v>302000</v>
      </c>
      <c r="H36" s="101">
        <f>FORECAST($H$28,E36:G36,$E$28:$G$28)</f>
        <v>309333.33333333209</v>
      </c>
      <c r="I36" s="102">
        <f t="shared" si="2"/>
        <v>2.4282560706397653</v>
      </c>
      <c r="J36" s="111">
        <f>$H$36</f>
        <v>309333.33333333209</v>
      </c>
      <c r="K36" s="111">
        <f>$H$36</f>
        <v>309333.33333333209</v>
      </c>
      <c r="L36" s="111">
        <f>$H$36</f>
        <v>309333.33333333209</v>
      </c>
    </row>
    <row r="37" spans="2:24" ht="15.75" x14ac:dyDescent="0.25">
      <c r="B37" s="38"/>
      <c r="C37" s="39"/>
      <c r="D37" s="39" t="s">
        <v>46</v>
      </c>
      <c r="E37" s="126">
        <f>GETPIVOTDATA("Value",$B$11,"Row",2012,"Page1","VUAOC")</f>
        <v>1684021</v>
      </c>
      <c r="F37" s="126">
        <f>GETPIVOTDATA("Value",$B$11,"Row",2013,"Page1","VUAOC")</f>
        <v>1720275</v>
      </c>
      <c r="G37" s="126">
        <f>GETPIVOTDATA("Value",$B$11,"Row",2014,"Page1","VUAOC")</f>
        <v>2083267</v>
      </c>
      <c r="H37" s="101">
        <f>FORECAST($H$28,E37:G37,$E$28:$G$28)</f>
        <v>2228433.6666666865</v>
      </c>
      <c r="I37" s="102">
        <f>(H37-G37)/G37*100</f>
        <v>6.9682218681852373</v>
      </c>
      <c r="J37" s="111">
        <f>$H$37</f>
        <v>2228433.6666666865</v>
      </c>
      <c r="K37" s="111">
        <f>$H$37</f>
        <v>2228433.6666666865</v>
      </c>
      <c r="L37" s="111">
        <f>$H$37</f>
        <v>2228433.6666666865</v>
      </c>
    </row>
    <row r="38" spans="2:24" ht="16.5" thickBot="1" x14ac:dyDescent="0.3">
      <c r="B38" s="40"/>
      <c r="C38" s="41"/>
      <c r="D38" s="41"/>
      <c r="E38" s="122"/>
      <c r="F38" s="122"/>
      <c r="G38" s="123"/>
      <c r="H38" s="101"/>
      <c r="I38" s="102"/>
      <c r="J38" s="114"/>
      <c r="K38" s="114"/>
      <c r="L38" s="114"/>
    </row>
    <row r="39" spans="2:24" ht="15.75" x14ac:dyDescent="0.25">
      <c r="B39" s="85" t="s">
        <v>47</v>
      </c>
      <c r="C39" s="39"/>
      <c r="D39" s="39"/>
      <c r="E39" s="127">
        <f>E32-SUM(E34:E37)</f>
        <v>1007604</v>
      </c>
      <c r="F39" s="127">
        <f t="shared" ref="F39:G39" si="3">F32-SUM(F34:F37)</f>
        <v>985170</v>
      </c>
      <c r="G39" s="128">
        <f t="shared" si="3"/>
        <v>1292848</v>
      </c>
      <c r="H39" s="101">
        <f>FORECAST($H$28,E39:G39,$E$28:$G$28)</f>
        <v>1380451.3333333135</v>
      </c>
      <c r="I39" s="102">
        <f>(H39-G39)/G39*100</f>
        <v>6.775996353269174</v>
      </c>
      <c r="J39" s="118">
        <f>J32-SUM(J34:J37)</f>
        <v>-2924745.6666665263</v>
      </c>
      <c r="K39" s="118">
        <f t="shared" ref="K39:L39" si="4">K32-SUM(K34:K37)</f>
        <v>2858908.3333334774</v>
      </c>
      <c r="L39" s="118">
        <f t="shared" si="4"/>
        <v>5750735.3333334737</v>
      </c>
    </row>
    <row r="40" spans="2:24" ht="16.5" thickBot="1" x14ac:dyDescent="0.3">
      <c r="B40" s="90"/>
      <c r="C40" s="41"/>
      <c r="D40" s="41"/>
      <c r="E40" s="129"/>
      <c r="F40" s="129"/>
      <c r="G40" s="129"/>
      <c r="H40" s="103"/>
      <c r="I40" s="104"/>
      <c r="J40" s="119"/>
      <c r="K40" s="120"/>
      <c r="L40" s="121"/>
    </row>
    <row r="43" spans="2:24" x14ac:dyDescent="0.2">
      <c r="G43" s="48"/>
    </row>
    <row r="44" spans="2:24" x14ac:dyDescent="0.2">
      <c r="B44" s="77" t="s">
        <v>158</v>
      </c>
      <c r="C44" t="s">
        <v>31</v>
      </c>
    </row>
    <row r="46" spans="2:24" ht="15.75" x14ac:dyDescent="0.25">
      <c r="B46" s="77" t="s">
        <v>88</v>
      </c>
      <c r="C46" s="77" t="s">
        <v>89</v>
      </c>
      <c r="S46" s="70"/>
      <c r="T46" s="70"/>
      <c r="U46" s="71"/>
      <c r="V46" s="72"/>
      <c r="W46" s="72"/>
      <c r="X46" s="72"/>
    </row>
    <row r="47" spans="2:24" ht="15.75" x14ac:dyDescent="0.25">
      <c r="B47" s="77" t="s">
        <v>90</v>
      </c>
      <c r="C47" t="s">
        <v>2</v>
      </c>
      <c r="D47" t="s">
        <v>3</v>
      </c>
      <c r="E47" t="s">
        <v>4</v>
      </c>
      <c r="F47" t="s">
        <v>5</v>
      </c>
      <c r="G47" t="s">
        <v>32</v>
      </c>
      <c r="S47" s="70"/>
      <c r="T47" s="70"/>
      <c r="U47" s="71"/>
      <c r="V47" s="72"/>
      <c r="W47" s="72"/>
      <c r="X47" s="72"/>
    </row>
    <row r="48" spans="2:24" ht="15.75" x14ac:dyDescent="0.25">
      <c r="B48" s="78" t="s">
        <v>48</v>
      </c>
      <c r="C48" s="131">
        <v>29614750</v>
      </c>
      <c r="D48" s="131">
        <v>19593790</v>
      </c>
      <c r="E48" s="131">
        <v>15696020</v>
      </c>
      <c r="F48" s="131">
        <v>14861750</v>
      </c>
      <c r="G48" s="131">
        <v>79766310</v>
      </c>
      <c r="S48" s="70"/>
      <c r="T48" s="70"/>
      <c r="U48" s="71"/>
      <c r="V48" s="72"/>
      <c r="W48" s="72"/>
      <c r="X48" s="72"/>
    </row>
    <row r="49" spans="2:24" ht="15.75" x14ac:dyDescent="0.25">
      <c r="B49" s="78" t="s">
        <v>102</v>
      </c>
      <c r="C49" s="131">
        <v>22567945</v>
      </c>
      <c r="D49" s="131">
        <v>14987010</v>
      </c>
      <c r="E49" s="131">
        <v>12005535</v>
      </c>
      <c r="F49" s="131">
        <v>11327635</v>
      </c>
      <c r="G49" s="131">
        <v>60888125</v>
      </c>
      <c r="S49" s="70"/>
      <c r="T49" s="70"/>
      <c r="U49" s="71"/>
      <c r="V49" s="72"/>
      <c r="W49" s="72"/>
      <c r="X49" s="72"/>
    </row>
    <row r="50" spans="2:24" ht="15.75" x14ac:dyDescent="0.25">
      <c r="B50" s="78" t="s">
        <v>166</v>
      </c>
      <c r="C50" s="131">
        <v>2289000</v>
      </c>
      <c r="D50" s="131">
        <v>2108000</v>
      </c>
      <c r="E50" s="131">
        <v>1261000</v>
      </c>
      <c r="F50" s="131">
        <v>1080000</v>
      </c>
      <c r="G50" s="131">
        <v>6738000</v>
      </c>
      <c r="S50" s="70"/>
      <c r="T50" s="70"/>
      <c r="U50" s="71"/>
      <c r="V50" s="72"/>
      <c r="W50" s="72"/>
      <c r="X50" s="72"/>
    </row>
    <row r="51" spans="2:24" ht="15.75" x14ac:dyDescent="0.25">
      <c r="B51" s="78" t="s">
        <v>44</v>
      </c>
      <c r="C51" s="131">
        <v>900000</v>
      </c>
      <c r="D51" s="131">
        <v>855000</v>
      </c>
      <c r="E51" s="131">
        <v>390000</v>
      </c>
      <c r="F51" s="131">
        <v>345000</v>
      </c>
      <c r="G51" s="131">
        <v>2490000</v>
      </c>
      <c r="S51" s="70"/>
      <c r="T51" s="70"/>
      <c r="U51" s="71"/>
      <c r="V51" s="72"/>
      <c r="W51" s="72"/>
      <c r="X51" s="72"/>
    </row>
    <row r="52" spans="2:24" ht="15.75" x14ac:dyDescent="0.25">
      <c r="B52" s="78" t="s">
        <v>45</v>
      </c>
      <c r="C52" s="131">
        <v>290000</v>
      </c>
      <c r="D52" s="131">
        <v>260000</v>
      </c>
      <c r="E52" s="131">
        <v>205000</v>
      </c>
      <c r="F52" s="131">
        <v>122000</v>
      </c>
      <c r="G52" s="131">
        <v>877000</v>
      </c>
      <c r="S52" s="39"/>
      <c r="T52" s="39"/>
      <c r="U52" s="39"/>
      <c r="V52" s="39"/>
      <c r="W52" s="39"/>
      <c r="X52" s="39"/>
    </row>
    <row r="53" spans="2:24" ht="15.75" x14ac:dyDescent="0.25">
      <c r="B53" s="78" t="s">
        <v>46</v>
      </c>
      <c r="C53" s="131">
        <v>2021916</v>
      </c>
      <c r="D53" s="131">
        <v>1518138</v>
      </c>
      <c r="E53" s="131">
        <v>1186577</v>
      </c>
      <c r="F53" s="131">
        <v>760932</v>
      </c>
      <c r="G53" s="131">
        <v>5487563</v>
      </c>
      <c r="I53" s="1"/>
      <c r="J53" s="39"/>
      <c r="K53" s="39"/>
      <c r="L53" s="39"/>
      <c r="M53" s="39"/>
      <c r="N53" s="39"/>
      <c r="O53" s="39"/>
      <c r="P53" s="39"/>
      <c r="Q53" s="39"/>
      <c r="R53" s="39"/>
      <c r="S53" s="39"/>
      <c r="T53" s="39"/>
      <c r="U53" s="39"/>
      <c r="V53" s="39"/>
      <c r="W53" s="39"/>
      <c r="X53" s="39"/>
    </row>
    <row r="54" spans="2:24" ht="15.75" x14ac:dyDescent="0.25">
      <c r="B54" s="78" t="s">
        <v>186</v>
      </c>
      <c r="C54" s="131">
        <v>1545889</v>
      </c>
      <c r="D54" s="131">
        <v>-134358</v>
      </c>
      <c r="E54" s="131">
        <v>647908</v>
      </c>
      <c r="F54" s="131">
        <v>1226183</v>
      </c>
      <c r="G54" s="131">
        <v>3285622</v>
      </c>
      <c r="M54" s="39"/>
    </row>
    <row r="55" spans="2:24" ht="15.75" x14ac:dyDescent="0.25">
      <c r="B55" s="78" t="s">
        <v>187</v>
      </c>
      <c r="C55" s="131">
        <v>7046805</v>
      </c>
      <c r="D55" s="131">
        <v>4606780</v>
      </c>
      <c r="E55" s="131">
        <v>3690485</v>
      </c>
      <c r="F55" s="131">
        <v>3534115</v>
      </c>
      <c r="G55" s="131">
        <v>18878185</v>
      </c>
      <c r="M55" s="39"/>
    </row>
    <row r="56" spans="2:24" ht="15.75" x14ac:dyDescent="0.25">
      <c r="B56" s="78" t="s">
        <v>188</v>
      </c>
      <c r="C56" s="131">
        <v>5500916</v>
      </c>
      <c r="D56" s="131">
        <v>4741138</v>
      </c>
      <c r="E56" s="131">
        <v>3042577</v>
      </c>
      <c r="F56" s="131">
        <v>2307932</v>
      </c>
      <c r="G56" s="131">
        <v>15592563</v>
      </c>
      <c r="M56" s="1"/>
    </row>
    <row r="57" spans="2:24" x14ac:dyDescent="0.2">
      <c r="B57" s="78" t="s">
        <v>129</v>
      </c>
      <c r="C57" s="131">
        <v>28068861</v>
      </c>
      <c r="D57" s="131">
        <v>19728148</v>
      </c>
      <c r="E57" s="131">
        <v>15048112</v>
      </c>
      <c r="F57" s="131">
        <v>13635567</v>
      </c>
      <c r="G57" s="131">
        <v>76480688</v>
      </c>
    </row>
    <row r="58" spans="2:24" ht="18" x14ac:dyDescent="0.25">
      <c r="B58" s="78" t="s">
        <v>32</v>
      </c>
      <c r="C58" s="131">
        <v>99846082</v>
      </c>
      <c r="D58" s="131">
        <v>68263646</v>
      </c>
      <c r="E58" s="131">
        <v>53173214</v>
      </c>
      <c r="F58" s="131">
        <v>49201114</v>
      </c>
      <c r="G58" s="131">
        <v>270484056</v>
      </c>
      <c r="J58" s="51"/>
      <c r="K58" s="98"/>
    </row>
    <row r="59" spans="2:24" ht="15.75" x14ac:dyDescent="0.25">
      <c r="B59" s="93"/>
      <c r="C59" s="93"/>
      <c r="D59" s="93"/>
      <c r="E59" s="421" t="s">
        <v>34</v>
      </c>
      <c r="F59" s="422"/>
      <c r="G59" s="422"/>
      <c r="H59" s="423"/>
    </row>
    <row r="60" spans="2:24" ht="15.75" x14ac:dyDescent="0.25">
      <c r="B60" s="93"/>
      <c r="C60" s="93"/>
      <c r="D60" s="93"/>
      <c r="E60" s="225" t="s">
        <v>2</v>
      </c>
      <c r="F60" s="225" t="s">
        <v>3</v>
      </c>
      <c r="G60" s="225" t="s">
        <v>4</v>
      </c>
      <c r="H60" s="225" t="s">
        <v>5</v>
      </c>
    </row>
    <row r="61" spans="2:24" ht="15.75" x14ac:dyDescent="0.25">
      <c r="B61" s="94" t="s">
        <v>48</v>
      </c>
      <c r="C61" s="93"/>
      <c r="D61" s="93"/>
      <c r="E61" s="49">
        <f>+GETPIVOTDATA("Value",$B$46,"Column","Brisbane","Page1","Revenue")</f>
        <v>29614750</v>
      </c>
      <c r="F61" s="49">
        <f>+GETPIVOTDATA("Value",$B$46,"Column","Gold Coast","Page1","Revenue")</f>
        <v>19593790</v>
      </c>
      <c r="G61" s="49">
        <f>+GETPIVOTDATA("Value",$B$46,"Column","Townsville","Page1","Revenue")</f>
        <v>15696020</v>
      </c>
      <c r="H61" s="49">
        <f>+GETPIVOTDATA("Value",$B$46,"Column","Cairns","Page1","Revenue")</f>
        <v>14861750</v>
      </c>
    </row>
    <row r="62" spans="2:24" ht="15.75" x14ac:dyDescent="0.25">
      <c r="B62" s="93"/>
      <c r="C62" s="93"/>
      <c r="D62" s="93"/>
      <c r="E62" s="49"/>
      <c r="F62" s="49"/>
      <c r="G62" s="49"/>
      <c r="H62" s="49"/>
    </row>
    <row r="63" spans="2:24" ht="15.75" x14ac:dyDescent="0.25">
      <c r="B63" s="93" t="s">
        <v>22</v>
      </c>
      <c r="C63" s="95" t="s">
        <v>40</v>
      </c>
      <c r="D63" s="93"/>
      <c r="E63" s="49">
        <f>+GETPIVOTDATA("Value",$B$46,"Column","Brisbane","Page1","COGS")</f>
        <v>22567945</v>
      </c>
      <c r="F63" s="49">
        <f>+GETPIVOTDATA("Value",$B$46,"Column","Gold Coast","Page1","COGS")</f>
        <v>14987010</v>
      </c>
      <c r="G63" s="49">
        <f>+GETPIVOTDATA("Value",$B$46,"Column","Townsville","Page1","COGS")</f>
        <v>12005535</v>
      </c>
      <c r="H63" s="49">
        <f>+GETPIVOTDATA("Value",$B$46,"Column","Cairns","Page1","COGS")</f>
        <v>11327635</v>
      </c>
    </row>
    <row r="64" spans="2:24" ht="15.75" x14ac:dyDescent="0.25">
      <c r="B64" s="94" t="s">
        <v>41</v>
      </c>
      <c r="C64" s="93"/>
      <c r="D64" s="93"/>
      <c r="E64" s="49">
        <f>+E61-E63</f>
        <v>7046805</v>
      </c>
      <c r="F64" s="49">
        <f>+F61-F63</f>
        <v>4606780</v>
      </c>
      <c r="G64" s="49">
        <f>+G61-G63</f>
        <v>3690485</v>
      </c>
      <c r="H64" s="49">
        <f>+H61-H63</f>
        <v>3534115</v>
      </c>
    </row>
    <row r="65" spans="2:24" ht="15.75" x14ac:dyDescent="0.25">
      <c r="B65" s="93"/>
      <c r="C65" s="95" t="s">
        <v>42</v>
      </c>
      <c r="D65" s="93"/>
      <c r="E65" s="49"/>
      <c r="F65" s="49"/>
      <c r="G65" s="49"/>
      <c r="H65" s="49"/>
    </row>
    <row r="66" spans="2:24" ht="15.75" x14ac:dyDescent="0.25">
      <c r="B66" s="93" t="s">
        <v>22</v>
      </c>
      <c r="C66" s="93"/>
      <c r="D66" s="93" t="s">
        <v>43</v>
      </c>
      <c r="E66" s="50">
        <f>+GETPIVOTDATA("Value",$B$46,"Column","Brisbane","Page1","Labour Cost")</f>
        <v>2289000</v>
      </c>
      <c r="F66" s="50">
        <f>+GETPIVOTDATA("Value",$B$46,"Column","Gold Coast","Page1","Labour Cost")</f>
        <v>2108000</v>
      </c>
      <c r="G66" s="50">
        <f>+GETPIVOTDATA("Value",$B$46,"Column","Townsville","Page1","Labour Cost")</f>
        <v>1261000</v>
      </c>
      <c r="H66" s="49">
        <f>+GETPIVOTDATA("Value",$B$46,"Column","Cairns","Page1","Labour Cost")</f>
        <v>1080000</v>
      </c>
    </row>
    <row r="67" spans="2:24" ht="15.75" x14ac:dyDescent="0.25">
      <c r="B67" s="93"/>
      <c r="C67" s="93"/>
      <c r="D67" s="93" t="s">
        <v>44</v>
      </c>
      <c r="E67" s="50">
        <f>+GETPIVOTDATA("Value",$B$46,"Column","Brisbane","Page1","FAOC")</f>
        <v>900000</v>
      </c>
      <c r="F67" s="50">
        <f>+GETPIVOTDATA("Value",$B$46,"Column","Gold Coast","Page1","FAOC")</f>
        <v>855000</v>
      </c>
      <c r="G67" s="50">
        <f>+GETPIVOTDATA("Value",$B$46,"Column","Townsville","Page1","FAOC")</f>
        <v>390000</v>
      </c>
      <c r="H67" s="49">
        <f>+GETPIVOTDATA("Value",$B$46,"Column","Cairns","Page1","FAOC")</f>
        <v>345000</v>
      </c>
    </row>
    <row r="68" spans="2:24" ht="15.75" x14ac:dyDescent="0.25">
      <c r="B68" s="93"/>
      <c r="C68" s="93"/>
      <c r="D68" s="93" t="s">
        <v>45</v>
      </c>
      <c r="E68" s="50">
        <f>+GETPIVOTDATA("Value",$B$46,"Column","Brisbane","Page1","APC")</f>
        <v>290000</v>
      </c>
      <c r="F68" s="50">
        <f>+GETPIVOTDATA("Value",$B$46,"Column","Gold Coast","Page1","APC")</f>
        <v>260000</v>
      </c>
      <c r="G68" s="50">
        <f>+GETPIVOTDATA("Value",$B$46,"Column","Townsville","Page1","APC")</f>
        <v>205000</v>
      </c>
      <c r="H68" s="49">
        <f>+GETPIVOTDATA("Value",$B$46,"Column","Cairns","Page1","APC")</f>
        <v>122000</v>
      </c>
    </row>
    <row r="69" spans="2:24" ht="15.75" x14ac:dyDescent="0.25">
      <c r="B69" s="93"/>
      <c r="C69" s="93"/>
      <c r="D69" s="93" t="s">
        <v>46</v>
      </c>
      <c r="E69" s="50">
        <f>+GETPIVOTDATA("Value",$B$46,"Column","Brisbane","Page1","VUAOC")</f>
        <v>2021916</v>
      </c>
      <c r="F69" s="50">
        <f>+GETPIVOTDATA("Value",$B$46,"Column","Gold Coast","Page1","VUAOC")</f>
        <v>1518138</v>
      </c>
      <c r="G69" s="50">
        <f>+GETPIVOTDATA("Value",$B$46,"Column","Townsville","Page1","VUAOC")</f>
        <v>1186577</v>
      </c>
      <c r="H69" s="49">
        <f>+GETPIVOTDATA("Value",$B$46,"Column","Cairns","Page1","VUAOC")</f>
        <v>760932</v>
      </c>
      <c r="N69" s="1"/>
      <c r="O69" s="1"/>
      <c r="P69" s="1"/>
      <c r="Q69" s="1"/>
      <c r="R69" s="1"/>
      <c r="S69" s="1"/>
      <c r="T69" s="1"/>
      <c r="U69" s="1"/>
      <c r="V69" s="1"/>
      <c r="W69" s="1"/>
      <c r="X69" s="1"/>
    </row>
    <row r="70" spans="2:24" ht="15.75" x14ac:dyDescent="0.25">
      <c r="B70" s="93"/>
      <c r="C70" s="93"/>
      <c r="D70" s="93"/>
      <c r="E70" s="49"/>
      <c r="F70" s="49"/>
      <c r="G70" s="49"/>
      <c r="H70" s="49"/>
      <c r="N70" s="1"/>
      <c r="O70" s="1"/>
      <c r="P70" s="1"/>
      <c r="Q70" s="1"/>
      <c r="R70" s="1"/>
      <c r="S70" s="1"/>
      <c r="T70" s="1"/>
      <c r="U70" s="1"/>
      <c r="V70" s="1"/>
      <c r="W70" s="1"/>
      <c r="X70" s="1"/>
    </row>
    <row r="71" spans="2:24" ht="15.75" x14ac:dyDescent="0.25">
      <c r="B71" s="96" t="s">
        <v>47</v>
      </c>
      <c r="C71" s="93"/>
      <c r="D71" s="94"/>
      <c r="E71" s="207">
        <f>+E64-SUM(E66:E69)</f>
        <v>1545889</v>
      </c>
      <c r="F71" s="207">
        <f t="shared" ref="F71:H71" si="5">+F64-SUM(F66:F69)</f>
        <v>-134358</v>
      </c>
      <c r="G71" s="207">
        <f t="shared" si="5"/>
        <v>647908</v>
      </c>
      <c r="H71" s="207">
        <f t="shared" si="5"/>
        <v>1226183</v>
      </c>
      <c r="I71" s="48"/>
      <c r="N71" s="1"/>
      <c r="O71" s="1"/>
      <c r="P71" s="1"/>
      <c r="Q71" s="1"/>
      <c r="R71" s="1"/>
      <c r="S71" s="1"/>
      <c r="T71" s="1"/>
      <c r="U71" s="1"/>
      <c r="V71" s="1"/>
      <c r="W71" s="1"/>
      <c r="X71" s="1"/>
    </row>
    <row r="72" spans="2:24" ht="15.75" x14ac:dyDescent="0.25">
      <c r="B72" s="424" t="s">
        <v>106</v>
      </c>
      <c r="C72" s="425"/>
      <c r="D72" s="426"/>
      <c r="E72" s="97">
        <f>+E71/SUM($E$71:$H$71)</f>
        <v>0.47050117146768555</v>
      </c>
      <c r="F72" s="97">
        <f t="shared" ref="F72:H72" si="6">+F71/SUM($E$71:$H$71)</f>
        <v>-4.0892713769264996E-2</v>
      </c>
      <c r="G72" s="97">
        <f t="shared" si="6"/>
        <v>0.1971949299097705</v>
      </c>
      <c r="H72" s="97">
        <f t="shared" si="6"/>
        <v>0.3731966123918089</v>
      </c>
      <c r="N72" s="1"/>
      <c r="O72" s="1"/>
      <c r="P72" s="1"/>
      <c r="Q72" s="1"/>
      <c r="R72" s="1"/>
      <c r="S72" s="1"/>
      <c r="T72" s="1"/>
      <c r="U72" s="1"/>
      <c r="V72" s="1"/>
      <c r="W72" s="1"/>
      <c r="X72" s="1"/>
    </row>
    <row r="73" spans="2:24" ht="15.75" x14ac:dyDescent="0.25">
      <c r="N73" s="1"/>
      <c r="O73" s="1"/>
      <c r="P73" s="1"/>
      <c r="Q73" s="1"/>
      <c r="R73" s="1"/>
      <c r="S73" s="1"/>
      <c r="T73" s="1"/>
      <c r="U73" s="1"/>
      <c r="V73" s="1"/>
      <c r="W73" s="1"/>
      <c r="X73" s="1"/>
    </row>
    <row r="76" spans="2:24" x14ac:dyDescent="0.2">
      <c r="B76" s="208" t="s">
        <v>125</v>
      </c>
    </row>
    <row r="77" spans="2:24" ht="20.25" x14ac:dyDescent="0.2">
      <c r="B77" s="411" t="s">
        <v>105</v>
      </c>
      <c r="C77" s="412"/>
      <c r="D77" s="413"/>
      <c r="E77" s="99" t="s">
        <v>30</v>
      </c>
      <c r="F77" s="156" t="str">
        <f>+F26</f>
        <v>(All)</v>
      </c>
      <c r="G77" s="156"/>
      <c r="H77" s="156"/>
      <c r="I77" s="156"/>
      <c r="J77" s="156"/>
      <c r="K77" s="156"/>
    </row>
    <row r="78" spans="2:24" ht="16.5" thickBot="1" x14ac:dyDescent="0.3">
      <c r="B78" s="38"/>
      <c r="C78" s="39"/>
      <c r="D78" s="39"/>
      <c r="E78" s="416" t="s">
        <v>34</v>
      </c>
      <c r="F78" s="417"/>
      <c r="G78" s="418"/>
      <c r="H78" s="419" t="s">
        <v>35</v>
      </c>
      <c r="I78" s="420"/>
      <c r="J78" s="409" t="s">
        <v>126</v>
      </c>
      <c r="K78" s="410"/>
    </row>
    <row r="79" spans="2:24" ht="15.75" x14ac:dyDescent="0.25">
      <c r="B79" s="43"/>
      <c r="C79" s="44"/>
      <c r="D79" s="44"/>
      <c r="E79" s="225">
        <v>2012</v>
      </c>
      <c r="F79" s="225">
        <v>2013</v>
      </c>
      <c r="G79" s="225">
        <v>2014</v>
      </c>
      <c r="H79" s="100">
        <v>2015</v>
      </c>
      <c r="I79" s="100" t="s">
        <v>39</v>
      </c>
      <c r="J79" s="108">
        <v>2015</v>
      </c>
      <c r="K79" s="109" t="s">
        <v>39</v>
      </c>
    </row>
    <row r="80" spans="2:24" ht="15.75" x14ac:dyDescent="0.25">
      <c r="B80" s="84" t="s">
        <v>48</v>
      </c>
      <c r="C80" s="39"/>
      <c r="D80" s="39"/>
      <c r="E80" s="122">
        <f>+E29</f>
        <v>25175400</v>
      </c>
      <c r="F80" s="122">
        <f>+F29</f>
        <v>25672640</v>
      </c>
      <c r="G80" s="122">
        <f>+G29</f>
        <v>28918270</v>
      </c>
      <c r="H80" s="101">
        <f>+FORECAST($H$79,$E80:$G80,$E$79:$G$79)</f>
        <v>30331640</v>
      </c>
      <c r="I80" s="102">
        <f>+(H80-G80)/G80*100</f>
        <v>4.8874638766426903</v>
      </c>
      <c r="J80" s="209">
        <f>+$H$82+SUM($H$85:$H$88)</f>
        <v>28951188.666666526</v>
      </c>
      <c r="K80" s="157">
        <f>+(J80-G80)/G80*100</f>
        <v>0.11383345776398916</v>
      </c>
    </row>
    <row r="81" spans="2:11" ht="15.75" x14ac:dyDescent="0.25">
      <c r="B81" s="38"/>
      <c r="C81" s="39"/>
      <c r="D81" s="39"/>
      <c r="E81" s="122"/>
      <c r="F81" s="122"/>
      <c r="G81" s="123"/>
      <c r="H81" s="101"/>
      <c r="I81" s="102"/>
      <c r="J81" s="114"/>
      <c r="K81" s="157"/>
    </row>
    <row r="82" spans="2:11" ht="16.5" thickBot="1" x14ac:dyDescent="0.3">
      <c r="B82" s="45" t="s">
        <v>22</v>
      </c>
      <c r="C82" s="87" t="s">
        <v>40</v>
      </c>
      <c r="D82" s="46"/>
      <c r="E82" s="124">
        <f>+E31</f>
        <v>19204775</v>
      </c>
      <c r="F82" s="124">
        <f>+F31</f>
        <v>19609195</v>
      </c>
      <c r="G82" s="124">
        <f>+G31</f>
        <v>22074155</v>
      </c>
      <c r="H82" s="101">
        <f>+FORECAST($H$79,$E82:$G82,$E$79:$G$79)</f>
        <v>23165421.666666508</v>
      </c>
      <c r="I82" s="102">
        <f>+(H82-G82)/G82*100</f>
        <v>4.9436395942064726</v>
      </c>
      <c r="J82" s="111">
        <f>+H82</f>
        <v>23165421.666666508</v>
      </c>
      <c r="K82" s="157">
        <f t="shared" ref="K82:K83" si="7">+(J82-G82)/G82*100</f>
        <v>4.9436395942064726</v>
      </c>
    </row>
    <row r="83" spans="2:11" ht="16.5" thickTop="1" x14ac:dyDescent="0.25">
      <c r="B83" s="86" t="s">
        <v>41</v>
      </c>
      <c r="C83" s="42"/>
      <c r="D83" s="42"/>
      <c r="E83" s="122">
        <f>+E80-E82</f>
        <v>5970625</v>
      </c>
      <c r="F83" s="122">
        <f>+F80-F82</f>
        <v>6063445</v>
      </c>
      <c r="G83" s="122">
        <f>+G80-G82</f>
        <v>6844115</v>
      </c>
      <c r="H83" s="101">
        <f>+FORECAST($H$79,$E83:$G83,$E$79:$G$79)</f>
        <v>7166218.3333333731</v>
      </c>
      <c r="I83" s="102">
        <f>+(H83-G83)/G83*100</f>
        <v>4.7062817228140243</v>
      </c>
      <c r="J83" s="117">
        <f>+J80-J82</f>
        <v>5785767.0000000186</v>
      </c>
      <c r="K83" s="157">
        <f t="shared" si="7"/>
        <v>-15.463620935650283</v>
      </c>
    </row>
    <row r="84" spans="2:11" ht="15.75" x14ac:dyDescent="0.25">
      <c r="B84" s="38"/>
      <c r="C84" s="88" t="s">
        <v>42</v>
      </c>
      <c r="D84" s="39"/>
      <c r="E84" s="122"/>
      <c r="F84" s="122"/>
      <c r="G84" s="123"/>
      <c r="H84" s="101"/>
      <c r="I84" s="102"/>
      <c r="J84" s="114"/>
      <c r="K84" s="157"/>
    </row>
    <row r="85" spans="2:11" ht="15.75" x14ac:dyDescent="0.25">
      <c r="B85" s="38" t="s">
        <v>22</v>
      </c>
      <c r="C85" s="39"/>
      <c r="D85" s="39" t="s">
        <v>43</v>
      </c>
      <c r="E85" s="126">
        <f>+E34</f>
        <v>2164000</v>
      </c>
      <c r="F85" s="126">
        <f t="shared" ref="F85:G88" si="8">+F34</f>
        <v>2238000</v>
      </c>
      <c r="G85" s="126">
        <f t="shared" si="8"/>
        <v>2336000</v>
      </c>
      <c r="H85" s="101">
        <f t="shared" ref="H85:H88" si="9">+FORECAST($H$79,$E85:$G85,$E$79:$G$79)</f>
        <v>2418000</v>
      </c>
      <c r="I85" s="102">
        <f t="shared" ref="I85:I88" si="10">+(H85-G85)/G85*100</f>
        <v>3.5102739726027399</v>
      </c>
      <c r="J85" s="111">
        <f>+H85</f>
        <v>2418000</v>
      </c>
      <c r="K85" s="157">
        <f t="shared" ref="K85:K88" si="11">+(J85-G85)/G85*100</f>
        <v>3.5102739726027399</v>
      </c>
    </row>
    <row r="86" spans="2:11" ht="15.75" x14ac:dyDescent="0.25">
      <c r="B86" s="38"/>
      <c r="C86" s="39"/>
      <c r="D86" s="39" t="s">
        <v>44</v>
      </c>
      <c r="E86" s="126">
        <f>+E35</f>
        <v>830000</v>
      </c>
      <c r="F86" s="126">
        <f t="shared" si="8"/>
        <v>830000</v>
      </c>
      <c r="G86" s="126">
        <f t="shared" si="8"/>
        <v>830000</v>
      </c>
      <c r="H86" s="101">
        <f t="shared" si="9"/>
        <v>830000</v>
      </c>
      <c r="I86" s="102">
        <f t="shared" si="10"/>
        <v>0</v>
      </c>
      <c r="J86" s="111">
        <f t="shared" ref="J86:J88" si="12">+H86</f>
        <v>830000</v>
      </c>
      <c r="K86" s="157">
        <f t="shared" si="11"/>
        <v>0</v>
      </c>
    </row>
    <row r="87" spans="2:11" ht="15.75" x14ac:dyDescent="0.25">
      <c r="B87" s="38"/>
      <c r="C87" s="39"/>
      <c r="D87" s="39" t="s">
        <v>45</v>
      </c>
      <c r="E87" s="126">
        <f>+E36</f>
        <v>285000</v>
      </c>
      <c r="F87" s="126">
        <f t="shared" si="8"/>
        <v>290000</v>
      </c>
      <c r="G87" s="126">
        <f t="shared" si="8"/>
        <v>302000</v>
      </c>
      <c r="H87" s="101">
        <f t="shared" si="9"/>
        <v>309333.33333333209</v>
      </c>
      <c r="I87" s="102">
        <f t="shared" si="10"/>
        <v>2.4282560706397653</v>
      </c>
      <c r="J87" s="111">
        <f t="shared" si="12"/>
        <v>309333.33333333209</v>
      </c>
      <c r="K87" s="157">
        <f t="shared" si="11"/>
        <v>2.4282560706397653</v>
      </c>
    </row>
    <row r="88" spans="2:11" ht="15.75" x14ac:dyDescent="0.25">
      <c r="B88" s="38"/>
      <c r="C88" s="39"/>
      <c r="D88" s="39" t="s">
        <v>46</v>
      </c>
      <c r="E88" s="126">
        <f>+E37</f>
        <v>1684021</v>
      </c>
      <c r="F88" s="126">
        <f t="shared" si="8"/>
        <v>1720275</v>
      </c>
      <c r="G88" s="126">
        <f t="shared" si="8"/>
        <v>2083267</v>
      </c>
      <c r="H88" s="101">
        <f t="shared" si="9"/>
        <v>2228433.6666666865</v>
      </c>
      <c r="I88" s="102">
        <f t="shared" si="10"/>
        <v>6.9682218681852373</v>
      </c>
      <c r="J88" s="111">
        <f t="shared" si="12"/>
        <v>2228433.6666666865</v>
      </c>
      <c r="K88" s="157">
        <f t="shared" si="11"/>
        <v>6.9682218681852373</v>
      </c>
    </row>
    <row r="89" spans="2:11" ht="16.5" thickBot="1" x14ac:dyDescent="0.3">
      <c r="B89" s="40"/>
      <c r="C89" s="41"/>
      <c r="D89" s="41"/>
      <c r="E89" s="122"/>
      <c r="F89" s="122"/>
      <c r="G89" s="123"/>
      <c r="H89" s="101"/>
      <c r="I89" s="102"/>
      <c r="J89" s="114"/>
      <c r="K89" s="157"/>
    </row>
    <row r="90" spans="2:11" ht="15.75" x14ac:dyDescent="0.25">
      <c r="B90" s="85" t="s">
        <v>47</v>
      </c>
      <c r="C90" s="39"/>
      <c r="D90" s="39"/>
      <c r="E90" s="127">
        <f>+E83-SUM(E85:E88)</f>
        <v>1007604</v>
      </c>
      <c r="F90" s="127">
        <f t="shared" ref="F90:G90" si="13">+F83-SUM(F85:F88)</f>
        <v>985170</v>
      </c>
      <c r="G90" s="127">
        <f t="shared" si="13"/>
        <v>1292848</v>
      </c>
      <c r="H90" s="101">
        <f>+FORECAST($H$79,$E90:$G90,$E$79:$G$79)</f>
        <v>1380451.3333333135</v>
      </c>
      <c r="I90" s="102">
        <f>+(H90-G90)/G90*100</f>
        <v>6.775996353269174</v>
      </c>
      <c r="J90" s="118">
        <f t="shared" ref="J90" si="14">+J83-SUM(J85:J88)</f>
        <v>0</v>
      </c>
      <c r="K90" s="157">
        <f>+(J90-G90)/G90*100</f>
        <v>-100</v>
      </c>
    </row>
    <row r="91" spans="2:11" ht="16.5" thickBot="1" x14ac:dyDescent="0.3">
      <c r="B91" s="90"/>
      <c r="C91" s="41"/>
      <c r="D91" s="41"/>
      <c r="E91" s="129"/>
      <c r="F91" s="129"/>
      <c r="G91" s="129"/>
      <c r="H91" s="103"/>
      <c r="I91" s="104"/>
      <c r="J91" s="119"/>
      <c r="K91" s="120"/>
    </row>
    <row r="93" spans="2:11" x14ac:dyDescent="0.2">
      <c r="H93" s="202">
        <v>3285622</v>
      </c>
    </row>
  </sheetData>
  <mergeCells count="10">
    <mergeCell ref="J78:K78"/>
    <mergeCell ref="B26:D26"/>
    <mergeCell ref="F26:L26"/>
    <mergeCell ref="E27:G27"/>
    <mergeCell ref="H27:I27"/>
    <mergeCell ref="E59:H59"/>
    <mergeCell ref="B72:D72"/>
    <mergeCell ref="B77:D77"/>
    <mergeCell ref="E78:G78"/>
    <mergeCell ref="H78:I78"/>
  </mergeCell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abSelected="1" zoomScale="70" zoomScaleNormal="70" workbookViewId="0">
      <pane xSplit="25" ySplit="9" topLeftCell="Z22" activePane="bottomRight" state="frozen"/>
      <selection activeCell="D21" sqref="D21"/>
      <selection pane="topRight" activeCell="D21" sqref="D21"/>
      <selection pane="bottomLeft" activeCell="D21" sqref="D21"/>
      <selection pane="bottomRight" activeCell="AA37" sqref="AA37"/>
    </sheetView>
  </sheetViews>
  <sheetFormatPr defaultRowHeight="12.75" x14ac:dyDescent="0.2"/>
  <sheetData/>
  <pageMargins left="0.7" right="0.43" top="0.75" bottom="0.75" header="0.3" footer="0.3"/>
  <pageSetup paperSize="9" scale="50" fitToHeight="0" orientation="landscape" r:id="rId1"/>
  <headerFooter>
    <oddHeader>&amp;C&amp;14Sheet: &amp;A</oddHeader>
    <oddFooter>&amp;L&amp;11Group 28's Business Model&amp;C&amp;11&amp;P&amp;R&amp;11SP52/2016-BX2016</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B2:AI33"/>
  <sheetViews>
    <sheetView topLeftCell="A5" zoomScale="90" zoomScaleNormal="90" workbookViewId="0">
      <selection activeCell="D21" sqref="D21"/>
    </sheetView>
  </sheetViews>
  <sheetFormatPr defaultRowHeight="12.75" x14ac:dyDescent="0.2"/>
  <cols>
    <col min="2" max="2" width="11.140625" customWidth="1"/>
  </cols>
  <sheetData>
    <row r="2" spans="2:35" ht="18" x14ac:dyDescent="0.25">
      <c r="B2" s="51"/>
    </row>
    <row r="4" spans="2:35" ht="18.75" x14ac:dyDescent="0.3">
      <c r="N4" s="1"/>
      <c r="O4" s="8"/>
      <c r="P4" s="8"/>
      <c r="Q4" s="8"/>
      <c r="R4" s="8"/>
      <c r="S4" s="6"/>
      <c r="T4" s="173" t="s">
        <v>154</v>
      </c>
    </row>
    <row r="5" spans="2:35" ht="15.75" x14ac:dyDescent="0.2">
      <c r="B5" s="75"/>
      <c r="C5" s="76"/>
      <c r="D5" s="75"/>
      <c r="T5" s="173" t="s">
        <v>155</v>
      </c>
    </row>
    <row r="6" spans="2:35" ht="69" customHeight="1" x14ac:dyDescent="0.3">
      <c r="O6" s="3"/>
      <c r="T6" s="427" t="s">
        <v>156</v>
      </c>
      <c r="U6" s="427"/>
      <c r="V6" s="427"/>
      <c r="W6" s="427"/>
      <c r="X6" s="427"/>
      <c r="Y6" s="427"/>
      <c r="Z6" s="427"/>
      <c r="AA6" s="427"/>
      <c r="AB6" s="427"/>
      <c r="AC6" s="175"/>
      <c r="AD6" s="175"/>
      <c r="AE6" s="175"/>
      <c r="AF6" s="175"/>
      <c r="AG6" s="175"/>
      <c r="AH6" s="175"/>
      <c r="AI6" s="175"/>
    </row>
    <row r="7" spans="2:35" ht="15.75" x14ac:dyDescent="0.2">
      <c r="B7" s="75"/>
      <c r="C7" s="76"/>
      <c r="D7" s="75"/>
      <c r="T7" s="173" t="s">
        <v>157</v>
      </c>
    </row>
    <row r="8" spans="2:35" ht="18.75" x14ac:dyDescent="0.3">
      <c r="O8" s="8"/>
      <c r="T8" s="174"/>
    </row>
    <row r="9" spans="2:35" x14ac:dyDescent="0.2">
      <c r="C9" s="76"/>
    </row>
    <row r="10" spans="2:35" ht="18.75" x14ac:dyDescent="0.3">
      <c r="O10" s="3"/>
    </row>
    <row r="11" spans="2:35" x14ac:dyDescent="0.2">
      <c r="C11" s="76"/>
    </row>
    <row r="12" spans="2:35" ht="18.75" x14ac:dyDescent="0.3">
      <c r="O12" s="8"/>
    </row>
    <row r="13" spans="2:35" x14ac:dyDescent="0.2">
      <c r="C13" s="76"/>
    </row>
    <row r="14" spans="2:35" ht="18.75" x14ac:dyDescent="0.3">
      <c r="O14" s="8"/>
    </row>
    <row r="15" spans="2:35" x14ac:dyDescent="0.2">
      <c r="C15" s="76"/>
    </row>
    <row r="17" spans="3:15" x14ac:dyDescent="0.2">
      <c r="C17" s="76"/>
    </row>
    <row r="18" spans="3:15" x14ac:dyDescent="0.2">
      <c r="O18" s="75"/>
    </row>
    <row r="19" spans="3:15" x14ac:dyDescent="0.2">
      <c r="C19" s="76"/>
    </row>
    <row r="21" spans="3:15" x14ac:dyDescent="0.2">
      <c r="C21" s="76"/>
    </row>
    <row r="23" spans="3:15" x14ac:dyDescent="0.2">
      <c r="C23" s="76"/>
    </row>
    <row r="25" spans="3:15" x14ac:dyDescent="0.2">
      <c r="C25" s="76"/>
    </row>
    <row r="27" spans="3:15" x14ac:dyDescent="0.2">
      <c r="C27" s="76"/>
    </row>
    <row r="29" spans="3:15" x14ac:dyDescent="0.2">
      <c r="C29" s="76"/>
    </row>
    <row r="31" spans="3:15" x14ac:dyDescent="0.2">
      <c r="C31" s="76"/>
    </row>
    <row r="33" spans="3:3" x14ac:dyDescent="0.2">
      <c r="C33" s="76"/>
    </row>
  </sheetData>
  <mergeCells count="1">
    <mergeCell ref="T6:AB6"/>
  </mergeCells>
  <pageMargins left="0.7" right="0.43" top="0.75" bottom="0.75" header="0.3" footer="0.3"/>
  <pageSetup paperSize="9" scale="53" fitToHeight="0" orientation="landscape" r:id="rId1"/>
  <headerFooter>
    <oddHeader>&amp;C&amp;14Sheet: &amp;A</oddHeader>
    <oddFooter>&amp;L&amp;11Group 28's Business Model&amp;C&amp;11&amp;P&amp;R&amp;11SP52/2016-BX2016</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pageSetUpPr fitToPage="1"/>
  </sheetPr>
  <dimension ref="B3:T5"/>
  <sheetViews>
    <sheetView showGridLines="0" zoomScale="80" zoomScaleNormal="80" workbookViewId="0">
      <selection activeCell="G31" sqref="G31"/>
    </sheetView>
  </sheetViews>
  <sheetFormatPr defaultRowHeight="12.75" x14ac:dyDescent="0.2"/>
  <cols>
    <col min="2" max="2" width="4.28515625" customWidth="1"/>
  </cols>
  <sheetData>
    <row r="3" spans="2:20" ht="23.25" x14ac:dyDescent="0.2">
      <c r="C3" s="154" t="s">
        <v>123</v>
      </c>
    </row>
    <row r="5" spans="2:20" ht="21" x14ac:dyDescent="0.2">
      <c r="B5" s="428" t="s">
        <v>124</v>
      </c>
      <c r="C5" s="428"/>
      <c r="D5" s="428"/>
      <c r="E5" s="428"/>
      <c r="F5" s="428"/>
      <c r="G5" s="428"/>
      <c r="H5" s="428"/>
      <c r="I5" s="428"/>
      <c r="J5" s="428"/>
      <c r="K5" s="428"/>
      <c r="L5" s="428"/>
      <c r="M5" s="428"/>
      <c r="N5" s="428"/>
      <c r="O5" s="428"/>
      <c r="P5" s="428"/>
      <c r="Q5" s="428"/>
      <c r="R5" s="428"/>
      <c r="S5" s="428"/>
      <c r="T5" s="428"/>
    </row>
  </sheetData>
  <mergeCells count="1">
    <mergeCell ref="B5:T5"/>
  </mergeCells>
  <pageMargins left="0.7" right="0.43" top="0.75" bottom="0.75" header="0.3" footer="0.3"/>
  <pageSetup paperSize="9" scale="81" fitToHeight="0" orientation="landscape" r:id="rId1"/>
  <headerFooter>
    <oddHeader>&amp;C&amp;14Sheet: &amp;A</oddHeader>
    <oddFooter>&amp;L&amp;11Group 28's Business Model&amp;C&amp;11&amp;P&amp;R&amp;11SP52/2016-BX2016</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pageSetUpPr fitToPage="1"/>
  </sheetPr>
  <dimension ref="B2:H3"/>
  <sheetViews>
    <sheetView showGridLines="0" topLeftCell="A4" zoomScale="80" zoomScaleNormal="80" workbookViewId="0">
      <selection activeCell="D21" sqref="D21"/>
    </sheetView>
  </sheetViews>
  <sheetFormatPr defaultRowHeight="12.75" x14ac:dyDescent="0.2"/>
  <sheetData>
    <row r="2" spans="2:8" ht="23.25" x14ac:dyDescent="0.3">
      <c r="B2" s="154" t="s">
        <v>123</v>
      </c>
      <c r="H2" s="392" t="s">
        <v>149</v>
      </c>
    </row>
    <row r="3" spans="2:8" ht="23.25" x14ac:dyDescent="0.3">
      <c r="B3" s="154"/>
      <c r="H3" s="392"/>
    </row>
  </sheetData>
  <pageMargins left="0.7" right="0.43" top="0.75" bottom="0.75" header="0.3" footer="0.3"/>
  <pageSetup paperSize="9" scale="83" fitToHeight="0" orientation="landscape" r:id="rId1"/>
  <headerFooter>
    <oddHeader>&amp;C&amp;14Sheet: &amp;A</oddHeader>
    <oddFooter>&amp;L&amp;11Group 28's Business Model&amp;C&amp;11&amp;P&amp;R&amp;11SP52/2016-BX2016</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pageSetUpPr fitToPage="1"/>
  </sheetPr>
  <dimension ref="B1:AK35"/>
  <sheetViews>
    <sheetView zoomScale="80" zoomScaleNormal="80" workbookViewId="0">
      <pane xSplit="2" ySplit="3" topLeftCell="U15" activePane="bottomRight" state="frozen"/>
      <selection activeCell="T16" sqref="T16"/>
      <selection pane="topRight" activeCell="T16" sqref="T16"/>
      <selection pane="bottomLeft" activeCell="T16" sqref="T16"/>
      <selection pane="bottomRight" activeCell="AD35" sqref="AD35"/>
    </sheetView>
  </sheetViews>
  <sheetFormatPr defaultRowHeight="12.75" x14ac:dyDescent="0.2"/>
  <cols>
    <col min="1" max="1" width="0" hidden="1" customWidth="1"/>
    <col min="2" max="2" width="27.7109375" customWidth="1"/>
    <col min="3" max="3" width="10.85546875" bestFit="1" customWidth="1"/>
    <col min="4" max="4" width="13" bestFit="1" customWidth="1"/>
    <col min="5" max="5" width="12.7109375" bestFit="1" customWidth="1"/>
    <col min="6" max="6" width="8.5703125" bestFit="1" customWidth="1"/>
    <col min="7" max="7" width="4.85546875" customWidth="1"/>
    <col min="8" max="8" width="24.140625" customWidth="1"/>
    <col min="9" max="9" width="27" customWidth="1"/>
    <col min="10" max="10" width="3" customWidth="1"/>
    <col min="11" max="11" width="28.28515625" customWidth="1"/>
    <col min="12" max="12" width="10.85546875" bestFit="1" customWidth="1"/>
    <col min="13" max="13" width="13" customWidth="1"/>
    <col min="14" max="14" width="12.7109375" bestFit="1" customWidth="1"/>
    <col min="15" max="15" width="9.85546875" customWidth="1"/>
    <col min="16" max="16" width="6.5703125" style="291" customWidth="1"/>
    <col min="17" max="17" width="15.5703125" customWidth="1"/>
    <col min="18" max="18" width="15.42578125" customWidth="1"/>
    <col min="19" max="20" width="12" customWidth="1"/>
    <col min="21" max="21" width="10.85546875" customWidth="1"/>
    <col min="22" max="23" width="14.42578125" customWidth="1"/>
    <col min="24" max="24" width="25.42578125" customWidth="1"/>
    <col min="25" max="25" width="13.42578125" bestFit="1" customWidth="1"/>
    <col min="26" max="26" width="18" bestFit="1" customWidth="1"/>
    <col min="27" max="27" width="18.140625" customWidth="1"/>
    <col min="28" max="28" width="13.42578125" customWidth="1"/>
    <col min="29" max="29" width="15.5703125" customWidth="1"/>
    <col min="30" max="30" width="25" customWidth="1"/>
    <col min="31" max="31" width="8.7109375" customWidth="1"/>
    <col min="32" max="32" width="22.7109375" customWidth="1"/>
    <col min="33" max="33" width="13.140625" customWidth="1"/>
    <col min="34" max="34" width="16" customWidth="1"/>
    <col min="35" max="35" width="7.85546875" customWidth="1"/>
    <col min="36" max="36" width="20" bestFit="1" customWidth="1"/>
    <col min="37" max="37" width="12.42578125" bestFit="1" customWidth="1"/>
  </cols>
  <sheetData>
    <row r="1" spans="2:23" ht="20.25" thickBot="1" x14ac:dyDescent="0.35">
      <c r="Q1" s="220" t="s">
        <v>210</v>
      </c>
    </row>
    <row r="2" spans="2:23" ht="21" thickTop="1" thickBot="1" x14ac:dyDescent="0.35">
      <c r="B2" s="220" t="s">
        <v>203</v>
      </c>
      <c r="C2" s="2"/>
      <c r="D2" s="2"/>
      <c r="E2" s="2"/>
      <c r="F2" s="2"/>
      <c r="G2" s="2"/>
      <c r="H2" s="3" t="s">
        <v>96</v>
      </c>
      <c r="I2" s="3"/>
      <c r="K2" s="213" t="s">
        <v>168</v>
      </c>
    </row>
    <row r="3" spans="2:23" ht="16.5" thickTop="1" x14ac:dyDescent="0.25">
      <c r="B3" s="23" t="s">
        <v>16</v>
      </c>
      <c r="C3" s="14" t="s">
        <v>2</v>
      </c>
      <c r="D3" s="14" t="s">
        <v>3</v>
      </c>
      <c r="E3" s="14" t="s">
        <v>4</v>
      </c>
      <c r="F3" s="15" t="s">
        <v>5</v>
      </c>
      <c r="H3" s="54" t="s">
        <v>16</v>
      </c>
      <c r="I3" s="55" t="s">
        <v>93</v>
      </c>
      <c r="K3" s="23" t="s">
        <v>16</v>
      </c>
      <c r="L3" s="14" t="s">
        <v>2</v>
      </c>
      <c r="M3" s="14" t="s">
        <v>3</v>
      </c>
      <c r="N3" s="14" t="s">
        <v>4</v>
      </c>
      <c r="O3" s="15" t="s">
        <v>5</v>
      </c>
      <c r="P3" s="189"/>
    </row>
    <row r="4" spans="2:23" ht="15.75" x14ac:dyDescent="0.25">
      <c r="B4" s="32" t="s">
        <v>17</v>
      </c>
      <c r="C4" s="30">
        <v>19</v>
      </c>
      <c r="D4" s="30">
        <v>23</v>
      </c>
      <c r="E4" s="30">
        <v>18</v>
      </c>
      <c r="F4" s="31">
        <v>15</v>
      </c>
      <c r="H4" s="32" t="s">
        <v>17</v>
      </c>
      <c r="I4" s="29">
        <v>635</v>
      </c>
      <c r="K4" s="32" t="s">
        <v>17</v>
      </c>
      <c r="L4" s="20">
        <f>+VLOOKUP($K4,$B$4:$C$10,2,FALSE)*VLOOKUP($K4,$H$4:$I$10,2,FALSE)</f>
        <v>12065</v>
      </c>
      <c r="M4" s="20">
        <f>+VLOOKUP($K4,$B$4:$D$10,3,FALSE)*VLOOKUP($K4,$H$4:$I$10,2,FALSE)</f>
        <v>14605</v>
      </c>
      <c r="N4" s="20">
        <f>+VLOOKUP($K4,$B$4:$E$10,4,FALSE)*VLOOKUP($K4,$H$4:$I$10,2,FALSE)</f>
        <v>11430</v>
      </c>
      <c r="O4" s="20">
        <f>+VLOOKUP($K4,$B$4:$F$10,5,FALSE)*VLOOKUP($K4,$H$4:$I$10,2,FALSE)</f>
        <v>9525</v>
      </c>
      <c r="P4" s="292"/>
      <c r="Q4" s="176" t="s">
        <v>209</v>
      </c>
    </row>
    <row r="5" spans="2:23" ht="15.75" x14ac:dyDescent="0.25">
      <c r="B5" s="32" t="s">
        <v>18</v>
      </c>
      <c r="C5" s="30">
        <v>31</v>
      </c>
      <c r="D5" s="30">
        <v>26</v>
      </c>
      <c r="E5" s="30">
        <v>17</v>
      </c>
      <c r="F5" s="31">
        <v>14</v>
      </c>
      <c r="H5" s="32" t="s">
        <v>18</v>
      </c>
      <c r="I5" s="29">
        <v>550</v>
      </c>
      <c r="K5" s="32" t="s">
        <v>18</v>
      </c>
      <c r="L5" s="20">
        <f t="shared" ref="L5:L10" si="0">+VLOOKUP($K5,$B$4:$C$10,2,FALSE)*VLOOKUP($K5,$H$4:$I$10,2,FALSE)</f>
        <v>17050</v>
      </c>
      <c r="M5" s="20">
        <f t="shared" ref="M5:M10" si="1">+VLOOKUP($K5,$B$4:$D$10,3,FALSE)*VLOOKUP($K5,$H$4:$I$10,2,FALSE)</f>
        <v>14300</v>
      </c>
      <c r="N5" s="20">
        <f t="shared" ref="N5:N10" si="2">+VLOOKUP($K5,$B$4:$E$10,4,FALSE)*VLOOKUP($K5,$H$4:$I$10,2,FALSE)</f>
        <v>9350</v>
      </c>
      <c r="O5" s="186">
        <f t="shared" ref="O5:O10" si="3">+VLOOKUP($K5,$B$4:$F$10,5,FALSE)*VLOOKUP($K5,$H$4:$I$10,2,FALSE)</f>
        <v>7700</v>
      </c>
      <c r="P5" s="292"/>
      <c r="Q5" s="77" t="s">
        <v>88</v>
      </c>
      <c r="R5" s="77" t="s">
        <v>89</v>
      </c>
    </row>
    <row r="6" spans="2:23" ht="15.75" x14ac:dyDescent="0.25">
      <c r="B6" s="32" t="s">
        <v>130</v>
      </c>
      <c r="C6" s="30">
        <v>14</v>
      </c>
      <c r="D6" s="30">
        <v>13</v>
      </c>
      <c r="E6" s="30">
        <v>10</v>
      </c>
      <c r="F6" s="31">
        <v>9</v>
      </c>
      <c r="H6" s="32" t="s">
        <v>130</v>
      </c>
      <c r="I6" s="29">
        <v>660</v>
      </c>
      <c r="K6" s="32" t="s">
        <v>130</v>
      </c>
      <c r="L6" s="20">
        <f t="shared" si="0"/>
        <v>9240</v>
      </c>
      <c r="M6" s="20">
        <f t="shared" si="1"/>
        <v>8580</v>
      </c>
      <c r="N6" s="20">
        <f t="shared" si="2"/>
        <v>6600</v>
      </c>
      <c r="O6" s="186">
        <f t="shared" si="3"/>
        <v>5940</v>
      </c>
      <c r="P6" s="292"/>
      <c r="Q6" s="77" t="s">
        <v>90</v>
      </c>
      <c r="R6" t="s">
        <v>2</v>
      </c>
      <c r="S6" t="s">
        <v>3</v>
      </c>
      <c r="T6" t="s">
        <v>4</v>
      </c>
      <c r="U6" t="s">
        <v>5</v>
      </c>
      <c r="V6" t="s">
        <v>32</v>
      </c>
    </row>
    <row r="7" spans="2:23" ht="15.75" x14ac:dyDescent="0.25">
      <c r="B7" s="32" t="s">
        <v>19</v>
      </c>
      <c r="C7" s="30">
        <v>31</v>
      </c>
      <c r="D7" s="30">
        <v>20</v>
      </c>
      <c r="E7" s="30">
        <v>19</v>
      </c>
      <c r="F7" s="31">
        <v>12</v>
      </c>
      <c r="H7" s="32" t="s">
        <v>19</v>
      </c>
      <c r="I7" s="29">
        <v>300</v>
      </c>
      <c r="K7" s="32" t="s">
        <v>19</v>
      </c>
      <c r="L7" s="20">
        <f t="shared" si="0"/>
        <v>9300</v>
      </c>
      <c r="M7" s="20">
        <f t="shared" si="1"/>
        <v>6000</v>
      </c>
      <c r="N7" s="20">
        <f t="shared" si="2"/>
        <v>5700</v>
      </c>
      <c r="O7" s="186">
        <f t="shared" si="3"/>
        <v>3600</v>
      </c>
      <c r="P7" s="292"/>
      <c r="Q7" s="78" t="s">
        <v>159</v>
      </c>
      <c r="R7" s="172">
        <v>160</v>
      </c>
      <c r="S7" s="172">
        <v>137</v>
      </c>
      <c r="T7" s="172">
        <v>98</v>
      </c>
      <c r="U7" s="172">
        <v>72</v>
      </c>
      <c r="V7" s="172">
        <v>467</v>
      </c>
      <c r="W7" s="172"/>
    </row>
    <row r="8" spans="2:23" ht="15.75" x14ac:dyDescent="0.25">
      <c r="B8" s="32" t="s">
        <v>20</v>
      </c>
      <c r="C8" s="30">
        <v>16</v>
      </c>
      <c r="D8" s="30">
        <v>15</v>
      </c>
      <c r="E8" s="30">
        <v>11</v>
      </c>
      <c r="F8" s="31">
        <v>7</v>
      </c>
      <c r="H8" s="32" t="s">
        <v>20</v>
      </c>
      <c r="I8" s="29">
        <v>490</v>
      </c>
      <c r="K8" s="32" t="s">
        <v>20</v>
      </c>
      <c r="L8" s="20">
        <f t="shared" si="0"/>
        <v>7840</v>
      </c>
      <c r="M8" s="20">
        <f t="shared" si="1"/>
        <v>7350</v>
      </c>
      <c r="N8" s="20">
        <f t="shared" si="2"/>
        <v>5390</v>
      </c>
      <c r="O8" s="186">
        <f t="shared" si="3"/>
        <v>3430</v>
      </c>
      <c r="P8" s="292"/>
      <c r="Q8" s="78" t="s">
        <v>160</v>
      </c>
      <c r="R8" s="172">
        <v>154</v>
      </c>
      <c r="S8" s="172">
        <v>139</v>
      </c>
      <c r="T8" s="172">
        <v>95</v>
      </c>
      <c r="U8" s="172">
        <v>95</v>
      </c>
      <c r="V8" s="172">
        <v>483</v>
      </c>
      <c r="W8" s="172"/>
    </row>
    <row r="9" spans="2:23" ht="15.75" x14ac:dyDescent="0.25">
      <c r="B9" s="32" t="s">
        <v>131</v>
      </c>
      <c r="C9" s="30">
        <v>24</v>
      </c>
      <c r="D9" s="30">
        <v>23</v>
      </c>
      <c r="E9" s="30">
        <v>14</v>
      </c>
      <c r="F9" s="31">
        <v>7</v>
      </c>
      <c r="H9" s="32" t="s">
        <v>131</v>
      </c>
      <c r="I9" s="29">
        <v>540</v>
      </c>
      <c r="K9" s="32" t="s">
        <v>131</v>
      </c>
      <c r="L9" s="20">
        <f t="shared" si="0"/>
        <v>12960</v>
      </c>
      <c r="M9" s="20">
        <f t="shared" si="1"/>
        <v>12420</v>
      </c>
      <c r="N9" s="20">
        <f t="shared" si="2"/>
        <v>7560</v>
      </c>
      <c r="O9" s="186">
        <f t="shared" si="3"/>
        <v>3780</v>
      </c>
      <c r="P9" s="292"/>
      <c r="Q9" s="78" t="s">
        <v>161</v>
      </c>
      <c r="R9" s="172">
        <v>193</v>
      </c>
      <c r="S9" s="172">
        <v>138</v>
      </c>
      <c r="T9" s="172">
        <v>144</v>
      </c>
      <c r="U9" s="172">
        <v>109</v>
      </c>
      <c r="V9" s="172">
        <v>584</v>
      </c>
      <c r="W9" s="172"/>
    </row>
    <row r="10" spans="2:23" ht="15.75" x14ac:dyDescent="0.25">
      <c r="B10" s="32" t="s">
        <v>132</v>
      </c>
      <c r="C10" s="30">
        <v>25</v>
      </c>
      <c r="D10" s="30">
        <v>17</v>
      </c>
      <c r="E10" s="30">
        <v>9</v>
      </c>
      <c r="F10" s="31">
        <v>8</v>
      </c>
      <c r="H10" s="32" t="s">
        <v>132</v>
      </c>
      <c r="I10" s="29">
        <v>340</v>
      </c>
      <c r="K10" s="32" t="s">
        <v>132</v>
      </c>
      <c r="L10" s="20">
        <f t="shared" si="0"/>
        <v>8500</v>
      </c>
      <c r="M10" s="20">
        <f t="shared" si="1"/>
        <v>5780</v>
      </c>
      <c r="N10" s="20">
        <f t="shared" si="2"/>
        <v>3060</v>
      </c>
      <c r="O10" s="186">
        <f t="shared" si="3"/>
        <v>2720</v>
      </c>
      <c r="P10" s="292"/>
      <c r="Q10" s="78" t="s">
        <v>32</v>
      </c>
      <c r="R10" s="172">
        <v>507</v>
      </c>
      <c r="S10" s="172">
        <v>414</v>
      </c>
      <c r="T10" s="172">
        <v>337</v>
      </c>
      <c r="U10" s="172">
        <v>276</v>
      </c>
      <c r="V10" s="172">
        <v>1534</v>
      </c>
      <c r="W10" s="172"/>
    </row>
    <row r="13" spans="2:23" ht="20.25" thickBot="1" x14ac:dyDescent="0.35">
      <c r="B13" s="220" t="s">
        <v>133</v>
      </c>
      <c r="C13" s="2"/>
      <c r="D13" s="2"/>
      <c r="E13" s="2"/>
      <c r="F13" s="2"/>
      <c r="K13" s="213" t="s">
        <v>169</v>
      </c>
    </row>
    <row r="14" spans="2:23" ht="16.5" thickTop="1" x14ac:dyDescent="0.25">
      <c r="B14" s="23" t="s">
        <v>16</v>
      </c>
      <c r="C14" s="14" t="s">
        <v>2</v>
      </c>
      <c r="D14" s="14" t="s">
        <v>3</v>
      </c>
      <c r="E14" s="14" t="s">
        <v>4</v>
      </c>
      <c r="F14" s="15" t="s">
        <v>5</v>
      </c>
      <c r="K14" s="23" t="s">
        <v>16</v>
      </c>
      <c r="L14" s="14" t="s">
        <v>2</v>
      </c>
      <c r="M14" s="14" t="s">
        <v>3</v>
      </c>
      <c r="N14" s="14" t="s">
        <v>4</v>
      </c>
      <c r="O14" s="15" t="s">
        <v>5</v>
      </c>
      <c r="P14" s="189"/>
    </row>
    <row r="15" spans="2:23" ht="15.75" x14ac:dyDescent="0.25">
      <c r="B15" s="32" t="s">
        <v>17</v>
      </c>
      <c r="C15" s="30">
        <v>24</v>
      </c>
      <c r="D15" s="30">
        <v>25</v>
      </c>
      <c r="E15" s="30">
        <v>15</v>
      </c>
      <c r="F15" s="31">
        <v>13</v>
      </c>
      <c r="K15" s="32" t="s">
        <v>17</v>
      </c>
      <c r="L15" s="20">
        <f>+VLOOKUP($K15,$B$15:$C$21,2,FALSE)*VLOOKUP($K15,$H$4:$I$10,2,FALSE)</f>
        <v>15240</v>
      </c>
      <c r="M15" s="20">
        <f>+VLOOKUP($K15,$B$15:$D$21,3,FALSE)*VLOOKUP($K15,$H$4:$I$10,2,FALSE)</f>
        <v>15875</v>
      </c>
      <c r="N15" s="20">
        <f>+VLOOKUP($K15,$B$15:$E$21,4,FALSE)*VLOOKUP($K15,$H$4:$I$10,2,FALSE)</f>
        <v>9525</v>
      </c>
      <c r="O15" s="186">
        <f>+VLOOKUP($K15,$B$15:$F$21,5,FALSE)*VLOOKUP($K15,$H$4:$I$10,2,FALSE)</f>
        <v>8255</v>
      </c>
      <c r="P15" s="292"/>
      <c r="Q15" s="176" t="s">
        <v>208</v>
      </c>
    </row>
    <row r="16" spans="2:23" ht="15.75" x14ac:dyDescent="0.25">
      <c r="B16" s="32" t="s">
        <v>18</v>
      </c>
      <c r="C16" s="30">
        <v>30</v>
      </c>
      <c r="D16" s="30">
        <v>26</v>
      </c>
      <c r="E16" s="30">
        <v>16</v>
      </c>
      <c r="F16" s="31">
        <v>14</v>
      </c>
      <c r="K16" s="32" t="s">
        <v>18</v>
      </c>
      <c r="L16" s="20">
        <f t="shared" ref="L16:L21" si="4">+VLOOKUP($K16,$B$15:$C$21,2,FALSE)*VLOOKUP($K16,$H$4:$I$10,2,FALSE)</f>
        <v>16500</v>
      </c>
      <c r="M16" s="20">
        <f t="shared" ref="M16:M21" si="5">+VLOOKUP($K16,$B$15:$D$21,3,FALSE)*VLOOKUP($K16,$H$4:$I$10,2,FALSE)</f>
        <v>14300</v>
      </c>
      <c r="N16" s="20">
        <f t="shared" ref="N16:N21" si="6">+VLOOKUP($K16,$B$15:$E$21,4,FALSE)*VLOOKUP($K16,$H$4:$I$10,2,FALSE)</f>
        <v>8800</v>
      </c>
      <c r="O16" s="186">
        <f t="shared" ref="O16:O21" si="7">+VLOOKUP($K16,$B$15:$F$21,5,FALSE)*VLOOKUP($K16,$H$4:$I$10,2,FALSE)</f>
        <v>7700</v>
      </c>
      <c r="P16" s="292"/>
      <c r="Q16" s="77" t="s">
        <v>158</v>
      </c>
      <c r="R16" t="s">
        <v>31</v>
      </c>
    </row>
    <row r="17" spans="2:37" ht="15.75" x14ac:dyDescent="0.25">
      <c r="B17" s="32" t="s">
        <v>130</v>
      </c>
      <c r="C17" s="30">
        <v>10</v>
      </c>
      <c r="D17" s="30">
        <v>12</v>
      </c>
      <c r="E17" s="30">
        <v>9</v>
      </c>
      <c r="F17" s="31">
        <v>8</v>
      </c>
      <c r="K17" s="32" t="s">
        <v>130</v>
      </c>
      <c r="L17" s="20">
        <f t="shared" si="4"/>
        <v>6600</v>
      </c>
      <c r="M17" s="20">
        <f t="shared" si="5"/>
        <v>7920</v>
      </c>
      <c r="N17" s="20">
        <f t="shared" si="6"/>
        <v>5940</v>
      </c>
      <c r="O17" s="186">
        <f t="shared" si="7"/>
        <v>5280</v>
      </c>
      <c r="P17" s="292"/>
      <c r="AC17" s="176" t="s">
        <v>208</v>
      </c>
    </row>
    <row r="18" spans="2:37" ht="15.75" x14ac:dyDescent="0.25">
      <c r="B18" s="32" t="s">
        <v>19</v>
      </c>
      <c r="C18" s="30">
        <v>24</v>
      </c>
      <c r="D18" s="30">
        <v>18</v>
      </c>
      <c r="E18" s="30">
        <v>14</v>
      </c>
      <c r="F18" s="31">
        <v>19</v>
      </c>
      <c r="K18" s="32" t="s">
        <v>19</v>
      </c>
      <c r="L18" s="20">
        <f t="shared" si="4"/>
        <v>7200</v>
      </c>
      <c r="M18" s="20">
        <f t="shared" si="5"/>
        <v>5400</v>
      </c>
      <c r="N18" s="20">
        <f t="shared" si="6"/>
        <v>4200</v>
      </c>
      <c r="O18" s="186">
        <f t="shared" si="7"/>
        <v>5700</v>
      </c>
      <c r="P18" s="292"/>
      <c r="Q18" s="77" t="s">
        <v>88</v>
      </c>
      <c r="R18" s="77" t="s">
        <v>89</v>
      </c>
      <c r="AC18" s="77" t="s">
        <v>91</v>
      </c>
      <c r="AD18" t="s">
        <v>159</v>
      </c>
    </row>
    <row r="19" spans="2:37" ht="15.75" x14ac:dyDescent="0.25">
      <c r="B19" s="32" t="s">
        <v>20</v>
      </c>
      <c r="C19" s="30">
        <v>14</v>
      </c>
      <c r="D19" s="30">
        <v>12</v>
      </c>
      <c r="E19" s="30">
        <v>11</v>
      </c>
      <c r="F19" s="31">
        <v>10</v>
      </c>
      <c r="K19" s="32" t="s">
        <v>20</v>
      </c>
      <c r="L19" s="20">
        <f t="shared" si="4"/>
        <v>6860</v>
      </c>
      <c r="M19" s="20">
        <f t="shared" si="5"/>
        <v>5880</v>
      </c>
      <c r="N19" s="20">
        <f t="shared" si="6"/>
        <v>5390</v>
      </c>
      <c r="O19" s="186">
        <f t="shared" si="7"/>
        <v>4900</v>
      </c>
      <c r="P19" s="292"/>
      <c r="Q19" s="77" t="s">
        <v>90</v>
      </c>
      <c r="R19" t="s">
        <v>2</v>
      </c>
      <c r="S19" t="s">
        <v>3</v>
      </c>
      <c r="T19" t="s">
        <v>4</v>
      </c>
      <c r="U19" t="s">
        <v>5</v>
      </c>
      <c r="V19" t="s">
        <v>32</v>
      </c>
    </row>
    <row r="20" spans="2:37" ht="15.75" x14ac:dyDescent="0.25">
      <c r="B20" s="32" t="s">
        <v>131</v>
      </c>
      <c r="C20" s="30">
        <v>27</v>
      </c>
      <c r="D20" s="30">
        <v>25</v>
      </c>
      <c r="E20" s="30">
        <v>13</v>
      </c>
      <c r="F20" s="31">
        <v>15</v>
      </c>
      <c r="K20" s="32" t="s">
        <v>131</v>
      </c>
      <c r="L20" s="20">
        <f t="shared" si="4"/>
        <v>14580</v>
      </c>
      <c r="M20" s="20">
        <f t="shared" si="5"/>
        <v>13500</v>
      </c>
      <c r="N20" s="20">
        <f t="shared" si="6"/>
        <v>7020</v>
      </c>
      <c r="O20" s="186">
        <f t="shared" si="7"/>
        <v>8100</v>
      </c>
      <c r="P20" s="292"/>
      <c r="Q20" s="78" t="s">
        <v>159</v>
      </c>
      <c r="R20" s="223">
        <v>76955</v>
      </c>
      <c r="S20" s="223">
        <v>69035</v>
      </c>
      <c r="T20" s="223">
        <v>49090</v>
      </c>
      <c r="U20" s="223">
        <v>36695</v>
      </c>
      <c r="V20" s="223">
        <v>231775</v>
      </c>
      <c r="W20" s="223"/>
      <c r="AC20" s="77" t="s">
        <v>88</v>
      </c>
      <c r="AD20" s="77" t="s">
        <v>89</v>
      </c>
    </row>
    <row r="21" spans="2:37" ht="15.75" x14ac:dyDescent="0.25">
      <c r="B21" s="32" t="s">
        <v>132</v>
      </c>
      <c r="C21" s="30">
        <v>25</v>
      </c>
      <c r="D21" s="30">
        <v>21</v>
      </c>
      <c r="E21" s="30">
        <v>17</v>
      </c>
      <c r="F21" s="31">
        <v>16</v>
      </c>
      <c r="K21" s="32" t="s">
        <v>132</v>
      </c>
      <c r="L21" s="20">
        <f t="shared" si="4"/>
        <v>8500</v>
      </c>
      <c r="M21" s="20">
        <f t="shared" si="5"/>
        <v>7140</v>
      </c>
      <c r="N21" s="20">
        <f t="shared" si="6"/>
        <v>5780</v>
      </c>
      <c r="O21" s="186">
        <f t="shared" si="7"/>
        <v>5440</v>
      </c>
      <c r="P21" s="292"/>
      <c r="Q21" s="78" t="s">
        <v>160</v>
      </c>
      <c r="R21" s="223">
        <v>75480</v>
      </c>
      <c r="S21" s="223">
        <v>70015</v>
      </c>
      <c r="T21" s="223">
        <v>46655</v>
      </c>
      <c r="U21" s="223">
        <v>45375</v>
      </c>
      <c r="V21" s="223">
        <v>237525</v>
      </c>
      <c r="W21" s="223"/>
      <c r="AC21" s="77" t="s">
        <v>90</v>
      </c>
      <c r="AD21" t="s">
        <v>130</v>
      </c>
      <c r="AE21" t="s">
        <v>18</v>
      </c>
      <c r="AF21" t="s">
        <v>132</v>
      </c>
      <c r="AG21" t="s">
        <v>19</v>
      </c>
      <c r="AH21" t="s">
        <v>131</v>
      </c>
      <c r="AI21" t="s">
        <v>20</v>
      </c>
      <c r="AJ21" t="s">
        <v>17</v>
      </c>
      <c r="AK21" t="s">
        <v>32</v>
      </c>
    </row>
    <row r="22" spans="2:37" x14ac:dyDescent="0.2">
      <c r="M22" s="184"/>
      <c r="Q22" s="78" t="s">
        <v>161</v>
      </c>
      <c r="R22" s="223">
        <v>95280</v>
      </c>
      <c r="S22" s="223">
        <v>69260</v>
      </c>
      <c r="T22" s="223">
        <v>68755</v>
      </c>
      <c r="U22" s="223">
        <v>52395</v>
      </c>
      <c r="V22" s="223">
        <v>285690</v>
      </c>
      <c r="W22" s="223"/>
      <c r="AC22" s="78" t="s">
        <v>2</v>
      </c>
      <c r="AD22" s="133">
        <v>0.12007017087908518</v>
      </c>
      <c r="AE22" s="133">
        <v>0.22155805340783574</v>
      </c>
      <c r="AF22" s="133">
        <v>0.11045416152296797</v>
      </c>
      <c r="AG22" s="133">
        <v>0.12084984731336496</v>
      </c>
      <c r="AH22" s="133">
        <v>0.16841010980443116</v>
      </c>
      <c r="AI22" s="133">
        <v>0.10187772074589045</v>
      </c>
      <c r="AJ22" s="133">
        <v>0.15677993632642453</v>
      </c>
      <c r="AK22" s="133">
        <v>1</v>
      </c>
    </row>
    <row r="23" spans="2:37" x14ac:dyDescent="0.2">
      <c r="Q23" s="78" t="s">
        <v>32</v>
      </c>
      <c r="R23" s="223">
        <v>247715</v>
      </c>
      <c r="S23" s="223">
        <v>208310</v>
      </c>
      <c r="T23" s="223">
        <v>164500</v>
      </c>
      <c r="U23" s="223">
        <v>134465</v>
      </c>
      <c r="V23" s="223">
        <v>754990</v>
      </c>
      <c r="W23" s="223"/>
      <c r="AC23" s="78" t="s">
        <v>3</v>
      </c>
      <c r="AD23" s="133">
        <v>0.12428478308104585</v>
      </c>
      <c r="AE23" s="133">
        <v>0.20714130513507642</v>
      </c>
      <c r="AF23" s="133">
        <v>8.3725646411240681E-2</v>
      </c>
      <c r="AG23" s="133">
        <v>8.691243572101108E-2</v>
      </c>
      <c r="AH23" s="133">
        <v>0.17990874194249293</v>
      </c>
      <c r="AI23" s="133">
        <v>0.10646773375823858</v>
      </c>
      <c r="AJ23" s="133">
        <v>0.21155935395089448</v>
      </c>
      <c r="AK23" s="133">
        <v>1</v>
      </c>
    </row>
    <row r="24" spans="2:37" ht="20.25" thickBot="1" x14ac:dyDescent="0.35">
      <c r="B24" s="220" t="s">
        <v>134</v>
      </c>
      <c r="C24" s="2"/>
      <c r="D24" s="2"/>
      <c r="E24" s="2"/>
      <c r="F24" s="2"/>
      <c r="K24" s="213" t="s">
        <v>170</v>
      </c>
      <c r="AC24" s="78" t="s">
        <v>4</v>
      </c>
      <c r="AD24" s="133">
        <v>0.13444693420248524</v>
      </c>
      <c r="AE24" s="133">
        <v>0.1904664901201874</v>
      </c>
      <c r="AF24" s="133">
        <v>6.23344876756977E-2</v>
      </c>
      <c r="AG24" s="133">
        <v>0.1161132613566918</v>
      </c>
      <c r="AH24" s="133">
        <v>0.15400285190466489</v>
      </c>
      <c r="AI24" s="133">
        <v>0.10979832959869627</v>
      </c>
      <c r="AJ24" s="133">
        <v>0.2328376451415767</v>
      </c>
      <c r="AK24" s="133">
        <v>1</v>
      </c>
    </row>
    <row r="25" spans="2:37" ht="16.5" thickTop="1" x14ac:dyDescent="0.25">
      <c r="B25" s="23" t="s">
        <v>16</v>
      </c>
      <c r="C25" s="14" t="s">
        <v>2</v>
      </c>
      <c r="D25" s="14" t="s">
        <v>3</v>
      </c>
      <c r="E25" s="14" t="s">
        <v>4</v>
      </c>
      <c r="F25" s="15" t="s">
        <v>5</v>
      </c>
      <c r="K25" s="23" t="s">
        <v>16</v>
      </c>
      <c r="L25" s="14" t="s">
        <v>2</v>
      </c>
      <c r="M25" s="14" t="s">
        <v>3</v>
      </c>
      <c r="N25" s="14" t="s">
        <v>4</v>
      </c>
      <c r="O25" s="15" t="s">
        <v>5</v>
      </c>
      <c r="P25" s="189"/>
      <c r="AC25" s="78" t="s">
        <v>5</v>
      </c>
      <c r="AD25" s="133">
        <v>0.16187491483853386</v>
      </c>
      <c r="AE25" s="133">
        <v>0.20983785256846982</v>
      </c>
      <c r="AF25" s="133">
        <v>7.4124540128082839E-2</v>
      </c>
      <c r="AG25" s="133">
        <v>9.8106008993050831E-2</v>
      </c>
      <c r="AH25" s="133">
        <v>0.10301130944270337</v>
      </c>
      <c r="AI25" s="133">
        <v>9.3473225235045643E-2</v>
      </c>
      <c r="AJ25" s="133">
        <v>0.25957214879411367</v>
      </c>
      <c r="AK25" s="133">
        <v>1</v>
      </c>
    </row>
    <row r="26" spans="2:37" ht="15.75" x14ac:dyDescent="0.25">
      <c r="B26" s="32" t="s">
        <v>17</v>
      </c>
      <c r="C26" s="30">
        <v>28</v>
      </c>
      <c r="D26" s="30">
        <v>20</v>
      </c>
      <c r="E26" s="30">
        <v>25</v>
      </c>
      <c r="F26" s="31">
        <v>13</v>
      </c>
      <c r="K26" s="32" t="s">
        <v>17</v>
      </c>
      <c r="L26" s="20">
        <f>+VLOOKUP($K26,$B$26:$C$32,2,FALSE)*VLOOKUP($K26,$H$4:$I$10,2,FALSE)</f>
        <v>17780</v>
      </c>
      <c r="M26" s="20">
        <f>+VLOOKUP($K26,$B$26:$D$32,3,FALSE)*VLOOKUP($K26,$H$4:$I$10,2,FALSE)</f>
        <v>12700</v>
      </c>
      <c r="N26" s="20">
        <f>+VLOOKUP($K26,$B$26:$E$32,4,FALSE)*VLOOKUP($K26,$H$4:$I$10,2,FALSE)</f>
        <v>15875</v>
      </c>
      <c r="O26" s="186">
        <f>+VLOOKUP($K26,$B$26:$F$32,5,FALSE)*VLOOKUP($K26,$H$4:$I$10,2,FALSE)</f>
        <v>8255</v>
      </c>
      <c r="P26" s="292"/>
      <c r="X26" s="177"/>
      <c r="Y26" s="177"/>
      <c r="Z26" s="177"/>
      <c r="AA26" s="177"/>
      <c r="AB26" s="177"/>
      <c r="AC26" s="78" t="s">
        <v>32</v>
      </c>
      <c r="AD26" s="133">
        <v>0.13098910581382806</v>
      </c>
      <c r="AE26" s="133">
        <v>0.20882321216697228</v>
      </c>
      <c r="AF26" s="133">
        <v>8.6549455290691399E-2</v>
      </c>
      <c r="AG26" s="133">
        <v>0.10613741775428756</v>
      </c>
      <c r="AH26" s="133">
        <v>0.1584295113795707</v>
      </c>
      <c r="AI26" s="133">
        <v>0.10359184553985547</v>
      </c>
      <c r="AJ26" s="133">
        <v>0.20547945205479451</v>
      </c>
      <c r="AK26" s="133">
        <v>1</v>
      </c>
    </row>
    <row r="27" spans="2:37" ht="15.75" x14ac:dyDescent="0.25">
      <c r="B27" s="32" t="s">
        <v>18</v>
      </c>
      <c r="C27" s="30">
        <v>35</v>
      </c>
      <c r="D27" s="30">
        <v>20</v>
      </c>
      <c r="E27" s="30">
        <v>22</v>
      </c>
      <c r="F27" s="31">
        <v>23</v>
      </c>
      <c r="K27" s="32" t="s">
        <v>18</v>
      </c>
      <c r="L27" s="20">
        <f t="shared" ref="L27:L32" si="8">+VLOOKUP($K27,$B$26:$C$32,2,FALSE)*VLOOKUP($K27,$H$4:$I$10,2,FALSE)</f>
        <v>19250</v>
      </c>
      <c r="M27" s="20">
        <f t="shared" ref="M27:M32" si="9">+VLOOKUP($K27,$B$26:$D$32,3,FALSE)*VLOOKUP($K27,$H$4:$I$10,2,FALSE)</f>
        <v>11000</v>
      </c>
      <c r="N27" s="20">
        <f t="shared" ref="N27:N32" si="10">+VLOOKUP($K27,$B$26:$E$32,4,FALSE)*VLOOKUP($K27,$H$4:$I$10,2,FALSE)</f>
        <v>12100</v>
      </c>
      <c r="O27" s="186">
        <f t="shared" ref="O27:O32" si="11">+VLOOKUP($K27,$B$26:$F$32,5,FALSE)*VLOOKUP($K27,$H$4:$I$10,2,FALSE)</f>
        <v>12650</v>
      </c>
      <c r="P27" s="292"/>
      <c r="X27" s="177"/>
      <c r="Y27" s="177"/>
      <c r="Z27" s="177"/>
      <c r="AA27" s="177"/>
      <c r="AB27" s="177"/>
    </row>
    <row r="28" spans="2:37" ht="16.5" thickBot="1" x14ac:dyDescent="0.3">
      <c r="B28" s="32" t="s">
        <v>130</v>
      </c>
      <c r="C28" s="30">
        <v>14</v>
      </c>
      <c r="D28" s="30">
        <v>19</v>
      </c>
      <c r="E28" s="30">
        <v>6</v>
      </c>
      <c r="F28" s="31">
        <v>5</v>
      </c>
      <c r="K28" s="32" t="s">
        <v>130</v>
      </c>
      <c r="L28" s="20">
        <f t="shared" si="8"/>
        <v>9240</v>
      </c>
      <c r="M28" s="20">
        <f t="shared" si="9"/>
        <v>12540</v>
      </c>
      <c r="N28" s="20">
        <f t="shared" si="10"/>
        <v>3960</v>
      </c>
      <c r="O28" s="186">
        <f t="shared" si="11"/>
        <v>3300</v>
      </c>
      <c r="P28" s="292"/>
      <c r="Q28" s="176" t="s">
        <v>207</v>
      </c>
    </row>
    <row r="29" spans="2:37" ht="15.75" x14ac:dyDescent="0.25">
      <c r="B29" s="32" t="s">
        <v>19</v>
      </c>
      <c r="C29" s="30">
        <v>32</v>
      </c>
      <c r="D29" s="30">
        <v>26</v>
      </c>
      <c r="E29" s="30">
        <v>28</v>
      </c>
      <c r="F29" s="31">
        <v>17</v>
      </c>
      <c r="K29" s="32" t="s">
        <v>19</v>
      </c>
      <c r="L29" s="20">
        <f t="shared" si="8"/>
        <v>9600</v>
      </c>
      <c r="M29" s="20">
        <f t="shared" si="9"/>
        <v>7800</v>
      </c>
      <c r="N29" s="20">
        <f t="shared" si="10"/>
        <v>8400</v>
      </c>
      <c r="O29" s="186">
        <f t="shared" si="11"/>
        <v>5100</v>
      </c>
      <c r="P29" s="292"/>
      <c r="Q29" s="293" t="s">
        <v>206</v>
      </c>
      <c r="R29" s="294" t="s">
        <v>2</v>
      </c>
      <c r="S29" s="294" t="s">
        <v>3</v>
      </c>
      <c r="T29" s="294" t="s">
        <v>4</v>
      </c>
      <c r="U29" s="294" t="s">
        <v>5</v>
      </c>
      <c r="V29" s="295" t="s">
        <v>32</v>
      </c>
      <c r="W29" s="296"/>
      <c r="X29" s="177"/>
      <c r="Y29" s="177"/>
      <c r="Z29" s="177"/>
      <c r="AA29" s="177"/>
    </row>
    <row r="30" spans="2:37" ht="15.75" x14ac:dyDescent="0.25">
      <c r="B30" s="32" t="s">
        <v>20</v>
      </c>
      <c r="C30" s="30">
        <v>27</v>
      </c>
      <c r="D30" s="30">
        <v>12</v>
      </c>
      <c r="E30" s="30">
        <v>16</v>
      </c>
      <c r="F30" s="31">
        <v>17</v>
      </c>
      <c r="K30" s="32" t="s">
        <v>20</v>
      </c>
      <c r="L30" s="20">
        <f t="shared" si="8"/>
        <v>13230</v>
      </c>
      <c r="M30" s="20">
        <f t="shared" si="9"/>
        <v>5880</v>
      </c>
      <c r="N30" s="20">
        <f t="shared" si="10"/>
        <v>7840</v>
      </c>
      <c r="O30" s="186">
        <f t="shared" si="11"/>
        <v>8330</v>
      </c>
      <c r="P30" s="292"/>
      <c r="Q30" s="235">
        <v>2012</v>
      </c>
      <c r="R30" s="296">
        <f>+GETPIVOTDATA("Value",$Q$18,"Column","Brisbane","Page1","2012")/GETPIVOTDATA("Value",$Q$5,"Column","Brisbane","Page1","2012")</f>
        <v>480.96875</v>
      </c>
      <c r="S30" s="296">
        <f>+GETPIVOTDATA("Value",$Q$18,"Column","Gold Coast","Page1","2012")/GETPIVOTDATA("Value",$Q$5,"Column","Gold Coast","Page1","2012")</f>
        <v>503.90510948905109</v>
      </c>
      <c r="T30" s="296">
        <f>+GETPIVOTDATA("Value",$Q$18,"Column","Townsville","Page1","2012")/GETPIVOTDATA("Value",$Q$5,"Column","Townsville","Page1","2012")</f>
        <v>500.91836734693879</v>
      </c>
      <c r="U30" s="296">
        <f>+GETPIVOTDATA("Value",$Q$18,"Column","Cairns","Page1","2012")/GETPIVOTDATA("Value",$Q$5,"Column","Cairns","Page1","2012")</f>
        <v>509.65277777777777</v>
      </c>
      <c r="V30" s="297">
        <f>+GETPIVOTDATA("Value",$Q$18,"Page1","2012")/GETPIVOTDATA("Value",$Q$5,"Page1","2012")</f>
        <v>496.30620985010705</v>
      </c>
      <c r="W30" s="296"/>
      <c r="X30" s="177"/>
      <c r="Y30" s="177"/>
      <c r="Z30" s="177"/>
      <c r="AA30" s="177"/>
    </row>
    <row r="31" spans="2:37" ht="15.75" x14ac:dyDescent="0.25">
      <c r="B31" s="32" t="s">
        <v>131</v>
      </c>
      <c r="C31" s="30">
        <v>34</v>
      </c>
      <c r="D31" s="30">
        <v>27</v>
      </c>
      <c r="E31" s="30">
        <v>23</v>
      </c>
      <c r="F31" s="31">
        <v>16</v>
      </c>
      <c r="K31" s="32" t="s">
        <v>131</v>
      </c>
      <c r="L31" s="20">
        <f t="shared" si="8"/>
        <v>18360</v>
      </c>
      <c r="M31" s="20">
        <f t="shared" si="9"/>
        <v>14580</v>
      </c>
      <c r="N31" s="20">
        <f t="shared" si="10"/>
        <v>12420</v>
      </c>
      <c r="O31" s="186">
        <f t="shared" si="11"/>
        <v>8640</v>
      </c>
      <c r="P31" s="292"/>
      <c r="Q31" s="235">
        <v>2013</v>
      </c>
      <c r="R31" s="296">
        <f>+GETPIVOTDATA("Value",$Q$18,"Column","Brisbane","Page1","2013")/GETPIVOTDATA("Value",$Q$5,"Column","Brisbane","Page1","2013")</f>
        <v>490.12987012987014</v>
      </c>
      <c r="S31" s="296">
        <f>+GETPIVOTDATA("Value",$Q$18,"Column","Gold Coast","Page1","2013")/GETPIVOTDATA("Value",$Q$5,"Column","Gold Coast","Page1","2013")</f>
        <v>503.70503597122303</v>
      </c>
      <c r="T31" s="296">
        <f>+GETPIVOTDATA("Value",$Q$18,"Column","Townsville","Page1","2013")/GETPIVOTDATA("Value",$Q$5,"Column","Townsville","Page1","2013")</f>
        <v>491.10526315789474</v>
      </c>
      <c r="U31" s="296">
        <f>+GETPIVOTDATA("Value",$Q$18,"Column","Cairns","Page1","2013")/GETPIVOTDATA("Value",$Q$5,"Column","Cairns","Page1","2013")</f>
        <v>477.63157894736844</v>
      </c>
      <c r="V31" s="297">
        <f>+GETPIVOTDATA("Value",$Q$18,"Page1","2013")/GETPIVOTDATA("Value",$Q$5,"Page1","2013")</f>
        <v>491.77018633540371</v>
      </c>
      <c r="W31" s="296"/>
      <c r="X31" s="177"/>
      <c r="Y31" s="177"/>
      <c r="Z31" s="177"/>
      <c r="AA31" s="177"/>
    </row>
    <row r="32" spans="2:37" ht="16.5" thickBot="1" x14ac:dyDescent="0.3">
      <c r="B32" s="32" t="s">
        <v>132</v>
      </c>
      <c r="C32" s="30">
        <v>23</v>
      </c>
      <c r="D32" s="30">
        <v>14</v>
      </c>
      <c r="E32" s="30">
        <v>24</v>
      </c>
      <c r="F32" s="31">
        <v>18</v>
      </c>
      <c r="K32" s="32" t="s">
        <v>132</v>
      </c>
      <c r="L32" s="20">
        <f t="shared" si="8"/>
        <v>7820</v>
      </c>
      <c r="M32" s="20">
        <f t="shared" si="9"/>
        <v>4760</v>
      </c>
      <c r="N32" s="20">
        <f t="shared" si="10"/>
        <v>8160</v>
      </c>
      <c r="O32" s="186">
        <f t="shared" si="11"/>
        <v>6120</v>
      </c>
      <c r="P32" s="292"/>
      <c r="Q32" s="240">
        <v>2014</v>
      </c>
      <c r="R32" s="298">
        <f>+GETPIVOTDATA("Value",$Q$18,"Column","Brisbane","Page1","2014")/GETPIVOTDATA("Value",$Q$5,"Column","Brisbane","Page1","2014")</f>
        <v>493.67875647668393</v>
      </c>
      <c r="S32" s="298">
        <f>+GETPIVOTDATA("Value",$Q$18,"Column","Gold Coast","Page1","2014")/GETPIVOTDATA("Value",$Q$5,"Column","Gold Coast","Page1","2014")</f>
        <v>501.8840579710145</v>
      </c>
      <c r="T32" s="298">
        <f>+GETPIVOTDATA("Value",$Q$18,"Column","Townsville","Page1","2014")/GETPIVOTDATA("Value",$Q$5,"Column","Townsville","Page1","2014")</f>
        <v>477.46527777777777</v>
      </c>
      <c r="U32" s="298">
        <f>+GETPIVOTDATA("Value",$Q$18,"Column","Cairns","Page1","2014")/GETPIVOTDATA("Value",$Q$5,"Column","Cairns","Page1","2014")</f>
        <v>480.6880733944954</v>
      </c>
      <c r="V32" s="299">
        <f>+GETPIVOTDATA("Value",$Q$18,"Page1","2014")/GETPIVOTDATA("Value",$Q$5,"Page1","2014")</f>
        <v>489.19520547945206</v>
      </c>
      <c r="W32" s="296"/>
    </row>
    <row r="33" spans="3:21" x14ac:dyDescent="0.2">
      <c r="C33">
        <f>+SUM(C26:C32)</f>
        <v>193</v>
      </c>
      <c r="D33">
        <f t="shared" ref="D33:F33" si="12">+SUM(D26:D32)</f>
        <v>138</v>
      </c>
      <c r="E33">
        <f t="shared" si="12"/>
        <v>144</v>
      </c>
      <c r="F33">
        <f t="shared" si="12"/>
        <v>109</v>
      </c>
    </row>
    <row r="34" spans="3:21" x14ac:dyDescent="0.2">
      <c r="R34" s="178"/>
      <c r="S34" s="178"/>
      <c r="T34" s="178"/>
      <c r="U34" s="178"/>
    </row>
    <row r="35" spans="3:21" x14ac:dyDescent="0.2">
      <c r="R35" s="178"/>
      <c r="T35" s="178"/>
      <c r="U35" s="178"/>
    </row>
  </sheetData>
  <phoneticPr fontId="13" type="noConversion"/>
  <pageMargins left="0.7" right="0.43" top="0.75" bottom="0.75" header="0.3" footer="0.3"/>
  <pageSetup paperSize="9" scale="66" orientation="landscape" r:id="rId4"/>
  <headerFooter>
    <oddHeader>&amp;C&amp;14Sheet: &amp;A</oddHeader>
    <oddFooter>&amp;L&amp;11Group 28's Business Model&amp;C&amp;11&amp;P&amp;R&amp;11SP52/2016-BX2016</oddFooter>
  </headerFooter>
  <drawing r:id="rId5"/>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B2:I62"/>
  <sheetViews>
    <sheetView zoomScale="80" zoomScaleNormal="80" workbookViewId="0">
      <pane xSplit="2" ySplit="3" topLeftCell="C47" activePane="bottomRight" state="frozen"/>
      <selection activeCell="D21" sqref="D21"/>
      <selection pane="topRight" activeCell="D21" sqref="D21"/>
      <selection pane="bottomLeft" activeCell="D21" sqref="D21"/>
      <selection pane="bottomRight" activeCell="I69" sqref="I69"/>
    </sheetView>
  </sheetViews>
  <sheetFormatPr defaultRowHeight="12.75" x14ac:dyDescent="0.2"/>
  <cols>
    <col min="2" max="2" width="19.7109375" customWidth="1"/>
    <col min="3" max="3" width="15.28515625" customWidth="1"/>
    <col min="4" max="7" width="14.7109375" customWidth="1"/>
    <col min="8" max="12" width="12.7109375" customWidth="1"/>
  </cols>
  <sheetData>
    <row r="2" spans="2:9" ht="19.5" thickBot="1" x14ac:dyDescent="0.35">
      <c r="B2" s="4" t="s">
        <v>0</v>
      </c>
      <c r="C2" s="5"/>
      <c r="D2" s="1"/>
      <c r="E2" s="1"/>
      <c r="F2" s="1"/>
    </row>
    <row r="3" spans="2:9" ht="15.75" x14ac:dyDescent="0.25">
      <c r="B3" s="13" t="s">
        <v>1</v>
      </c>
      <c r="C3" s="14" t="s">
        <v>2</v>
      </c>
      <c r="D3" s="14" t="s">
        <v>3</v>
      </c>
      <c r="E3" s="14" t="s">
        <v>4</v>
      </c>
      <c r="F3" s="15" t="s">
        <v>5</v>
      </c>
    </row>
    <row r="4" spans="2:9" ht="15.75" x14ac:dyDescent="0.25">
      <c r="B4" s="16" t="s">
        <v>6</v>
      </c>
      <c r="C4" s="9">
        <v>1</v>
      </c>
      <c r="D4" s="9">
        <v>1</v>
      </c>
      <c r="E4" s="9">
        <v>1</v>
      </c>
      <c r="F4" s="10">
        <v>1</v>
      </c>
    </row>
    <row r="5" spans="2:9" ht="15.75" x14ac:dyDescent="0.25">
      <c r="B5" s="16" t="s">
        <v>7</v>
      </c>
      <c r="C5" s="9">
        <v>2</v>
      </c>
      <c r="D5" s="9">
        <v>2</v>
      </c>
      <c r="E5" s="9">
        <v>1</v>
      </c>
      <c r="F5" s="10">
        <v>1</v>
      </c>
    </row>
    <row r="6" spans="2:9" ht="16.5" thickBot="1" x14ac:dyDescent="0.3">
      <c r="B6" s="17" t="s">
        <v>8</v>
      </c>
      <c r="C6" s="11">
        <v>10</v>
      </c>
      <c r="D6" s="11">
        <v>9</v>
      </c>
      <c r="E6" s="11">
        <v>5</v>
      </c>
      <c r="F6" s="12">
        <v>4</v>
      </c>
    </row>
    <row r="9" spans="2:9" ht="18.75" x14ac:dyDescent="0.3">
      <c r="B9" s="3" t="s">
        <v>9</v>
      </c>
      <c r="C9" s="3"/>
      <c r="D9" s="3"/>
      <c r="E9" s="3"/>
      <c r="F9" s="2"/>
      <c r="G9" s="2"/>
    </row>
    <row r="10" spans="2:9" ht="16.5" thickBot="1" x14ac:dyDescent="0.3">
      <c r="B10" s="6" t="s">
        <v>10</v>
      </c>
      <c r="C10" s="6"/>
      <c r="D10" s="6"/>
      <c r="E10" s="6"/>
      <c r="F10" s="1"/>
      <c r="G10" s="1"/>
      <c r="H10" s="1"/>
      <c r="I10" s="1"/>
    </row>
    <row r="11" spans="2:9" ht="15.75" x14ac:dyDescent="0.25">
      <c r="B11" s="13" t="s">
        <v>1</v>
      </c>
      <c r="C11" s="14">
        <v>2012</v>
      </c>
      <c r="D11" s="14">
        <v>2013</v>
      </c>
      <c r="E11" s="15">
        <v>2014</v>
      </c>
      <c r="F11" s="1"/>
      <c r="G11" s="1"/>
      <c r="H11" s="1"/>
      <c r="I11" s="1"/>
    </row>
    <row r="12" spans="2:9" ht="15.75" x14ac:dyDescent="0.25">
      <c r="B12" s="16" t="s">
        <v>6</v>
      </c>
      <c r="C12" s="25">
        <v>75000</v>
      </c>
      <c r="D12" s="25">
        <v>78000</v>
      </c>
      <c r="E12" s="26">
        <v>80000</v>
      </c>
      <c r="F12" s="1"/>
      <c r="G12" s="1"/>
      <c r="H12" s="1"/>
      <c r="I12" s="1"/>
    </row>
    <row r="13" spans="2:9" ht="15.75" x14ac:dyDescent="0.25">
      <c r="B13" s="16" t="s">
        <v>7</v>
      </c>
      <c r="C13" s="25">
        <v>40000</v>
      </c>
      <c r="D13" s="25">
        <v>41000</v>
      </c>
      <c r="E13" s="26">
        <v>42000</v>
      </c>
      <c r="F13" s="1"/>
      <c r="G13" s="7"/>
      <c r="H13" s="1"/>
      <c r="I13" s="1"/>
    </row>
    <row r="14" spans="2:9" ht="16.5" thickBot="1" x14ac:dyDescent="0.3">
      <c r="B14" s="17" t="s">
        <v>8</v>
      </c>
      <c r="C14" s="27">
        <v>58000</v>
      </c>
      <c r="D14" s="27">
        <v>60000</v>
      </c>
      <c r="E14" s="28">
        <v>63000</v>
      </c>
      <c r="F14" s="1"/>
      <c r="G14" s="1"/>
      <c r="H14" s="1"/>
      <c r="I14" s="1"/>
    </row>
    <row r="15" spans="2:9" ht="15.75" x14ac:dyDescent="0.25">
      <c r="B15" s="1"/>
      <c r="C15" s="1"/>
      <c r="D15" s="1"/>
      <c r="E15" s="1"/>
      <c r="F15" s="1"/>
      <c r="G15" s="1"/>
      <c r="H15" s="1"/>
      <c r="I15" s="1"/>
    </row>
    <row r="16" spans="2:9" ht="15.75" x14ac:dyDescent="0.25">
      <c r="B16" s="1"/>
      <c r="C16" s="1"/>
      <c r="D16" s="1"/>
      <c r="E16" s="1"/>
      <c r="F16" s="1"/>
      <c r="G16" s="1"/>
      <c r="H16" s="1"/>
      <c r="I16" s="1"/>
    </row>
    <row r="17" spans="2:6" ht="18.75" x14ac:dyDescent="0.3">
      <c r="B17" s="3" t="s">
        <v>13</v>
      </c>
      <c r="C17" s="3"/>
      <c r="D17" s="3"/>
    </row>
    <row r="18" spans="2:6" ht="19.5" thickBot="1" x14ac:dyDescent="0.35">
      <c r="B18" s="6" t="s">
        <v>14</v>
      </c>
      <c r="C18" s="6"/>
      <c r="D18" s="2"/>
    </row>
    <row r="19" spans="2:6" ht="15.75" x14ac:dyDescent="0.25">
      <c r="B19" s="13" t="s">
        <v>11</v>
      </c>
      <c r="C19" s="14" t="s">
        <v>2</v>
      </c>
      <c r="D19" s="14" t="s">
        <v>3</v>
      </c>
      <c r="E19" s="14" t="s">
        <v>4</v>
      </c>
      <c r="F19" s="15" t="s">
        <v>5</v>
      </c>
    </row>
    <row r="20" spans="2:6" ht="15.75" x14ac:dyDescent="0.25">
      <c r="B20" s="82">
        <v>2012</v>
      </c>
      <c r="C20" s="25">
        <v>300000</v>
      </c>
      <c r="D20" s="25">
        <v>285000</v>
      </c>
      <c r="E20" s="25">
        <v>130000</v>
      </c>
      <c r="F20" s="26">
        <v>115000</v>
      </c>
    </row>
    <row r="21" spans="2:6" ht="15.75" x14ac:dyDescent="0.25">
      <c r="B21" s="82">
        <v>2013</v>
      </c>
      <c r="C21" s="25">
        <v>300000</v>
      </c>
      <c r="D21" s="25">
        <v>285000</v>
      </c>
      <c r="E21" s="25">
        <v>130000</v>
      </c>
      <c r="F21" s="26">
        <v>115000</v>
      </c>
    </row>
    <row r="22" spans="2:6" ht="16.5" thickBot="1" x14ac:dyDescent="0.3">
      <c r="B22" s="83">
        <v>2014</v>
      </c>
      <c r="C22" s="27">
        <v>300000</v>
      </c>
      <c r="D22" s="27">
        <v>285000</v>
      </c>
      <c r="E22" s="27">
        <v>130000</v>
      </c>
      <c r="F22" s="28">
        <v>115000</v>
      </c>
    </row>
    <row r="25" spans="2:6" ht="19.5" thickBot="1" x14ac:dyDescent="0.35">
      <c r="B25" s="3" t="s">
        <v>15</v>
      </c>
    </row>
    <row r="26" spans="2:6" ht="15.75" x14ac:dyDescent="0.25">
      <c r="B26" s="13" t="s">
        <v>11</v>
      </c>
      <c r="C26" s="14" t="s">
        <v>2</v>
      </c>
      <c r="D26" s="14" t="s">
        <v>3</v>
      </c>
      <c r="E26" s="14" t="s">
        <v>4</v>
      </c>
      <c r="F26" s="15" t="s">
        <v>5</v>
      </c>
    </row>
    <row r="27" spans="2:6" ht="15.75" x14ac:dyDescent="0.25">
      <c r="B27" s="82">
        <v>2012</v>
      </c>
      <c r="C27" s="25">
        <v>95000</v>
      </c>
      <c r="D27" s="25">
        <v>90000</v>
      </c>
      <c r="E27" s="25">
        <v>60000</v>
      </c>
      <c r="F27" s="26">
        <v>40000</v>
      </c>
    </row>
    <row r="28" spans="2:6" ht="15.75" x14ac:dyDescent="0.25">
      <c r="B28" s="82">
        <v>2013</v>
      </c>
      <c r="C28" s="25">
        <v>95000</v>
      </c>
      <c r="D28" s="25">
        <v>85000</v>
      </c>
      <c r="E28" s="25">
        <v>70000</v>
      </c>
      <c r="F28" s="26">
        <v>40000</v>
      </c>
    </row>
    <row r="29" spans="2:6" ht="16.5" thickBot="1" x14ac:dyDescent="0.3">
      <c r="B29" s="83">
        <v>2014</v>
      </c>
      <c r="C29" s="27">
        <v>100000</v>
      </c>
      <c r="D29" s="27">
        <v>85000</v>
      </c>
      <c r="E29" s="27">
        <v>75000</v>
      </c>
      <c r="F29" s="28">
        <v>42000</v>
      </c>
    </row>
    <row r="32" spans="2:6" ht="15.75" x14ac:dyDescent="0.25">
      <c r="B32" s="1"/>
      <c r="C32" s="1"/>
      <c r="D32" s="1"/>
      <c r="E32" s="1"/>
    </row>
    <row r="33" spans="2:6" ht="18.75" x14ac:dyDescent="0.3">
      <c r="B33" s="3" t="s">
        <v>21</v>
      </c>
      <c r="C33" s="3"/>
      <c r="D33" s="1" t="s">
        <v>22</v>
      </c>
      <c r="E33" s="1" t="s">
        <v>22</v>
      </c>
      <c r="F33" s="1"/>
    </row>
    <row r="34" spans="2:6" ht="16.5" thickBot="1" x14ac:dyDescent="0.3">
      <c r="B34" s="6" t="s">
        <v>23</v>
      </c>
      <c r="C34" s="6"/>
      <c r="D34" s="1"/>
      <c r="E34" s="1"/>
      <c r="F34" s="1"/>
    </row>
    <row r="35" spans="2:6" ht="15.75" x14ac:dyDescent="0.25">
      <c r="B35" s="23" t="s">
        <v>1</v>
      </c>
      <c r="C35" s="14" t="s">
        <v>2</v>
      </c>
      <c r="D35" s="14" t="s">
        <v>3</v>
      </c>
      <c r="E35" s="14" t="s">
        <v>4</v>
      </c>
      <c r="F35" s="15" t="s">
        <v>5</v>
      </c>
    </row>
    <row r="36" spans="2:6" ht="16.5" thickBot="1" x14ac:dyDescent="0.3">
      <c r="B36" s="24" t="s">
        <v>56</v>
      </c>
      <c r="C36" s="21">
        <v>3709</v>
      </c>
      <c r="D36" s="21">
        <v>3113</v>
      </c>
      <c r="E36" s="21">
        <v>3081</v>
      </c>
      <c r="F36" s="22">
        <v>2434</v>
      </c>
    </row>
    <row r="37" spans="2:6" ht="16.5" thickBot="1" x14ac:dyDescent="0.3">
      <c r="B37" s="24" t="s">
        <v>57</v>
      </c>
      <c r="C37" s="21">
        <v>3805</v>
      </c>
      <c r="D37" s="21">
        <v>3775</v>
      </c>
      <c r="E37" s="21">
        <v>3478</v>
      </c>
      <c r="F37" s="22">
        <v>2109</v>
      </c>
    </row>
    <row r="38" spans="2:6" ht="16.5" thickBot="1" x14ac:dyDescent="0.3">
      <c r="B38" s="24" t="s">
        <v>58</v>
      </c>
      <c r="C38" s="21">
        <v>4216</v>
      </c>
      <c r="D38" s="21">
        <v>3376</v>
      </c>
      <c r="E38" s="21">
        <v>3197</v>
      </c>
      <c r="F38" s="22">
        <v>2277</v>
      </c>
    </row>
    <row r="39" spans="2:6" ht="16.5" thickBot="1" x14ac:dyDescent="0.3">
      <c r="B39" s="24" t="s">
        <v>59</v>
      </c>
      <c r="C39" s="21">
        <v>3522</v>
      </c>
      <c r="D39" s="21">
        <v>3997</v>
      </c>
      <c r="E39" s="21">
        <v>2933</v>
      </c>
      <c r="F39" s="22">
        <v>2630</v>
      </c>
    </row>
    <row r="40" spans="2:6" ht="16.5" thickBot="1" x14ac:dyDescent="0.3">
      <c r="B40" s="24" t="s">
        <v>60</v>
      </c>
      <c r="C40" s="21">
        <v>4347</v>
      </c>
      <c r="D40" s="21">
        <v>3593</v>
      </c>
      <c r="E40" s="21">
        <v>3192</v>
      </c>
      <c r="F40" s="22">
        <v>2388</v>
      </c>
    </row>
    <row r="41" spans="2:6" ht="16.5" thickBot="1" x14ac:dyDescent="0.3">
      <c r="B41" s="24" t="s">
        <v>61</v>
      </c>
      <c r="C41" s="21">
        <v>3574</v>
      </c>
      <c r="D41" s="21">
        <v>3336</v>
      </c>
      <c r="E41" s="21">
        <v>3079</v>
      </c>
      <c r="F41" s="22">
        <v>2503</v>
      </c>
    </row>
    <row r="42" spans="2:6" ht="16.5" thickBot="1" x14ac:dyDescent="0.3">
      <c r="B42" s="24" t="s">
        <v>62</v>
      </c>
      <c r="C42" s="21">
        <v>3516</v>
      </c>
      <c r="D42" s="21">
        <v>3351</v>
      </c>
      <c r="E42" s="21">
        <v>3390</v>
      </c>
      <c r="F42" s="22">
        <v>2248</v>
      </c>
    </row>
    <row r="43" spans="2:6" ht="16.5" thickBot="1" x14ac:dyDescent="0.3">
      <c r="B43" s="24" t="s">
        <v>63</v>
      </c>
      <c r="C43" s="21">
        <v>3719</v>
      </c>
      <c r="D43" s="21">
        <v>3636</v>
      </c>
      <c r="E43" s="21">
        <v>2858</v>
      </c>
      <c r="F43" s="22">
        <v>2244</v>
      </c>
    </row>
    <row r="44" spans="2:6" ht="16.5" thickBot="1" x14ac:dyDescent="0.3">
      <c r="B44" s="24" t="s">
        <v>64</v>
      </c>
      <c r="C44" s="21">
        <v>4205</v>
      </c>
      <c r="D44" s="21">
        <v>3631</v>
      </c>
      <c r="E44" s="21">
        <v>2810</v>
      </c>
      <c r="F44" s="22">
        <v>2201</v>
      </c>
    </row>
    <row r="45" spans="2:6" ht="16.5" thickBot="1" x14ac:dyDescent="0.3">
      <c r="B45" s="24" t="s">
        <v>65</v>
      </c>
      <c r="C45" s="21">
        <v>3704</v>
      </c>
      <c r="D45" s="21">
        <v>3147</v>
      </c>
      <c r="E45" s="21">
        <v>3281</v>
      </c>
      <c r="F45" s="22">
        <v>2567</v>
      </c>
    </row>
    <row r="46" spans="2:6" ht="16.5" thickBot="1" x14ac:dyDescent="0.3">
      <c r="B46" s="24" t="s">
        <v>66</v>
      </c>
      <c r="C46" s="21">
        <v>4436</v>
      </c>
      <c r="D46" s="21">
        <v>3870</v>
      </c>
      <c r="E46" s="21">
        <v>3383</v>
      </c>
      <c r="F46" s="22">
        <v>2447</v>
      </c>
    </row>
    <row r="47" spans="2:6" ht="16.5" thickBot="1" x14ac:dyDescent="0.3">
      <c r="B47" s="24" t="s">
        <v>67</v>
      </c>
      <c r="C47" s="21">
        <v>4244</v>
      </c>
      <c r="D47" s="21">
        <v>3006</v>
      </c>
      <c r="E47" s="21">
        <v>3476</v>
      </c>
      <c r="F47" s="22">
        <v>2719</v>
      </c>
    </row>
    <row r="48" spans="2:6" ht="16.5" thickBot="1" x14ac:dyDescent="0.3">
      <c r="B48" s="24" t="s">
        <v>68</v>
      </c>
      <c r="C48" s="21">
        <v>4029</v>
      </c>
      <c r="D48" s="21">
        <v>3962</v>
      </c>
      <c r="E48" s="21">
        <v>2927</v>
      </c>
      <c r="F48" s="22">
        <v>2352</v>
      </c>
    </row>
    <row r="49" spans="2:6" ht="16.5" thickBot="1" x14ac:dyDescent="0.3">
      <c r="B49" s="24" t="s">
        <v>69</v>
      </c>
      <c r="C49" s="21">
        <v>4259</v>
      </c>
      <c r="D49" s="21">
        <v>3828</v>
      </c>
      <c r="E49" s="21">
        <v>3318</v>
      </c>
      <c r="F49" s="22">
        <v>2584</v>
      </c>
    </row>
    <row r="50" spans="2:6" ht="16.5" thickBot="1" x14ac:dyDescent="0.3">
      <c r="B50" s="24" t="s">
        <v>70</v>
      </c>
      <c r="C50" s="21">
        <v>3963</v>
      </c>
      <c r="D50" s="21">
        <v>3529</v>
      </c>
      <c r="E50" s="21">
        <v>3471</v>
      </c>
      <c r="F50" s="22">
        <v>2088</v>
      </c>
    </row>
    <row r="51" spans="2:6" ht="16.5" thickBot="1" x14ac:dyDescent="0.3">
      <c r="B51" s="24" t="s">
        <v>71</v>
      </c>
      <c r="C51" s="21">
        <v>3702</v>
      </c>
      <c r="D51" s="21">
        <v>3693</v>
      </c>
      <c r="E51" s="21">
        <v>2911</v>
      </c>
      <c r="F51" s="22">
        <v>2598</v>
      </c>
    </row>
    <row r="52" spans="2:6" ht="16.5" thickBot="1" x14ac:dyDescent="0.3">
      <c r="B52" s="24" t="s">
        <v>72</v>
      </c>
      <c r="C52" s="21">
        <v>3839</v>
      </c>
      <c r="D52" s="21">
        <v>3994</v>
      </c>
      <c r="E52" s="21">
        <v>2993</v>
      </c>
      <c r="F52" s="22">
        <v>2381</v>
      </c>
    </row>
    <row r="53" spans="2:6" ht="16.5" thickBot="1" x14ac:dyDescent="0.3">
      <c r="B53" s="24" t="s">
        <v>73</v>
      </c>
      <c r="C53" s="21">
        <v>3944</v>
      </c>
      <c r="D53" s="21">
        <v>3697</v>
      </c>
      <c r="E53" s="21">
        <v>3093</v>
      </c>
      <c r="F53" s="22">
        <v>2539</v>
      </c>
    </row>
    <row r="54" spans="2:6" ht="16.5" thickBot="1" x14ac:dyDescent="0.3">
      <c r="B54" s="24" t="s">
        <v>74</v>
      </c>
      <c r="C54" s="21">
        <v>4062</v>
      </c>
      <c r="D54" s="21">
        <v>3696</v>
      </c>
      <c r="E54" s="21">
        <v>3356</v>
      </c>
      <c r="F54" s="22">
        <v>2514</v>
      </c>
    </row>
    <row r="55" spans="2:6" ht="16.5" thickBot="1" x14ac:dyDescent="0.3">
      <c r="B55" s="24" t="s">
        <v>75</v>
      </c>
      <c r="C55" s="21">
        <v>4413</v>
      </c>
      <c r="D55" s="21">
        <v>3101</v>
      </c>
      <c r="E55" s="21">
        <v>2996</v>
      </c>
      <c r="F55" s="22">
        <v>2763</v>
      </c>
    </row>
    <row r="56" spans="2:6" ht="16.5" thickBot="1" x14ac:dyDescent="0.3">
      <c r="B56" s="24" t="s">
        <v>76</v>
      </c>
      <c r="C56" s="21">
        <v>3826</v>
      </c>
      <c r="D56" s="21">
        <v>3586</v>
      </c>
      <c r="E56" s="21">
        <v>3105</v>
      </c>
      <c r="F56" s="22">
        <v>2115</v>
      </c>
    </row>
    <row r="57" spans="2:6" ht="16.5" thickBot="1" x14ac:dyDescent="0.3">
      <c r="B57" s="24" t="s">
        <v>77</v>
      </c>
      <c r="C57" s="21">
        <v>3656</v>
      </c>
      <c r="D57" s="21">
        <v>3405</v>
      </c>
      <c r="E57" s="21">
        <v>3025</v>
      </c>
      <c r="F57" s="22">
        <v>2610</v>
      </c>
    </row>
    <row r="58" spans="2:6" ht="16.5" thickBot="1" x14ac:dyDescent="0.3">
      <c r="B58" s="24" t="s">
        <v>78</v>
      </c>
      <c r="C58" s="21">
        <v>3798</v>
      </c>
      <c r="D58" s="21">
        <v>3347</v>
      </c>
      <c r="E58" s="21">
        <v>3218</v>
      </c>
      <c r="F58" s="22">
        <v>2221</v>
      </c>
    </row>
    <row r="59" spans="2:6" ht="16.5" thickBot="1" x14ac:dyDescent="0.3">
      <c r="B59" s="24" t="s">
        <v>79</v>
      </c>
      <c r="C59" s="21">
        <v>3710</v>
      </c>
      <c r="D59" s="21">
        <v>3757</v>
      </c>
      <c r="E59" s="21">
        <v>3352</v>
      </c>
      <c r="F59" s="22">
        <v>2506</v>
      </c>
    </row>
    <row r="60" spans="2:6" ht="16.5" thickBot="1" x14ac:dyDescent="0.3">
      <c r="B60" s="24" t="s">
        <v>80</v>
      </c>
      <c r="C60" s="21">
        <v>3888</v>
      </c>
      <c r="D60" s="21">
        <v>3567</v>
      </c>
      <c r="E60" s="21">
        <v>3421</v>
      </c>
      <c r="F60" s="22">
        <v>2657</v>
      </c>
    </row>
    <row r="61" spans="2:6" s="176" customFormat="1" ht="20.25" customHeight="1" thickBot="1" x14ac:dyDescent="0.35">
      <c r="B61" s="393" t="s">
        <v>178</v>
      </c>
      <c r="C61" s="394">
        <f>+C60+100</f>
        <v>3988</v>
      </c>
      <c r="D61" s="394">
        <f t="shared" ref="D61:F61" si="0">+D60+100</f>
        <v>3667</v>
      </c>
      <c r="E61" s="394">
        <f t="shared" si="0"/>
        <v>3521</v>
      </c>
      <c r="F61" s="395">
        <f t="shared" si="0"/>
        <v>2757</v>
      </c>
    </row>
    <row r="62" spans="2:6" ht="18.75" x14ac:dyDescent="0.3">
      <c r="B62" s="3"/>
    </row>
  </sheetData>
  <pageMargins left="0.7" right="0.43" top="0.75" bottom="0.75" header="0.3" footer="0.3"/>
  <pageSetup paperSize="9" scale="72" fitToHeight="0" orientation="portrait" r:id="rId1"/>
  <headerFooter>
    <oddHeader>&amp;C&amp;14Sheet: &amp;A</oddHeader>
    <oddFooter>&amp;L&amp;11Group 28's Business Model&amp;C&amp;11&amp;P&amp;R&amp;11SP52/2016-BX2016</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A1:AW33"/>
  <sheetViews>
    <sheetView zoomScale="80" zoomScaleNormal="80" workbookViewId="0">
      <pane xSplit="2" ySplit="3" topLeftCell="C4" activePane="bottomRight" state="frozen"/>
      <selection activeCell="D21" sqref="D21"/>
      <selection pane="topRight" activeCell="D21" sqref="D21"/>
      <selection pane="bottomLeft" activeCell="D21" sqref="D21"/>
      <selection pane="bottomRight" activeCell="B1" sqref="B1"/>
    </sheetView>
  </sheetViews>
  <sheetFormatPr defaultRowHeight="12.75" x14ac:dyDescent="0.2"/>
  <cols>
    <col min="1" max="1" width="0" hidden="1" customWidth="1"/>
    <col min="2" max="2" width="23.85546875" customWidth="1"/>
    <col min="3" max="3" width="15.140625" customWidth="1"/>
    <col min="4" max="4" width="12.5703125" bestFit="1" customWidth="1"/>
    <col min="5" max="5" width="12.28515625" bestFit="1" customWidth="1"/>
    <col min="6" max="6" width="13.140625" customWidth="1"/>
    <col min="7" max="7" width="3.7109375" customWidth="1"/>
    <col min="8" max="8" width="23.5703125" customWidth="1"/>
    <col min="9" max="9" width="12.85546875" customWidth="1"/>
    <col min="10" max="10" width="13" bestFit="1" customWidth="1"/>
    <col min="11" max="11" width="12.7109375" bestFit="1" customWidth="1"/>
    <col min="12" max="12" width="8.5703125" bestFit="1" customWidth="1"/>
    <col min="13" max="13" width="4.140625" customWidth="1"/>
    <col min="14" max="14" width="24.42578125" customWidth="1"/>
    <col min="15" max="15" width="21.7109375" customWidth="1"/>
    <col min="16" max="16" width="3.28515625" customWidth="1"/>
    <col min="17" max="17" width="25.28515625" customWidth="1"/>
    <col min="18" max="18" width="11.5703125" bestFit="1" customWidth="1"/>
    <col min="19" max="19" width="13" bestFit="1" customWidth="1"/>
    <col min="20" max="20" width="12.7109375" bestFit="1" customWidth="1"/>
    <col min="21" max="21" width="14.42578125" customWidth="1"/>
    <col min="23" max="23" width="15.5703125" customWidth="1"/>
    <col min="24" max="24" width="19.140625" customWidth="1"/>
    <col min="25" max="26" width="12" customWidth="1"/>
    <col min="27" max="27" width="7.7109375" customWidth="1"/>
    <col min="28" max="28" width="12.42578125" customWidth="1"/>
    <col min="29" max="29" width="7.140625" customWidth="1"/>
    <col min="30" max="30" width="15.5703125" customWidth="1"/>
    <col min="31" max="31" width="19.140625" bestFit="1" customWidth="1"/>
    <col min="32" max="32" width="12" customWidth="1"/>
    <col min="33" max="33" width="12" bestFit="1" customWidth="1"/>
    <col min="34" max="34" width="7.7109375" customWidth="1"/>
    <col min="35" max="35" width="12.42578125" bestFit="1" customWidth="1"/>
    <col min="36" max="36" width="5.140625" customWidth="1"/>
    <col min="37" max="37" width="22.5703125" customWidth="1"/>
    <col min="38" max="38" width="11.5703125" bestFit="1" customWidth="1"/>
    <col min="39" max="39" width="13" bestFit="1" customWidth="1"/>
    <col min="40" max="40" width="12.7109375" bestFit="1" customWidth="1"/>
    <col min="41" max="41" width="8.5703125" bestFit="1" customWidth="1"/>
    <col min="42" max="43" width="4.7109375" customWidth="1"/>
    <col min="44" max="44" width="15.5703125" customWidth="1"/>
    <col min="45" max="45" width="19.140625" bestFit="1" customWidth="1"/>
    <col min="46" max="47" width="12" customWidth="1"/>
    <col min="48" max="48" width="7.7109375" customWidth="1"/>
    <col min="49" max="49" width="12.42578125" customWidth="1"/>
  </cols>
  <sheetData>
    <row r="1" spans="1:49" ht="39.75" customHeight="1" x14ac:dyDescent="0.2">
      <c r="A1" s="75"/>
    </row>
    <row r="2" spans="1:49" ht="23.25" thickBot="1" x14ac:dyDescent="0.35">
      <c r="B2" s="220" t="s">
        <v>180</v>
      </c>
      <c r="C2" s="2"/>
      <c r="D2" s="2"/>
      <c r="E2" s="2"/>
      <c r="F2" s="2"/>
      <c r="H2" s="226" t="s">
        <v>181</v>
      </c>
      <c r="I2" s="2"/>
      <c r="J2" s="2"/>
      <c r="K2" s="2"/>
      <c r="L2" s="2"/>
      <c r="N2" s="3" t="s">
        <v>95</v>
      </c>
      <c r="O2" s="3"/>
      <c r="Q2" s="221" t="s">
        <v>184</v>
      </c>
      <c r="R2" s="2"/>
      <c r="S2" s="2"/>
      <c r="T2" s="2"/>
      <c r="U2" s="2"/>
      <c r="W2" s="220" t="s">
        <v>211</v>
      </c>
      <c r="AD2" s="331" t="s">
        <v>214</v>
      </c>
      <c r="AK2" s="220" t="s">
        <v>110</v>
      </c>
    </row>
    <row r="3" spans="1:49" ht="16.5" thickTop="1" x14ac:dyDescent="0.25">
      <c r="B3" s="18" t="s">
        <v>16</v>
      </c>
      <c r="C3" s="35" t="s">
        <v>2</v>
      </c>
      <c r="D3" s="35" t="s">
        <v>3</v>
      </c>
      <c r="E3" s="35" t="s">
        <v>4</v>
      </c>
      <c r="F3" s="35" t="s">
        <v>5</v>
      </c>
      <c r="H3" s="18" t="s">
        <v>16</v>
      </c>
      <c r="I3" s="35" t="s">
        <v>2</v>
      </c>
      <c r="J3" s="35" t="s">
        <v>3</v>
      </c>
      <c r="K3" s="35" t="s">
        <v>4</v>
      </c>
      <c r="L3" s="35" t="s">
        <v>5</v>
      </c>
      <c r="N3" s="54" t="s">
        <v>16</v>
      </c>
      <c r="O3" s="55" t="s">
        <v>94</v>
      </c>
      <c r="Q3" s="18" t="s">
        <v>16</v>
      </c>
      <c r="R3" s="35" t="s">
        <v>2</v>
      </c>
      <c r="S3" s="35" t="s">
        <v>3</v>
      </c>
      <c r="T3" s="35" t="s">
        <v>4</v>
      </c>
      <c r="U3" s="35" t="s">
        <v>5</v>
      </c>
      <c r="W3" s="77" t="s">
        <v>158</v>
      </c>
      <c r="X3" t="s">
        <v>31</v>
      </c>
      <c r="AD3" s="77" t="s">
        <v>158</v>
      </c>
      <c r="AE3" t="s">
        <v>31</v>
      </c>
      <c r="AK3" s="18" t="s">
        <v>16</v>
      </c>
      <c r="AL3" s="35" t="s">
        <v>2</v>
      </c>
      <c r="AM3" s="35" t="s">
        <v>3</v>
      </c>
      <c r="AN3" s="35" t="s">
        <v>4</v>
      </c>
      <c r="AO3" s="35" t="s">
        <v>5</v>
      </c>
    </row>
    <row r="4" spans="1:49" ht="15.75" x14ac:dyDescent="0.25">
      <c r="B4" s="32" t="s">
        <v>17</v>
      </c>
      <c r="C4" s="20">
        <v>2000</v>
      </c>
      <c r="D4" s="20">
        <v>1800</v>
      </c>
      <c r="E4" s="20">
        <v>1100</v>
      </c>
      <c r="F4" s="20">
        <v>800</v>
      </c>
      <c r="H4" s="32" t="s">
        <v>17</v>
      </c>
      <c r="I4" s="20">
        <v>1837</v>
      </c>
      <c r="J4" s="20">
        <v>1316</v>
      </c>
      <c r="K4" s="20">
        <v>871</v>
      </c>
      <c r="L4" s="20">
        <v>683</v>
      </c>
      <c r="N4" s="32" t="s">
        <v>17</v>
      </c>
      <c r="O4" s="29">
        <v>750</v>
      </c>
      <c r="Q4" s="32" t="s">
        <v>17</v>
      </c>
      <c r="R4" s="20">
        <f>+C4*VLOOKUP($Q4,$N$4:$O$10,2,FALSE)</f>
        <v>1500000</v>
      </c>
      <c r="S4" s="20">
        <f>+D4*VLOOKUP($Q4,$N$4:$O$10,2,FALSE)</f>
        <v>1350000</v>
      </c>
      <c r="T4" s="20">
        <f t="shared" ref="T4:U10" si="0">+E4*VLOOKUP($Q4,$N$4:$O$10,2,FALSE)</f>
        <v>825000</v>
      </c>
      <c r="U4" s="20">
        <f t="shared" si="0"/>
        <v>600000</v>
      </c>
      <c r="AK4" s="32" t="s">
        <v>17</v>
      </c>
      <c r="AL4" s="332">
        <f>+(I4/C4)-1</f>
        <v>-8.1500000000000017E-2</v>
      </c>
      <c r="AM4" s="332">
        <f t="shared" ref="AM4:AM10" si="1">+(J4/D4)-1</f>
        <v>-0.26888888888888884</v>
      </c>
      <c r="AN4" s="332">
        <f t="shared" ref="AN4:AN10" si="2">+(K4/E4)-1</f>
        <v>-0.20818181818181813</v>
      </c>
      <c r="AO4" s="332">
        <f t="shared" ref="AO4:AO10" si="3">+(L4/F4)-1</f>
        <v>-0.14624999999999999</v>
      </c>
    </row>
    <row r="5" spans="1:49" ht="15.75" x14ac:dyDescent="0.25">
      <c r="B5" s="32" t="s">
        <v>18</v>
      </c>
      <c r="C5" s="20">
        <v>3000</v>
      </c>
      <c r="D5" s="20">
        <v>2600</v>
      </c>
      <c r="E5" s="20">
        <v>1600</v>
      </c>
      <c r="F5" s="20">
        <v>1100</v>
      </c>
      <c r="H5" s="32" t="s">
        <v>18</v>
      </c>
      <c r="I5" s="20">
        <v>3398</v>
      </c>
      <c r="J5" s="20">
        <v>2790</v>
      </c>
      <c r="K5" s="20">
        <v>1571</v>
      </c>
      <c r="L5" s="20">
        <v>1246</v>
      </c>
      <c r="N5" s="32" t="s">
        <v>18</v>
      </c>
      <c r="O5" s="29">
        <v>650</v>
      </c>
      <c r="Q5" s="32" t="s">
        <v>18</v>
      </c>
      <c r="R5" s="20">
        <f t="shared" ref="R5:R10" si="4">+C5*VLOOKUP($Q5,$N$4:$O$10,2,FALSE)</f>
        <v>1950000</v>
      </c>
      <c r="S5" s="20">
        <f t="shared" ref="S5:S10" si="5">+D5*VLOOKUP($Q5,$N$4:$O$10,2,FALSE)</f>
        <v>1690000</v>
      </c>
      <c r="T5" s="20">
        <f t="shared" si="0"/>
        <v>1040000</v>
      </c>
      <c r="U5" s="20">
        <f t="shared" si="0"/>
        <v>715000</v>
      </c>
      <c r="W5" s="77" t="s">
        <v>88</v>
      </c>
      <c r="X5" s="77" t="s">
        <v>89</v>
      </c>
      <c r="AD5" s="77" t="s">
        <v>88</v>
      </c>
      <c r="AE5" s="77" t="s">
        <v>89</v>
      </c>
      <c r="AK5" s="32" t="s">
        <v>18</v>
      </c>
      <c r="AL5" s="332">
        <f t="shared" ref="AL5:AL10" si="6">+(I5/C5)-1</f>
        <v>0.13266666666666671</v>
      </c>
      <c r="AM5" s="332">
        <f t="shared" si="1"/>
        <v>7.3076923076923039E-2</v>
      </c>
      <c r="AN5" s="332">
        <f t="shared" si="2"/>
        <v>-1.8124999999999947E-2</v>
      </c>
      <c r="AO5" s="332">
        <f t="shared" si="3"/>
        <v>0.1327272727272728</v>
      </c>
      <c r="AR5" s="77" t="s">
        <v>88</v>
      </c>
      <c r="AS5" s="77" t="s">
        <v>89</v>
      </c>
    </row>
    <row r="6" spans="1:49" ht="15.75" x14ac:dyDescent="0.25">
      <c r="B6" s="32" t="s">
        <v>130</v>
      </c>
      <c r="C6" s="20">
        <v>800</v>
      </c>
      <c r="D6" s="20">
        <v>700</v>
      </c>
      <c r="E6" s="20">
        <v>500</v>
      </c>
      <c r="F6" s="20">
        <v>300</v>
      </c>
      <c r="H6" s="32" t="s">
        <v>130</v>
      </c>
      <c r="I6" s="20">
        <v>884</v>
      </c>
      <c r="J6" s="20">
        <v>542</v>
      </c>
      <c r="K6" s="20">
        <v>516</v>
      </c>
      <c r="L6" s="20">
        <v>640</v>
      </c>
      <c r="N6" s="32" t="s">
        <v>130</v>
      </c>
      <c r="O6" s="29">
        <v>850</v>
      </c>
      <c r="Q6" s="32" t="s">
        <v>130</v>
      </c>
      <c r="R6" s="20">
        <f t="shared" si="4"/>
        <v>680000</v>
      </c>
      <c r="S6" s="20">
        <f t="shared" si="5"/>
        <v>595000</v>
      </c>
      <c r="T6" s="20">
        <f t="shared" si="0"/>
        <v>425000</v>
      </c>
      <c r="U6" s="20">
        <f t="shared" si="0"/>
        <v>255000</v>
      </c>
      <c r="W6" s="77" t="s">
        <v>90</v>
      </c>
      <c r="X6" t="s">
        <v>2</v>
      </c>
      <c r="Y6" t="s">
        <v>3</v>
      </c>
      <c r="Z6" t="s">
        <v>4</v>
      </c>
      <c r="AA6" t="s">
        <v>5</v>
      </c>
      <c r="AB6" t="s">
        <v>32</v>
      </c>
      <c r="AD6" s="77" t="s">
        <v>90</v>
      </c>
      <c r="AE6" t="s">
        <v>2</v>
      </c>
      <c r="AF6" t="s">
        <v>3</v>
      </c>
      <c r="AG6" t="s">
        <v>4</v>
      </c>
      <c r="AH6" t="s">
        <v>5</v>
      </c>
      <c r="AI6" t="s">
        <v>32</v>
      </c>
      <c r="AK6" s="32" t="s">
        <v>130</v>
      </c>
      <c r="AL6" s="332">
        <f t="shared" si="6"/>
        <v>0.10499999999999998</v>
      </c>
      <c r="AM6" s="332">
        <f t="shared" si="1"/>
        <v>-0.22571428571428576</v>
      </c>
      <c r="AN6" s="332">
        <f t="shared" si="2"/>
        <v>3.2000000000000028E-2</v>
      </c>
      <c r="AO6" s="332">
        <f t="shared" si="3"/>
        <v>1.1333333333333333</v>
      </c>
      <c r="AR6" s="77" t="s">
        <v>90</v>
      </c>
      <c r="AS6" t="s">
        <v>2</v>
      </c>
      <c r="AT6" t="s">
        <v>3</v>
      </c>
      <c r="AU6" t="s">
        <v>4</v>
      </c>
      <c r="AV6" t="s">
        <v>5</v>
      </c>
      <c r="AW6" t="s">
        <v>32</v>
      </c>
    </row>
    <row r="7" spans="1:49" ht="15.75" x14ac:dyDescent="0.25">
      <c r="B7" s="32" t="s">
        <v>19</v>
      </c>
      <c r="C7" s="20">
        <v>2400</v>
      </c>
      <c r="D7" s="20">
        <v>2100</v>
      </c>
      <c r="E7" s="20">
        <v>1300</v>
      </c>
      <c r="F7" s="20">
        <v>900</v>
      </c>
      <c r="H7" s="32" t="s">
        <v>19</v>
      </c>
      <c r="I7" s="20">
        <v>2487</v>
      </c>
      <c r="J7" s="20">
        <v>1968</v>
      </c>
      <c r="K7" s="20">
        <v>1255</v>
      </c>
      <c r="L7" s="20">
        <v>1150</v>
      </c>
      <c r="N7" s="32" t="s">
        <v>19</v>
      </c>
      <c r="O7" s="29">
        <v>400</v>
      </c>
      <c r="Q7" s="32" t="s">
        <v>19</v>
      </c>
      <c r="R7" s="20">
        <f t="shared" si="4"/>
        <v>960000</v>
      </c>
      <c r="S7" s="20">
        <f t="shared" si="5"/>
        <v>840000</v>
      </c>
      <c r="T7" s="20">
        <f t="shared" si="0"/>
        <v>520000</v>
      </c>
      <c r="U7" s="20">
        <f t="shared" si="0"/>
        <v>360000</v>
      </c>
      <c r="W7" s="78" t="s">
        <v>159</v>
      </c>
      <c r="X7" s="131">
        <v>14837</v>
      </c>
      <c r="Y7" s="131">
        <v>11418</v>
      </c>
      <c r="Z7" s="131">
        <v>7152</v>
      </c>
      <c r="AA7" s="131">
        <v>6291</v>
      </c>
      <c r="AB7" s="131">
        <v>39698</v>
      </c>
      <c r="AD7" s="78" t="s">
        <v>159</v>
      </c>
      <c r="AE7" s="172">
        <v>13500</v>
      </c>
      <c r="AF7" s="172">
        <v>11900</v>
      </c>
      <c r="AG7" s="172">
        <v>7400</v>
      </c>
      <c r="AH7" s="172">
        <v>5100</v>
      </c>
      <c r="AI7" s="172">
        <v>37900</v>
      </c>
      <c r="AK7" s="32" t="s">
        <v>19</v>
      </c>
      <c r="AL7" s="332">
        <f t="shared" si="6"/>
        <v>3.6249999999999893E-2</v>
      </c>
      <c r="AM7" s="332">
        <f t="shared" si="1"/>
        <v>-6.2857142857142834E-2</v>
      </c>
      <c r="AN7" s="332">
        <f t="shared" si="2"/>
        <v>-3.4615384615384603E-2</v>
      </c>
      <c r="AO7" s="332">
        <f t="shared" si="3"/>
        <v>0.27777777777777768</v>
      </c>
      <c r="AR7" s="78" t="s">
        <v>159</v>
      </c>
      <c r="AS7" s="230">
        <v>0.73480012531328309</v>
      </c>
      <c r="AT7" s="230">
        <v>-0.38121345974287146</v>
      </c>
      <c r="AU7" s="230">
        <v>-0.21178583916083904</v>
      </c>
      <c r="AV7" s="230">
        <v>2.2903026695526698</v>
      </c>
      <c r="AW7" s="230">
        <v>2.4321034959622425</v>
      </c>
    </row>
    <row r="8" spans="1:49" ht="15.75" x14ac:dyDescent="0.25">
      <c r="B8" s="32" t="s">
        <v>20</v>
      </c>
      <c r="C8" s="20">
        <v>1400</v>
      </c>
      <c r="D8" s="20">
        <v>1200</v>
      </c>
      <c r="E8" s="20">
        <v>800</v>
      </c>
      <c r="F8" s="20">
        <v>500</v>
      </c>
      <c r="H8" s="32" t="s">
        <v>20</v>
      </c>
      <c r="I8" s="20">
        <v>1712</v>
      </c>
      <c r="J8" s="20">
        <v>1364</v>
      </c>
      <c r="K8" s="20">
        <v>714</v>
      </c>
      <c r="L8" s="20">
        <v>686</v>
      </c>
      <c r="N8" s="32" t="s">
        <v>20</v>
      </c>
      <c r="O8" s="29">
        <v>700</v>
      </c>
      <c r="Q8" s="32" t="s">
        <v>20</v>
      </c>
      <c r="R8" s="20">
        <f t="shared" si="4"/>
        <v>980000</v>
      </c>
      <c r="S8" s="20">
        <f t="shared" si="5"/>
        <v>840000</v>
      </c>
      <c r="T8" s="20">
        <f t="shared" si="0"/>
        <v>560000</v>
      </c>
      <c r="U8" s="20">
        <f t="shared" si="0"/>
        <v>350000</v>
      </c>
      <c r="W8" s="78" t="s">
        <v>160</v>
      </c>
      <c r="X8" s="131">
        <v>14850</v>
      </c>
      <c r="Y8" s="131">
        <v>10578</v>
      </c>
      <c r="Z8" s="131">
        <v>7894</v>
      </c>
      <c r="AA8" s="131">
        <v>6981</v>
      </c>
      <c r="AB8" s="131">
        <v>40303</v>
      </c>
      <c r="AD8" s="78" t="s">
        <v>160</v>
      </c>
      <c r="AE8" s="172">
        <v>13500</v>
      </c>
      <c r="AF8" s="172">
        <v>10700</v>
      </c>
      <c r="AG8" s="172">
        <v>7500</v>
      </c>
      <c r="AH8" s="172">
        <v>5900</v>
      </c>
      <c r="AI8" s="172">
        <v>37600</v>
      </c>
      <c r="AK8" s="32" t="s">
        <v>20</v>
      </c>
      <c r="AL8" s="332">
        <f t="shared" si="6"/>
        <v>0.22285714285714286</v>
      </c>
      <c r="AM8" s="332">
        <f t="shared" si="1"/>
        <v>0.13666666666666671</v>
      </c>
      <c r="AN8" s="332">
        <f t="shared" si="2"/>
        <v>-0.10750000000000004</v>
      </c>
      <c r="AO8" s="332">
        <f t="shared" si="3"/>
        <v>0.37200000000000011</v>
      </c>
      <c r="AR8" s="78" t="s">
        <v>160</v>
      </c>
      <c r="AS8" s="230">
        <v>0.67362969924812022</v>
      </c>
      <c r="AT8" s="230">
        <v>-9.773002045627921E-2</v>
      </c>
      <c r="AU8" s="230">
        <v>0.41171503496503492</v>
      </c>
      <c r="AV8" s="230">
        <v>1.5310641025641027</v>
      </c>
      <c r="AW8" s="230">
        <v>2.5186788163209788</v>
      </c>
    </row>
    <row r="9" spans="1:49" ht="15.75" x14ac:dyDescent="0.25">
      <c r="B9" s="32" t="s">
        <v>131</v>
      </c>
      <c r="C9" s="20">
        <v>2000</v>
      </c>
      <c r="D9" s="20">
        <v>1800</v>
      </c>
      <c r="E9" s="20">
        <v>1100</v>
      </c>
      <c r="F9" s="20">
        <v>800</v>
      </c>
      <c r="H9" s="32" t="s">
        <v>131</v>
      </c>
      <c r="I9" s="20">
        <v>2238</v>
      </c>
      <c r="J9" s="20">
        <v>1709</v>
      </c>
      <c r="K9" s="20">
        <v>1104</v>
      </c>
      <c r="L9" s="20">
        <v>972</v>
      </c>
      <c r="N9" s="32" t="s">
        <v>131</v>
      </c>
      <c r="O9" s="29">
        <v>800</v>
      </c>
      <c r="Q9" s="32" t="s">
        <v>131</v>
      </c>
      <c r="R9" s="20">
        <f t="shared" si="4"/>
        <v>1600000</v>
      </c>
      <c r="S9" s="20">
        <f t="shared" si="5"/>
        <v>1440000</v>
      </c>
      <c r="T9" s="20">
        <f t="shared" si="0"/>
        <v>880000</v>
      </c>
      <c r="U9" s="20">
        <f t="shared" si="0"/>
        <v>640000</v>
      </c>
      <c r="W9" s="78" t="s">
        <v>161</v>
      </c>
      <c r="X9" s="131">
        <v>16913</v>
      </c>
      <c r="Y9" s="131">
        <v>8968</v>
      </c>
      <c r="Z9" s="131">
        <v>9616</v>
      </c>
      <c r="AA9" s="131">
        <v>9715</v>
      </c>
      <c r="AB9" s="131">
        <v>45212</v>
      </c>
      <c r="AD9" s="78" t="s">
        <v>161</v>
      </c>
      <c r="AE9" s="172">
        <v>14445</v>
      </c>
      <c r="AF9" s="172">
        <v>9600</v>
      </c>
      <c r="AG9" s="172">
        <v>8600</v>
      </c>
      <c r="AH9" s="172">
        <v>7600</v>
      </c>
      <c r="AI9" s="172">
        <v>40245</v>
      </c>
      <c r="AK9" s="32" t="s">
        <v>131</v>
      </c>
      <c r="AL9" s="332">
        <f t="shared" si="6"/>
        <v>0.11899999999999999</v>
      </c>
      <c r="AM9" s="332">
        <f t="shared" si="1"/>
        <v>-5.0555555555555576E-2</v>
      </c>
      <c r="AN9" s="332">
        <f t="shared" si="2"/>
        <v>3.6363636363636598E-3</v>
      </c>
      <c r="AO9" s="332">
        <f t="shared" si="3"/>
        <v>0.21500000000000008</v>
      </c>
      <c r="AR9" s="78" t="s">
        <v>161</v>
      </c>
      <c r="AS9" s="230">
        <v>1.17996627081723</v>
      </c>
      <c r="AT9" s="230">
        <v>-0.64954621848739491</v>
      </c>
      <c r="AU9" s="230">
        <v>0.72927013045434108</v>
      </c>
      <c r="AV9" s="230">
        <v>2.1158931509666807</v>
      </c>
      <c r="AW9" s="230">
        <v>3.375583333750857</v>
      </c>
    </row>
    <row r="10" spans="1:49" ht="15.75" x14ac:dyDescent="0.25">
      <c r="B10" s="32" t="s">
        <v>132</v>
      </c>
      <c r="C10" s="20">
        <v>1900</v>
      </c>
      <c r="D10" s="20">
        <v>1700</v>
      </c>
      <c r="E10" s="20">
        <v>1000</v>
      </c>
      <c r="F10" s="20">
        <v>700</v>
      </c>
      <c r="H10" s="32" t="s">
        <v>132</v>
      </c>
      <c r="I10" s="20">
        <v>2281</v>
      </c>
      <c r="J10" s="20">
        <v>1729</v>
      </c>
      <c r="K10" s="20">
        <v>1121</v>
      </c>
      <c r="L10" s="20">
        <v>914</v>
      </c>
      <c r="N10" s="32" t="s">
        <v>132</v>
      </c>
      <c r="O10" s="29">
        <v>480</v>
      </c>
      <c r="Q10" s="32" t="s">
        <v>132</v>
      </c>
      <c r="R10" s="20">
        <f t="shared" si="4"/>
        <v>912000</v>
      </c>
      <c r="S10" s="20">
        <f t="shared" si="5"/>
        <v>816000</v>
      </c>
      <c r="T10" s="20">
        <f t="shared" si="0"/>
        <v>480000</v>
      </c>
      <c r="U10" s="20">
        <f t="shared" si="0"/>
        <v>336000</v>
      </c>
      <c r="W10" s="78" t="s">
        <v>32</v>
      </c>
      <c r="X10" s="131">
        <v>46600</v>
      </c>
      <c r="Y10" s="131">
        <v>30964</v>
      </c>
      <c r="Z10" s="131">
        <v>24662</v>
      </c>
      <c r="AA10" s="131">
        <v>22987</v>
      </c>
      <c r="AB10" s="131">
        <v>125213</v>
      </c>
      <c r="AD10" s="78" t="s">
        <v>32</v>
      </c>
      <c r="AE10" s="172">
        <v>41445</v>
      </c>
      <c r="AF10" s="172">
        <v>32200</v>
      </c>
      <c r="AG10" s="172">
        <v>23500</v>
      </c>
      <c r="AH10" s="172">
        <v>18600</v>
      </c>
      <c r="AI10" s="172">
        <v>115745</v>
      </c>
      <c r="AK10" s="32" t="s">
        <v>132</v>
      </c>
      <c r="AL10" s="332">
        <f t="shared" si="6"/>
        <v>0.20052631578947366</v>
      </c>
      <c r="AM10" s="332">
        <f t="shared" si="1"/>
        <v>1.7058823529411793E-2</v>
      </c>
      <c r="AN10" s="332">
        <f t="shared" si="2"/>
        <v>0.121</v>
      </c>
      <c r="AO10" s="332">
        <f t="shared" si="3"/>
        <v>0.30571428571428561</v>
      </c>
      <c r="AR10" s="78" t="s">
        <v>32</v>
      </c>
      <c r="AS10" s="230">
        <v>2.5883960953786334</v>
      </c>
      <c r="AT10" s="230">
        <v>-1.1284896986865456</v>
      </c>
      <c r="AU10" s="230">
        <v>0.92919932625853696</v>
      </c>
      <c r="AV10" s="230">
        <v>5.9372599230834533</v>
      </c>
      <c r="AW10" s="230">
        <v>8.3263656460340787</v>
      </c>
    </row>
    <row r="11" spans="1:49" x14ac:dyDescent="0.2">
      <c r="B11" t="s">
        <v>22</v>
      </c>
      <c r="I11" s="184">
        <f>+SUM(I4:I10)</f>
        <v>14837</v>
      </c>
      <c r="J11">
        <f t="shared" ref="J11:L11" si="7">+SUM(J4:J10)</f>
        <v>11418</v>
      </c>
      <c r="K11">
        <f t="shared" si="7"/>
        <v>7152</v>
      </c>
      <c r="L11">
        <f t="shared" si="7"/>
        <v>6291</v>
      </c>
      <c r="Q11" t="s">
        <v>22</v>
      </c>
      <c r="AK11" t="s">
        <v>22</v>
      </c>
    </row>
    <row r="13" spans="1:49" ht="23.25" thickBot="1" x14ac:dyDescent="0.35">
      <c r="B13" s="2" t="s">
        <v>135</v>
      </c>
      <c r="C13" s="2"/>
      <c r="D13" s="2"/>
      <c r="E13" s="2"/>
      <c r="F13" s="2"/>
      <c r="H13" s="2" t="s">
        <v>136</v>
      </c>
      <c r="I13" s="2"/>
      <c r="J13" s="2"/>
      <c r="K13" s="2"/>
      <c r="L13" s="2"/>
      <c r="Q13" s="221" t="s">
        <v>182</v>
      </c>
      <c r="R13" s="2"/>
      <c r="S13" s="2"/>
      <c r="T13" s="2"/>
      <c r="U13" s="2"/>
      <c r="AK13" s="220" t="s">
        <v>147</v>
      </c>
      <c r="AL13" s="2"/>
      <c r="AM13" s="2"/>
      <c r="AN13" s="2"/>
      <c r="AO13" s="2"/>
    </row>
    <row r="14" spans="1:49" ht="16.5" thickTop="1" x14ac:dyDescent="0.25">
      <c r="B14" s="18" t="s">
        <v>16</v>
      </c>
      <c r="C14" s="35" t="s">
        <v>2</v>
      </c>
      <c r="D14" s="35" t="s">
        <v>3</v>
      </c>
      <c r="E14" s="35" t="s">
        <v>4</v>
      </c>
      <c r="F14" s="35" t="s">
        <v>5</v>
      </c>
      <c r="H14" s="18" t="s">
        <v>16</v>
      </c>
      <c r="I14" s="35" t="s">
        <v>2</v>
      </c>
      <c r="J14" s="35" t="s">
        <v>3</v>
      </c>
      <c r="K14" s="35" t="s">
        <v>4</v>
      </c>
      <c r="L14" s="35" t="s">
        <v>5</v>
      </c>
      <c r="Q14" s="18" t="s">
        <v>16</v>
      </c>
      <c r="R14" s="35" t="s">
        <v>2</v>
      </c>
      <c r="S14" s="35" t="s">
        <v>3</v>
      </c>
      <c r="T14" s="35" t="s">
        <v>4</v>
      </c>
      <c r="U14" s="35" t="s">
        <v>5</v>
      </c>
      <c r="AK14" s="18" t="s">
        <v>16</v>
      </c>
      <c r="AL14" s="35" t="s">
        <v>2</v>
      </c>
      <c r="AM14" s="35" t="s">
        <v>3</v>
      </c>
      <c r="AN14" s="35" t="s">
        <v>4</v>
      </c>
      <c r="AO14" s="35" t="s">
        <v>5</v>
      </c>
    </row>
    <row r="15" spans="1:49" ht="15.75" x14ac:dyDescent="0.25">
      <c r="B15" s="32" t="s">
        <v>17</v>
      </c>
      <c r="C15" s="20">
        <v>2000</v>
      </c>
      <c r="D15" s="20">
        <v>1600</v>
      </c>
      <c r="E15" s="20">
        <v>1100</v>
      </c>
      <c r="F15" s="20">
        <v>900</v>
      </c>
      <c r="H15" s="32" t="s">
        <v>17</v>
      </c>
      <c r="I15" s="20">
        <v>1928</v>
      </c>
      <c r="J15" s="20">
        <v>1512</v>
      </c>
      <c r="K15" s="20">
        <v>1116</v>
      </c>
      <c r="L15" s="20">
        <v>1073</v>
      </c>
      <c r="Q15" s="32" t="s">
        <v>17</v>
      </c>
      <c r="R15" s="20">
        <f t="shared" ref="R15:R21" si="8">+C15*VLOOKUP($Q15,$N$4:$O$10,2,FALSE)</f>
        <v>1500000</v>
      </c>
      <c r="S15" s="20">
        <f t="shared" ref="S15:S21" si="9">+D15*VLOOKUP($Q15,$N$4:$O$10,2,FALSE)</f>
        <v>1200000</v>
      </c>
      <c r="T15" s="20">
        <f t="shared" ref="T15:T21" si="10">+E15*VLOOKUP($Q15,$N$4:$O$10,2,FALSE)</f>
        <v>825000</v>
      </c>
      <c r="U15" s="20">
        <f t="shared" ref="U15:U21" si="11">+F15*VLOOKUP($Q15,$N$4:$O$10,2,FALSE)</f>
        <v>675000</v>
      </c>
      <c r="AK15" s="32" t="s">
        <v>17</v>
      </c>
      <c r="AL15" s="332">
        <f>+(I15/C15)-1</f>
        <v>-3.6000000000000032E-2</v>
      </c>
      <c r="AM15" s="332">
        <f t="shared" ref="AM15:AM21" si="12">+(J15/D15)-1</f>
        <v>-5.5000000000000049E-2</v>
      </c>
      <c r="AN15" s="332">
        <f t="shared" ref="AN15:AN21" si="13">+(K15/E15)-1</f>
        <v>1.4545454545454639E-2</v>
      </c>
      <c r="AO15" s="332">
        <f t="shared" ref="AO15:AO21" si="14">+(L15/F15)-1</f>
        <v>0.19222222222222229</v>
      </c>
    </row>
    <row r="16" spans="1:49" ht="15.75" x14ac:dyDescent="0.25">
      <c r="B16" s="32" t="s">
        <v>18</v>
      </c>
      <c r="C16" s="20">
        <v>3000</v>
      </c>
      <c r="D16" s="20">
        <v>2300</v>
      </c>
      <c r="E16" s="20">
        <v>1600</v>
      </c>
      <c r="F16" s="20">
        <v>1300</v>
      </c>
      <c r="H16" s="32" t="s">
        <v>18</v>
      </c>
      <c r="I16" s="20">
        <v>3088</v>
      </c>
      <c r="J16" s="20">
        <v>2260</v>
      </c>
      <c r="K16" s="20">
        <v>1710</v>
      </c>
      <c r="L16" s="20">
        <v>1455</v>
      </c>
      <c r="Q16" s="32" t="s">
        <v>18</v>
      </c>
      <c r="R16" s="20">
        <f t="shared" si="8"/>
        <v>1950000</v>
      </c>
      <c r="S16" s="20">
        <f t="shared" si="9"/>
        <v>1495000</v>
      </c>
      <c r="T16" s="20">
        <f t="shared" si="10"/>
        <v>1040000</v>
      </c>
      <c r="U16" s="20">
        <f t="shared" si="11"/>
        <v>845000</v>
      </c>
      <c r="AK16" s="32" t="s">
        <v>18</v>
      </c>
      <c r="AL16" s="332">
        <f t="shared" ref="AL16:AL21" si="15">+(I16/C16)-1</f>
        <v>2.9333333333333433E-2</v>
      </c>
      <c r="AM16" s="332">
        <f t="shared" si="12"/>
        <v>-1.7391304347826098E-2</v>
      </c>
      <c r="AN16" s="332">
        <f t="shared" si="13"/>
        <v>6.8750000000000089E-2</v>
      </c>
      <c r="AO16" s="332">
        <f t="shared" si="14"/>
        <v>0.11923076923076925</v>
      </c>
    </row>
    <row r="17" spans="2:41" ht="15.75" x14ac:dyDescent="0.25">
      <c r="B17" s="32" t="s">
        <v>130</v>
      </c>
      <c r="C17" s="20">
        <v>800</v>
      </c>
      <c r="D17" s="20">
        <v>700</v>
      </c>
      <c r="E17" s="20">
        <v>500</v>
      </c>
      <c r="F17" s="20">
        <v>400</v>
      </c>
      <c r="H17" s="32" t="s">
        <v>130</v>
      </c>
      <c r="I17" s="20">
        <v>769</v>
      </c>
      <c r="J17" s="20">
        <v>679</v>
      </c>
      <c r="K17" s="20">
        <v>589</v>
      </c>
      <c r="L17" s="20">
        <v>601</v>
      </c>
      <c r="Q17" s="32" t="s">
        <v>130</v>
      </c>
      <c r="R17" s="20">
        <f t="shared" si="8"/>
        <v>680000</v>
      </c>
      <c r="S17" s="20">
        <f t="shared" si="9"/>
        <v>595000</v>
      </c>
      <c r="T17" s="20">
        <f t="shared" si="10"/>
        <v>425000</v>
      </c>
      <c r="U17" s="20">
        <f t="shared" si="11"/>
        <v>340000</v>
      </c>
      <c r="AK17" s="32" t="s">
        <v>130</v>
      </c>
      <c r="AL17" s="332">
        <f t="shared" si="15"/>
        <v>-3.8749999999999951E-2</v>
      </c>
      <c r="AM17" s="332">
        <f t="shared" si="12"/>
        <v>-3.0000000000000027E-2</v>
      </c>
      <c r="AN17" s="332">
        <f t="shared" si="13"/>
        <v>0.17799999999999994</v>
      </c>
      <c r="AO17" s="332">
        <f t="shared" si="14"/>
        <v>0.50249999999999995</v>
      </c>
    </row>
    <row r="18" spans="2:41" ht="15.75" x14ac:dyDescent="0.25">
      <c r="B18" s="32" t="s">
        <v>19</v>
      </c>
      <c r="C18" s="20">
        <v>2400</v>
      </c>
      <c r="D18" s="20">
        <v>1900</v>
      </c>
      <c r="E18" s="20">
        <v>1300</v>
      </c>
      <c r="F18" s="20">
        <v>1000</v>
      </c>
      <c r="H18" s="32" t="s">
        <v>19</v>
      </c>
      <c r="I18" s="20">
        <v>2740</v>
      </c>
      <c r="J18" s="20">
        <v>1927</v>
      </c>
      <c r="K18" s="20">
        <v>1310</v>
      </c>
      <c r="L18" s="20">
        <v>1066</v>
      </c>
      <c r="Q18" s="32" t="s">
        <v>19</v>
      </c>
      <c r="R18" s="20">
        <f t="shared" si="8"/>
        <v>960000</v>
      </c>
      <c r="S18" s="20">
        <f t="shared" si="9"/>
        <v>760000</v>
      </c>
      <c r="T18" s="20">
        <f t="shared" si="10"/>
        <v>520000</v>
      </c>
      <c r="U18" s="20">
        <f t="shared" si="11"/>
        <v>400000</v>
      </c>
      <c r="AK18" s="32" t="s">
        <v>19</v>
      </c>
      <c r="AL18" s="332">
        <f t="shared" si="15"/>
        <v>0.14166666666666661</v>
      </c>
      <c r="AM18" s="332">
        <f t="shared" si="12"/>
        <v>1.4210526315789451E-2</v>
      </c>
      <c r="AN18" s="332">
        <f t="shared" si="13"/>
        <v>7.692307692307665E-3</v>
      </c>
      <c r="AO18" s="332">
        <f t="shared" si="14"/>
        <v>6.6000000000000059E-2</v>
      </c>
    </row>
    <row r="19" spans="2:41" ht="15.75" x14ac:dyDescent="0.25">
      <c r="B19" s="32" t="s">
        <v>20</v>
      </c>
      <c r="C19" s="20">
        <v>1400</v>
      </c>
      <c r="D19" s="20">
        <v>1100</v>
      </c>
      <c r="E19" s="20">
        <v>800</v>
      </c>
      <c r="F19" s="20">
        <v>600</v>
      </c>
      <c r="H19" s="32" t="s">
        <v>20</v>
      </c>
      <c r="I19" s="20">
        <v>1655</v>
      </c>
      <c r="J19" s="20">
        <v>1057</v>
      </c>
      <c r="K19" s="20">
        <v>768</v>
      </c>
      <c r="L19" s="20">
        <v>779</v>
      </c>
      <c r="Q19" s="32" t="s">
        <v>20</v>
      </c>
      <c r="R19" s="20">
        <f t="shared" si="8"/>
        <v>980000</v>
      </c>
      <c r="S19" s="20">
        <f t="shared" si="9"/>
        <v>770000</v>
      </c>
      <c r="T19" s="20">
        <f t="shared" si="10"/>
        <v>560000</v>
      </c>
      <c r="U19" s="20">
        <f t="shared" si="11"/>
        <v>420000</v>
      </c>
      <c r="AK19" s="32" t="s">
        <v>20</v>
      </c>
      <c r="AL19" s="332">
        <f t="shared" si="15"/>
        <v>0.18214285714285716</v>
      </c>
      <c r="AM19" s="332">
        <f t="shared" si="12"/>
        <v>-3.9090909090909065E-2</v>
      </c>
      <c r="AN19" s="332">
        <f t="shared" si="13"/>
        <v>-4.0000000000000036E-2</v>
      </c>
      <c r="AO19" s="332">
        <f t="shared" si="14"/>
        <v>0.29833333333333334</v>
      </c>
    </row>
    <row r="20" spans="2:41" ht="15.75" x14ac:dyDescent="0.25">
      <c r="B20" s="32" t="s">
        <v>131</v>
      </c>
      <c r="C20" s="20">
        <v>2000</v>
      </c>
      <c r="D20" s="20">
        <v>1600</v>
      </c>
      <c r="E20" s="20">
        <v>1100</v>
      </c>
      <c r="F20" s="20">
        <v>900</v>
      </c>
      <c r="H20" s="32" t="s">
        <v>131</v>
      </c>
      <c r="I20" s="20">
        <v>2381</v>
      </c>
      <c r="J20" s="20">
        <v>1579</v>
      </c>
      <c r="K20" s="20">
        <v>1200</v>
      </c>
      <c r="L20" s="20">
        <v>1123</v>
      </c>
      <c r="Q20" s="32" t="s">
        <v>131</v>
      </c>
      <c r="R20" s="20">
        <f t="shared" si="8"/>
        <v>1600000</v>
      </c>
      <c r="S20" s="20">
        <f t="shared" si="9"/>
        <v>1280000</v>
      </c>
      <c r="T20" s="20">
        <f t="shared" si="10"/>
        <v>880000</v>
      </c>
      <c r="U20" s="20">
        <f t="shared" si="11"/>
        <v>720000</v>
      </c>
      <c r="AK20" s="32" t="s">
        <v>131</v>
      </c>
      <c r="AL20" s="332">
        <f t="shared" si="15"/>
        <v>0.19049999999999989</v>
      </c>
      <c r="AM20" s="332">
        <f t="shared" si="12"/>
        <v>-1.3125000000000053E-2</v>
      </c>
      <c r="AN20" s="332">
        <f t="shared" si="13"/>
        <v>9.0909090909090828E-2</v>
      </c>
      <c r="AO20" s="332">
        <f t="shared" si="14"/>
        <v>0.24777777777777787</v>
      </c>
    </row>
    <row r="21" spans="2:41" ht="15.75" x14ac:dyDescent="0.25">
      <c r="B21" s="32" t="s">
        <v>132</v>
      </c>
      <c r="C21" s="20">
        <v>1900</v>
      </c>
      <c r="D21" s="20">
        <v>1500</v>
      </c>
      <c r="E21" s="20">
        <v>1100</v>
      </c>
      <c r="F21" s="20">
        <v>800</v>
      </c>
      <c r="H21" s="32" t="s">
        <v>132</v>
      </c>
      <c r="I21" s="20">
        <v>2289</v>
      </c>
      <c r="J21" s="20">
        <v>1564</v>
      </c>
      <c r="K21" s="20">
        <v>1201</v>
      </c>
      <c r="L21" s="20">
        <v>884</v>
      </c>
      <c r="Q21" s="32" t="s">
        <v>132</v>
      </c>
      <c r="R21" s="20">
        <f t="shared" si="8"/>
        <v>912000</v>
      </c>
      <c r="S21" s="20">
        <f t="shared" si="9"/>
        <v>720000</v>
      </c>
      <c r="T21" s="20">
        <f t="shared" si="10"/>
        <v>528000</v>
      </c>
      <c r="U21" s="20">
        <f t="shared" si="11"/>
        <v>384000</v>
      </c>
      <c r="AK21" s="32" t="s">
        <v>132</v>
      </c>
      <c r="AL21" s="332">
        <f t="shared" si="15"/>
        <v>0.20473684210526311</v>
      </c>
      <c r="AM21" s="332">
        <f t="shared" si="12"/>
        <v>4.2666666666666631E-2</v>
      </c>
      <c r="AN21" s="332">
        <f t="shared" si="13"/>
        <v>9.1818181818181799E-2</v>
      </c>
      <c r="AO21" s="332">
        <f t="shared" si="14"/>
        <v>0.10499999999999998</v>
      </c>
    </row>
    <row r="22" spans="2:41" x14ac:dyDescent="0.2">
      <c r="I22" s="184">
        <f>+SUM(I15:I21)</f>
        <v>14850</v>
      </c>
      <c r="J22">
        <f t="shared" ref="J22" si="16">+SUM(J15:J21)</f>
        <v>10578</v>
      </c>
      <c r="K22">
        <f t="shared" ref="K22" si="17">+SUM(K15:K21)</f>
        <v>7894</v>
      </c>
      <c r="L22">
        <f t="shared" ref="L22" si="18">+SUM(L15:L21)</f>
        <v>6981</v>
      </c>
    </row>
    <row r="24" spans="2:41" ht="23.25" thickBot="1" x14ac:dyDescent="0.35">
      <c r="B24" s="2" t="s">
        <v>137</v>
      </c>
      <c r="C24" s="2"/>
      <c r="D24" s="2"/>
      <c r="E24" s="2"/>
      <c r="F24" s="2"/>
      <c r="H24" s="2" t="s">
        <v>138</v>
      </c>
      <c r="I24" s="2"/>
      <c r="J24" s="2"/>
      <c r="K24" s="2"/>
      <c r="L24" s="2"/>
      <c r="Q24" s="221" t="s">
        <v>183</v>
      </c>
      <c r="R24" s="2"/>
      <c r="S24" s="2"/>
      <c r="T24" s="2"/>
      <c r="U24" s="2"/>
      <c r="AK24" s="220" t="s">
        <v>146</v>
      </c>
      <c r="AL24" s="2"/>
      <c r="AM24" s="2"/>
      <c r="AN24" s="2"/>
      <c r="AO24" s="2"/>
    </row>
    <row r="25" spans="2:41" ht="16.5" thickTop="1" x14ac:dyDescent="0.25">
      <c r="B25" s="18" t="s">
        <v>16</v>
      </c>
      <c r="C25" s="35" t="s">
        <v>2</v>
      </c>
      <c r="D25" s="35" t="s">
        <v>3</v>
      </c>
      <c r="E25" s="35" t="s">
        <v>4</v>
      </c>
      <c r="F25" s="35" t="s">
        <v>5</v>
      </c>
      <c r="H25" s="18" t="s">
        <v>16</v>
      </c>
      <c r="I25" s="35" t="s">
        <v>2</v>
      </c>
      <c r="J25" s="35" t="s">
        <v>3</v>
      </c>
      <c r="K25" s="35" t="s">
        <v>4</v>
      </c>
      <c r="L25" s="35" t="s">
        <v>5</v>
      </c>
      <c r="Q25" s="18" t="s">
        <v>16</v>
      </c>
      <c r="R25" s="35" t="s">
        <v>2</v>
      </c>
      <c r="S25" s="35" t="s">
        <v>3</v>
      </c>
      <c r="T25" s="35" t="s">
        <v>4</v>
      </c>
      <c r="U25" s="35" t="s">
        <v>5</v>
      </c>
      <c r="AK25" s="18" t="s">
        <v>16</v>
      </c>
      <c r="AL25" s="35" t="s">
        <v>2</v>
      </c>
      <c r="AM25" s="35" t="s">
        <v>3</v>
      </c>
      <c r="AN25" s="35" t="s">
        <v>4</v>
      </c>
      <c r="AO25" s="35" t="s">
        <v>5</v>
      </c>
    </row>
    <row r="26" spans="2:41" ht="15.75" x14ac:dyDescent="0.25">
      <c r="B26" s="32" t="s">
        <v>17</v>
      </c>
      <c r="C26" s="20">
        <v>2140</v>
      </c>
      <c r="D26" s="20">
        <v>1400</v>
      </c>
      <c r="E26" s="20">
        <v>1300</v>
      </c>
      <c r="F26" s="20">
        <v>1100</v>
      </c>
      <c r="H26" s="32" t="s">
        <v>17</v>
      </c>
      <c r="I26" s="20">
        <v>2396</v>
      </c>
      <c r="J26" s="20">
        <v>1288</v>
      </c>
      <c r="K26" s="20">
        <v>1536</v>
      </c>
      <c r="L26" s="20">
        <v>1249</v>
      </c>
      <c r="Q26" s="32" t="s">
        <v>17</v>
      </c>
      <c r="R26" s="20">
        <f t="shared" ref="R26:R32" si="19">+C26*VLOOKUP($Q26,$N$4:$O$10,2,FALSE)</f>
        <v>1605000</v>
      </c>
      <c r="S26" s="20">
        <f t="shared" ref="S26:S32" si="20">+D26*VLOOKUP($Q26,$N$4:$O$10,2,FALSE)</f>
        <v>1050000</v>
      </c>
      <c r="T26" s="20">
        <f t="shared" ref="T26:T32" si="21">+E26*VLOOKUP($Q26,$N$4:$O$10,2,FALSE)</f>
        <v>975000</v>
      </c>
      <c r="U26" s="20">
        <f t="shared" ref="U26:U32" si="22">+F26*VLOOKUP($Q26,$N$4:$O$10,2,FALSE)</f>
        <v>825000</v>
      </c>
      <c r="AK26" s="32" t="s">
        <v>17</v>
      </c>
      <c r="AL26" s="332">
        <f>+(I26/C26)-1</f>
        <v>0.11962616822429917</v>
      </c>
      <c r="AM26" s="332">
        <f t="shared" ref="AM26:AM32" si="23">+(J26/D26)-1</f>
        <v>-7.999999999999996E-2</v>
      </c>
      <c r="AN26" s="332">
        <f t="shared" ref="AN26:AN32" si="24">+(K26/E26)-1</f>
        <v>0.18153846153846165</v>
      </c>
      <c r="AO26" s="332">
        <f t="shared" ref="AO26:AO32" si="25">+(L26/F26)-1</f>
        <v>0.13545454545454549</v>
      </c>
    </row>
    <row r="27" spans="2:41" ht="15.75" x14ac:dyDescent="0.25">
      <c r="B27" s="32" t="s">
        <v>18</v>
      </c>
      <c r="C27" s="20">
        <v>3210</v>
      </c>
      <c r="D27" s="20">
        <v>2100</v>
      </c>
      <c r="E27" s="20">
        <v>1900</v>
      </c>
      <c r="F27" s="20">
        <v>1700</v>
      </c>
      <c r="H27" s="32" t="s">
        <v>18</v>
      </c>
      <c r="I27" s="20">
        <v>3619</v>
      </c>
      <c r="J27" s="20">
        <v>2086</v>
      </c>
      <c r="K27" s="20">
        <v>2028</v>
      </c>
      <c r="L27" s="20">
        <v>2129</v>
      </c>
      <c r="Q27" s="32" t="s">
        <v>18</v>
      </c>
      <c r="R27" s="20">
        <f t="shared" si="19"/>
        <v>2086500</v>
      </c>
      <c r="S27" s="20">
        <f t="shared" si="20"/>
        <v>1365000</v>
      </c>
      <c r="T27" s="20">
        <f t="shared" si="21"/>
        <v>1235000</v>
      </c>
      <c r="U27" s="20">
        <f t="shared" si="22"/>
        <v>1105000</v>
      </c>
      <c r="AK27" s="32" t="s">
        <v>18</v>
      </c>
      <c r="AL27" s="332">
        <f t="shared" ref="AL27:AL32" si="26">+(I27/C27)-1</f>
        <v>0.12741433021806858</v>
      </c>
      <c r="AM27" s="332">
        <f t="shared" si="23"/>
        <v>-6.6666666666667096E-3</v>
      </c>
      <c r="AN27" s="332">
        <f t="shared" si="24"/>
        <v>6.7368421052631522E-2</v>
      </c>
      <c r="AO27" s="332">
        <f t="shared" si="25"/>
        <v>0.25235294117647067</v>
      </c>
    </row>
    <row r="28" spans="2:41" ht="15.75" x14ac:dyDescent="0.25">
      <c r="B28" s="32" t="s">
        <v>130</v>
      </c>
      <c r="C28" s="20">
        <v>856</v>
      </c>
      <c r="D28" s="20">
        <v>600</v>
      </c>
      <c r="E28" s="20">
        <v>500</v>
      </c>
      <c r="F28" s="20">
        <v>500</v>
      </c>
      <c r="H28" s="32" t="s">
        <v>130</v>
      </c>
      <c r="I28" s="20">
        <v>878</v>
      </c>
      <c r="J28" s="20">
        <v>424</v>
      </c>
      <c r="K28" s="20">
        <v>467</v>
      </c>
      <c r="L28" s="20">
        <v>665</v>
      </c>
      <c r="Q28" s="32" t="s">
        <v>130</v>
      </c>
      <c r="R28" s="20">
        <f t="shared" si="19"/>
        <v>727600</v>
      </c>
      <c r="S28" s="20">
        <f t="shared" si="20"/>
        <v>510000</v>
      </c>
      <c r="T28" s="20">
        <f t="shared" si="21"/>
        <v>425000</v>
      </c>
      <c r="U28" s="20">
        <f t="shared" si="22"/>
        <v>425000</v>
      </c>
      <c r="AK28" s="32" t="s">
        <v>130</v>
      </c>
      <c r="AL28" s="332">
        <f t="shared" si="26"/>
        <v>2.5700934579439227E-2</v>
      </c>
      <c r="AM28" s="332">
        <f t="shared" si="23"/>
        <v>-0.29333333333333333</v>
      </c>
      <c r="AN28" s="332">
        <f t="shared" si="24"/>
        <v>-6.5999999999999948E-2</v>
      </c>
      <c r="AO28" s="332">
        <f t="shared" si="25"/>
        <v>0.33000000000000007</v>
      </c>
    </row>
    <row r="29" spans="2:41" ht="15.75" x14ac:dyDescent="0.25">
      <c r="B29" s="32" t="s">
        <v>19</v>
      </c>
      <c r="C29" s="20">
        <v>2568</v>
      </c>
      <c r="D29" s="20">
        <v>1700</v>
      </c>
      <c r="E29" s="20">
        <v>1500</v>
      </c>
      <c r="F29" s="20">
        <v>1300</v>
      </c>
      <c r="H29" s="32" t="s">
        <v>19</v>
      </c>
      <c r="I29" s="20">
        <v>2656</v>
      </c>
      <c r="J29" s="20">
        <v>1642</v>
      </c>
      <c r="K29" s="20">
        <v>1729</v>
      </c>
      <c r="L29" s="20">
        <v>1360</v>
      </c>
      <c r="Q29" s="32" t="s">
        <v>19</v>
      </c>
      <c r="R29" s="20">
        <f t="shared" si="19"/>
        <v>1027200</v>
      </c>
      <c r="S29" s="20">
        <f t="shared" si="20"/>
        <v>680000</v>
      </c>
      <c r="T29" s="20">
        <f t="shared" si="21"/>
        <v>600000</v>
      </c>
      <c r="U29" s="20">
        <f t="shared" si="22"/>
        <v>520000</v>
      </c>
      <c r="AK29" s="32" t="s">
        <v>19</v>
      </c>
      <c r="AL29" s="332">
        <f t="shared" si="26"/>
        <v>3.4267912772585563E-2</v>
      </c>
      <c r="AM29" s="332">
        <f t="shared" si="23"/>
        <v>-3.4117647058823475E-2</v>
      </c>
      <c r="AN29" s="332">
        <f t="shared" si="24"/>
        <v>0.15266666666666673</v>
      </c>
      <c r="AO29" s="332">
        <f t="shared" si="25"/>
        <v>4.6153846153846212E-2</v>
      </c>
    </row>
    <row r="30" spans="2:41" ht="15.75" x14ac:dyDescent="0.25">
      <c r="B30" s="32" t="s">
        <v>20</v>
      </c>
      <c r="C30" s="20">
        <v>1498</v>
      </c>
      <c r="D30" s="20">
        <v>1000</v>
      </c>
      <c r="E30" s="20">
        <v>900</v>
      </c>
      <c r="F30" s="20">
        <v>800</v>
      </c>
      <c r="H30" s="32" t="s">
        <v>20</v>
      </c>
      <c r="I30" s="20">
        <v>1837</v>
      </c>
      <c r="J30" s="20">
        <v>856</v>
      </c>
      <c r="K30" s="20">
        <v>998</v>
      </c>
      <c r="L30" s="20">
        <v>1267</v>
      </c>
      <c r="Q30" s="32" t="s">
        <v>20</v>
      </c>
      <c r="R30" s="20">
        <f t="shared" si="19"/>
        <v>1048600</v>
      </c>
      <c r="S30" s="20">
        <f t="shared" si="20"/>
        <v>700000</v>
      </c>
      <c r="T30" s="20">
        <f t="shared" si="21"/>
        <v>630000</v>
      </c>
      <c r="U30" s="20">
        <f t="shared" si="22"/>
        <v>560000</v>
      </c>
      <c r="AK30" s="32" t="s">
        <v>20</v>
      </c>
      <c r="AL30" s="332">
        <f t="shared" si="26"/>
        <v>0.22630173564753009</v>
      </c>
      <c r="AM30" s="332">
        <f t="shared" si="23"/>
        <v>-0.14400000000000002</v>
      </c>
      <c r="AN30" s="332">
        <f t="shared" si="24"/>
        <v>0.10888888888888881</v>
      </c>
      <c r="AO30" s="332">
        <f t="shared" si="25"/>
        <v>0.58374999999999999</v>
      </c>
    </row>
    <row r="31" spans="2:41" ht="15.75" x14ac:dyDescent="0.25">
      <c r="B31" s="32" t="s">
        <v>131</v>
      </c>
      <c r="C31" s="20">
        <v>2140</v>
      </c>
      <c r="D31" s="20">
        <v>1400</v>
      </c>
      <c r="E31" s="20">
        <v>1300</v>
      </c>
      <c r="F31" s="20">
        <v>1100</v>
      </c>
      <c r="H31" s="32" t="s">
        <v>131</v>
      </c>
      <c r="I31" s="20">
        <v>2927</v>
      </c>
      <c r="J31" s="20">
        <v>1462</v>
      </c>
      <c r="K31" s="20">
        <v>1511</v>
      </c>
      <c r="L31" s="20">
        <v>1578</v>
      </c>
      <c r="Q31" s="32" t="s">
        <v>131</v>
      </c>
      <c r="R31" s="20">
        <f t="shared" si="19"/>
        <v>1712000</v>
      </c>
      <c r="S31" s="20">
        <f t="shared" si="20"/>
        <v>1120000</v>
      </c>
      <c r="T31" s="20">
        <f t="shared" si="21"/>
        <v>1040000</v>
      </c>
      <c r="U31" s="20">
        <f t="shared" si="22"/>
        <v>880000</v>
      </c>
      <c r="AK31" s="32" t="s">
        <v>131</v>
      </c>
      <c r="AL31" s="332">
        <f t="shared" si="26"/>
        <v>0.36775700934579447</v>
      </c>
      <c r="AM31" s="332">
        <f t="shared" si="23"/>
        <v>4.4285714285714262E-2</v>
      </c>
      <c r="AN31" s="332">
        <f t="shared" si="24"/>
        <v>0.16230769230769226</v>
      </c>
      <c r="AO31" s="332">
        <f t="shared" si="25"/>
        <v>0.43454545454545457</v>
      </c>
    </row>
    <row r="32" spans="2:41" ht="15.75" x14ac:dyDescent="0.25">
      <c r="B32" s="32" t="s">
        <v>132</v>
      </c>
      <c r="C32" s="20">
        <v>2033</v>
      </c>
      <c r="D32" s="20">
        <v>1400</v>
      </c>
      <c r="E32" s="20">
        <v>1200</v>
      </c>
      <c r="F32" s="20">
        <v>1100</v>
      </c>
      <c r="H32" s="32" t="s">
        <v>132</v>
      </c>
      <c r="I32" s="20">
        <v>2600</v>
      </c>
      <c r="J32" s="20">
        <v>1210</v>
      </c>
      <c r="K32" s="20">
        <v>1347</v>
      </c>
      <c r="L32" s="20">
        <v>1467</v>
      </c>
      <c r="Q32" s="32" t="s">
        <v>132</v>
      </c>
      <c r="R32" s="20">
        <f t="shared" si="19"/>
        <v>975840</v>
      </c>
      <c r="S32" s="20">
        <f t="shared" si="20"/>
        <v>672000</v>
      </c>
      <c r="T32" s="20">
        <f t="shared" si="21"/>
        <v>576000</v>
      </c>
      <c r="U32" s="20">
        <f t="shared" si="22"/>
        <v>528000</v>
      </c>
      <c r="AK32" s="32" t="s">
        <v>132</v>
      </c>
      <c r="AL32" s="332">
        <f t="shared" si="26"/>
        <v>0.27889818002951294</v>
      </c>
      <c r="AM32" s="332">
        <f t="shared" si="23"/>
        <v>-0.13571428571428568</v>
      </c>
      <c r="AN32" s="332">
        <f t="shared" si="24"/>
        <v>0.12250000000000005</v>
      </c>
      <c r="AO32" s="332">
        <f t="shared" si="25"/>
        <v>0.33363636363636373</v>
      </c>
    </row>
    <row r="33" spans="9:12" x14ac:dyDescent="0.2">
      <c r="I33" s="184">
        <f>+SUM(I26:I32)</f>
        <v>16913</v>
      </c>
      <c r="J33">
        <f t="shared" ref="J33" si="27">+SUM(J26:J32)</f>
        <v>8968</v>
      </c>
      <c r="K33">
        <f t="shared" ref="K33" si="28">+SUM(K26:K32)</f>
        <v>9616</v>
      </c>
      <c r="L33">
        <f t="shared" ref="L33" si="29">+SUM(L26:L32)</f>
        <v>9715</v>
      </c>
    </row>
  </sheetData>
  <pageMargins left="0.7" right="0.43" top="0.75" bottom="0.75" header="0.3" footer="0.3"/>
  <pageSetup paperSize="9" scale="42" orientation="landscape" r:id="rId4"/>
  <headerFooter>
    <oddHeader>&amp;C&amp;14Sheet: &amp;A</oddHeader>
    <oddFooter>&amp;L&amp;11Group 28's Business Model&amp;C&amp;11&amp;P&amp;R&amp;11SP52/2016-BX2016</oddFooter>
  </headerFooter>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B2:O43"/>
  <sheetViews>
    <sheetView zoomScale="80" zoomScaleNormal="80" workbookViewId="0">
      <pane xSplit="2" ySplit="3" topLeftCell="C35" activePane="bottomRight" state="frozen"/>
      <selection activeCell="D21" sqref="D21"/>
      <selection pane="topRight" activeCell="D21" sqref="D21"/>
      <selection pane="bottomLeft" activeCell="D21" sqref="D21"/>
      <selection pane="bottomRight" activeCell="I61" sqref="I61"/>
    </sheetView>
  </sheetViews>
  <sheetFormatPr defaultRowHeight="12.75" x14ac:dyDescent="0.2"/>
  <cols>
    <col min="2" max="2" width="14.42578125" customWidth="1"/>
    <col min="3" max="3" width="19.140625" customWidth="1"/>
    <col min="4" max="5" width="12" customWidth="1"/>
    <col min="6" max="6" width="10.85546875" customWidth="1"/>
    <col min="7" max="8" width="12.42578125" customWidth="1"/>
    <col min="9" max="9" width="14.28515625" customWidth="1"/>
    <col min="10" max="10" width="12.85546875" customWidth="1"/>
  </cols>
  <sheetData>
    <row r="2" spans="2:15" ht="19.5" thickBot="1" x14ac:dyDescent="0.35">
      <c r="B2" s="4" t="s">
        <v>0</v>
      </c>
      <c r="C2" s="5"/>
      <c r="D2" s="1"/>
      <c r="E2" s="1"/>
      <c r="F2" s="1"/>
      <c r="H2" s="3" t="s">
        <v>86</v>
      </c>
      <c r="I2" s="3"/>
      <c r="J2" s="3"/>
      <c r="K2" s="3"/>
      <c r="L2" s="3"/>
      <c r="M2" s="3"/>
      <c r="N2" s="3"/>
      <c r="O2" s="3"/>
    </row>
    <row r="3" spans="2:15" ht="15.75" x14ac:dyDescent="0.25">
      <c r="B3" s="13" t="s">
        <v>1</v>
      </c>
      <c r="C3" s="14" t="s">
        <v>2</v>
      </c>
      <c r="D3" s="14" t="s">
        <v>3</v>
      </c>
      <c r="E3" s="14" t="s">
        <v>4</v>
      </c>
      <c r="F3" s="15" t="s">
        <v>5</v>
      </c>
      <c r="H3" s="13" t="s">
        <v>1</v>
      </c>
      <c r="I3" s="14">
        <v>2012</v>
      </c>
      <c r="J3" s="14">
        <v>2013</v>
      </c>
      <c r="K3" s="15">
        <v>2014</v>
      </c>
      <c r="L3" s="189"/>
      <c r="M3" s="189"/>
      <c r="N3" s="189"/>
      <c r="O3" s="189"/>
    </row>
    <row r="4" spans="2:15" ht="15.75" x14ac:dyDescent="0.25">
      <c r="B4" s="16" t="s">
        <v>6</v>
      </c>
      <c r="C4" s="9">
        <f>Costs!C4</f>
        <v>1</v>
      </c>
      <c r="D4" s="9">
        <v>1</v>
      </c>
      <c r="E4" s="9">
        <f>Costs!E4</f>
        <v>1</v>
      </c>
      <c r="F4" s="9">
        <f>Costs!F4</f>
        <v>1</v>
      </c>
      <c r="H4" s="16" t="s">
        <v>6</v>
      </c>
      <c r="I4" s="25">
        <f>Costs!C12</f>
        <v>75000</v>
      </c>
      <c r="J4" s="25">
        <f>Costs!D12</f>
        <v>78000</v>
      </c>
      <c r="K4" s="25">
        <f>Costs!E12</f>
        <v>80000</v>
      </c>
      <c r="L4" s="181"/>
      <c r="M4" s="181"/>
      <c r="N4" s="181"/>
      <c r="O4" s="181"/>
    </row>
    <row r="5" spans="2:15" ht="15.75" x14ac:dyDescent="0.25">
      <c r="B5" s="16" t="s">
        <v>7</v>
      </c>
      <c r="C5" s="9">
        <f>Costs!C5</f>
        <v>2</v>
      </c>
      <c r="D5" s="9">
        <v>2</v>
      </c>
      <c r="E5" s="9">
        <f>Costs!E5</f>
        <v>1</v>
      </c>
      <c r="F5" s="9">
        <f>Costs!F5</f>
        <v>1</v>
      </c>
      <c r="H5" s="16" t="s">
        <v>7</v>
      </c>
      <c r="I5" s="25">
        <f>Costs!C13</f>
        <v>40000</v>
      </c>
      <c r="J5" s="25">
        <f>Costs!D13</f>
        <v>41000</v>
      </c>
      <c r="K5" s="25">
        <f>Costs!E13</f>
        <v>42000</v>
      </c>
      <c r="L5" s="181"/>
      <c r="M5" s="181"/>
      <c r="N5" s="181"/>
      <c r="O5" s="181"/>
    </row>
    <row r="6" spans="2:15" ht="16.5" thickBot="1" x14ac:dyDescent="0.3">
      <c r="B6" s="17" t="s">
        <v>8</v>
      </c>
      <c r="C6" s="9">
        <f>Costs!C6</f>
        <v>10</v>
      </c>
      <c r="D6" s="9">
        <v>9</v>
      </c>
      <c r="E6" s="9">
        <f>Costs!E6</f>
        <v>5</v>
      </c>
      <c r="F6" s="9">
        <f>Costs!F6</f>
        <v>4</v>
      </c>
      <c r="H6" s="17" t="s">
        <v>8</v>
      </c>
      <c r="I6" s="25">
        <f>Costs!C14</f>
        <v>58000</v>
      </c>
      <c r="J6" s="25">
        <f>Costs!D14</f>
        <v>60000</v>
      </c>
      <c r="K6" s="25">
        <f>Costs!E14</f>
        <v>63000</v>
      </c>
      <c r="L6" s="181"/>
      <c r="M6" s="181"/>
      <c r="N6" s="181"/>
      <c r="O6" s="181"/>
    </row>
    <row r="10" spans="2:15" ht="19.5" thickBot="1" x14ac:dyDescent="0.35">
      <c r="B10" s="4" t="s">
        <v>82</v>
      </c>
      <c r="G10" s="4" t="s">
        <v>83</v>
      </c>
    </row>
    <row r="11" spans="2:15" ht="15.75" x14ac:dyDescent="0.25">
      <c r="B11" s="13" t="s">
        <v>1</v>
      </c>
      <c r="C11" s="14">
        <v>2012</v>
      </c>
      <c r="D11" s="14">
        <v>2013</v>
      </c>
      <c r="E11" s="15">
        <v>2014</v>
      </c>
      <c r="G11" s="13" t="s">
        <v>1</v>
      </c>
      <c r="H11" s="14">
        <v>2012</v>
      </c>
      <c r="I11" s="14">
        <v>2013</v>
      </c>
      <c r="J11" s="15">
        <v>2014</v>
      </c>
    </row>
    <row r="12" spans="2:15" ht="15.75" x14ac:dyDescent="0.25">
      <c r="B12" s="16" t="s">
        <v>6</v>
      </c>
      <c r="C12" s="25">
        <f>$C$4*I4</f>
        <v>75000</v>
      </c>
      <c r="D12" s="25">
        <f>$C$4*J4</f>
        <v>78000</v>
      </c>
      <c r="E12" s="25">
        <f>$C$4*K4</f>
        <v>80000</v>
      </c>
      <c r="G12" s="16" t="s">
        <v>6</v>
      </c>
      <c r="H12" s="25">
        <f>$D$4*I4</f>
        <v>75000</v>
      </c>
      <c r="I12" s="25">
        <f>$D$4*J4</f>
        <v>78000</v>
      </c>
      <c r="J12" s="25">
        <f>$D$4*K4</f>
        <v>80000</v>
      </c>
    </row>
    <row r="13" spans="2:15" ht="15.75" x14ac:dyDescent="0.25">
      <c r="B13" s="16" t="s">
        <v>7</v>
      </c>
      <c r="C13" s="25">
        <f>$C$5*I5</f>
        <v>80000</v>
      </c>
      <c r="D13" s="25">
        <f>$C$5*J5</f>
        <v>82000</v>
      </c>
      <c r="E13" s="25">
        <f>$C$5*K5</f>
        <v>84000</v>
      </c>
      <c r="G13" s="16" t="s">
        <v>7</v>
      </c>
      <c r="H13" s="25">
        <f>$D$5*I5</f>
        <v>80000</v>
      </c>
      <c r="I13" s="25">
        <f>$D$5*J5</f>
        <v>82000</v>
      </c>
      <c r="J13" s="25">
        <f>$D$5*K5</f>
        <v>84000</v>
      </c>
    </row>
    <row r="14" spans="2:15" ht="16.5" thickBot="1" x14ac:dyDescent="0.3">
      <c r="B14" s="17" t="s">
        <v>8</v>
      </c>
      <c r="C14" s="25">
        <f>$C$6*I6</f>
        <v>580000</v>
      </c>
      <c r="D14" s="25">
        <f>$C$6*J6</f>
        <v>600000</v>
      </c>
      <c r="E14" s="25">
        <f>$C$6*K6</f>
        <v>630000</v>
      </c>
      <c r="G14" s="17" t="s">
        <v>8</v>
      </c>
      <c r="H14" s="25">
        <f>$D$6*I6</f>
        <v>522000</v>
      </c>
      <c r="I14" s="25">
        <f>$D$6*J6</f>
        <v>540000</v>
      </c>
      <c r="J14" s="25">
        <f>$D$6*K6</f>
        <v>567000</v>
      </c>
    </row>
    <row r="18" spans="2:10" ht="19.5" thickBot="1" x14ac:dyDescent="0.35">
      <c r="B18" s="4" t="s">
        <v>84</v>
      </c>
      <c r="G18" s="4" t="s">
        <v>85</v>
      </c>
    </row>
    <row r="19" spans="2:10" ht="15.75" x14ac:dyDescent="0.25">
      <c r="B19" s="13" t="s">
        <v>1</v>
      </c>
      <c r="C19" s="14">
        <v>2012</v>
      </c>
      <c r="D19" s="14">
        <v>2013</v>
      </c>
      <c r="E19" s="15">
        <v>2014</v>
      </c>
      <c r="G19" s="13" t="s">
        <v>1</v>
      </c>
      <c r="H19" s="14">
        <v>2012</v>
      </c>
      <c r="I19" s="14">
        <v>2013</v>
      </c>
      <c r="J19" s="15">
        <v>2014</v>
      </c>
    </row>
    <row r="20" spans="2:10" ht="15.75" x14ac:dyDescent="0.25">
      <c r="B20" s="16" t="s">
        <v>6</v>
      </c>
      <c r="C20" s="25">
        <f>$E$4*I4</f>
        <v>75000</v>
      </c>
      <c r="D20" s="25">
        <f>$E$4*J4</f>
        <v>78000</v>
      </c>
      <c r="E20" s="25">
        <f>$E$4*K4</f>
        <v>80000</v>
      </c>
      <c r="G20" s="16" t="s">
        <v>6</v>
      </c>
      <c r="H20" s="25">
        <f>$F$4*I4</f>
        <v>75000</v>
      </c>
      <c r="I20" s="25">
        <f>$F$4*J4</f>
        <v>78000</v>
      </c>
      <c r="J20" s="25">
        <f>$F$4*K4</f>
        <v>80000</v>
      </c>
    </row>
    <row r="21" spans="2:10" ht="15.75" x14ac:dyDescent="0.25">
      <c r="B21" s="16" t="s">
        <v>7</v>
      </c>
      <c r="C21" s="25">
        <f>$E$5*I5</f>
        <v>40000</v>
      </c>
      <c r="D21" s="25">
        <f>$E$5*J5</f>
        <v>41000</v>
      </c>
      <c r="E21" s="25">
        <f>$E$5*K5</f>
        <v>42000</v>
      </c>
      <c r="G21" s="16" t="s">
        <v>7</v>
      </c>
      <c r="H21" s="25">
        <f>$F$5*I5</f>
        <v>40000</v>
      </c>
      <c r="I21" s="25">
        <f>$F$5*J5</f>
        <v>41000</v>
      </c>
      <c r="J21" s="25">
        <f>$F$5*K5</f>
        <v>42000</v>
      </c>
    </row>
    <row r="22" spans="2:10" ht="16.5" thickBot="1" x14ac:dyDescent="0.3">
      <c r="B22" s="17" t="s">
        <v>8</v>
      </c>
      <c r="C22" s="25">
        <f>$E$6*I6</f>
        <v>290000</v>
      </c>
      <c r="D22" s="25">
        <f>$E$6*J6</f>
        <v>300000</v>
      </c>
      <c r="E22" s="25">
        <f>$E$6*K6</f>
        <v>315000</v>
      </c>
      <c r="G22" s="17" t="s">
        <v>8</v>
      </c>
      <c r="H22" s="25">
        <f>$F$6*I6</f>
        <v>232000</v>
      </c>
      <c r="I22" s="25">
        <f>$F$6*J6</f>
        <v>240000</v>
      </c>
      <c r="J22" s="25">
        <f>$F$6*K6</f>
        <v>252000</v>
      </c>
    </row>
    <row r="26" spans="2:10" ht="19.5" thickBot="1" x14ac:dyDescent="0.35">
      <c r="B26" s="3" t="s">
        <v>87</v>
      </c>
      <c r="C26" s="1"/>
      <c r="D26" s="1"/>
      <c r="E26" s="1"/>
      <c r="F26" s="1"/>
      <c r="G26" s="1"/>
    </row>
    <row r="27" spans="2:10" ht="17.25" customHeight="1" x14ac:dyDescent="0.25">
      <c r="B27" s="13" t="s">
        <v>11</v>
      </c>
      <c r="C27" s="14" t="s">
        <v>2</v>
      </c>
      <c r="D27" s="14" t="s">
        <v>3</v>
      </c>
      <c r="E27" s="14" t="s">
        <v>4</v>
      </c>
      <c r="F27" s="14" t="s">
        <v>5</v>
      </c>
      <c r="G27" s="15" t="s">
        <v>12</v>
      </c>
    </row>
    <row r="28" spans="2:10" ht="17.25" customHeight="1" x14ac:dyDescent="0.25">
      <c r="B28" s="179">
        <v>2012</v>
      </c>
      <c r="C28" s="25">
        <f>+SUM(C12:C14)</f>
        <v>735000</v>
      </c>
      <c r="D28" s="25">
        <f>+SUM(H12:H14)</f>
        <v>677000</v>
      </c>
      <c r="E28" s="25">
        <f>+SUM(C20:C22)</f>
        <v>405000</v>
      </c>
      <c r="F28" s="25">
        <f>+SUM(H20:H22)</f>
        <v>347000</v>
      </c>
      <c r="G28" s="26">
        <f>SUM(C28:F28)</f>
        <v>2164000</v>
      </c>
    </row>
    <row r="29" spans="2:10" ht="17.25" customHeight="1" x14ac:dyDescent="0.25">
      <c r="B29" s="179">
        <v>2013</v>
      </c>
      <c r="C29" s="25">
        <f>+SUM(D12:D14)</f>
        <v>760000</v>
      </c>
      <c r="D29" s="25">
        <f>+SUM(I12:I14)</f>
        <v>700000</v>
      </c>
      <c r="E29" s="25">
        <f>+SUM(D20:D22)</f>
        <v>419000</v>
      </c>
      <c r="F29" s="25">
        <f>+SUM(I20:I22)</f>
        <v>359000</v>
      </c>
      <c r="G29" s="26">
        <f>SUM(C29:F29)</f>
        <v>2238000</v>
      </c>
    </row>
    <row r="30" spans="2:10" ht="17.25" customHeight="1" x14ac:dyDescent="0.25">
      <c r="B30" s="179">
        <v>2014</v>
      </c>
      <c r="C30" s="25">
        <f>+SUM(E12:E14)</f>
        <v>794000</v>
      </c>
      <c r="D30" s="25">
        <f>+SUM(J12:J14)</f>
        <v>731000</v>
      </c>
      <c r="E30" s="25">
        <f>+SUM(E20:E22)</f>
        <v>437000</v>
      </c>
      <c r="F30" s="25">
        <f>+SUM(J20:J22)</f>
        <v>374000</v>
      </c>
      <c r="G30" s="26">
        <f>SUM(C30:F30)</f>
        <v>2336000</v>
      </c>
    </row>
    <row r="31" spans="2:10" ht="17.25" customHeight="1" thickBot="1" x14ac:dyDescent="0.3">
      <c r="B31" s="180" t="s">
        <v>32</v>
      </c>
      <c r="C31" s="200">
        <f>+SUM(C28:C30)</f>
        <v>2289000</v>
      </c>
      <c r="D31" s="200">
        <f t="shared" ref="D31" si="0">+SUM(D28:D30)</f>
        <v>2108000</v>
      </c>
      <c r="E31" s="200">
        <f t="shared" ref="E31" si="1">+SUM(E28:E30)</f>
        <v>1261000</v>
      </c>
      <c r="F31" s="200">
        <f t="shared" ref="F31" si="2">+SUM(F28:F30)</f>
        <v>1080000</v>
      </c>
      <c r="G31" s="201">
        <f t="shared" ref="G31" si="3">+SUM(G28:G30)</f>
        <v>6738000</v>
      </c>
    </row>
    <row r="33" spans="2:7" x14ac:dyDescent="0.2">
      <c r="B33" s="171" t="s">
        <v>150</v>
      </c>
    </row>
    <row r="36" spans="2:7" x14ac:dyDescent="0.2">
      <c r="B36" s="182" t="s">
        <v>1</v>
      </c>
      <c r="C36" t="s">
        <v>31</v>
      </c>
    </row>
    <row r="38" spans="2:7" x14ac:dyDescent="0.2">
      <c r="B38" s="77" t="s">
        <v>88</v>
      </c>
      <c r="C38" s="77" t="s">
        <v>89</v>
      </c>
    </row>
    <row r="39" spans="2:7" x14ac:dyDescent="0.2">
      <c r="B39" s="77" t="s">
        <v>11</v>
      </c>
      <c r="C39" t="s">
        <v>2</v>
      </c>
      <c r="D39" t="s">
        <v>3</v>
      </c>
      <c r="E39" t="s">
        <v>4</v>
      </c>
      <c r="F39" t="s">
        <v>5</v>
      </c>
      <c r="G39" t="s">
        <v>32</v>
      </c>
    </row>
    <row r="40" spans="2:7" x14ac:dyDescent="0.2">
      <c r="B40" s="78">
        <v>2012</v>
      </c>
      <c r="C40" s="79">
        <v>735000</v>
      </c>
      <c r="D40" s="79">
        <v>677000</v>
      </c>
      <c r="E40" s="79">
        <v>405000</v>
      </c>
      <c r="F40" s="79">
        <v>347000</v>
      </c>
      <c r="G40" s="79">
        <v>2164000</v>
      </c>
    </row>
    <row r="41" spans="2:7" x14ac:dyDescent="0.2">
      <c r="B41" s="78">
        <v>2013</v>
      </c>
      <c r="C41" s="79">
        <v>760000</v>
      </c>
      <c r="D41" s="79">
        <v>700000</v>
      </c>
      <c r="E41" s="79">
        <v>419000</v>
      </c>
      <c r="F41" s="79">
        <v>359000</v>
      </c>
      <c r="G41" s="79">
        <v>2238000</v>
      </c>
    </row>
    <row r="42" spans="2:7" x14ac:dyDescent="0.2">
      <c r="B42" s="78">
        <v>2014</v>
      </c>
      <c r="C42" s="79">
        <v>794000</v>
      </c>
      <c r="D42" s="79">
        <v>731000</v>
      </c>
      <c r="E42" s="79">
        <v>437000</v>
      </c>
      <c r="F42" s="79">
        <v>374000</v>
      </c>
      <c r="G42" s="79">
        <v>2336000</v>
      </c>
    </row>
    <row r="43" spans="2:7" x14ac:dyDescent="0.2">
      <c r="B43" s="78" t="s">
        <v>32</v>
      </c>
      <c r="C43" s="79">
        <v>2289000</v>
      </c>
      <c r="D43" s="79">
        <v>2108000</v>
      </c>
      <c r="E43" s="79">
        <v>1261000</v>
      </c>
      <c r="F43" s="79">
        <v>1080000</v>
      </c>
      <c r="G43" s="79">
        <v>6738000</v>
      </c>
    </row>
  </sheetData>
  <scenarios current="0" show="0" sqref="D28:D31">
    <scenario name="Change staffing levels for Maroochydore" locked="1" count="3" user="Kim" comment="To test the scenario 2 with 6 staffs ( 1 Manager, 1 Admin, 4 Sales)_x000a_Modified by Kim on 9/11/2016">
      <inputCells r="D4" val="1"/>
      <inputCells r="D5" val="1"/>
      <inputCells r="D6" val="4"/>
    </scenario>
  </scenarios>
  <pageMargins left="0.7" right="0.43" top="0.75" bottom="0.75" header="0.3" footer="0.3"/>
  <pageSetup paperSize="9" scale="60" orientation="landscape" r:id="rId2"/>
  <headerFooter>
    <oddHeader>&amp;C&amp;14Sheet: &amp;A</oddHeader>
    <oddFooter>&amp;L&amp;11Group 28's Business Model&amp;C&amp;11&amp;P&amp;R&amp;11SP52/2016-BX2016</oddFooter>
  </headerFooter>
  <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pageSetUpPr fitToPage="1"/>
  </sheetPr>
  <dimension ref="B1:AD41"/>
  <sheetViews>
    <sheetView zoomScale="80" zoomScaleNormal="80" workbookViewId="0">
      <pane xSplit="4" ySplit="2" topLeftCell="V25" activePane="bottomRight" state="frozen"/>
      <selection activeCell="D21" sqref="D21"/>
      <selection pane="topRight" activeCell="D21" sqref="D21"/>
      <selection pane="bottomLeft" activeCell="D21" sqref="D21"/>
      <selection pane="bottomRight" activeCell="AC48" sqref="AC48"/>
    </sheetView>
  </sheetViews>
  <sheetFormatPr defaultRowHeight="12.75" x14ac:dyDescent="0.2"/>
  <cols>
    <col min="2" max="2" width="27.85546875" customWidth="1"/>
    <col min="3" max="3" width="10.42578125" customWidth="1"/>
    <col min="4" max="4" width="12.5703125" bestFit="1" customWidth="1"/>
    <col min="5" max="5" width="12.28515625" customWidth="1"/>
    <col min="6" max="6" width="8.28515625" customWidth="1"/>
    <col min="7" max="7" width="6.5703125" customWidth="1"/>
    <col min="8" max="8" width="23.5703125" customWidth="1"/>
    <col min="9" max="11" width="13.85546875" customWidth="1"/>
    <col min="12" max="12" width="13" customWidth="1"/>
    <col min="13" max="13" width="13.85546875" customWidth="1"/>
    <col min="15" max="15" width="14.42578125" customWidth="1"/>
    <col min="16" max="16" width="19.140625" customWidth="1"/>
    <col min="17" max="18" width="12" customWidth="1"/>
    <col min="19" max="19" width="8.140625" customWidth="1"/>
    <col min="20" max="20" width="12.42578125" customWidth="1"/>
    <col min="21" max="23" width="9.140625" customWidth="1"/>
    <col min="25" max="25" width="17" customWidth="1"/>
    <col min="26" max="26" width="19.140625" bestFit="1" customWidth="1"/>
    <col min="27" max="28" width="12" bestFit="1" customWidth="1"/>
    <col min="29" max="29" width="8.140625" bestFit="1" customWidth="1"/>
    <col min="30" max="30" width="12.42578125" bestFit="1" customWidth="1"/>
  </cols>
  <sheetData>
    <row r="1" spans="2:30" ht="20.25" thickBot="1" x14ac:dyDescent="0.35">
      <c r="H1" s="3" t="s">
        <v>117</v>
      </c>
      <c r="O1" s="77" t="s">
        <v>158</v>
      </c>
      <c r="P1" t="s">
        <v>31</v>
      </c>
      <c r="Q1" s="220" t="s">
        <v>205</v>
      </c>
      <c r="Y1" s="220" t="s">
        <v>204</v>
      </c>
    </row>
    <row r="2" spans="2:30" ht="20.25" thickTop="1" thickBot="1" x14ac:dyDescent="0.35">
      <c r="B2" s="24" t="s">
        <v>21</v>
      </c>
      <c r="C2" s="3"/>
      <c r="D2" s="396" t="s">
        <v>178</v>
      </c>
      <c r="E2" s="1" t="s">
        <v>22</v>
      </c>
      <c r="F2" s="1"/>
      <c r="H2" s="13" t="s">
        <v>11</v>
      </c>
      <c r="I2" s="14" t="s">
        <v>2</v>
      </c>
      <c r="J2" s="14" t="s">
        <v>3</v>
      </c>
      <c r="K2" s="14" t="s">
        <v>4</v>
      </c>
      <c r="L2" s="14" t="s">
        <v>5</v>
      </c>
      <c r="M2" s="15" t="s">
        <v>12</v>
      </c>
      <c r="Y2" s="77" t="s">
        <v>158</v>
      </c>
      <c r="Z2" t="s">
        <v>31</v>
      </c>
    </row>
    <row r="3" spans="2:30" ht="16.5" thickBot="1" x14ac:dyDescent="0.3">
      <c r="B3" s="6" t="s">
        <v>23</v>
      </c>
      <c r="C3" s="6"/>
      <c r="D3" s="1"/>
      <c r="E3" s="1"/>
      <c r="F3" s="1"/>
      <c r="H3" s="80">
        <v>2012</v>
      </c>
      <c r="I3" s="25">
        <f>+GETPIVOTDATA("Value",$O$3,"Column","Brisbane","Page1","2012")</f>
        <v>638080</v>
      </c>
      <c r="J3" s="25">
        <f>+GETPIVOTDATA("Value",$O$3,"Column","Gold Coast","Page1","2012")</f>
        <v>502379</v>
      </c>
      <c r="K3" s="25">
        <f>+GETPIVOTDATA("Value",$O$3,"Column","Townsville","Page1","2012")</f>
        <v>345058</v>
      </c>
      <c r="L3" s="25">
        <f>+GETPIVOTDATA("Value",$O$3,"Column","Cairns","Page1","2012")</f>
        <v>198504</v>
      </c>
      <c r="M3" s="26">
        <f>SUM(I3:L3)</f>
        <v>1684021</v>
      </c>
      <c r="N3" s="189"/>
      <c r="O3" s="77" t="s">
        <v>88</v>
      </c>
      <c r="P3" s="77" t="s">
        <v>89</v>
      </c>
    </row>
    <row r="4" spans="2:30" ht="15.75" x14ac:dyDescent="0.25">
      <c r="B4" s="23" t="s">
        <v>1</v>
      </c>
      <c r="C4" s="14" t="s">
        <v>2</v>
      </c>
      <c r="D4" s="14" t="s">
        <v>3</v>
      </c>
      <c r="E4" s="14" t="s">
        <v>4</v>
      </c>
      <c r="F4" s="15" t="s">
        <v>5</v>
      </c>
      <c r="H4" s="80">
        <v>2013</v>
      </c>
      <c r="I4" s="25">
        <f>+GETPIVOTDATA("Value",$O$3,"Column","Brisbane","Page1","2013")</f>
        <v>614152</v>
      </c>
      <c r="J4" s="25">
        <f>+GETPIVOTDATA("Value",$O$3,"Column","Gold Coast","Page1","2013")</f>
        <v>509713</v>
      </c>
      <c r="K4" s="25">
        <f>+GETPIVOTDATA("Value",$O$3,"Column","Townsville","Page1","2013")</f>
        <v>334495</v>
      </c>
      <c r="L4" s="25">
        <f>+GETPIVOTDATA("Value",$O$3,"Column","Cairns","Page1","2013")</f>
        <v>261915</v>
      </c>
      <c r="M4" s="26">
        <f>SUM(I4:L4)</f>
        <v>1720275</v>
      </c>
      <c r="N4" s="181"/>
      <c r="O4" s="77" t="s">
        <v>11</v>
      </c>
      <c r="P4" t="s">
        <v>2</v>
      </c>
      <c r="Q4" t="s">
        <v>3</v>
      </c>
      <c r="R4" t="s">
        <v>4</v>
      </c>
      <c r="S4" t="s">
        <v>5</v>
      </c>
      <c r="T4" t="s">
        <v>32</v>
      </c>
      <c r="Y4" s="77" t="s">
        <v>88</v>
      </c>
      <c r="Z4" s="77" t="s">
        <v>89</v>
      </c>
    </row>
    <row r="5" spans="2:30" ht="16.5" thickBot="1" x14ac:dyDescent="0.3">
      <c r="B5" s="24" t="s">
        <v>151</v>
      </c>
      <c r="C5" s="21">
        <f>+VLOOKUP(Group_Assigned,Costs!$B$36:$C$61,2,FALSE)</f>
        <v>3988</v>
      </c>
      <c r="D5" s="21">
        <f>+VLOOKUP(Group_Assigned,Costs!$B$36:$D$61,3,FALSE)</f>
        <v>3667</v>
      </c>
      <c r="E5" s="21">
        <f>+VLOOKUP(Group_Assigned,Costs!$B$36:$E$61,4,FALSE)</f>
        <v>3521</v>
      </c>
      <c r="F5" s="21">
        <f>+VLOOKUP(Group_Assigned,Costs!$B$36:$F$61,5,FALSE)</f>
        <v>2757</v>
      </c>
      <c r="H5" s="80">
        <v>2014</v>
      </c>
      <c r="I5" s="25">
        <f>+GETPIVOTDATA("Value",$O$3,"Column","Brisbane","Page1","2014")</f>
        <v>769684</v>
      </c>
      <c r="J5" s="25">
        <f>+GETPIVOTDATA("Value",$O$3,"Column","Gold Coast","Page1","2014")</f>
        <v>506046</v>
      </c>
      <c r="K5" s="25">
        <f>+GETPIVOTDATA("Value",$O$3,"Column","Townsville","Page1","2014")</f>
        <v>507024</v>
      </c>
      <c r="L5" s="25">
        <f>+GETPIVOTDATA("Value",$O$3,"Column","Cairns","Page1","2014")</f>
        <v>300513</v>
      </c>
      <c r="M5" s="26">
        <f>SUM(I5:L5)</f>
        <v>2083267</v>
      </c>
      <c r="N5" s="181"/>
      <c r="O5" s="78" t="s">
        <v>159</v>
      </c>
      <c r="P5" s="131">
        <v>638080</v>
      </c>
      <c r="Q5" s="131">
        <v>502379</v>
      </c>
      <c r="R5" s="131">
        <v>345058</v>
      </c>
      <c r="S5" s="131">
        <v>198504</v>
      </c>
      <c r="T5" s="131">
        <v>1684021</v>
      </c>
      <c r="Y5" s="77" t="s">
        <v>11</v>
      </c>
      <c r="Z5" t="s">
        <v>2</v>
      </c>
      <c r="AA5" t="s">
        <v>3</v>
      </c>
      <c r="AB5" t="s">
        <v>4</v>
      </c>
      <c r="AC5" t="s">
        <v>5</v>
      </c>
      <c r="AD5" t="s">
        <v>32</v>
      </c>
    </row>
    <row r="6" spans="2:30" ht="16.5" thickBot="1" x14ac:dyDescent="0.3">
      <c r="H6" s="81" t="s">
        <v>32</v>
      </c>
      <c r="I6" s="190">
        <f>+SUM(I3:I5)</f>
        <v>2021916</v>
      </c>
      <c r="J6" s="190">
        <f t="shared" ref="J6:M6" si="0">+SUM(J3:J5)</f>
        <v>1518138</v>
      </c>
      <c r="K6" s="190">
        <f t="shared" si="0"/>
        <v>1186577</v>
      </c>
      <c r="L6" s="190">
        <f t="shared" si="0"/>
        <v>760932</v>
      </c>
      <c r="M6" s="191">
        <f t="shared" si="0"/>
        <v>5487563</v>
      </c>
      <c r="N6" s="181"/>
      <c r="O6" s="78" t="s">
        <v>160</v>
      </c>
      <c r="P6" s="131">
        <v>614152</v>
      </c>
      <c r="Q6" s="131">
        <v>509713</v>
      </c>
      <c r="R6" s="131">
        <v>334495</v>
      </c>
      <c r="S6" s="131">
        <v>261915</v>
      </c>
      <c r="T6" s="131">
        <v>1720275</v>
      </c>
      <c r="Y6" s="78" t="s">
        <v>159</v>
      </c>
      <c r="Z6" s="131">
        <v>638080</v>
      </c>
      <c r="AA6" s="131">
        <v>502379</v>
      </c>
      <c r="AB6" s="131">
        <v>345058</v>
      </c>
      <c r="AC6" s="131">
        <v>198504</v>
      </c>
      <c r="AD6" s="131">
        <v>1684021</v>
      </c>
    </row>
    <row r="7" spans="2:30" x14ac:dyDescent="0.2">
      <c r="O7" s="78" t="s">
        <v>161</v>
      </c>
      <c r="P7" s="131">
        <v>769684</v>
      </c>
      <c r="Q7" s="131">
        <v>506046</v>
      </c>
      <c r="R7" s="131">
        <v>507024</v>
      </c>
      <c r="S7" s="131">
        <v>300513</v>
      </c>
      <c r="T7" s="131">
        <v>2083267</v>
      </c>
      <c r="Y7" s="78" t="s">
        <v>160</v>
      </c>
      <c r="Z7" s="131">
        <v>614152</v>
      </c>
      <c r="AA7" s="131">
        <v>509713</v>
      </c>
      <c r="AB7" s="131">
        <v>334495</v>
      </c>
      <c r="AC7" s="131">
        <v>261915</v>
      </c>
      <c r="AD7" s="131">
        <v>1720275</v>
      </c>
    </row>
    <row r="8" spans="2:30" ht="19.5" thickBot="1" x14ac:dyDescent="0.35">
      <c r="B8" s="2" t="s">
        <v>81</v>
      </c>
      <c r="C8" s="2"/>
      <c r="D8" s="2"/>
      <c r="E8" s="2"/>
      <c r="F8" s="2"/>
      <c r="H8" s="2" t="s">
        <v>162</v>
      </c>
      <c r="O8" s="78" t="s">
        <v>32</v>
      </c>
      <c r="P8" s="131">
        <v>2021916</v>
      </c>
      <c r="Q8" s="131">
        <v>1518138</v>
      </c>
      <c r="R8" s="131">
        <v>1186577</v>
      </c>
      <c r="S8" s="131">
        <v>760932</v>
      </c>
      <c r="T8" s="131">
        <v>5487563</v>
      </c>
      <c r="Y8" s="78" t="s">
        <v>161</v>
      </c>
      <c r="Z8" s="131">
        <v>769684</v>
      </c>
      <c r="AA8" s="131">
        <v>506046</v>
      </c>
      <c r="AB8" s="131">
        <v>507024</v>
      </c>
      <c r="AC8" s="131">
        <v>300513</v>
      </c>
      <c r="AD8" s="131">
        <v>2083267</v>
      </c>
    </row>
    <row r="9" spans="2:30" ht="15.75" x14ac:dyDescent="0.25">
      <c r="B9" s="23" t="s">
        <v>16</v>
      </c>
      <c r="C9" s="14" t="s">
        <v>2</v>
      </c>
      <c r="D9" s="14" t="s">
        <v>3</v>
      </c>
      <c r="E9" s="14" t="s">
        <v>4</v>
      </c>
      <c r="F9" s="15" t="s">
        <v>5</v>
      </c>
      <c r="H9" s="23" t="s">
        <v>16</v>
      </c>
      <c r="I9" s="14" t="s">
        <v>2</v>
      </c>
      <c r="J9" s="14" t="s">
        <v>3</v>
      </c>
      <c r="K9" s="14" t="s">
        <v>4</v>
      </c>
      <c r="L9" s="15" t="s">
        <v>5</v>
      </c>
      <c r="Y9" s="78" t="s">
        <v>32</v>
      </c>
      <c r="Z9" s="131">
        <v>2021916</v>
      </c>
      <c r="AA9" s="131">
        <v>1518138</v>
      </c>
      <c r="AB9" s="131">
        <v>1186577</v>
      </c>
      <c r="AC9" s="131">
        <v>760932</v>
      </c>
      <c r="AD9" s="131">
        <v>5487563</v>
      </c>
    </row>
    <row r="10" spans="2:30" ht="15.75" x14ac:dyDescent="0.25">
      <c r="B10" s="32" t="s">
        <v>17</v>
      </c>
      <c r="C10" s="30">
        <f>+VLOOKUP(B10,'Average Inventories &amp; Cost'!$B$4:$C$10,2,FALSE)</f>
        <v>19</v>
      </c>
      <c r="D10" s="30">
        <f>+VLOOKUP(B10,'Average Inventories &amp; Cost'!$B$4:$D$10,3,FALSE)</f>
        <v>23</v>
      </c>
      <c r="E10" s="30">
        <f>+VLOOKUP(B10,'Average Inventories &amp; Cost'!$B$4:$E$10,4,FALSE)</f>
        <v>18</v>
      </c>
      <c r="F10" s="31">
        <f>+VLOOKUP(B10,'Average Inventories &amp; Cost'!$B$4:$F$10,5,FALSE)</f>
        <v>15</v>
      </c>
      <c r="H10" s="32" t="s">
        <v>17</v>
      </c>
      <c r="I10" s="20">
        <f>+C10*C$5</f>
        <v>75772</v>
      </c>
      <c r="J10" s="20">
        <f t="shared" ref="J10:J16" si="1">+D10*D$5</f>
        <v>84341</v>
      </c>
      <c r="K10" s="20">
        <f t="shared" ref="K10:K16" si="2">+E10*E$5</f>
        <v>63378</v>
      </c>
      <c r="L10" s="186">
        <f t="shared" ref="L10:L16" si="3">+F10*F$5</f>
        <v>41355</v>
      </c>
    </row>
    <row r="11" spans="2:30" ht="15.75" x14ac:dyDescent="0.25">
      <c r="B11" s="32" t="s">
        <v>18</v>
      </c>
      <c r="C11" s="30">
        <f>+VLOOKUP(B11,'Average Inventories &amp; Cost'!$B$4:$C$10,2,FALSE)</f>
        <v>31</v>
      </c>
      <c r="D11" s="30">
        <f>+VLOOKUP(B11,'Average Inventories &amp; Cost'!$B$4:$D$10,3,FALSE)</f>
        <v>26</v>
      </c>
      <c r="E11" s="30">
        <f>+VLOOKUP(B11,'Average Inventories &amp; Cost'!$B$4:$E$10,4,FALSE)</f>
        <v>17</v>
      </c>
      <c r="F11" s="31">
        <f>+VLOOKUP(B11,'Average Inventories &amp; Cost'!$B$4:$F$10,5,FALSE)</f>
        <v>14</v>
      </c>
      <c r="H11" s="32" t="s">
        <v>18</v>
      </c>
      <c r="I11" s="20">
        <f t="shared" ref="I11:I16" si="4">+C11*C$5</f>
        <v>123628</v>
      </c>
      <c r="J11" s="20">
        <f t="shared" si="1"/>
        <v>95342</v>
      </c>
      <c r="K11" s="20">
        <f t="shared" si="2"/>
        <v>59857</v>
      </c>
      <c r="L11" s="186">
        <f t="shared" si="3"/>
        <v>38598</v>
      </c>
    </row>
    <row r="12" spans="2:30" ht="15.75" x14ac:dyDescent="0.25">
      <c r="B12" s="32" t="s">
        <v>130</v>
      </c>
      <c r="C12" s="30">
        <f>+VLOOKUP(B12,'Average Inventories &amp; Cost'!$B$4:$C$10,2,FALSE)</f>
        <v>14</v>
      </c>
      <c r="D12" s="30">
        <f>+VLOOKUP(B12,'Average Inventories &amp; Cost'!$B$4:$D$10,3,FALSE)</f>
        <v>13</v>
      </c>
      <c r="E12" s="30">
        <f>+VLOOKUP(B12,'Average Inventories &amp; Cost'!$B$4:$E$10,4,FALSE)</f>
        <v>10</v>
      </c>
      <c r="F12" s="31">
        <f>+VLOOKUP(B12,'Average Inventories &amp; Cost'!$B$4:$F$10,5,FALSE)</f>
        <v>9</v>
      </c>
      <c r="H12" s="32" t="s">
        <v>130</v>
      </c>
      <c r="I12" s="20">
        <f t="shared" si="4"/>
        <v>55832</v>
      </c>
      <c r="J12" s="20">
        <f t="shared" si="1"/>
        <v>47671</v>
      </c>
      <c r="K12" s="20">
        <f t="shared" si="2"/>
        <v>35210</v>
      </c>
      <c r="L12" s="186">
        <f t="shared" si="3"/>
        <v>24813</v>
      </c>
    </row>
    <row r="13" spans="2:30" ht="15.75" x14ac:dyDescent="0.25">
      <c r="B13" s="32" t="s">
        <v>19</v>
      </c>
      <c r="C13" s="30">
        <f>+VLOOKUP(B13,'Average Inventories &amp; Cost'!$B$4:$C$10,2,FALSE)</f>
        <v>31</v>
      </c>
      <c r="D13" s="30">
        <f>+VLOOKUP(B13,'Average Inventories &amp; Cost'!$B$4:$D$10,3,FALSE)</f>
        <v>20</v>
      </c>
      <c r="E13" s="30">
        <f>+VLOOKUP(B13,'Average Inventories &amp; Cost'!$B$4:$E$10,4,FALSE)</f>
        <v>19</v>
      </c>
      <c r="F13" s="31">
        <f>+VLOOKUP(B13,'Average Inventories &amp; Cost'!$B$4:$F$10,5,FALSE)</f>
        <v>12</v>
      </c>
      <c r="H13" s="32" t="s">
        <v>19</v>
      </c>
      <c r="I13" s="20">
        <f t="shared" si="4"/>
        <v>123628</v>
      </c>
      <c r="J13" s="20">
        <f t="shared" si="1"/>
        <v>73340</v>
      </c>
      <c r="K13" s="20">
        <f t="shared" si="2"/>
        <v>66899</v>
      </c>
      <c r="L13" s="186">
        <f t="shared" si="3"/>
        <v>33084</v>
      </c>
    </row>
    <row r="14" spans="2:30" ht="15.75" x14ac:dyDescent="0.25">
      <c r="B14" s="32" t="s">
        <v>20</v>
      </c>
      <c r="C14" s="30">
        <f>+VLOOKUP(B14,'Average Inventories &amp; Cost'!$B$4:$C$10,2,FALSE)</f>
        <v>16</v>
      </c>
      <c r="D14" s="30">
        <f>+VLOOKUP(B14,'Average Inventories &amp; Cost'!$B$4:$D$10,3,FALSE)</f>
        <v>15</v>
      </c>
      <c r="E14" s="30">
        <f>+VLOOKUP(B14,'Average Inventories &amp; Cost'!$B$4:$E$10,4,FALSE)</f>
        <v>11</v>
      </c>
      <c r="F14" s="31">
        <f>+VLOOKUP(B14,'Average Inventories &amp; Cost'!$B$4:$F$10,5,FALSE)</f>
        <v>7</v>
      </c>
      <c r="H14" s="32" t="s">
        <v>20</v>
      </c>
      <c r="I14" s="20">
        <f t="shared" si="4"/>
        <v>63808</v>
      </c>
      <c r="J14" s="20">
        <f t="shared" si="1"/>
        <v>55005</v>
      </c>
      <c r="K14" s="20">
        <f t="shared" si="2"/>
        <v>38731</v>
      </c>
      <c r="L14" s="186">
        <f t="shared" si="3"/>
        <v>19299</v>
      </c>
    </row>
    <row r="15" spans="2:30" ht="15.75" x14ac:dyDescent="0.25">
      <c r="B15" s="32" t="s">
        <v>131</v>
      </c>
      <c r="C15" s="30">
        <f>+VLOOKUP(B15,'Average Inventories &amp; Cost'!$B$4:$C$10,2,FALSE)</f>
        <v>24</v>
      </c>
      <c r="D15" s="30">
        <f>+VLOOKUP(B15,'Average Inventories &amp; Cost'!$B$4:$D$10,3,FALSE)</f>
        <v>23</v>
      </c>
      <c r="E15" s="30">
        <f>+VLOOKUP(B15,'Average Inventories &amp; Cost'!$B$4:$E$10,4,FALSE)</f>
        <v>14</v>
      </c>
      <c r="F15" s="31">
        <f>+VLOOKUP(B15,'Average Inventories &amp; Cost'!$B$4:$F$10,5,FALSE)</f>
        <v>7</v>
      </c>
      <c r="H15" s="32" t="s">
        <v>131</v>
      </c>
      <c r="I15" s="20">
        <f t="shared" si="4"/>
        <v>95712</v>
      </c>
      <c r="J15" s="20">
        <f t="shared" si="1"/>
        <v>84341</v>
      </c>
      <c r="K15" s="20">
        <f t="shared" si="2"/>
        <v>49294</v>
      </c>
      <c r="L15" s="186">
        <f t="shared" si="3"/>
        <v>19299</v>
      </c>
    </row>
    <row r="16" spans="2:30" ht="15.75" x14ac:dyDescent="0.25">
      <c r="B16" s="32" t="s">
        <v>132</v>
      </c>
      <c r="C16" s="30">
        <f>+VLOOKUP(B16,'Average Inventories &amp; Cost'!$B$4:$C$10,2,FALSE)</f>
        <v>25</v>
      </c>
      <c r="D16" s="30">
        <f>+VLOOKUP(B16,'Average Inventories &amp; Cost'!$B$4:$D$10,3,FALSE)</f>
        <v>17</v>
      </c>
      <c r="E16" s="30">
        <f>+VLOOKUP(B16,'Average Inventories &amp; Cost'!$B$4:$E$10,4,FALSE)</f>
        <v>9</v>
      </c>
      <c r="F16" s="31">
        <f>+VLOOKUP(B16,'Average Inventories &amp; Cost'!$B$4:$F$10,5,FALSE)</f>
        <v>8</v>
      </c>
      <c r="H16" s="32" t="s">
        <v>132</v>
      </c>
      <c r="I16" s="20">
        <f t="shared" si="4"/>
        <v>99700</v>
      </c>
      <c r="J16" s="20">
        <f t="shared" si="1"/>
        <v>62339</v>
      </c>
      <c r="K16" s="20">
        <f t="shared" si="2"/>
        <v>31689</v>
      </c>
      <c r="L16" s="186">
        <f t="shared" si="3"/>
        <v>22056</v>
      </c>
    </row>
    <row r="17" spans="2:12" ht="16.5" thickBot="1" x14ac:dyDescent="0.3">
      <c r="B17" s="24" t="s">
        <v>25</v>
      </c>
      <c r="C17" s="33">
        <f>SUM(C10:C16)</f>
        <v>160</v>
      </c>
      <c r="D17" s="33">
        <f>SUM(D10:D16)</f>
        <v>137</v>
      </c>
      <c r="E17" s="33">
        <f>SUM(E10:E16)</f>
        <v>98</v>
      </c>
      <c r="F17" s="34">
        <f>SUM(F10:F16)</f>
        <v>72</v>
      </c>
      <c r="H17" s="24" t="s">
        <v>25</v>
      </c>
      <c r="I17" s="195">
        <f>SUM(I10:I16)</f>
        <v>638080</v>
      </c>
      <c r="J17" s="195">
        <f>SUM(J10:J16)</f>
        <v>502379</v>
      </c>
      <c r="K17" s="195">
        <f>SUM(K10:K16)</f>
        <v>345058</v>
      </c>
      <c r="L17" s="196">
        <f>SUM(L10:L16)</f>
        <v>198504</v>
      </c>
    </row>
    <row r="18" spans="2:12" x14ac:dyDescent="0.2">
      <c r="I18" s="184"/>
    </row>
    <row r="20" spans="2:12" ht="19.5" thickBot="1" x14ac:dyDescent="0.35">
      <c r="B20" s="2" t="s">
        <v>133</v>
      </c>
      <c r="C20" s="2"/>
      <c r="D20" s="2"/>
      <c r="E20" s="2"/>
      <c r="F20" s="2"/>
      <c r="H20" s="2" t="s">
        <v>163</v>
      </c>
    </row>
    <row r="21" spans="2:12" ht="15.75" x14ac:dyDescent="0.25">
      <c r="B21" s="23" t="s">
        <v>16</v>
      </c>
      <c r="C21" s="14" t="s">
        <v>2</v>
      </c>
      <c r="D21" s="14" t="s">
        <v>3</v>
      </c>
      <c r="E21" s="14" t="s">
        <v>4</v>
      </c>
      <c r="F21" s="15" t="s">
        <v>5</v>
      </c>
      <c r="H21" s="18" t="s">
        <v>16</v>
      </c>
      <c r="I21" s="35" t="s">
        <v>2</v>
      </c>
      <c r="J21" s="35" t="s">
        <v>3</v>
      </c>
      <c r="K21" s="35" t="s">
        <v>4</v>
      </c>
      <c r="L21" s="35" t="s">
        <v>5</v>
      </c>
    </row>
    <row r="22" spans="2:12" ht="15.75" x14ac:dyDescent="0.25">
      <c r="B22" s="32" t="s">
        <v>17</v>
      </c>
      <c r="C22" s="30">
        <f>+VLOOKUP(B22,'Average Inventories &amp; Cost'!$B$15:$C$21,2,FALSE)</f>
        <v>24</v>
      </c>
      <c r="D22" s="30">
        <f>+VLOOKUP(B22,'Average Inventories &amp; Cost'!$B$15:$D$21,3,FALSE)</f>
        <v>25</v>
      </c>
      <c r="E22" s="30">
        <f>+VLOOKUP(B22,'Average Inventories &amp; Cost'!$B$15:$E$21,4,FALSE)</f>
        <v>15</v>
      </c>
      <c r="F22" s="30">
        <f>+VLOOKUP(B22,'Average Inventories &amp; Cost'!$B$15:$F$21,5,FALSE)</f>
        <v>13</v>
      </c>
      <c r="H22" s="19" t="s">
        <v>17</v>
      </c>
      <c r="I22" s="20">
        <f t="shared" ref="I22:I28" si="5">+C22*C$5</f>
        <v>95712</v>
      </c>
      <c r="J22" s="20">
        <f t="shared" ref="J22:J28" si="6">+D22*D$5</f>
        <v>91675</v>
      </c>
      <c r="K22" s="20">
        <f t="shared" ref="K22:K28" si="7">+E22*E$5</f>
        <v>52815</v>
      </c>
      <c r="L22" s="20">
        <f t="shared" ref="L22:L28" si="8">+F22*F$5</f>
        <v>35841</v>
      </c>
    </row>
    <row r="23" spans="2:12" ht="15.75" x14ac:dyDescent="0.25">
      <c r="B23" s="32" t="s">
        <v>18</v>
      </c>
      <c r="C23" s="30">
        <f>+VLOOKUP(B23,'Average Inventories &amp; Cost'!$B$15:$C$21,2,FALSE)</f>
        <v>30</v>
      </c>
      <c r="D23" s="30">
        <f>+VLOOKUP(B23,'Average Inventories &amp; Cost'!$B$15:$D$21,3,FALSE)</f>
        <v>26</v>
      </c>
      <c r="E23" s="30">
        <f>+VLOOKUP(B23,'Average Inventories &amp; Cost'!$B$15:$E$21,4,FALSE)</f>
        <v>16</v>
      </c>
      <c r="F23" s="30">
        <f>+VLOOKUP(B23,'Average Inventories &amp; Cost'!$B$15:$F$21,5,FALSE)</f>
        <v>14</v>
      </c>
      <c r="H23" s="19" t="s">
        <v>18</v>
      </c>
      <c r="I23" s="20">
        <f t="shared" si="5"/>
        <v>119640</v>
      </c>
      <c r="J23" s="20">
        <f t="shared" si="6"/>
        <v>95342</v>
      </c>
      <c r="K23" s="20">
        <f t="shared" si="7"/>
        <v>56336</v>
      </c>
      <c r="L23" s="20">
        <f t="shared" si="8"/>
        <v>38598</v>
      </c>
    </row>
    <row r="24" spans="2:12" ht="15.75" x14ac:dyDescent="0.25">
      <c r="B24" s="32" t="s">
        <v>130</v>
      </c>
      <c r="C24" s="30">
        <f>+VLOOKUP(B24,'Average Inventories &amp; Cost'!$B$15:$C$21,2,FALSE)</f>
        <v>10</v>
      </c>
      <c r="D24" s="30">
        <f>+VLOOKUP(B24,'Average Inventories &amp; Cost'!$B$15:$D$21,3,FALSE)</f>
        <v>12</v>
      </c>
      <c r="E24" s="30">
        <f>+VLOOKUP(B24,'Average Inventories &amp; Cost'!$B$15:$E$21,4,FALSE)</f>
        <v>9</v>
      </c>
      <c r="F24" s="30">
        <f>+VLOOKUP(B24,'Average Inventories &amp; Cost'!$B$15:$F$21,5,FALSE)</f>
        <v>8</v>
      </c>
      <c r="H24" s="19" t="s">
        <v>130</v>
      </c>
      <c r="I24" s="20">
        <f t="shared" si="5"/>
        <v>39880</v>
      </c>
      <c r="J24" s="20">
        <f t="shared" si="6"/>
        <v>44004</v>
      </c>
      <c r="K24" s="20">
        <f t="shared" si="7"/>
        <v>31689</v>
      </c>
      <c r="L24" s="20">
        <f t="shared" si="8"/>
        <v>22056</v>
      </c>
    </row>
    <row r="25" spans="2:12" ht="15.75" x14ac:dyDescent="0.25">
      <c r="B25" s="32" t="s">
        <v>19</v>
      </c>
      <c r="C25" s="30">
        <f>+VLOOKUP(B25,'Average Inventories &amp; Cost'!$B$15:$C$21,2,FALSE)</f>
        <v>24</v>
      </c>
      <c r="D25" s="30">
        <f>+VLOOKUP(B25,'Average Inventories &amp; Cost'!$B$15:$D$21,3,FALSE)</f>
        <v>18</v>
      </c>
      <c r="E25" s="30">
        <f>+VLOOKUP(B25,'Average Inventories &amp; Cost'!$B$15:$E$21,4,FALSE)</f>
        <v>14</v>
      </c>
      <c r="F25" s="30">
        <f>+VLOOKUP(B25,'Average Inventories &amp; Cost'!$B$15:$F$21,5,FALSE)</f>
        <v>19</v>
      </c>
      <c r="H25" s="19" t="s">
        <v>19</v>
      </c>
      <c r="I25" s="20">
        <f t="shared" si="5"/>
        <v>95712</v>
      </c>
      <c r="J25" s="20">
        <f t="shared" si="6"/>
        <v>66006</v>
      </c>
      <c r="K25" s="20">
        <f t="shared" si="7"/>
        <v>49294</v>
      </c>
      <c r="L25" s="20">
        <f t="shared" si="8"/>
        <v>52383</v>
      </c>
    </row>
    <row r="26" spans="2:12" ht="15.75" x14ac:dyDescent="0.25">
      <c r="B26" s="32" t="s">
        <v>20</v>
      </c>
      <c r="C26" s="30">
        <f>+VLOOKUP(B26,'Average Inventories &amp; Cost'!$B$15:$C$21,2,FALSE)</f>
        <v>14</v>
      </c>
      <c r="D26" s="30">
        <f>+VLOOKUP(B26,'Average Inventories &amp; Cost'!$B$15:$D$21,3,FALSE)</f>
        <v>12</v>
      </c>
      <c r="E26" s="30">
        <f>+VLOOKUP(B26,'Average Inventories &amp; Cost'!$B$15:$E$21,4,FALSE)</f>
        <v>11</v>
      </c>
      <c r="F26" s="30">
        <f>+VLOOKUP(B26,'Average Inventories &amp; Cost'!$B$15:$F$21,5,FALSE)</f>
        <v>10</v>
      </c>
      <c r="H26" s="19" t="s">
        <v>20</v>
      </c>
      <c r="I26" s="20">
        <f t="shared" si="5"/>
        <v>55832</v>
      </c>
      <c r="J26" s="20">
        <f t="shared" si="6"/>
        <v>44004</v>
      </c>
      <c r="K26" s="20">
        <f t="shared" si="7"/>
        <v>38731</v>
      </c>
      <c r="L26" s="20">
        <f t="shared" si="8"/>
        <v>27570</v>
      </c>
    </row>
    <row r="27" spans="2:12" ht="15.75" x14ac:dyDescent="0.25">
      <c r="B27" s="32" t="s">
        <v>131</v>
      </c>
      <c r="C27" s="30">
        <f>+VLOOKUP(B27,'Average Inventories &amp; Cost'!$B$15:$C$21,2,FALSE)</f>
        <v>27</v>
      </c>
      <c r="D27" s="30">
        <f>+VLOOKUP(B27,'Average Inventories &amp; Cost'!$B$15:$D$21,3,FALSE)</f>
        <v>25</v>
      </c>
      <c r="E27" s="30">
        <f>+VLOOKUP(B27,'Average Inventories &amp; Cost'!$B$15:$E$21,4,FALSE)</f>
        <v>13</v>
      </c>
      <c r="F27" s="30">
        <f>+VLOOKUP(B27,'Average Inventories &amp; Cost'!$B$15:$F$21,5,FALSE)</f>
        <v>15</v>
      </c>
      <c r="H27" s="19" t="s">
        <v>131</v>
      </c>
      <c r="I27" s="20">
        <f t="shared" si="5"/>
        <v>107676</v>
      </c>
      <c r="J27" s="20">
        <f t="shared" si="6"/>
        <v>91675</v>
      </c>
      <c r="K27" s="20">
        <f t="shared" si="7"/>
        <v>45773</v>
      </c>
      <c r="L27" s="20">
        <f t="shared" si="8"/>
        <v>41355</v>
      </c>
    </row>
    <row r="28" spans="2:12" ht="15.75" x14ac:dyDescent="0.25">
      <c r="B28" s="32" t="s">
        <v>132</v>
      </c>
      <c r="C28" s="30">
        <f>+VLOOKUP(B28,'Average Inventories &amp; Cost'!$B$15:$C$21,2,FALSE)</f>
        <v>25</v>
      </c>
      <c r="D28" s="30">
        <f>+VLOOKUP(B28,'Average Inventories &amp; Cost'!$B$15:$D$21,3,FALSE)</f>
        <v>21</v>
      </c>
      <c r="E28" s="30">
        <f>+VLOOKUP(B28,'Average Inventories &amp; Cost'!$B$15:$E$21,4,FALSE)</f>
        <v>17</v>
      </c>
      <c r="F28" s="30">
        <f>+VLOOKUP(B28,'Average Inventories &amp; Cost'!$B$15:$F$21,5,FALSE)</f>
        <v>16</v>
      </c>
      <c r="H28" s="19" t="s">
        <v>132</v>
      </c>
      <c r="I28" s="20">
        <f t="shared" si="5"/>
        <v>99700</v>
      </c>
      <c r="J28" s="20">
        <f t="shared" si="6"/>
        <v>77007</v>
      </c>
      <c r="K28" s="20">
        <f t="shared" si="7"/>
        <v>59857</v>
      </c>
      <c r="L28" s="20">
        <f t="shared" si="8"/>
        <v>44112</v>
      </c>
    </row>
    <row r="29" spans="2:12" ht="16.5" thickBot="1" x14ac:dyDescent="0.3">
      <c r="B29" s="24" t="s">
        <v>25</v>
      </c>
      <c r="C29" s="33">
        <f>SUM(C22:C28)</f>
        <v>154</v>
      </c>
      <c r="D29" s="33">
        <f>SUM(D22:D28)</f>
        <v>139</v>
      </c>
      <c r="E29" s="33">
        <f>SUM(E22:E28)</f>
        <v>95</v>
      </c>
      <c r="F29" s="34">
        <f>SUM(F22:F28)</f>
        <v>95</v>
      </c>
      <c r="H29" s="19" t="s">
        <v>25</v>
      </c>
      <c r="I29" s="199">
        <f>SUM(I22:I28)</f>
        <v>614152</v>
      </c>
      <c r="J29" s="199">
        <f>SUM(J22:J28)</f>
        <v>509713</v>
      </c>
      <c r="K29" s="199">
        <f>SUM(K22:K28)</f>
        <v>334495</v>
      </c>
      <c r="L29" s="199">
        <f>SUM(L22:L28)</f>
        <v>261915</v>
      </c>
    </row>
    <row r="32" spans="2:12" ht="19.5" thickBot="1" x14ac:dyDescent="0.35">
      <c r="B32" s="2" t="s">
        <v>134</v>
      </c>
      <c r="C32" s="2"/>
      <c r="D32" s="2"/>
      <c r="E32" s="2"/>
      <c r="F32" s="2"/>
      <c r="H32" s="2" t="s">
        <v>164</v>
      </c>
    </row>
    <row r="33" spans="2:12" ht="15.75" x14ac:dyDescent="0.25">
      <c r="B33" s="23" t="s">
        <v>16</v>
      </c>
      <c r="C33" s="14" t="s">
        <v>2</v>
      </c>
      <c r="D33" s="14" t="s">
        <v>3</v>
      </c>
      <c r="E33" s="14" t="s">
        <v>4</v>
      </c>
      <c r="F33" s="15" t="s">
        <v>5</v>
      </c>
      <c r="H33" s="23" t="s">
        <v>16</v>
      </c>
      <c r="I33" s="14" t="s">
        <v>2</v>
      </c>
      <c r="J33" s="14" t="s">
        <v>3</v>
      </c>
      <c r="K33" s="14" t="s">
        <v>4</v>
      </c>
      <c r="L33" s="15" t="s">
        <v>5</v>
      </c>
    </row>
    <row r="34" spans="2:12" ht="15.75" x14ac:dyDescent="0.25">
      <c r="B34" s="32" t="s">
        <v>17</v>
      </c>
      <c r="C34" s="30">
        <f>+VLOOKUP(B34,'Average Inventories &amp; Cost'!$B$26:$C$32,2,FALSE)</f>
        <v>28</v>
      </c>
      <c r="D34" s="30">
        <f>+VLOOKUP(B34,'Average Inventories &amp; Cost'!$B$26:$D$32,3,FALSE)</f>
        <v>20</v>
      </c>
      <c r="E34" s="30">
        <f>+VLOOKUP(B34,'Average Inventories &amp; Cost'!$B$26:$E$32,4,FALSE)</f>
        <v>25</v>
      </c>
      <c r="F34" s="30">
        <f>+VLOOKUP(B34,'Average Inventories &amp; Cost'!$B$26:$F$32,5,FALSE)</f>
        <v>13</v>
      </c>
      <c r="H34" s="32" t="s">
        <v>17</v>
      </c>
      <c r="I34" s="20">
        <f t="shared" ref="I34" si="9">+C34*C$5</f>
        <v>111664</v>
      </c>
      <c r="J34" s="20">
        <f t="shared" ref="J34:J40" si="10">+D34*D$5</f>
        <v>73340</v>
      </c>
      <c r="K34" s="20">
        <f t="shared" ref="K34:K40" si="11">+E34*E$5</f>
        <v>88025</v>
      </c>
      <c r="L34" s="20">
        <f t="shared" ref="L34:L40" si="12">+F34*F$5</f>
        <v>35841</v>
      </c>
    </row>
    <row r="35" spans="2:12" ht="15.75" x14ac:dyDescent="0.25">
      <c r="B35" s="32" t="s">
        <v>18</v>
      </c>
      <c r="C35" s="30">
        <f>+VLOOKUP(B35,'Average Inventories &amp; Cost'!$B$26:$C$32,2,FALSE)</f>
        <v>35</v>
      </c>
      <c r="D35" s="30">
        <f>+VLOOKUP(B35,'Average Inventories &amp; Cost'!$B$26:$D$32,3,FALSE)</f>
        <v>20</v>
      </c>
      <c r="E35" s="30">
        <f>+VLOOKUP(B35,'Average Inventories &amp; Cost'!$B$26:$E$32,4,FALSE)</f>
        <v>22</v>
      </c>
      <c r="F35" s="30">
        <f>+VLOOKUP(B35,'Average Inventories &amp; Cost'!$B$26:$F$32,5,FALSE)</f>
        <v>23</v>
      </c>
      <c r="H35" s="32" t="s">
        <v>18</v>
      </c>
      <c r="I35" s="20">
        <f t="shared" ref="I35:I40" si="13">+C35*C$5</f>
        <v>139580</v>
      </c>
      <c r="J35" s="20">
        <f t="shared" si="10"/>
        <v>73340</v>
      </c>
      <c r="K35" s="20">
        <f t="shared" si="11"/>
        <v>77462</v>
      </c>
      <c r="L35" s="20">
        <f t="shared" si="12"/>
        <v>63411</v>
      </c>
    </row>
    <row r="36" spans="2:12" ht="15.75" x14ac:dyDescent="0.25">
      <c r="B36" s="32" t="s">
        <v>130</v>
      </c>
      <c r="C36" s="30">
        <f>+VLOOKUP(B36,'Average Inventories &amp; Cost'!$B$26:$C$32,2,FALSE)</f>
        <v>14</v>
      </c>
      <c r="D36" s="30">
        <f>+VLOOKUP(B36,'Average Inventories &amp; Cost'!$B$26:$D$32,3,FALSE)</f>
        <v>19</v>
      </c>
      <c r="E36" s="30">
        <f>+VLOOKUP(B36,'Average Inventories &amp; Cost'!$B$26:$E$32,4,FALSE)</f>
        <v>6</v>
      </c>
      <c r="F36" s="30">
        <f>+VLOOKUP(B36,'Average Inventories &amp; Cost'!$B$26:$F$32,5,FALSE)</f>
        <v>5</v>
      </c>
      <c r="H36" s="32" t="s">
        <v>130</v>
      </c>
      <c r="I36" s="20">
        <f t="shared" si="13"/>
        <v>55832</v>
      </c>
      <c r="J36" s="20">
        <f t="shared" si="10"/>
        <v>69673</v>
      </c>
      <c r="K36" s="20">
        <f t="shared" si="11"/>
        <v>21126</v>
      </c>
      <c r="L36" s="20">
        <f t="shared" si="12"/>
        <v>13785</v>
      </c>
    </row>
    <row r="37" spans="2:12" ht="15.75" x14ac:dyDescent="0.25">
      <c r="B37" s="32" t="s">
        <v>19</v>
      </c>
      <c r="C37" s="30">
        <f>+VLOOKUP(B37,'Average Inventories &amp; Cost'!$B$26:$C$32,2,FALSE)</f>
        <v>32</v>
      </c>
      <c r="D37" s="30">
        <f>+VLOOKUP(B37,'Average Inventories &amp; Cost'!$B$26:$D$32,3,FALSE)</f>
        <v>26</v>
      </c>
      <c r="E37" s="30">
        <f>+VLOOKUP(B37,'Average Inventories &amp; Cost'!$B$26:$E$32,4,FALSE)</f>
        <v>28</v>
      </c>
      <c r="F37" s="30">
        <f>+VLOOKUP(B37,'Average Inventories &amp; Cost'!$B$26:$F$32,5,FALSE)</f>
        <v>17</v>
      </c>
      <c r="H37" s="32" t="s">
        <v>19</v>
      </c>
      <c r="I37" s="20">
        <f t="shared" si="13"/>
        <v>127616</v>
      </c>
      <c r="J37" s="20">
        <f t="shared" si="10"/>
        <v>95342</v>
      </c>
      <c r="K37" s="20">
        <f t="shared" si="11"/>
        <v>98588</v>
      </c>
      <c r="L37" s="20">
        <f t="shared" si="12"/>
        <v>46869</v>
      </c>
    </row>
    <row r="38" spans="2:12" ht="15.75" x14ac:dyDescent="0.25">
      <c r="B38" s="32" t="s">
        <v>20</v>
      </c>
      <c r="C38" s="30">
        <f>+VLOOKUP(B38,'Average Inventories &amp; Cost'!$B$26:$C$32,2,FALSE)</f>
        <v>27</v>
      </c>
      <c r="D38" s="30">
        <f>+VLOOKUP(B38,'Average Inventories &amp; Cost'!$B$26:$D$32,3,FALSE)</f>
        <v>12</v>
      </c>
      <c r="E38" s="30">
        <f>+VLOOKUP(B38,'Average Inventories &amp; Cost'!$B$26:$E$32,4,FALSE)</f>
        <v>16</v>
      </c>
      <c r="F38" s="30">
        <f>+VLOOKUP(B38,'Average Inventories &amp; Cost'!$B$26:$F$32,5,FALSE)</f>
        <v>17</v>
      </c>
      <c r="H38" s="32" t="s">
        <v>20</v>
      </c>
      <c r="I38" s="20">
        <f t="shared" si="13"/>
        <v>107676</v>
      </c>
      <c r="J38" s="20">
        <f t="shared" si="10"/>
        <v>44004</v>
      </c>
      <c r="K38" s="20">
        <f t="shared" si="11"/>
        <v>56336</v>
      </c>
      <c r="L38" s="20">
        <f t="shared" si="12"/>
        <v>46869</v>
      </c>
    </row>
    <row r="39" spans="2:12" ht="15.75" x14ac:dyDescent="0.25">
      <c r="B39" s="32" t="s">
        <v>131</v>
      </c>
      <c r="C39" s="30">
        <f>+VLOOKUP(B39,'Average Inventories &amp; Cost'!$B$26:$C$32,2,FALSE)</f>
        <v>34</v>
      </c>
      <c r="D39" s="30">
        <f>+VLOOKUP(B39,'Average Inventories &amp; Cost'!$B$26:$D$32,3,FALSE)</f>
        <v>27</v>
      </c>
      <c r="E39" s="30">
        <f>+VLOOKUP(B39,'Average Inventories &amp; Cost'!$B$26:$E$32,4,FALSE)</f>
        <v>23</v>
      </c>
      <c r="F39" s="30">
        <f>+VLOOKUP(B39,'Average Inventories &amp; Cost'!$B$26:$F$32,5,FALSE)</f>
        <v>16</v>
      </c>
      <c r="H39" s="32" t="s">
        <v>131</v>
      </c>
      <c r="I39" s="20">
        <f t="shared" si="13"/>
        <v>135592</v>
      </c>
      <c r="J39" s="20">
        <f t="shared" si="10"/>
        <v>99009</v>
      </c>
      <c r="K39" s="20">
        <f t="shared" si="11"/>
        <v>80983</v>
      </c>
      <c r="L39" s="20">
        <f t="shared" si="12"/>
        <v>44112</v>
      </c>
    </row>
    <row r="40" spans="2:12" ht="15.75" x14ac:dyDescent="0.25">
      <c r="B40" s="32" t="s">
        <v>132</v>
      </c>
      <c r="C40" s="30">
        <f>+VLOOKUP(B40,'Average Inventories &amp; Cost'!$B$26:$C$32,2,FALSE)</f>
        <v>23</v>
      </c>
      <c r="D40" s="30">
        <f>+VLOOKUP(B40,'Average Inventories &amp; Cost'!$B$26:$D$32,3,FALSE)</f>
        <v>14</v>
      </c>
      <c r="E40" s="30">
        <f>+VLOOKUP(B40,'Average Inventories &amp; Cost'!$B$26:$E$32,4,FALSE)</f>
        <v>24</v>
      </c>
      <c r="F40" s="30">
        <f>+VLOOKUP(B40,'Average Inventories &amp; Cost'!$B$26:$F$32,5,FALSE)</f>
        <v>18</v>
      </c>
      <c r="H40" s="32" t="s">
        <v>132</v>
      </c>
      <c r="I40" s="20">
        <f t="shared" si="13"/>
        <v>91724</v>
      </c>
      <c r="J40" s="20">
        <f t="shared" si="10"/>
        <v>51338</v>
      </c>
      <c r="K40" s="20">
        <f t="shared" si="11"/>
        <v>84504</v>
      </c>
      <c r="L40" s="20">
        <f t="shared" si="12"/>
        <v>49626</v>
      </c>
    </row>
    <row r="41" spans="2:12" ht="16.5" thickBot="1" x14ac:dyDescent="0.3">
      <c r="B41" s="24" t="s">
        <v>25</v>
      </c>
      <c r="C41" s="33">
        <f>SUM(C34:C40)</f>
        <v>193</v>
      </c>
      <c r="D41" s="33">
        <f>SUM(D34:D40)</f>
        <v>138</v>
      </c>
      <c r="E41" s="33">
        <f>SUM(E34:E40)</f>
        <v>144</v>
      </c>
      <c r="F41" s="34">
        <f>SUM(F34:F40)</f>
        <v>109</v>
      </c>
      <c r="H41" s="24" t="s">
        <v>25</v>
      </c>
      <c r="I41" s="187">
        <f>SUM(I34:I40)</f>
        <v>769684</v>
      </c>
      <c r="J41" s="187">
        <f>SUM(J34:J40)</f>
        <v>506046</v>
      </c>
      <c r="K41" s="187">
        <f>SUM(K34:K40)</f>
        <v>507024</v>
      </c>
      <c r="L41" s="188">
        <f>SUM(L34:L40)</f>
        <v>300513</v>
      </c>
    </row>
  </sheetData>
  <pageMargins left="0.7" right="0.43" top="0.75" bottom="0.75" header="0.3" footer="0.3"/>
  <pageSetup paperSize="9" scale="59" fitToHeight="0" orientation="landscape" r:id="rId3"/>
  <headerFooter>
    <oddHeader>&amp;C&amp;14Sheet: &amp;A</oddHeader>
    <oddFooter>&amp;L&amp;11Group 28's Business Model&amp;C&amp;11&amp;P&amp;R&amp;11SP52/2016-BX2016</oddFooter>
  </headerFooter>
  <drawing r:id="rId4"/>
  <legacy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B2:AC50"/>
  <sheetViews>
    <sheetView zoomScale="80" zoomScaleNormal="80" workbookViewId="0">
      <pane xSplit="2" ySplit="5" topLeftCell="J28" activePane="bottomRight" state="frozen"/>
      <selection activeCell="D21" sqref="D21"/>
      <selection pane="topRight" activeCell="D21" sqref="D21"/>
      <selection pane="bottomLeft" activeCell="D21" sqref="D21"/>
      <selection pane="bottomRight" activeCell="M48" sqref="M48"/>
    </sheetView>
  </sheetViews>
  <sheetFormatPr defaultRowHeight="12.75" x14ac:dyDescent="0.2"/>
  <cols>
    <col min="1" max="1" width="4.5703125" customWidth="1"/>
    <col min="2" max="2" width="23.7109375" customWidth="1"/>
    <col min="3" max="3" width="11" customWidth="1"/>
    <col min="4" max="4" width="13.85546875" customWidth="1"/>
    <col min="5" max="5" width="12.5703125" customWidth="1"/>
    <col min="6" max="6" width="12" customWidth="1"/>
    <col min="7" max="7" width="4.85546875" customWidth="1"/>
    <col min="8" max="8" width="22.140625" customWidth="1"/>
    <col min="9" max="9" width="22.5703125" customWidth="1"/>
    <col min="10" max="10" width="5" customWidth="1"/>
    <col min="11" max="11" width="23.140625" bestFit="1" customWidth="1"/>
    <col min="12" max="12" width="19.140625" customWidth="1"/>
    <col min="13" max="14" width="12" customWidth="1"/>
    <col min="15" max="15" width="12.28515625" bestFit="1" customWidth="1"/>
    <col min="16" max="16" width="5.28515625" customWidth="1"/>
    <col min="17" max="17" width="16.28515625" customWidth="1"/>
    <col min="18" max="18" width="19.140625" bestFit="1" customWidth="1"/>
    <col min="19" max="21" width="12.28515625" bestFit="1" customWidth="1"/>
    <col min="22" max="22" width="12.42578125" bestFit="1" customWidth="1"/>
    <col min="24" max="24" width="14.42578125" customWidth="1"/>
    <col min="25" max="25" width="19.140625" bestFit="1" customWidth="1"/>
    <col min="26" max="27" width="12" bestFit="1" customWidth="1"/>
    <col min="28" max="28" width="10.85546875" bestFit="1" customWidth="1"/>
    <col min="29" max="29" width="12.42578125" bestFit="1" customWidth="1"/>
  </cols>
  <sheetData>
    <row r="2" spans="2:29" x14ac:dyDescent="0.2">
      <c r="B2" s="158" t="s">
        <v>97</v>
      </c>
      <c r="C2" s="75"/>
      <c r="D2" s="75"/>
      <c r="E2" s="75"/>
      <c r="F2" s="75"/>
      <c r="G2" s="75"/>
      <c r="H2" s="75"/>
      <c r="I2" s="75"/>
      <c r="J2" s="75"/>
      <c r="K2" s="75"/>
      <c r="L2" s="75"/>
      <c r="M2" s="75"/>
      <c r="N2" s="75"/>
      <c r="O2" s="75"/>
      <c r="P2" s="75"/>
      <c r="Q2" s="158" t="s">
        <v>97</v>
      </c>
      <c r="R2" s="75"/>
      <c r="X2" s="77" t="s">
        <v>158</v>
      </c>
      <c r="Y2" t="s">
        <v>31</v>
      </c>
      <c r="Z2" s="75"/>
      <c r="AA2" s="75"/>
      <c r="AB2" s="75"/>
      <c r="AC2" s="75"/>
    </row>
    <row r="3" spans="2:29" x14ac:dyDescent="0.2">
      <c r="B3" s="75"/>
      <c r="C3" s="75"/>
      <c r="D3" s="75"/>
      <c r="E3" s="75"/>
      <c r="F3" s="75"/>
      <c r="G3" s="75"/>
      <c r="H3" s="75"/>
      <c r="I3" s="75"/>
      <c r="J3" s="75"/>
      <c r="K3" s="75"/>
      <c r="L3" s="75"/>
      <c r="M3" s="75"/>
      <c r="N3" s="75"/>
      <c r="O3" s="75"/>
      <c r="P3" s="75"/>
      <c r="Q3" s="75"/>
      <c r="R3" s="75"/>
      <c r="X3" s="75"/>
      <c r="Y3" s="75"/>
      <c r="Z3" s="75"/>
      <c r="AA3" s="75"/>
      <c r="AB3" s="75"/>
      <c r="AC3" s="75"/>
    </row>
    <row r="4" spans="2:29" x14ac:dyDescent="0.2">
      <c r="B4" s="6" t="s">
        <v>92</v>
      </c>
      <c r="C4" s="6"/>
      <c r="D4" s="6"/>
      <c r="E4" s="6"/>
      <c r="F4" s="6"/>
      <c r="G4" s="75"/>
      <c r="H4" s="158" t="s">
        <v>96</v>
      </c>
      <c r="I4" s="158"/>
      <c r="J4" s="75"/>
      <c r="K4" s="158" t="s">
        <v>98</v>
      </c>
      <c r="L4" s="6"/>
      <c r="M4" s="6"/>
      <c r="N4" s="6"/>
      <c r="O4" s="6"/>
      <c r="P4" s="75"/>
      <c r="Q4" s="158" t="s">
        <v>118</v>
      </c>
      <c r="R4" s="75"/>
      <c r="S4" s="75"/>
      <c r="T4" s="75"/>
      <c r="U4" s="75"/>
      <c r="V4" s="75"/>
      <c r="X4" s="77" t="s">
        <v>88</v>
      </c>
      <c r="Y4" s="77" t="s">
        <v>89</v>
      </c>
    </row>
    <row r="5" spans="2:29" ht="13.5" x14ac:dyDescent="0.25">
      <c r="B5" s="159" t="s">
        <v>16</v>
      </c>
      <c r="C5" s="160" t="s">
        <v>2</v>
      </c>
      <c r="D5" s="160" t="s">
        <v>3</v>
      </c>
      <c r="E5" s="160" t="s">
        <v>4</v>
      </c>
      <c r="F5" s="160" t="s">
        <v>5</v>
      </c>
      <c r="G5" s="75"/>
      <c r="H5" s="161" t="s">
        <v>16</v>
      </c>
      <c r="I5" s="162" t="s">
        <v>93</v>
      </c>
      <c r="J5" s="75"/>
      <c r="K5" s="159" t="s">
        <v>22</v>
      </c>
      <c r="L5" s="160" t="s">
        <v>2</v>
      </c>
      <c r="M5" s="160" t="s">
        <v>3</v>
      </c>
      <c r="N5" s="160" t="s">
        <v>4</v>
      </c>
      <c r="O5" s="160" t="s">
        <v>5</v>
      </c>
      <c r="P5" s="75"/>
      <c r="Q5" s="160" t="s">
        <v>11</v>
      </c>
      <c r="R5" s="160" t="s">
        <v>2</v>
      </c>
      <c r="S5" s="160" t="s">
        <v>3</v>
      </c>
      <c r="T5" s="160" t="s">
        <v>4</v>
      </c>
      <c r="U5" s="160" t="s">
        <v>5</v>
      </c>
      <c r="V5" s="160" t="s">
        <v>12</v>
      </c>
      <c r="X5" s="77" t="s">
        <v>11</v>
      </c>
      <c r="Y5" t="s">
        <v>2</v>
      </c>
      <c r="Z5" t="s">
        <v>3</v>
      </c>
      <c r="AA5" t="s">
        <v>4</v>
      </c>
      <c r="AB5" t="s">
        <v>5</v>
      </c>
      <c r="AC5" t="s">
        <v>32</v>
      </c>
    </row>
    <row r="6" spans="2:29" x14ac:dyDescent="0.2">
      <c r="B6" s="163" t="s">
        <v>17</v>
      </c>
      <c r="C6" s="164">
        <f>+VLOOKUP(B6,'Sales Target &amp; Actual'!$H$4:$I$10,2,FALSE)</f>
        <v>1837</v>
      </c>
      <c r="D6" s="164">
        <f>+VLOOKUP(B6,'Sales Target &amp; Actual'!$H$4:$J$10,3,FALSE)</f>
        <v>1316</v>
      </c>
      <c r="E6" s="164">
        <f>+VLOOKUP(B6,'Sales Target &amp; Actual'!$H$4:$K$10,4,FALSE)</f>
        <v>871</v>
      </c>
      <c r="F6" s="164">
        <f>+VLOOKUP(B6,'Sales Target &amp; Actual'!$H$4:$L$10,5,FALSE)</f>
        <v>683</v>
      </c>
      <c r="G6" s="75"/>
      <c r="H6" s="165" t="s">
        <v>17</v>
      </c>
      <c r="I6" s="166">
        <f>+VLOOKUP(H6,'Average Inventories &amp; Cost'!$H$4:$I$10,2,FALSE)</f>
        <v>635</v>
      </c>
      <c r="J6" s="75"/>
      <c r="K6" s="163" t="s">
        <v>17</v>
      </c>
      <c r="L6" s="164">
        <f>C6*$I$6</f>
        <v>1166495</v>
      </c>
      <c r="M6" s="164">
        <f t="shared" ref="M6:O6" si="0">D6*$I$6</f>
        <v>835660</v>
      </c>
      <c r="N6" s="164">
        <f t="shared" si="0"/>
        <v>553085</v>
      </c>
      <c r="O6" s="164">
        <f t="shared" si="0"/>
        <v>433705</v>
      </c>
      <c r="P6" s="75"/>
      <c r="Q6" s="192">
        <v>2012</v>
      </c>
      <c r="R6" s="170">
        <f>+GETPIVOTDATA("Value",$X$4,"Column","Brisbane","Page1","2012")</f>
        <v>7187875</v>
      </c>
      <c r="S6" s="170">
        <f>+GETPIVOTDATA("Value",$X$4,"Column","Gold Coast","Page1","2012")</f>
        <v>5497360</v>
      </c>
      <c r="T6" s="170">
        <f>+GETPIVOTDATA("Value",$X$4,"Column","Townsville","Page1","2012")</f>
        <v>3461355</v>
      </c>
      <c r="U6" s="170">
        <f>+GETPIVOTDATA("Value",$X$4,"Column","Cairns","Page1","2012")</f>
        <v>3058185</v>
      </c>
      <c r="V6" s="170">
        <f>SUM(R6:U6)</f>
        <v>19204775</v>
      </c>
      <c r="X6" s="78" t="s">
        <v>159</v>
      </c>
      <c r="Y6" s="131">
        <v>7187875</v>
      </c>
      <c r="Z6" s="131">
        <v>5497360</v>
      </c>
      <c r="AA6" s="131">
        <v>3461355</v>
      </c>
      <c r="AB6" s="131">
        <v>3058185</v>
      </c>
      <c r="AC6" s="131">
        <v>19204775</v>
      </c>
    </row>
    <row r="7" spans="2:29" x14ac:dyDescent="0.2">
      <c r="B7" s="163" t="s">
        <v>18</v>
      </c>
      <c r="C7" s="164">
        <f>+VLOOKUP(B7,'Sales Target &amp; Actual'!$H$4:$I$10,2,FALSE)</f>
        <v>3398</v>
      </c>
      <c r="D7" s="164">
        <f>+VLOOKUP(B7,'Sales Target &amp; Actual'!$H$4:$J$10,3,FALSE)</f>
        <v>2790</v>
      </c>
      <c r="E7" s="164">
        <f>+VLOOKUP(B7,'Sales Target &amp; Actual'!$H$4:$K$10,4,FALSE)</f>
        <v>1571</v>
      </c>
      <c r="F7" s="164">
        <f>+VLOOKUP(B7,'Sales Target &amp; Actual'!$H$4:$L$10,5,FALSE)</f>
        <v>1246</v>
      </c>
      <c r="G7" s="75"/>
      <c r="H7" s="163" t="s">
        <v>18</v>
      </c>
      <c r="I7" s="166">
        <f>+VLOOKUP(H7,'Average Inventories &amp; Cost'!$H$4:$I$10,2,FALSE)</f>
        <v>550</v>
      </c>
      <c r="J7" s="75"/>
      <c r="K7" s="163" t="s">
        <v>18</v>
      </c>
      <c r="L7" s="164">
        <f>C7*$I$7</f>
        <v>1868900</v>
      </c>
      <c r="M7" s="164">
        <f t="shared" ref="M7:O7" si="1">D7*$I$7</f>
        <v>1534500</v>
      </c>
      <c r="N7" s="164">
        <f t="shared" si="1"/>
        <v>864050</v>
      </c>
      <c r="O7" s="164">
        <f t="shared" si="1"/>
        <v>685300</v>
      </c>
      <c r="P7" s="75"/>
      <c r="Q7" s="192">
        <v>2013</v>
      </c>
      <c r="R7" s="170">
        <f>+GETPIVOTDATA("Value",$X$4,"Column","Brisbane","Page1","2013")</f>
        <v>7127170</v>
      </c>
      <c r="S7" s="170">
        <f>+GETPIVOTDATA("Value",$X$4,"Column","Gold Coast","Page1","2013")</f>
        <v>5131710</v>
      </c>
      <c r="T7" s="170">
        <f>+GETPIVOTDATA("Value",$X$4,"Column","Townsville","Page1","2013")</f>
        <v>3863560</v>
      </c>
      <c r="U7" s="170">
        <f>+GETPIVOTDATA("Value",$X$4,"Column","Cairns","Page1","2013")</f>
        <v>3486755</v>
      </c>
      <c r="V7" s="170">
        <f>SUM(R7:U7)</f>
        <v>19609195</v>
      </c>
      <c r="X7" s="78" t="s">
        <v>160</v>
      </c>
      <c r="Y7" s="131">
        <v>7127170</v>
      </c>
      <c r="Z7" s="131">
        <v>5131710</v>
      </c>
      <c r="AA7" s="131">
        <v>3863560</v>
      </c>
      <c r="AB7" s="131">
        <v>3486755</v>
      </c>
      <c r="AC7" s="131">
        <v>19609195</v>
      </c>
    </row>
    <row r="8" spans="2:29" x14ac:dyDescent="0.2">
      <c r="B8" s="163" t="s">
        <v>130</v>
      </c>
      <c r="C8" s="164">
        <f>+VLOOKUP(B8,'Sales Target &amp; Actual'!$H$4:$I$10,2,FALSE)</f>
        <v>884</v>
      </c>
      <c r="D8" s="164">
        <f>+VLOOKUP(B8,'Sales Target &amp; Actual'!$H$4:$J$10,3,FALSE)</f>
        <v>542</v>
      </c>
      <c r="E8" s="164">
        <f>+VLOOKUP(B8,'Sales Target &amp; Actual'!$H$4:$K$10,4,FALSE)</f>
        <v>516</v>
      </c>
      <c r="F8" s="164">
        <f>+VLOOKUP(B8,'Sales Target &amp; Actual'!$H$4:$L$10,5,FALSE)</f>
        <v>640</v>
      </c>
      <c r="G8" s="75"/>
      <c r="H8" s="163" t="s">
        <v>130</v>
      </c>
      <c r="I8" s="166">
        <f>+VLOOKUP(H8,'Average Inventories &amp; Cost'!$H$4:$I$10,2,FALSE)</f>
        <v>660</v>
      </c>
      <c r="J8" s="75"/>
      <c r="K8" s="163" t="s">
        <v>130</v>
      </c>
      <c r="L8" s="164">
        <f>C8*$I$8</f>
        <v>583440</v>
      </c>
      <c r="M8" s="164">
        <f t="shared" ref="M8:O8" si="2">D8*$I$8</f>
        <v>357720</v>
      </c>
      <c r="N8" s="164">
        <f t="shared" si="2"/>
        <v>340560</v>
      </c>
      <c r="O8" s="164">
        <f t="shared" si="2"/>
        <v>422400</v>
      </c>
      <c r="P8" s="75"/>
      <c r="Q8" s="192">
        <v>2014</v>
      </c>
      <c r="R8" s="170">
        <f>+GETPIVOTDATA("Value",$X$4,"Column","Brisbane","Page1","2014")</f>
        <v>8252900</v>
      </c>
      <c r="S8" s="170">
        <f>+GETPIVOTDATA("Value",$X$4,"Column","Gold Coast","Page1","2014")</f>
        <v>4357940</v>
      </c>
      <c r="T8" s="170">
        <f>+GETPIVOTDATA("Value",$X$4,"Column","Townsville","Page1","2014")</f>
        <v>4680620</v>
      </c>
      <c r="U8" s="170">
        <f>+GETPIVOTDATA("Value",$X$4,"Column","Cairns","Page1","2014")</f>
        <v>4782695</v>
      </c>
      <c r="V8" s="170">
        <f>SUM(R8:U8)</f>
        <v>22074155</v>
      </c>
      <c r="X8" s="78" t="s">
        <v>161</v>
      </c>
      <c r="Y8" s="131">
        <v>8252900</v>
      </c>
      <c r="Z8" s="131">
        <v>4357940</v>
      </c>
      <c r="AA8" s="131">
        <v>4680620</v>
      </c>
      <c r="AB8" s="131">
        <v>4782695</v>
      </c>
      <c r="AC8" s="131">
        <v>22074155</v>
      </c>
    </row>
    <row r="9" spans="2:29" x14ac:dyDescent="0.2">
      <c r="B9" s="163" t="s">
        <v>19</v>
      </c>
      <c r="C9" s="164">
        <f>+VLOOKUP(B9,'Sales Target &amp; Actual'!$H$4:$I$10,2,FALSE)</f>
        <v>2487</v>
      </c>
      <c r="D9" s="164">
        <f>+VLOOKUP(B9,'Sales Target &amp; Actual'!$H$4:$J$10,3,FALSE)</f>
        <v>1968</v>
      </c>
      <c r="E9" s="164">
        <f>+VLOOKUP(B9,'Sales Target &amp; Actual'!$H$4:$K$10,4,FALSE)</f>
        <v>1255</v>
      </c>
      <c r="F9" s="164">
        <f>+VLOOKUP(B9,'Sales Target &amp; Actual'!$H$4:$L$10,5,FALSE)</f>
        <v>1150</v>
      </c>
      <c r="G9" s="75"/>
      <c r="H9" s="163" t="s">
        <v>19</v>
      </c>
      <c r="I9" s="166">
        <f>+VLOOKUP(H9,'Average Inventories &amp; Cost'!$H$4:$I$10,2,FALSE)</f>
        <v>300</v>
      </c>
      <c r="J9" s="75"/>
      <c r="K9" s="163" t="s">
        <v>19</v>
      </c>
      <c r="L9" s="164">
        <f>C9*$I$9</f>
        <v>746100</v>
      </c>
      <c r="M9" s="164">
        <f t="shared" ref="M9:O9" si="3">D9*$I$9</f>
        <v>590400</v>
      </c>
      <c r="N9" s="164">
        <f t="shared" si="3"/>
        <v>376500</v>
      </c>
      <c r="O9" s="164">
        <f t="shared" si="3"/>
        <v>345000</v>
      </c>
      <c r="P9" s="75"/>
      <c r="Q9" s="192" t="s">
        <v>32</v>
      </c>
      <c r="R9" s="197">
        <f>+SUM(R6:R8)</f>
        <v>22567945</v>
      </c>
      <c r="S9" s="197">
        <f t="shared" ref="S9:V9" si="4">+SUM(S6:S8)</f>
        <v>14987010</v>
      </c>
      <c r="T9" s="197">
        <f t="shared" si="4"/>
        <v>12005535</v>
      </c>
      <c r="U9" s="197">
        <f t="shared" si="4"/>
        <v>11327635</v>
      </c>
      <c r="V9" s="197">
        <f t="shared" si="4"/>
        <v>60888125</v>
      </c>
      <c r="X9" s="78" t="s">
        <v>32</v>
      </c>
      <c r="Y9" s="131">
        <v>22567945</v>
      </c>
      <c r="Z9" s="131">
        <v>14987010</v>
      </c>
      <c r="AA9" s="131">
        <v>12005535</v>
      </c>
      <c r="AB9" s="131">
        <v>11327635</v>
      </c>
      <c r="AC9" s="131">
        <v>60888125</v>
      </c>
    </row>
    <row r="10" spans="2:29" x14ac:dyDescent="0.2">
      <c r="B10" s="163" t="s">
        <v>20</v>
      </c>
      <c r="C10" s="164">
        <f>+VLOOKUP(B10,'Sales Target &amp; Actual'!$H$4:$I$10,2,FALSE)</f>
        <v>1712</v>
      </c>
      <c r="D10" s="164">
        <f>+VLOOKUP(B10,'Sales Target &amp; Actual'!$H$4:$J$10,3,FALSE)</f>
        <v>1364</v>
      </c>
      <c r="E10" s="164">
        <f>+VLOOKUP(B10,'Sales Target &amp; Actual'!$H$4:$K$10,4,FALSE)</f>
        <v>714</v>
      </c>
      <c r="F10" s="164">
        <f>+VLOOKUP(B10,'Sales Target &amp; Actual'!$H$4:$L$10,5,FALSE)</f>
        <v>686</v>
      </c>
      <c r="G10" s="75"/>
      <c r="H10" s="163" t="s">
        <v>20</v>
      </c>
      <c r="I10" s="166">
        <f>+VLOOKUP(H10,'Average Inventories &amp; Cost'!$H$4:$I$10,2,FALSE)</f>
        <v>490</v>
      </c>
      <c r="J10" s="75"/>
      <c r="K10" s="163" t="s">
        <v>20</v>
      </c>
      <c r="L10" s="164">
        <f>C10*$I$10</f>
        <v>838880</v>
      </c>
      <c r="M10" s="164">
        <f t="shared" ref="M10:O10" si="5">D10*$I$10</f>
        <v>668360</v>
      </c>
      <c r="N10" s="164">
        <f t="shared" si="5"/>
        <v>349860</v>
      </c>
      <c r="O10" s="164">
        <f t="shared" si="5"/>
        <v>336140</v>
      </c>
      <c r="P10" s="75"/>
      <c r="Q10" s="75"/>
      <c r="R10" s="75"/>
      <c r="S10" s="75"/>
      <c r="T10" s="75"/>
      <c r="U10" s="75"/>
      <c r="V10" s="75"/>
    </row>
    <row r="11" spans="2:29" x14ac:dyDescent="0.2">
      <c r="B11" s="163" t="s">
        <v>131</v>
      </c>
      <c r="C11" s="164">
        <f>+VLOOKUP(B11,'Sales Target &amp; Actual'!$H$4:$I$10,2,FALSE)</f>
        <v>2238</v>
      </c>
      <c r="D11" s="164">
        <f>+VLOOKUP(B11,'Sales Target &amp; Actual'!$H$4:$J$10,3,FALSE)</f>
        <v>1709</v>
      </c>
      <c r="E11" s="164">
        <f>+VLOOKUP(B11,'Sales Target &amp; Actual'!$H$4:$K$10,4,FALSE)</f>
        <v>1104</v>
      </c>
      <c r="F11" s="164">
        <f>+VLOOKUP(B11,'Sales Target &amp; Actual'!$H$4:$L$10,5,FALSE)</f>
        <v>972</v>
      </c>
      <c r="G11" s="75"/>
      <c r="H11" s="163" t="s">
        <v>131</v>
      </c>
      <c r="I11" s="166">
        <f>+VLOOKUP(H11,'Average Inventories &amp; Cost'!$H$4:$I$10,2,FALSE)</f>
        <v>540</v>
      </c>
      <c r="J11" s="75"/>
      <c r="K11" s="163" t="s">
        <v>131</v>
      </c>
      <c r="L11" s="164">
        <f>C11*$I$11</f>
        <v>1208520</v>
      </c>
      <c r="M11" s="164">
        <f t="shared" ref="M11:O11" si="6">D11*$I$11</f>
        <v>922860</v>
      </c>
      <c r="N11" s="164">
        <f t="shared" si="6"/>
        <v>596160</v>
      </c>
      <c r="O11" s="164">
        <f t="shared" si="6"/>
        <v>524880</v>
      </c>
      <c r="P11" s="75"/>
    </row>
    <row r="12" spans="2:29" x14ac:dyDescent="0.2">
      <c r="B12" s="163" t="s">
        <v>132</v>
      </c>
      <c r="C12" s="164">
        <f>+VLOOKUP(B12,'Sales Target &amp; Actual'!$H$4:$I$10,2,FALSE)</f>
        <v>2281</v>
      </c>
      <c r="D12" s="164">
        <f>+VLOOKUP(B12,'Sales Target &amp; Actual'!$H$4:$J$10,3,FALSE)</f>
        <v>1729</v>
      </c>
      <c r="E12" s="164">
        <f>+VLOOKUP(B12,'Sales Target &amp; Actual'!$H$4:$K$10,4,FALSE)</f>
        <v>1121</v>
      </c>
      <c r="F12" s="164">
        <f>+VLOOKUP(B12,'Sales Target &amp; Actual'!$H$4:$L$10,5,FALSE)</f>
        <v>914</v>
      </c>
      <c r="G12" s="75"/>
      <c r="H12" s="163" t="s">
        <v>132</v>
      </c>
      <c r="I12" s="166">
        <f>+VLOOKUP(H12,'Average Inventories &amp; Cost'!$H$4:$I$10,2,FALSE)</f>
        <v>340</v>
      </c>
      <c r="J12" s="75"/>
      <c r="K12" s="163" t="s">
        <v>132</v>
      </c>
      <c r="L12" s="164">
        <f>C12*$I$12</f>
        <v>775540</v>
      </c>
      <c r="M12" s="164">
        <f t="shared" ref="M12:O12" si="7">D12*$I$12</f>
        <v>587860</v>
      </c>
      <c r="N12" s="164">
        <f t="shared" si="7"/>
        <v>381140</v>
      </c>
      <c r="O12" s="164">
        <f t="shared" si="7"/>
        <v>310760</v>
      </c>
      <c r="P12" s="75"/>
    </row>
    <row r="13" spans="2:29" x14ac:dyDescent="0.2">
      <c r="B13" s="163" t="s">
        <v>25</v>
      </c>
      <c r="C13" s="167">
        <f>SUM(C6:C12)</f>
        <v>14837</v>
      </c>
      <c r="D13" s="167">
        <f>SUM(D6:D12)</f>
        <v>11418</v>
      </c>
      <c r="E13" s="167">
        <f>SUM(E6:E12)</f>
        <v>7152</v>
      </c>
      <c r="F13" s="167">
        <f>SUM(F6:F12)</f>
        <v>6291</v>
      </c>
      <c r="G13" s="75"/>
      <c r="H13" s="75"/>
      <c r="I13" s="75"/>
      <c r="J13" s="75"/>
      <c r="K13" s="163" t="s">
        <v>25</v>
      </c>
      <c r="L13" s="164">
        <f>SUM(L6:L12)</f>
        <v>7187875</v>
      </c>
      <c r="M13" s="164">
        <f t="shared" ref="M13:O13" si="8">SUM(M6:M12)</f>
        <v>5497360</v>
      </c>
      <c r="N13" s="164">
        <f t="shared" si="8"/>
        <v>3461355</v>
      </c>
      <c r="O13" s="164">
        <f t="shared" si="8"/>
        <v>3058185</v>
      </c>
      <c r="P13" s="75"/>
    </row>
    <row r="14" spans="2:29" x14ac:dyDescent="0.2">
      <c r="B14" s="75"/>
      <c r="C14" s="185">
        <f>+C13-'Sales Target &amp; Actual'!I11</f>
        <v>0</v>
      </c>
      <c r="D14" s="185">
        <f>+D13-'Sales Target &amp; Actual'!J11</f>
        <v>0</v>
      </c>
      <c r="E14" s="185">
        <f>+E13-'Sales Target &amp; Actual'!K11</f>
        <v>0</v>
      </c>
      <c r="F14" s="185">
        <f>+F13-'Sales Target &amp; Actual'!L11</f>
        <v>0</v>
      </c>
      <c r="G14" s="75"/>
      <c r="H14" s="75"/>
      <c r="I14" s="75"/>
      <c r="J14" s="75"/>
      <c r="K14" s="75"/>
      <c r="L14" s="75"/>
      <c r="M14" s="75"/>
      <c r="N14" s="75"/>
      <c r="O14" s="75"/>
      <c r="P14" s="75"/>
    </row>
    <row r="15" spans="2:29" x14ac:dyDescent="0.2">
      <c r="B15" s="75"/>
      <c r="C15" s="75"/>
      <c r="D15" s="75"/>
      <c r="E15" s="75"/>
      <c r="F15" s="75"/>
      <c r="G15" s="75"/>
      <c r="H15" s="75"/>
      <c r="I15" s="75"/>
      <c r="J15" s="75"/>
      <c r="K15" s="75"/>
      <c r="L15" s="75"/>
      <c r="M15" s="75"/>
      <c r="N15" s="75"/>
      <c r="O15" s="75"/>
      <c r="P15" s="75"/>
    </row>
    <row r="16" spans="2:29" x14ac:dyDescent="0.2">
      <c r="B16" s="6" t="s">
        <v>136</v>
      </c>
      <c r="C16" s="6"/>
      <c r="D16" s="6"/>
      <c r="E16" s="6"/>
      <c r="F16" s="6"/>
      <c r="G16" s="75"/>
      <c r="H16" s="75"/>
      <c r="I16" s="75"/>
      <c r="J16" s="75"/>
      <c r="K16" s="158" t="s">
        <v>140</v>
      </c>
      <c r="L16" s="6"/>
      <c r="M16" s="6"/>
      <c r="N16" s="6"/>
      <c r="O16" s="6"/>
      <c r="P16" s="75"/>
    </row>
    <row r="17" spans="2:18" ht="13.5" x14ac:dyDescent="0.25">
      <c r="B17" s="159" t="s">
        <v>16</v>
      </c>
      <c r="C17" s="160" t="s">
        <v>2</v>
      </c>
      <c r="D17" s="160" t="s">
        <v>3</v>
      </c>
      <c r="E17" s="160" t="s">
        <v>4</v>
      </c>
      <c r="F17" s="160" t="s">
        <v>5</v>
      </c>
      <c r="G17" s="75"/>
      <c r="H17" s="75"/>
      <c r="I17" s="75"/>
      <c r="J17" s="75"/>
      <c r="K17" s="159" t="s">
        <v>22</v>
      </c>
      <c r="L17" s="160" t="s">
        <v>2</v>
      </c>
      <c r="M17" s="160" t="s">
        <v>3</v>
      </c>
      <c r="N17" s="160" t="s">
        <v>4</v>
      </c>
      <c r="O17" s="160" t="s">
        <v>5</v>
      </c>
      <c r="P17" s="75"/>
    </row>
    <row r="18" spans="2:18" x14ac:dyDescent="0.2">
      <c r="B18" s="163" t="s">
        <v>17</v>
      </c>
      <c r="C18" s="164">
        <f>+VLOOKUP(B18,'Sales Target &amp; Actual'!$H$15:$I$21,2,FALSE)</f>
        <v>1928</v>
      </c>
      <c r="D18" s="164">
        <f>+VLOOKUP(B18,'Sales Target &amp; Actual'!$H$15:$J$21,3,FALSE)</f>
        <v>1512</v>
      </c>
      <c r="E18" s="164">
        <f>+VLOOKUP(B18,'Sales Target &amp; Actual'!$H$15:$K$21,4,FALSE)</f>
        <v>1116</v>
      </c>
      <c r="F18" s="164">
        <f>+VLOOKUP(B18,'Sales Target &amp; Actual'!$H$15:$L$21,5,FALSE)</f>
        <v>1073</v>
      </c>
      <c r="G18" s="75"/>
      <c r="H18" s="75"/>
      <c r="I18" s="75"/>
      <c r="J18" s="75"/>
      <c r="K18" s="163" t="s">
        <v>17</v>
      </c>
      <c r="L18" s="164">
        <f>C18*$I$6</f>
        <v>1224280</v>
      </c>
      <c r="M18" s="164">
        <f t="shared" ref="M18" si="9">D18*$I$6</f>
        <v>960120</v>
      </c>
      <c r="N18" s="164">
        <f t="shared" ref="N18" si="10">E18*$I$6</f>
        <v>708660</v>
      </c>
      <c r="O18" s="164">
        <f t="shared" ref="O18" si="11">F18*$I$6</f>
        <v>681355</v>
      </c>
      <c r="P18" s="75"/>
    </row>
    <row r="19" spans="2:18" x14ac:dyDescent="0.2">
      <c r="B19" s="163" t="s">
        <v>18</v>
      </c>
      <c r="C19" s="164">
        <f>+VLOOKUP(B19,'Sales Target &amp; Actual'!$H$15:$I$21,2,FALSE)</f>
        <v>3088</v>
      </c>
      <c r="D19" s="164">
        <f>+VLOOKUP(B19,'Sales Target &amp; Actual'!$H$15:$J$21,3,FALSE)</f>
        <v>2260</v>
      </c>
      <c r="E19" s="164">
        <f>+VLOOKUP(B19,'Sales Target &amp; Actual'!$H$15:$K$21,4,FALSE)</f>
        <v>1710</v>
      </c>
      <c r="F19" s="164">
        <f>+VLOOKUP(B19,'Sales Target &amp; Actual'!$H$15:$L$21,5,FALSE)</f>
        <v>1455</v>
      </c>
      <c r="G19" s="75"/>
      <c r="H19" s="75"/>
      <c r="I19" s="75"/>
      <c r="J19" s="75"/>
      <c r="K19" s="163" t="s">
        <v>18</v>
      </c>
      <c r="L19" s="164">
        <f>C19*$I$7</f>
        <v>1698400</v>
      </c>
      <c r="M19" s="164">
        <f t="shared" ref="M19" si="12">D19*$I$7</f>
        <v>1243000</v>
      </c>
      <c r="N19" s="164">
        <f t="shared" ref="N19" si="13">E19*$I$7</f>
        <v>940500</v>
      </c>
      <c r="O19" s="164">
        <f t="shared" ref="O19" si="14">F19*$I$7</f>
        <v>800250</v>
      </c>
      <c r="P19" s="75"/>
    </row>
    <row r="20" spans="2:18" x14ac:dyDescent="0.2">
      <c r="B20" s="163" t="s">
        <v>130</v>
      </c>
      <c r="C20" s="164">
        <f>+VLOOKUP(B20,'Sales Target &amp; Actual'!$H$15:$I$21,2,FALSE)</f>
        <v>769</v>
      </c>
      <c r="D20" s="164">
        <f>+VLOOKUP(B20,'Sales Target &amp; Actual'!$H$15:$J$21,3,FALSE)</f>
        <v>679</v>
      </c>
      <c r="E20" s="164">
        <f>+VLOOKUP(B20,'Sales Target &amp; Actual'!$H$15:$K$21,4,FALSE)</f>
        <v>589</v>
      </c>
      <c r="F20" s="164">
        <f>+VLOOKUP(B20,'Sales Target &amp; Actual'!$H$15:$L$21,5,FALSE)</f>
        <v>601</v>
      </c>
      <c r="G20" s="75"/>
      <c r="H20" s="75"/>
      <c r="I20" s="75"/>
      <c r="J20" s="75"/>
      <c r="K20" s="163" t="s">
        <v>130</v>
      </c>
      <c r="L20" s="164">
        <f>C20*$I$8</f>
        <v>507540</v>
      </c>
      <c r="M20" s="164">
        <f t="shared" ref="M20" si="15">D20*$I$8</f>
        <v>448140</v>
      </c>
      <c r="N20" s="164">
        <f t="shared" ref="N20" si="16">E20*$I$8</f>
        <v>388740</v>
      </c>
      <c r="O20" s="164">
        <f t="shared" ref="O20" si="17">F20*$I$8</f>
        <v>396660</v>
      </c>
      <c r="P20" s="75"/>
      <c r="Q20" s="75"/>
      <c r="R20" s="75"/>
    </row>
    <row r="21" spans="2:18" x14ac:dyDescent="0.2">
      <c r="B21" s="163" t="s">
        <v>19</v>
      </c>
      <c r="C21" s="164">
        <f>+VLOOKUP(B21,'Sales Target &amp; Actual'!$H$15:$I$21,2,FALSE)</f>
        <v>2740</v>
      </c>
      <c r="D21" s="164">
        <f>+VLOOKUP(B21,'Sales Target &amp; Actual'!$H$15:$J$21,3,FALSE)</f>
        <v>1927</v>
      </c>
      <c r="E21" s="164">
        <f>+VLOOKUP(B21,'Sales Target &amp; Actual'!$H$15:$K$21,4,FALSE)</f>
        <v>1310</v>
      </c>
      <c r="F21" s="164">
        <f>+VLOOKUP(B21,'Sales Target &amp; Actual'!$H$15:$L$21,5,FALSE)</f>
        <v>1066</v>
      </c>
      <c r="G21" s="75"/>
      <c r="H21" s="75"/>
      <c r="I21" s="75"/>
      <c r="J21" s="75"/>
      <c r="K21" s="163" t="s">
        <v>19</v>
      </c>
      <c r="L21" s="164">
        <f>C21*$I$9</f>
        <v>822000</v>
      </c>
      <c r="M21" s="164">
        <f t="shared" ref="M21" si="18">D21*$I$9</f>
        <v>578100</v>
      </c>
      <c r="N21" s="164">
        <f t="shared" ref="N21" si="19">E21*$I$9</f>
        <v>393000</v>
      </c>
      <c r="O21" s="164">
        <f t="shared" ref="O21" si="20">F21*$I$9</f>
        <v>319800</v>
      </c>
      <c r="P21" s="75"/>
      <c r="Q21" s="75"/>
      <c r="R21" s="75"/>
    </row>
    <row r="22" spans="2:18" x14ac:dyDescent="0.2">
      <c r="B22" s="163" t="s">
        <v>20</v>
      </c>
      <c r="C22" s="164">
        <f>+VLOOKUP(B22,'Sales Target &amp; Actual'!$H$15:$I$21,2,FALSE)</f>
        <v>1655</v>
      </c>
      <c r="D22" s="164">
        <f>+VLOOKUP(B22,'Sales Target &amp; Actual'!$H$15:$J$21,3,FALSE)</f>
        <v>1057</v>
      </c>
      <c r="E22" s="164">
        <f>+VLOOKUP(B22,'Sales Target &amp; Actual'!$H$15:$K$21,4,FALSE)</f>
        <v>768</v>
      </c>
      <c r="F22" s="164">
        <f>+VLOOKUP(B22,'Sales Target &amp; Actual'!$H$15:$L$21,5,FALSE)</f>
        <v>779</v>
      </c>
      <c r="G22" s="75"/>
      <c r="H22" s="75"/>
      <c r="I22" s="75"/>
      <c r="J22" s="75"/>
      <c r="K22" s="163" t="s">
        <v>20</v>
      </c>
      <c r="L22" s="164">
        <f>C22*$I$10</f>
        <v>810950</v>
      </c>
      <c r="M22" s="164">
        <f t="shared" ref="M22" si="21">D22*$I$10</f>
        <v>517930</v>
      </c>
      <c r="N22" s="164">
        <f t="shared" ref="N22" si="22">E22*$I$10</f>
        <v>376320</v>
      </c>
      <c r="O22" s="164">
        <f t="shared" ref="O22" si="23">F22*$I$10</f>
        <v>381710</v>
      </c>
      <c r="P22" s="75"/>
      <c r="Q22" s="75"/>
      <c r="R22" s="75"/>
    </row>
    <row r="23" spans="2:18" x14ac:dyDescent="0.2">
      <c r="B23" s="163" t="s">
        <v>131</v>
      </c>
      <c r="C23" s="164">
        <f>+VLOOKUP(B23,'Sales Target &amp; Actual'!$H$15:$I$21,2,FALSE)</f>
        <v>2381</v>
      </c>
      <c r="D23" s="164">
        <f>+VLOOKUP(B23,'Sales Target &amp; Actual'!$H$15:$J$21,3,FALSE)</f>
        <v>1579</v>
      </c>
      <c r="E23" s="164">
        <f>+VLOOKUP(B23,'Sales Target &amp; Actual'!$H$15:$K$21,4,FALSE)</f>
        <v>1200</v>
      </c>
      <c r="F23" s="164">
        <f>+VLOOKUP(B23,'Sales Target &amp; Actual'!$H$15:$L$21,5,FALSE)</f>
        <v>1123</v>
      </c>
      <c r="G23" s="75"/>
      <c r="H23" s="75"/>
      <c r="I23" s="75"/>
      <c r="J23" s="75"/>
      <c r="K23" s="163" t="s">
        <v>131</v>
      </c>
      <c r="L23" s="164">
        <f>C23*$I$11</f>
        <v>1285740</v>
      </c>
      <c r="M23" s="164">
        <f t="shared" ref="M23" si="24">D23*$I$11</f>
        <v>852660</v>
      </c>
      <c r="N23" s="164">
        <f t="shared" ref="N23" si="25">E23*$I$11</f>
        <v>648000</v>
      </c>
      <c r="O23" s="164">
        <f t="shared" ref="O23" si="26">F23*$I$11</f>
        <v>606420</v>
      </c>
      <c r="P23" s="75"/>
      <c r="Q23" s="75"/>
      <c r="R23" s="75"/>
    </row>
    <row r="24" spans="2:18" x14ac:dyDescent="0.2">
      <c r="B24" s="163" t="s">
        <v>132</v>
      </c>
      <c r="C24" s="164">
        <f>+VLOOKUP(B24,'Sales Target &amp; Actual'!$H$15:$I$21,2,FALSE)</f>
        <v>2289</v>
      </c>
      <c r="D24" s="164">
        <f>+VLOOKUP(B24,'Sales Target &amp; Actual'!$H$15:$J$21,3,FALSE)</f>
        <v>1564</v>
      </c>
      <c r="E24" s="164">
        <f>+VLOOKUP(B24,'Sales Target &amp; Actual'!$H$15:$K$21,4,FALSE)</f>
        <v>1201</v>
      </c>
      <c r="F24" s="164">
        <f>+VLOOKUP(B24,'Sales Target &amp; Actual'!$H$15:$L$21,5,FALSE)</f>
        <v>884</v>
      </c>
      <c r="G24" s="75"/>
      <c r="H24" s="75"/>
      <c r="I24" s="75"/>
      <c r="J24" s="75"/>
      <c r="K24" s="163" t="s">
        <v>132</v>
      </c>
      <c r="L24" s="164">
        <f>C24*$I$12</f>
        <v>778260</v>
      </c>
      <c r="M24" s="164">
        <f t="shared" ref="M24" si="27">D24*$I$12</f>
        <v>531760</v>
      </c>
      <c r="N24" s="164">
        <f t="shared" ref="N24" si="28">E24*$I$12</f>
        <v>408340</v>
      </c>
      <c r="O24" s="164">
        <f t="shared" ref="O24" si="29">F24*$I$12</f>
        <v>300560</v>
      </c>
      <c r="P24" s="75"/>
      <c r="Q24" s="75"/>
      <c r="R24" s="75"/>
    </row>
    <row r="25" spans="2:18" x14ac:dyDescent="0.2">
      <c r="B25" s="163" t="s">
        <v>25</v>
      </c>
      <c r="C25" s="167">
        <f>SUM(C18:C24)</f>
        <v>14850</v>
      </c>
      <c r="D25" s="167">
        <f>SUM(D18:D24)</f>
        <v>10578</v>
      </c>
      <c r="E25" s="167">
        <f>SUM(E18:E24)</f>
        <v>7894</v>
      </c>
      <c r="F25" s="167">
        <f>SUM(F18:F24)</f>
        <v>6981</v>
      </c>
      <c r="G25" s="75"/>
      <c r="H25" s="75"/>
      <c r="I25" s="75"/>
      <c r="J25" s="75"/>
      <c r="K25" s="163" t="s">
        <v>25</v>
      </c>
      <c r="L25" s="164">
        <f>SUM(L18:L24)</f>
        <v>7127170</v>
      </c>
      <c r="M25" s="164">
        <f>SUM(M18:M24)</f>
        <v>5131710</v>
      </c>
      <c r="N25" s="164">
        <f>SUM(N18:N24)</f>
        <v>3863560</v>
      </c>
      <c r="O25" s="164">
        <f>SUM(O18:O24)</f>
        <v>3486755</v>
      </c>
      <c r="P25" s="75"/>
      <c r="Q25" s="75"/>
      <c r="R25" s="75"/>
    </row>
    <row r="26" spans="2:18" x14ac:dyDescent="0.2">
      <c r="B26" s="75"/>
      <c r="C26" s="185"/>
      <c r="D26" s="185"/>
      <c r="E26" s="185"/>
      <c r="F26" s="185"/>
      <c r="G26" s="75"/>
      <c r="H26" s="75"/>
      <c r="I26" s="75"/>
      <c r="J26" s="75"/>
      <c r="K26" s="75"/>
      <c r="L26" s="75"/>
      <c r="M26" s="75"/>
      <c r="N26" s="75"/>
      <c r="O26" s="75"/>
      <c r="P26" s="75"/>
      <c r="Q26" s="75"/>
      <c r="R26" s="75"/>
    </row>
    <row r="27" spans="2:18" x14ac:dyDescent="0.2">
      <c r="B27" s="75"/>
      <c r="C27" s="75"/>
      <c r="D27" s="75"/>
      <c r="E27" s="75"/>
      <c r="F27" s="75"/>
      <c r="G27" s="75"/>
      <c r="H27" s="75"/>
      <c r="I27" s="75"/>
      <c r="J27" s="75"/>
      <c r="K27" s="75"/>
      <c r="L27" s="75"/>
      <c r="M27" s="75"/>
      <c r="N27" s="75"/>
      <c r="O27" s="75"/>
      <c r="P27" s="75"/>
      <c r="Q27" s="75"/>
      <c r="R27" s="75"/>
    </row>
    <row r="28" spans="2:18" x14ac:dyDescent="0.2">
      <c r="B28" s="6" t="s">
        <v>138</v>
      </c>
      <c r="C28" s="6"/>
      <c r="D28" s="6"/>
      <c r="E28" s="6"/>
      <c r="F28" s="6"/>
      <c r="G28" s="75"/>
      <c r="H28" s="75"/>
      <c r="I28" s="75"/>
      <c r="J28" s="75"/>
      <c r="K28" s="158" t="s">
        <v>139</v>
      </c>
      <c r="L28" s="6"/>
      <c r="M28" s="6"/>
      <c r="N28" s="6"/>
      <c r="O28" s="6"/>
      <c r="P28" s="75"/>
      <c r="Q28" s="75"/>
      <c r="R28" s="75"/>
    </row>
    <row r="29" spans="2:18" ht="13.5" x14ac:dyDescent="0.25">
      <c r="B29" s="159" t="s">
        <v>16</v>
      </c>
      <c r="C29" s="160" t="s">
        <v>2</v>
      </c>
      <c r="D29" s="160" t="s">
        <v>3</v>
      </c>
      <c r="E29" s="160" t="s">
        <v>4</v>
      </c>
      <c r="F29" s="160" t="s">
        <v>5</v>
      </c>
      <c r="G29" s="75"/>
      <c r="H29" s="75"/>
      <c r="I29" s="75"/>
      <c r="J29" s="75"/>
      <c r="K29" s="159" t="s">
        <v>22</v>
      </c>
      <c r="L29" s="160" t="s">
        <v>2</v>
      </c>
      <c r="M29" s="160" t="s">
        <v>3</v>
      </c>
      <c r="N29" s="160" t="s">
        <v>4</v>
      </c>
      <c r="O29" s="160" t="s">
        <v>5</v>
      </c>
      <c r="P29" s="75"/>
      <c r="Q29" s="75"/>
      <c r="R29" s="75"/>
    </row>
    <row r="30" spans="2:18" x14ac:dyDescent="0.2">
      <c r="B30" s="163" t="s">
        <v>17</v>
      </c>
      <c r="C30" s="164">
        <f>+VLOOKUP(B30,'Sales Target &amp; Actual'!$H$26:$I$32,2,FALSE)</f>
        <v>2396</v>
      </c>
      <c r="D30" s="164">
        <f>+VLOOKUP(B30,'Sales Target &amp; Actual'!$H$26:$J$32,3,FALSE)</f>
        <v>1288</v>
      </c>
      <c r="E30" s="164">
        <f>+VLOOKUP(B30,'Sales Target &amp; Actual'!$H$26:$K$32,4,FALSE)</f>
        <v>1536</v>
      </c>
      <c r="F30" s="164">
        <f>+VLOOKUP(B30,'Sales Target &amp; Actual'!$H$26:$L$32,5,FALSE)</f>
        <v>1249</v>
      </c>
      <c r="G30" s="75"/>
      <c r="H30" s="75"/>
      <c r="I30" s="75"/>
      <c r="J30" s="75"/>
      <c r="K30" s="163" t="s">
        <v>17</v>
      </c>
      <c r="L30" s="164">
        <f>C30*$I$6</f>
        <v>1521460</v>
      </c>
      <c r="M30" s="164">
        <f t="shared" ref="M30" si="30">D30*$I$6</f>
        <v>817880</v>
      </c>
      <c r="N30" s="164">
        <f t="shared" ref="N30" si="31">E30*$I$6</f>
        <v>975360</v>
      </c>
      <c r="O30" s="164">
        <f t="shared" ref="O30" si="32">F30*$I$6</f>
        <v>793115</v>
      </c>
      <c r="P30" s="75"/>
      <c r="Q30" s="75"/>
      <c r="R30" s="75"/>
    </row>
    <row r="31" spans="2:18" x14ac:dyDescent="0.2">
      <c r="B31" s="163" t="s">
        <v>18</v>
      </c>
      <c r="C31" s="164">
        <f>+VLOOKUP(B31,'Sales Target &amp; Actual'!$H$26:$I$32,2,FALSE)</f>
        <v>3619</v>
      </c>
      <c r="D31" s="164">
        <f>+VLOOKUP(B31,'Sales Target &amp; Actual'!$H$26:$J$32,3,FALSE)</f>
        <v>2086</v>
      </c>
      <c r="E31" s="164">
        <f>+VLOOKUP(B31,'Sales Target &amp; Actual'!$H$26:$K$32,4,FALSE)</f>
        <v>2028</v>
      </c>
      <c r="F31" s="164">
        <f>+VLOOKUP(B31,'Sales Target &amp; Actual'!$H$26:$L$32,5,FALSE)</f>
        <v>2129</v>
      </c>
      <c r="G31" s="75"/>
      <c r="H31" s="75"/>
      <c r="I31" s="75"/>
      <c r="J31" s="75"/>
      <c r="K31" s="163" t="s">
        <v>18</v>
      </c>
      <c r="L31" s="164">
        <f>C31*$I$7</f>
        <v>1990450</v>
      </c>
      <c r="M31" s="164">
        <f t="shared" ref="M31" si="33">D31*$I$7</f>
        <v>1147300</v>
      </c>
      <c r="N31" s="164">
        <f t="shared" ref="N31" si="34">E31*$I$7</f>
        <v>1115400</v>
      </c>
      <c r="O31" s="164">
        <f t="shared" ref="O31" si="35">F31*$I$7</f>
        <v>1170950</v>
      </c>
      <c r="P31" s="75"/>
      <c r="Q31" s="75"/>
      <c r="R31" s="75"/>
    </row>
    <row r="32" spans="2:18" x14ac:dyDescent="0.2">
      <c r="B32" s="163" t="s">
        <v>130</v>
      </c>
      <c r="C32" s="164">
        <f>+VLOOKUP(B32,'Sales Target &amp; Actual'!$H$26:$I$32,2,FALSE)</f>
        <v>878</v>
      </c>
      <c r="D32" s="164">
        <f>+VLOOKUP(B32,'Sales Target &amp; Actual'!$H$26:$J$32,3,FALSE)</f>
        <v>424</v>
      </c>
      <c r="E32" s="164">
        <f>+VLOOKUP(B32,'Sales Target &amp; Actual'!$H$26:$K$32,4,FALSE)</f>
        <v>467</v>
      </c>
      <c r="F32" s="164">
        <f>+VLOOKUP(B32,'Sales Target &amp; Actual'!$H$26:$L$32,5,FALSE)</f>
        <v>665</v>
      </c>
      <c r="G32" s="75"/>
      <c r="H32" s="75"/>
      <c r="I32" s="75"/>
      <c r="J32" s="75"/>
      <c r="K32" s="163" t="s">
        <v>130</v>
      </c>
      <c r="L32" s="164">
        <f>C32*$I$8</f>
        <v>579480</v>
      </c>
      <c r="M32" s="164">
        <f t="shared" ref="M32" si="36">D32*$I$8</f>
        <v>279840</v>
      </c>
      <c r="N32" s="164">
        <f t="shared" ref="N32" si="37">E32*$I$8</f>
        <v>308220</v>
      </c>
      <c r="O32" s="164">
        <f t="shared" ref="O32" si="38">F32*$I$8</f>
        <v>438900</v>
      </c>
      <c r="P32" s="75"/>
      <c r="Q32" s="75"/>
      <c r="R32" s="75"/>
    </row>
    <row r="33" spans="2:18" x14ac:dyDescent="0.2">
      <c r="B33" s="163" t="s">
        <v>19</v>
      </c>
      <c r="C33" s="164">
        <f>+VLOOKUP(B33,'Sales Target &amp; Actual'!$H$26:$I$32,2,FALSE)</f>
        <v>2656</v>
      </c>
      <c r="D33" s="164">
        <f>+VLOOKUP(B33,'Sales Target &amp; Actual'!$H$26:$J$32,3,FALSE)</f>
        <v>1642</v>
      </c>
      <c r="E33" s="164">
        <f>+VLOOKUP(B33,'Sales Target &amp; Actual'!$H$26:$K$32,4,FALSE)</f>
        <v>1729</v>
      </c>
      <c r="F33" s="164">
        <f>+VLOOKUP(B33,'Sales Target &amp; Actual'!$H$26:$L$32,5,FALSE)</f>
        <v>1360</v>
      </c>
      <c r="G33" s="75"/>
      <c r="H33" s="75"/>
      <c r="I33" s="75"/>
      <c r="J33" s="75"/>
      <c r="K33" s="163" t="s">
        <v>19</v>
      </c>
      <c r="L33" s="164">
        <f>C33*$I$9</f>
        <v>796800</v>
      </c>
      <c r="M33" s="164">
        <f t="shared" ref="M33" si="39">D33*$I$9</f>
        <v>492600</v>
      </c>
      <c r="N33" s="164">
        <f t="shared" ref="N33" si="40">E33*$I$9</f>
        <v>518700</v>
      </c>
      <c r="O33" s="164">
        <f t="shared" ref="O33" si="41">F33*$I$9</f>
        <v>408000</v>
      </c>
      <c r="P33" s="75"/>
      <c r="Q33" s="75"/>
      <c r="R33" s="75"/>
    </row>
    <row r="34" spans="2:18" x14ac:dyDescent="0.2">
      <c r="B34" s="163" t="s">
        <v>20</v>
      </c>
      <c r="C34" s="164">
        <f>+VLOOKUP(B34,'Sales Target &amp; Actual'!$H$26:$I$32,2,FALSE)</f>
        <v>1837</v>
      </c>
      <c r="D34" s="164">
        <f>+VLOOKUP(B34,'Sales Target &amp; Actual'!$H$26:$J$32,3,FALSE)</f>
        <v>856</v>
      </c>
      <c r="E34" s="164">
        <f>+VLOOKUP(B34,'Sales Target &amp; Actual'!$H$26:$K$32,4,FALSE)</f>
        <v>998</v>
      </c>
      <c r="F34" s="164">
        <f>+VLOOKUP(B34,'Sales Target &amp; Actual'!$H$26:$L$32,5,FALSE)</f>
        <v>1267</v>
      </c>
      <c r="G34" s="75"/>
      <c r="H34" s="75"/>
      <c r="I34" s="75"/>
      <c r="J34" s="75"/>
      <c r="K34" s="163" t="s">
        <v>20</v>
      </c>
      <c r="L34" s="164">
        <f>C34*$I$10</f>
        <v>900130</v>
      </c>
      <c r="M34" s="164">
        <f t="shared" ref="M34" si="42">D34*$I$10</f>
        <v>419440</v>
      </c>
      <c r="N34" s="164">
        <f t="shared" ref="N34" si="43">E34*$I$10</f>
        <v>489020</v>
      </c>
      <c r="O34" s="164">
        <f t="shared" ref="O34" si="44">F34*$I$10</f>
        <v>620830</v>
      </c>
      <c r="P34" s="75"/>
      <c r="Q34" s="75"/>
      <c r="R34" s="75"/>
    </row>
    <row r="35" spans="2:18" x14ac:dyDescent="0.2">
      <c r="B35" s="163" t="s">
        <v>131</v>
      </c>
      <c r="C35" s="164">
        <f>+VLOOKUP(B35,'Sales Target &amp; Actual'!$H$26:$I$32,2,FALSE)</f>
        <v>2927</v>
      </c>
      <c r="D35" s="164">
        <f>+VLOOKUP(B35,'Sales Target &amp; Actual'!$H$26:$J$32,3,FALSE)</f>
        <v>1462</v>
      </c>
      <c r="E35" s="164">
        <f>+VLOOKUP(B35,'Sales Target &amp; Actual'!$H$26:$K$32,4,FALSE)</f>
        <v>1511</v>
      </c>
      <c r="F35" s="164">
        <f>+VLOOKUP(B35,'Sales Target &amp; Actual'!$H$26:$L$32,5,FALSE)</f>
        <v>1578</v>
      </c>
      <c r="G35" s="75"/>
      <c r="H35" s="75"/>
      <c r="I35" s="75"/>
      <c r="J35" s="75"/>
      <c r="K35" s="163" t="s">
        <v>131</v>
      </c>
      <c r="L35" s="164">
        <f>C35*$I$11</f>
        <v>1580580</v>
      </c>
      <c r="M35" s="164">
        <f t="shared" ref="M35" si="45">D35*$I$11</f>
        <v>789480</v>
      </c>
      <c r="N35" s="164">
        <f t="shared" ref="N35" si="46">E35*$I$11</f>
        <v>815940</v>
      </c>
      <c r="O35" s="164">
        <f t="shared" ref="O35" si="47">F35*$I$11</f>
        <v>852120</v>
      </c>
      <c r="P35" s="75"/>
      <c r="Q35" s="75"/>
      <c r="R35" s="75"/>
    </row>
    <row r="36" spans="2:18" x14ac:dyDescent="0.2">
      <c r="B36" s="163" t="s">
        <v>132</v>
      </c>
      <c r="C36" s="164">
        <f>+VLOOKUP(B36,'Sales Target &amp; Actual'!$H$26:$I$32,2,FALSE)</f>
        <v>2600</v>
      </c>
      <c r="D36" s="164">
        <f>+VLOOKUP(B36,'Sales Target &amp; Actual'!$H$26:$J$32,3,FALSE)</f>
        <v>1210</v>
      </c>
      <c r="E36" s="164">
        <f>+VLOOKUP(B36,'Sales Target &amp; Actual'!$H$26:$K$32,4,FALSE)</f>
        <v>1347</v>
      </c>
      <c r="F36" s="164">
        <f>+VLOOKUP(B36,'Sales Target &amp; Actual'!$H$26:$L$32,5,FALSE)</f>
        <v>1467</v>
      </c>
      <c r="G36" s="75"/>
      <c r="H36" s="75"/>
      <c r="I36" s="75"/>
      <c r="J36" s="75"/>
      <c r="K36" s="163" t="s">
        <v>132</v>
      </c>
      <c r="L36" s="164">
        <f>C36*$I$12</f>
        <v>884000</v>
      </c>
      <c r="M36" s="164">
        <f t="shared" ref="M36" si="48">D36*$I$12</f>
        <v>411400</v>
      </c>
      <c r="N36" s="164">
        <f t="shared" ref="N36" si="49">E36*$I$12</f>
        <v>457980</v>
      </c>
      <c r="O36" s="164">
        <f t="shared" ref="O36" si="50">F36*$I$12</f>
        <v>498780</v>
      </c>
      <c r="P36" s="75"/>
      <c r="Q36" s="75"/>
      <c r="R36" s="75"/>
    </row>
    <row r="37" spans="2:18" x14ac:dyDescent="0.2">
      <c r="B37" s="163" t="s">
        <v>25</v>
      </c>
      <c r="C37" s="167">
        <f>SUM(C30:C36)</f>
        <v>16913</v>
      </c>
      <c r="D37" s="167">
        <f>SUM(D30:D36)</f>
        <v>8968</v>
      </c>
      <c r="E37" s="167">
        <f>SUM(E30:E36)</f>
        <v>9616</v>
      </c>
      <c r="F37" s="167">
        <f>SUM(F30:F36)</f>
        <v>9715</v>
      </c>
      <c r="G37" s="75"/>
      <c r="H37" s="75"/>
      <c r="I37" s="75"/>
      <c r="J37" s="75"/>
      <c r="K37" s="163" t="s">
        <v>25</v>
      </c>
      <c r="L37" s="164">
        <f>SUM(L30:L36)</f>
        <v>8252900</v>
      </c>
      <c r="M37" s="164">
        <f>SUM(M30:M36)</f>
        <v>4357940</v>
      </c>
      <c r="N37" s="164">
        <f>SUM(N30:N36)</f>
        <v>4680620</v>
      </c>
      <c r="O37" s="164">
        <f>SUM(O30:O36)</f>
        <v>4782695</v>
      </c>
      <c r="P37" s="75"/>
      <c r="Q37" s="75"/>
      <c r="R37" s="75"/>
    </row>
    <row r="38" spans="2:18" x14ac:dyDescent="0.2">
      <c r="B38" s="75"/>
      <c r="C38" s="185"/>
      <c r="D38" s="185"/>
      <c r="E38" s="185"/>
      <c r="F38" s="185"/>
      <c r="G38" s="75"/>
      <c r="H38" s="75"/>
      <c r="I38" s="75"/>
      <c r="J38" s="75"/>
      <c r="K38" s="75"/>
      <c r="L38" s="185"/>
      <c r="M38" s="75"/>
      <c r="N38" s="75"/>
      <c r="O38" s="75"/>
      <c r="P38" s="75"/>
      <c r="Q38" s="75"/>
      <c r="R38" s="75"/>
    </row>
    <row r="39" spans="2:18" x14ac:dyDescent="0.2">
      <c r="B39" s="75"/>
      <c r="C39" s="75"/>
      <c r="D39" s="75"/>
      <c r="E39" s="75"/>
      <c r="F39" s="75"/>
      <c r="G39" s="75"/>
      <c r="H39" s="75"/>
      <c r="I39" s="75"/>
      <c r="J39" s="75"/>
      <c r="K39" s="75"/>
      <c r="L39" s="185"/>
      <c r="M39" s="75"/>
      <c r="N39" s="75"/>
      <c r="O39" s="75"/>
      <c r="P39" s="75"/>
      <c r="Q39" s="75"/>
      <c r="R39" s="75"/>
    </row>
    <row r="40" spans="2:18" x14ac:dyDescent="0.2">
      <c r="B40" s="75"/>
      <c r="C40" s="75"/>
      <c r="D40" s="75"/>
      <c r="E40" s="75"/>
      <c r="F40" s="75"/>
      <c r="G40" s="75"/>
      <c r="H40" s="75"/>
      <c r="I40" s="75"/>
      <c r="J40" s="75"/>
      <c r="K40" s="75"/>
      <c r="L40" s="185"/>
      <c r="M40" s="75"/>
      <c r="N40" s="75"/>
      <c r="O40" s="75"/>
      <c r="P40" s="75"/>
      <c r="Q40" s="75"/>
      <c r="R40" s="75"/>
    </row>
    <row r="41" spans="2:18" x14ac:dyDescent="0.2">
      <c r="B41" s="75"/>
      <c r="C41" s="75"/>
      <c r="D41" s="75"/>
      <c r="E41" s="75"/>
      <c r="F41" s="75"/>
      <c r="G41" s="75"/>
      <c r="H41" s="75"/>
      <c r="I41" s="75"/>
      <c r="J41" s="75"/>
      <c r="Q41" s="75"/>
      <c r="R41" s="75"/>
    </row>
    <row r="42" spans="2:18" x14ac:dyDescent="0.2">
      <c r="B42" s="75"/>
      <c r="C42" s="75"/>
      <c r="D42" s="75"/>
      <c r="E42" s="75"/>
      <c r="F42" s="75"/>
      <c r="G42" s="75"/>
      <c r="H42" s="75"/>
      <c r="I42" s="75"/>
      <c r="J42" s="75"/>
      <c r="Q42" s="75"/>
      <c r="R42" s="75"/>
    </row>
    <row r="43" spans="2:18" x14ac:dyDescent="0.2">
      <c r="B43" s="75"/>
      <c r="C43" s="75"/>
      <c r="D43" s="75"/>
      <c r="E43" s="75"/>
      <c r="F43" s="75"/>
      <c r="G43" s="75"/>
      <c r="H43" s="75"/>
      <c r="I43" s="75"/>
      <c r="J43" s="75"/>
      <c r="Q43" s="75"/>
      <c r="R43" s="75"/>
    </row>
    <row r="44" spans="2:18" x14ac:dyDescent="0.2">
      <c r="B44" s="75"/>
      <c r="C44" s="75"/>
      <c r="D44" s="75"/>
      <c r="E44" s="75"/>
      <c r="F44" s="75"/>
      <c r="G44" s="75"/>
      <c r="H44" s="75"/>
      <c r="I44" s="75"/>
      <c r="J44" s="75"/>
      <c r="Q44" s="75"/>
      <c r="R44" s="75"/>
    </row>
    <row r="45" spans="2:18" x14ac:dyDescent="0.2">
      <c r="B45" s="75"/>
      <c r="C45" s="75"/>
      <c r="D45" s="75"/>
      <c r="E45" s="75"/>
      <c r="F45" s="75"/>
      <c r="G45" s="75"/>
      <c r="H45" s="75"/>
      <c r="I45" s="75"/>
      <c r="J45" s="75"/>
      <c r="Q45" s="75"/>
      <c r="R45" s="75"/>
    </row>
    <row r="46" spans="2:18" x14ac:dyDescent="0.2">
      <c r="B46" s="75"/>
      <c r="C46" s="75"/>
      <c r="D46" s="75"/>
      <c r="E46" s="75"/>
      <c r="F46" s="75"/>
      <c r="G46" s="75"/>
      <c r="H46" s="75"/>
      <c r="I46" s="75"/>
      <c r="J46" s="75"/>
      <c r="Q46" s="75"/>
      <c r="R46" s="75"/>
    </row>
    <row r="47" spans="2:18" x14ac:dyDescent="0.2">
      <c r="B47" s="75"/>
      <c r="C47" s="75"/>
      <c r="D47" s="75"/>
      <c r="E47" s="75"/>
      <c r="F47" s="75"/>
      <c r="G47" s="75"/>
      <c r="H47" s="75"/>
      <c r="I47" s="75"/>
      <c r="J47" s="75"/>
      <c r="Q47" s="75"/>
      <c r="R47" s="75"/>
    </row>
    <row r="48" spans="2:18" x14ac:dyDescent="0.2">
      <c r="B48" s="75"/>
      <c r="C48" s="75"/>
      <c r="D48" s="75"/>
      <c r="E48" s="75"/>
      <c r="F48" s="75"/>
      <c r="G48" s="75"/>
      <c r="H48" s="75"/>
      <c r="I48" s="75"/>
      <c r="J48" s="75"/>
      <c r="Q48" s="75"/>
      <c r="R48" s="75"/>
    </row>
    <row r="49" spans="2:18" x14ac:dyDescent="0.2">
      <c r="B49" s="75"/>
      <c r="C49" s="75"/>
      <c r="D49" s="75"/>
      <c r="E49" s="75"/>
      <c r="F49" s="75"/>
      <c r="G49" s="75"/>
      <c r="H49" s="75"/>
      <c r="I49" s="75"/>
      <c r="J49" s="75"/>
      <c r="Q49" s="75"/>
      <c r="R49" s="75"/>
    </row>
    <row r="50" spans="2:18" x14ac:dyDescent="0.2">
      <c r="B50" s="75"/>
      <c r="C50" s="75"/>
      <c r="D50" s="75"/>
      <c r="E50" s="75"/>
      <c r="F50" s="75"/>
      <c r="G50" s="75"/>
      <c r="H50" s="75"/>
      <c r="I50" s="75"/>
      <c r="J50" s="75"/>
      <c r="Q50" s="75"/>
      <c r="R50" s="75"/>
    </row>
  </sheetData>
  <pageMargins left="0.7" right="0.43" top="0.75" bottom="0.75" header="0.3" footer="0.3"/>
  <pageSetup paperSize="9" scale="66" fitToHeight="0" orientation="landscape" r:id="rId2"/>
  <headerFooter>
    <oddHeader>&amp;C&amp;14Sheet: &amp;A</oddHeader>
    <oddFooter>&amp;L&amp;11Group 28's Business Model&amp;C&amp;11&amp;P&amp;R&amp;11SP52/2016-BX2016</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B3:X37"/>
  <sheetViews>
    <sheetView topLeftCell="B3" zoomScale="80" zoomScaleNormal="80" workbookViewId="0">
      <pane xSplit="8" ySplit="4" topLeftCell="O12" activePane="bottomRight" state="frozen"/>
      <selection activeCell="D21" sqref="D21"/>
      <selection pane="topRight" activeCell="D21" sqref="D21"/>
      <selection pane="bottomLeft" activeCell="D21" sqref="D21"/>
      <selection pane="bottomRight" activeCell="V24" sqref="V24"/>
    </sheetView>
  </sheetViews>
  <sheetFormatPr defaultRowHeight="12.75" x14ac:dyDescent="0.2"/>
  <cols>
    <col min="1" max="1" width="4.28515625" customWidth="1"/>
    <col min="2" max="2" width="13.140625" customWidth="1"/>
    <col min="3" max="3" width="11.5703125" bestFit="1" customWidth="1"/>
    <col min="4" max="4" width="13" bestFit="1" customWidth="1"/>
    <col min="5" max="5" width="12.7109375" bestFit="1" customWidth="1"/>
    <col min="6" max="6" width="11.5703125" bestFit="1" customWidth="1"/>
    <col min="7" max="7" width="12.7109375" bestFit="1" customWidth="1"/>
    <col min="8" max="8" width="5" customWidth="1"/>
    <col min="9" max="9" width="15.42578125" customWidth="1"/>
    <col min="10" max="14" width="13.7109375" bestFit="1" customWidth="1"/>
    <col min="15" max="15" width="13.7109375" customWidth="1"/>
    <col min="16" max="16" width="14.42578125" customWidth="1"/>
    <col min="17" max="17" width="19.140625" customWidth="1"/>
    <col min="18" max="19" width="12" customWidth="1"/>
    <col min="20" max="20" width="10.85546875" customWidth="1"/>
    <col min="21" max="21" width="12.42578125" customWidth="1"/>
    <col min="22" max="22" width="10.140625" customWidth="1"/>
    <col min="23" max="23" width="9" customWidth="1"/>
    <col min="24" max="24" width="8" customWidth="1"/>
  </cols>
  <sheetData>
    <row r="3" spans="2:24" ht="18.75" x14ac:dyDescent="0.3">
      <c r="B3" s="3" t="s">
        <v>119</v>
      </c>
    </row>
    <row r="5" spans="2:24" ht="19.5" thickBot="1" x14ac:dyDescent="0.35">
      <c r="B5" s="3" t="s">
        <v>87</v>
      </c>
      <c r="C5" s="1"/>
      <c r="D5" s="1"/>
      <c r="E5" s="1"/>
      <c r="F5" s="1"/>
      <c r="G5" s="1"/>
      <c r="I5" s="3" t="s">
        <v>101</v>
      </c>
    </row>
    <row r="6" spans="2:24" ht="15.75" x14ac:dyDescent="0.25">
      <c r="B6" s="13" t="s">
        <v>11</v>
      </c>
      <c r="C6" s="14" t="s">
        <v>2</v>
      </c>
      <c r="D6" s="14" t="s">
        <v>3</v>
      </c>
      <c r="E6" s="14" t="s">
        <v>4</v>
      </c>
      <c r="F6" s="15" t="s">
        <v>5</v>
      </c>
      <c r="G6" s="15" t="s">
        <v>12</v>
      </c>
      <c r="I6" s="13" t="s">
        <v>11</v>
      </c>
      <c r="J6" s="14" t="s">
        <v>2</v>
      </c>
      <c r="K6" s="14" t="s">
        <v>3</v>
      </c>
      <c r="L6" s="14" t="s">
        <v>4</v>
      </c>
      <c r="M6" s="14" t="s">
        <v>5</v>
      </c>
      <c r="N6" s="15" t="s">
        <v>12</v>
      </c>
      <c r="O6" s="189"/>
    </row>
    <row r="7" spans="2:24" ht="15.75" x14ac:dyDescent="0.25">
      <c r="B7" s="82">
        <v>2012</v>
      </c>
      <c r="C7" s="25">
        <f>+'Labour Costs'!C28</f>
        <v>735000</v>
      </c>
      <c r="D7" s="25">
        <f>+'Labour Costs'!D28</f>
        <v>677000</v>
      </c>
      <c r="E7" s="25">
        <f>+'Labour Costs'!E28</f>
        <v>405000</v>
      </c>
      <c r="F7" s="25">
        <f>+'Labour Costs'!F28</f>
        <v>347000</v>
      </c>
      <c r="G7" s="25">
        <f>+SUM(C7:F7)</f>
        <v>2164000</v>
      </c>
      <c r="I7" s="82">
        <v>2012</v>
      </c>
      <c r="J7" s="25">
        <f>+GETPIVOTDATA("Value",$I$15,"Row",2012,"Column","Brisbane")</f>
        <v>8955955</v>
      </c>
      <c r="K7" s="25">
        <f>+GETPIVOTDATA("Value",$I$15,"Row",2012,"Column","Gold Coast")</f>
        <v>7051739</v>
      </c>
      <c r="L7" s="25">
        <f>+GETPIVOTDATA("Value",$I$15,"Row",2012,"Column","Townsville")</f>
        <v>4401413</v>
      </c>
      <c r="M7" s="25">
        <f>+GETPIVOTDATA("Value",$I$15,"Row",2012,"Column","Cairns")</f>
        <v>3758689</v>
      </c>
      <c r="N7" s="26">
        <f>SUM(J7:M7)</f>
        <v>24167796</v>
      </c>
      <c r="O7" s="181"/>
    </row>
    <row r="8" spans="2:24" ht="15.75" x14ac:dyDescent="0.25">
      <c r="B8" s="82">
        <v>2013</v>
      </c>
      <c r="C8" s="25">
        <f>+'Labour Costs'!C29</f>
        <v>760000</v>
      </c>
      <c r="D8" s="25">
        <f>+'Labour Costs'!D29</f>
        <v>700000</v>
      </c>
      <c r="E8" s="25">
        <f>+'Labour Costs'!E29</f>
        <v>419000</v>
      </c>
      <c r="F8" s="25">
        <f>+'Labour Costs'!F29</f>
        <v>359000</v>
      </c>
      <c r="G8" s="25">
        <f t="shared" ref="G8:G9" si="0">+SUM(C8:F8)</f>
        <v>2238000</v>
      </c>
      <c r="I8" s="82">
        <v>2013</v>
      </c>
      <c r="J8" s="25">
        <f>+GETPIVOTDATA("Value",$I$15,"Row",2013,"Column","Brisbane")</f>
        <v>8896322</v>
      </c>
      <c r="K8" s="25">
        <f>+GETPIVOTDATA("Value",$I$15,"Row",2013,"Column","Gold Coast")</f>
        <v>6711423</v>
      </c>
      <c r="L8" s="25">
        <f>+GETPIVOTDATA("Value",$I$15,"Row",2013,"Column","Townsville")</f>
        <v>4817055</v>
      </c>
      <c r="M8" s="25">
        <f>+GETPIVOTDATA("Value",$I$15,"Row",2013,"Column","Cairns")</f>
        <v>4262670</v>
      </c>
      <c r="N8" s="26">
        <f t="shared" ref="N8:N9" si="1">SUM(J8:M8)</f>
        <v>24687470</v>
      </c>
      <c r="O8" s="181"/>
    </row>
    <row r="9" spans="2:24" ht="16.5" thickBot="1" x14ac:dyDescent="0.3">
      <c r="B9" s="83">
        <v>2014</v>
      </c>
      <c r="C9" s="25">
        <f>+'Labour Costs'!C30</f>
        <v>794000</v>
      </c>
      <c r="D9" s="25">
        <f>+'Labour Costs'!D30</f>
        <v>731000</v>
      </c>
      <c r="E9" s="25">
        <f>+'Labour Costs'!E30</f>
        <v>437000</v>
      </c>
      <c r="F9" s="25">
        <f>+'Labour Costs'!F30</f>
        <v>374000</v>
      </c>
      <c r="G9" s="25">
        <f t="shared" si="0"/>
        <v>2336000</v>
      </c>
      <c r="I9" s="82">
        <v>2014</v>
      </c>
      <c r="J9" s="25">
        <f>+GETPIVOTDATA("Value",$I$15,"Row",2014,"Column","Brisbane")</f>
        <v>10216584</v>
      </c>
      <c r="K9" s="25">
        <f>+GETPIVOTDATA("Value",$I$15,"Row",2014,"Column","Gold Coast")</f>
        <v>5964986</v>
      </c>
      <c r="L9" s="25">
        <f>+GETPIVOTDATA("Value",$I$15,"Row",2014,"Column","Townsville")</f>
        <v>5829644</v>
      </c>
      <c r="M9" s="25">
        <f>+GETPIVOTDATA("Value",$I$15,"Row",2014,"Column","Cairns")</f>
        <v>5614208</v>
      </c>
      <c r="N9" s="26">
        <f t="shared" si="1"/>
        <v>27625422</v>
      </c>
      <c r="O9" s="181"/>
    </row>
    <row r="10" spans="2:24" ht="16.5" thickBot="1" x14ac:dyDescent="0.3">
      <c r="I10" s="83" t="s">
        <v>32</v>
      </c>
      <c r="J10" s="193">
        <f>+SUM(J7:J9)</f>
        <v>28068861</v>
      </c>
      <c r="K10" s="193">
        <f t="shared" ref="K10:N10" si="2">+SUM(K7:K9)</f>
        <v>19728148</v>
      </c>
      <c r="L10" s="193">
        <f t="shared" si="2"/>
        <v>15048112</v>
      </c>
      <c r="M10" s="193">
        <f t="shared" si="2"/>
        <v>13635567</v>
      </c>
      <c r="N10" s="194">
        <f t="shared" si="2"/>
        <v>76480688</v>
      </c>
      <c r="O10" s="198"/>
      <c r="W10" s="78"/>
      <c r="X10" s="133"/>
    </row>
    <row r="11" spans="2:24" x14ac:dyDescent="0.2">
      <c r="W11" s="78"/>
      <c r="X11" s="133"/>
    </row>
    <row r="12" spans="2:24" ht="19.5" thickBot="1" x14ac:dyDescent="0.35">
      <c r="B12" s="3" t="s">
        <v>100</v>
      </c>
      <c r="C12" s="3"/>
      <c r="D12" s="3"/>
      <c r="W12" s="78"/>
      <c r="X12" s="133"/>
    </row>
    <row r="13" spans="2:24" ht="15.75" x14ac:dyDescent="0.25">
      <c r="B13" s="13" t="s">
        <v>11</v>
      </c>
      <c r="C13" s="14" t="s">
        <v>2</v>
      </c>
      <c r="D13" s="14" t="s">
        <v>3</v>
      </c>
      <c r="E13" s="14" t="s">
        <v>4</v>
      </c>
      <c r="F13" s="15" t="s">
        <v>5</v>
      </c>
      <c r="G13" s="15" t="s">
        <v>12</v>
      </c>
      <c r="I13" s="77" t="s">
        <v>91</v>
      </c>
      <c r="J13" t="s">
        <v>31</v>
      </c>
      <c r="W13" s="78"/>
      <c r="X13" s="133"/>
    </row>
    <row r="14" spans="2:24" ht="15.75" x14ac:dyDescent="0.25">
      <c r="B14" s="82">
        <v>2012</v>
      </c>
      <c r="C14" s="25">
        <f>+Costs!C20</f>
        <v>300000</v>
      </c>
      <c r="D14" s="25">
        <f>+Costs!D20</f>
        <v>285000</v>
      </c>
      <c r="E14" s="25">
        <f>+Costs!E20</f>
        <v>130000</v>
      </c>
      <c r="F14" s="25">
        <f>+Costs!F20</f>
        <v>115000</v>
      </c>
      <c r="G14" s="25">
        <f>+SUM(C14:F14)</f>
        <v>830000</v>
      </c>
      <c r="W14" s="78"/>
      <c r="X14" s="133"/>
    </row>
    <row r="15" spans="2:24" ht="15.75" x14ac:dyDescent="0.25">
      <c r="B15" s="82">
        <v>2013</v>
      </c>
      <c r="C15" s="25">
        <f>+Costs!C21</f>
        <v>300000</v>
      </c>
      <c r="D15" s="25">
        <f>+Costs!D21</f>
        <v>285000</v>
      </c>
      <c r="E15" s="25">
        <f>+Costs!E21</f>
        <v>130000</v>
      </c>
      <c r="F15" s="25">
        <f>+Costs!F21</f>
        <v>115000</v>
      </c>
      <c r="G15" s="25">
        <f t="shared" ref="G15:G16" si="3">+SUM(C15:F15)</f>
        <v>830000</v>
      </c>
      <c r="I15" s="77" t="s">
        <v>88</v>
      </c>
      <c r="J15" s="77" t="s">
        <v>89</v>
      </c>
      <c r="W15" s="78"/>
      <c r="X15" s="133"/>
    </row>
    <row r="16" spans="2:24" ht="16.5" thickBot="1" x14ac:dyDescent="0.3">
      <c r="B16" s="83">
        <v>2014</v>
      </c>
      <c r="C16" s="25">
        <f>+Costs!C22</f>
        <v>300000</v>
      </c>
      <c r="D16" s="25">
        <f>+Costs!D22</f>
        <v>285000</v>
      </c>
      <c r="E16" s="25">
        <f>+Costs!E22</f>
        <v>130000</v>
      </c>
      <c r="F16" s="25">
        <f>+Costs!F22</f>
        <v>115000</v>
      </c>
      <c r="G16" s="25">
        <f t="shared" si="3"/>
        <v>830000</v>
      </c>
      <c r="I16" s="77" t="s">
        <v>11</v>
      </c>
      <c r="J16" t="s">
        <v>2</v>
      </c>
      <c r="K16" t="s">
        <v>3</v>
      </c>
      <c r="L16" t="s">
        <v>4</v>
      </c>
      <c r="M16" t="s">
        <v>5</v>
      </c>
      <c r="N16" t="s">
        <v>32</v>
      </c>
    </row>
    <row r="17" spans="2:14" x14ac:dyDescent="0.2">
      <c r="I17" s="78">
        <v>2012</v>
      </c>
      <c r="J17" s="131">
        <v>8955955</v>
      </c>
      <c r="K17" s="131">
        <v>7051739</v>
      </c>
      <c r="L17" s="131">
        <v>4401413</v>
      </c>
      <c r="M17" s="131">
        <v>3758689</v>
      </c>
      <c r="N17" s="131">
        <v>24167796</v>
      </c>
    </row>
    <row r="18" spans="2:14" x14ac:dyDescent="0.2">
      <c r="I18" s="78">
        <v>2013</v>
      </c>
      <c r="J18" s="131">
        <v>8896322</v>
      </c>
      <c r="K18" s="131">
        <v>6711423</v>
      </c>
      <c r="L18" s="131">
        <v>4817055</v>
      </c>
      <c r="M18" s="131">
        <v>4262670</v>
      </c>
      <c r="N18" s="131">
        <v>24687470</v>
      </c>
    </row>
    <row r="19" spans="2:14" ht="19.5" thickBot="1" x14ac:dyDescent="0.35">
      <c r="B19" s="3" t="s">
        <v>117</v>
      </c>
      <c r="I19" s="78">
        <v>2014</v>
      </c>
      <c r="J19" s="131">
        <v>10216584</v>
      </c>
      <c r="K19" s="131">
        <v>5964986</v>
      </c>
      <c r="L19" s="131">
        <v>5829644</v>
      </c>
      <c r="M19" s="131">
        <v>5614208</v>
      </c>
      <c r="N19" s="131">
        <v>27625422</v>
      </c>
    </row>
    <row r="20" spans="2:14" ht="15.75" x14ac:dyDescent="0.25">
      <c r="B20" s="183" t="s">
        <v>11</v>
      </c>
      <c r="C20" s="14" t="s">
        <v>2</v>
      </c>
      <c r="D20" s="14" t="s">
        <v>3</v>
      </c>
      <c r="E20" s="14" t="s">
        <v>4</v>
      </c>
      <c r="F20" s="15" t="s">
        <v>5</v>
      </c>
      <c r="G20" s="15" t="s">
        <v>12</v>
      </c>
      <c r="I20" s="78" t="s">
        <v>32</v>
      </c>
      <c r="J20" s="131">
        <v>28068861</v>
      </c>
      <c r="K20" s="131">
        <v>19728148</v>
      </c>
      <c r="L20" s="131">
        <v>15048112</v>
      </c>
      <c r="M20" s="131">
        <v>13635567</v>
      </c>
      <c r="N20" s="131">
        <v>76480688</v>
      </c>
    </row>
    <row r="21" spans="2:14" ht="15.75" x14ac:dyDescent="0.25">
      <c r="B21" s="82">
        <v>2012</v>
      </c>
      <c r="C21" s="25">
        <f>+'Location VUAOC Cost'!I3</f>
        <v>638080</v>
      </c>
      <c r="D21" s="25">
        <f>+'Location VUAOC Cost'!J3</f>
        <v>502379</v>
      </c>
      <c r="E21" s="25">
        <f>+'Location VUAOC Cost'!K3</f>
        <v>345058</v>
      </c>
      <c r="F21" s="25">
        <f>+'Location VUAOC Cost'!L3</f>
        <v>198504</v>
      </c>
      <c r="G21" s="26">
        <f>+SUM(C21:F21)</f>
        <v>1684021</v>
      </c>
    </row>
    <row r="22" spans="2:14" ht="15.75" x14ac:dyDescent="0.25">
      <c r="B22" s="82">
        <v>2013</v>
      </c>
      <c r="C22" s="25">
        <f>+'Location VUAOC Cost'!I4</f>
        <v>614152</v>
      </c>
      <c r="D22" s="25">
        <f>+'Location VUAOC Cost'!J4</f>
        <v>509713</v>
      </c>
      <c r="E22" s="25">
        <f>+'Location VUAOC Cost'!K4</f>
        <v>334495</v>
      </c>
      <c r="F22" s="25">
        <f>+'Location VUAOC Cost'!L4</f>
        <v>261915</v>
      </c>
      <c r="G22" s="26">
        <f t="shared" ref="G22:G23" si="4">+SUM(C22:F22)</f>
        <v>1720275</v>
      </c>
      <c r="J22" s="78"/>
      <c r="K22" s="134"/>
    </row>
    <row r="23" spans="2:14" ht="16.5" thickBot="1" x14ac:dyDescent="0.3">
      <c r="B23" s="83">
        <v>2014</v>
      </c>
      <c r="C23" s="27">
        <f>+'Location VUAOC Cost'!I5</f>
        <v>769684</v>
      </c>
      <c r="D23" s="27">
        <f>+'Location VUAOC Cost'!J5</f>
        <v>506046</v>
      </c>
      <c r="E23" s="27">
        <f>+'Location VUAOC Cost'!K5</f>
        <v>507024</v>
      </c>
      <c r="F23" s="27">
        <f>+'Location VUAOC Cost'!L5</f>
        <v>300513</v>
      </c>
      <c r="G23" s="28">
        <f t="shared" si="4"/>
        <v>2083267</v>
      </c>
      <c r="J23" s="78"/>
      <c r="K23" s="134"/>
    </row>
    <row r="24" spans="2:14" x14ac:dyDescent="0.2">
      <c r="J24" s="78"/>
      <c r="K24" s="134"/>
    </row>
    <row r="25" spans="2:14" x14ac:dyDescent="0.2">
      <c r="J25" s="78"/>
      <c r="K25" s="134"/>
    </row>
    <row r="26" spans="2:14" ht="19.5" thickBot="1" x14ac:dyDescent="0.35">
      <c r="B26" s="3" t="s">
        <v>120</v>
      </c>
    </row>
    <row r="27" spans="2:14" ht="15.75" x14ac:dyDescent="0.25">
      <c r="B27" s="13" t="s">
        <v>11</v>
      </c>
      <c r="C27" s="14" t="s">
        <v>2</v>
      </c>
      <c r="D27" s="14" t="s">
        <v>3</v>
      </c>
      <c r="E27" s="14" t="s">
        <v>4</v>
      </c>
      <c r="F27" s="15" t="s">
        <v>5</v>
      </c>
      <c r="G27" s="15" t="s">
        <v>12</v>
      </c>
    </row>
    <row r="28" spans="2:14" ht="15.75" x14ac:dyDescent="0.25">
      <c r="B28" s="82">
        <v>2012</v>
      </c>
      <c r="C28" s="25">
        <f>+Costs!C27</f>
        <v>95000</v>
      </c>
      <c r="D28" s="25">
        <f>+Costs!D27</f>
        <v>90000</v>
      </c>
      <c r="E28" s="25">
        <f>+Costs!E27</f>
        <v>60000</v>
      </c>
      <c r="F28" s="25">
        <f>+Costs!F27</f>
        <v>40000</v>
      </c>
      <c r="G28" s="25">
        <f>+SUM(C28:F28)</f>
        <v>285000</v>
      </c>
    </row>
    <row r="29" spans="2:14" ht="15.75" x14ac:dyDescent="0.25">
      <c r="B29" s="82">
        <v>2013</v>
      </c>
      <c r="C29" s="25">
        <f>+Costs!C28</f>
        <v>95000</v>
      </c>
      <c r="D29" s="25">
        <f>+Costs!D28</f>
        <v>85000</v>
      </c>
      <c r="E29" s="25">
        <f>+Costs!E28</f>
        <v>70000</v>
      </c>
      <c r="F29" s="25">
        <f>+Costs!F28</f>
        <v>40000</v>
      </c>
      <c r="G29" s="25">
        <f t="shared" ref="G29:G30" si="5">+SUM(C29:F29)</f>
        <v>290000</v>
      </c>
    </row>
    <row r="30" spans="2:14" ht="16.5" thickBot="1" x14ac:dyDescent="0.3">
      <c r="B30" s="83">
        <v>2014</v>
      </c>
      <c r="C30" s="25">
        <f>+Costs!C29</f>
        <v>100000</v>
      </c>
      <c r="D30" s="25">
        <f>+Costs!D29</f>
        <v>85000</v>
      </c>
      <c r="E30" s="25">
        <f>+Costs!E29</f>
        <v>75000</v>
      </c>
      <c r="F30" s="25">
        <f>+Costs!F29</f>
        <v>42000</v>
      </c>
      <c r="G30" s="25">
        <f t="shared" si="5"/>
        <v>302000</v>
      </c>
      <c r="J30" s="91"/>
    </row>
    <row r="31" spans="2:14" ht="18.75" x14ac:dyDescent="0.3">
      <c r="J31" s="51"/>
      <c r="K31" s="3"/>
      <c r="M31" s="51"/>
      <c r="N31" s="130"/>
    </row>
    <row r="33" spans="2:7" ht="19.5" thickBot="1" x14ac:dyDescent="0.35">
      <c r="B33" s="3" t="s">
        <v>121</v>
      </c>
    </row>
    <row r="34" spans="2:7" ht="15.75" x14ac:dyDescent="0.25">
      <c r="B34" s="13" t="s">
        <v>11</v>
      </c>
      <c r="C34" s="14" t="s">
        <v>2</v>
      </c>
      <c r="D34" s="14" t="s">
        <v>3</v>
      </c>
      <c r="E34" s="14" t="s">
        <v>4</v>
      </c>
      <c r="F34" s="15" t="s">
        <v>5</v>
      </c>
      <c r="G34" s="52" t="s">
        <v>12</v>
      </c>
    </row>
    <row r="35" spans="2:7" ht="15.75" x14ac:dyDescent="0.25">
      <c r="B35" s="82">
        <v>2012</v>
      </c>
      <c r="C35" s="25">
        <f>COGS!R6</f>
        <v>7187875</v>
      </c>
      <c r="D35" s="25">
        <f>COGS!S6</f>
        <v>5497360</v>
      </c>
      <c r="E35" s="25">
        <f>COGS!T6</f>
        <v>3461355</v>
      </c>
      <c r="F35" s="25">
        <f>COGS!U6</f>
        <v>3058185</v>
      </c>
      <c r="G35" s="53">
        <f>SUM(C35:F35)</f>
        <v>19204775</v>
      </c>
    </row>
    <row r="36" spans="2:7" ht="15.75" x14ac:dyDescent="0.25">
      <c r="B36" s="82">
        <v>2013</v>
      </c>
      <c r="C36" s="25">
        <f>COGS!R7</f>
        <v>7127170</v>
      </c>
      <c r="D36" s="25">
        <f>COGS!S7</f>
        <v>5131710</v>
      </c>
      <c r="E36" s="25">
        <f>COGS!T7</f>
        <v>3863560</v>
      </c>
      <c r="F36" s="25">
        <f>COGS!U7</f>
        <v>3486755</v>
      </c>
      <c r="G36" s="53">
        <f t="shared" ref="G36:G37" si="6">SUM(C36:F36)</f>
        <v>19609195</v>
      </c>
    </row>
    <row r="37" spans="2:7" ht="16.5" thickBot="1" x14ac:dyDescent="0.3">
      <c r="B37" s="83">
        <v>2014</v>
      </c>
      <c r="C37" s="25">
        <f>COGS!R8</f>
        <v>8252900</v>
      </c>
      <c r="D37" s="25">
        <f>COGS!S8</f>
        <v>4357940</v>
      </c>
      <c r="E37" s="25">
        <f>COGS!T8</f>
        <v>4680620</v>
      </c>
      <c r="F37" s="25">
        <f>COGS!U8</f>
        <v>4782695</v>
      </c>
      <c r="G37" s="53">
        <f t="shared" si="6"/>
        <v>22074155</v>
      </c>
    </row>
  </sheetData>
  <pageMargins left="0.7" right="0.43" top="0.75" bottom="0.75" header="0.3" footer="0.3"/>
  <pageSetup paperSize="9" scale="53" fitToHeight="0" orientation="landscape" r:id="rId2"/>
  <headerFooter>
    <oddHeader>&amp;C&amp;14Sheet: &amp;A</oddHeader>
    <oddFooter>&amp;L&amp;11Group 28's Business Model&amp;C&amp;11&amp;P&amp;R&amp;11SP52/2016-BX2016</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B1:AC49"/>
  <sheetViews>
    <sheetView zoomScale="80" zoomScaleNormal="80" workbookViewId="0">
      <pane xSplit="2" ySplit="4" topLeftCell="N5" activePane="bottomRight" state="frozen"/>
      <selection activeCell="D21" sqref="D21"/>
      <selection pane="topRight" activeCell="D21" sqref="D21"/>
      <selection pane="bottomLeft" activeCell="D21" sqref="D21"/>
      <selection pane="bottomRight" activeCell="AD16" sqref="AD16"/>
    </sheetView>
  </sheetViews>
  <sheetFormatPr defaultRowHeight="12.75" x14ac:dyDescent="0.2"/>
  <cols>
    <col min="1" max="1" width="4.42578125" customWidth="1"/>
    <col min="2" max="2" width="23" customWidth="1"/>
    <col min="3" max="3" width="9.28515625" bestFit="1" customWidth="1"/>
    <col min="4" max="4" width="11.28515625" bestFit="1" customWidth="1"/>
    <col min="5" max="5" width="10.7109375" bestFit="1" customWidth="1"/>
    <col min="6" max="6" width="7.42578125" bestFit="1" customWidth="1"/>
    <col min="7" max="7" width="4.5703125" customWidth="1"/>
    <col min="8" max="8" width="22.28515625" customWidth="1"/>
    <col min="9" max="9" width="17" bestFit="1" customWidth="1"/>
    <col min="10" max="10" width="4.7109375" customWidth="1"/>
    <col min="11" max="11" width="23.140625" bestFit="1" customWidth="1"/>
    <col min="12" max="12" width="12.28515625" bestFit="1" customWidth="1"/>
    <col min="13" max="15" width="11.28515625" bestFit="1" customWidth="1"/>
    <col min="16" max="16" width="5" customWidth="1"/>
    <col min="17" max="17" width="18.5703125" customWidth="1"/>
    <col min="18" max="22" width="12.28515625" bestFit="1" customWidth="1"/>
    <col min="24" max="24" width="14.42578125" customWidth="1"/>
    <col min="25" max="25" width="19.140625" customWidth="1"/>
    <col min="26" max="27" width="12" customWidth="1"/>
    <col min="28" max="28" width="10.85546875" customWidth="1"/>
    <col min="29" max="29" width="12.42578125" customWidth="1"/>
    <col min="30" max="30" width="9.85546875" bestFit="1" customWidth="1"/>
    <col min="31" max="31" width="20" bestFit="1" customWidth="1"/>
    <col min="32" max="32" width="12.42578125" bestFit="1" customWidth="1"/>
  </cols>
  <sheetData>
    <row r="1" spans="2:29" ht="20.25" thickBot="1" x14ac:dyDescent="0.35">
      <c r="B1" s="158" t="s">
        <v>26</v>
      </c>
      <c r="C1" s="75"/>
      <c r="D1" s="75"/>
      <c r="E1" s="75"/>
      <c r="F1" s="75"/>
      <c r="G1" s="75"/>
      <c r="H1" s="75"/>
      <c r="I1" s="75"/>
      <c r="J1" s="75"/>
      <c r="K1" s="220" t="s">
        <v>179</v>
      </c>
      <c r="L1" s="75"/>
      <c r="M1" s="75"/>
      <c r="N1" s="75"/>
      <c r="O1" s="75"/>
      <c r="P1" s="75"/>
      <c r="Q1" s="158" t="s">
        <v>26</v>
      </c>
      <c r="X1" s="77" t="s">
        <v>158</v>
      </c>
      <c r="Y1" t="s">
        <v>31</v>
      </c>
    </row>
    <row r="2" spans="2:29" ht="13.5" thickTop="1" x14ac:dyDescent="0.2">
      <c r="B2" s="75"/>
      <c r="C2" s="75"/>
      <c r="D2" s="75"/>
      <c r="E2" s="75"/>
      <c r="F2" s="75"/>
      <c r="G2" s="75"/>
      <c r="H2" s="75"/>
      <c r="I2" s="75"/>
      <c r="J2" s="75"/>
      <c r="K2" s="75"/>
      <c r="L2" s="75"/>
      <c r="M2" s="75"/>
      <c r="N2" s="75"/>
      <c r="O2" s="75"/>
      <c r="P2" s="75"/>
    </row>
    <row r="3" spans="2:29" ht="13.5" thickBot="1" x14ac:dyDescent="0.25">
      <c r="B3" s="6" t="s">
        <v>92</v>
      </c>
      <c r="C3" s="6"/>
      <c r="D3" s="6"/>
      <c r="E3" s="6"/>
      <c r="F3" s="6"/>
      <c r="G3" s="75"/>
      <c r="H3" s="158" t="s">
        <v>95</v>
      </c>
      <c r="I3" s="158"/>
      <c r="J3" s="75"/>
      <c r="K3" s="158" t="s">
        <v>99</v>
      </c>
      <c r="L3" s="6"/>
      <c r="M3" s="6"/>
      <c r="N3" s="6"/>
      <c r="O3" s="6"/>
      <c r="P3" s="75"/>
      <c r="Q3" s="158" t="s">
        <v>122</v>
      </c>
      <c r="R3" s="75"/>
      <c r="S3" s="75"/>
      <c r="T3" s="75"/>
      <c r="U3" s="75"/>
      <c r="V3" s="75"/>
      <c r="X3" s="77" t="s">
        <v>88</v>
      </c>
      <c r="Y3" s="77" t="s">
        <v>89</v>
      </c>
    </row>
    <row r="4" spans="2:29" ht="13.5" x14ac:dyDescent="0.25">
      <c r="B4" s="159" t="s">
        <v>16</v>
      </c>
      <c r="C4" s="160" t="s">
        <v>2</v>
      </c>
      <c r="D4" s="160" t="s">
        <v>3</v>
      </c>
      <c r="E4" s="160" t="s">
        <v>4</v>
      </c>
      <c r="F4" s="160" t="s">
        <v>5</v>
      </c>
      <c r="G4" s="75"/>
      <c r="H4" s="161" t="s">
        <v>16</v>
      </c>
      <c r="I4" s="162" t="s">
        <v>94</v>
      </c>
      <c r="J4" s="75"/>
      <c r="K4" s="159" t="s">
        <v>16</v>
      </c>
      <c r="L4" s="160" t="s">
        <v>2</v>
      </c>
      <c r="M4" s="160" t="s">
        <v>3</v>
      </c>
      <c r="N4" s="160" t="s">
        <v>4</v>
      </c>
      <c r="O4" s="160" t="s">
        <v>5</v>
      </c>
      <c r="P4" s="75"/>
      <c r="Q4" s="203" t="s">
        <v>11</v>
      </c>
      <c r="R4" s="168" t="s">
        <v>2</v>
      </c>
      <c r="S4" s="168" t="s">
        <v>3</v>
      </c>
      <c r="T4" s="168" t="s">
        <v>4</v>
      </c>
      <c r="U4" s="168" t="s">
        <v>5</v>
      </c>
      <c r="V4" s="169" t="s">
        <v>12</v>
      </c>
      <c r="X4" s="77" t="s">
        <v>11</v>
      </c>
      <c r="Y4" t="s">
        <v>2</v>
      </c>
      <c r="Z4" t="s">
        <v>3</v>
      </c>
      <c r="AA4" t="s">
        <v>4</v>
      </c>
      <c r="AB4" t="s">
        <v>5</v>
      </c>
      <c r="AC4" t="s">
        <v>32</v>
      </c>
    </row>
    <row r="5" spans="2:29" x14ac:dyDescent="0.2">
      <c r="B5" s="163" t="s">
        <v>17</v>
      </c>
      <c r="C5" s="164">
        <f>+VLOOKUP(B5,'Sales Target &amp; Actual'!$H$4:$I$10,2,FALSE)</f>
        <v>1837</v>
      </c>
      <c r="D5" s="164">
        <f>+VLOOKUP(B5,'Sales Target &amp; Actual'!$H$4:$J$10,3,FALSE)</f>
        <v>1316</v>
      </c>
      <c r="E5" s="164">
        <f>+VLOOKUP(B5,'Sales Target &amp; Actual'!$H$4:$K$10,4,FALSE)</f>
        <v>871</v>
      </c>
      <c r="F5" s="164">
        <f>+VLOOKUP(B5,'Sales Target &amp; Actual'!$H$4:$L$10,5,FALSE)</f>
        <v>683</v>
      </c>
      <c r="G5" s="75"/>
      <c r="H5" s="165" t="s">
        <v>17</v>
      </c>
      <c r="I5" s="166">
        <f>+VLOOKUP(H5,'Sales Target &amp; Actual'!$N$4:$O$10,2,FALSE)</f>
        <v>750</v>
      </c>
      <c r="J5" s="75"/>
      <c r="K5" s="163" t="s">
        <v>17</v>
      </c>
      <c r="L5" s="164">
        <f>C5*$I$5</f>
        <v>1377750</v>
      </c>
      <c r="M5" s="164">
        <f>D5*$I$5</f>
        <v>987000</v>
      </c>
      <c r="N5" s="164">
        <f>E5*$I$5</f>
        <v>653250</v>
      </c>
      <c r="O5" s="164">
        <f>F5*$I$5</f>
        <v>512250</v>
      </c>
      <c r="P5" s="75"/>
      <c r="Q5" s="204">
        <v>2012</v>
      </c>
      <c r="R5" s="170">
        <f>+GETPIVOTDATA("Value",$X$3,"Column","Brisbane","Page1","2012")</f>
        <v>9416330</v>
      </c>
      <c r="S5" s="170">
        <f>+GETPIVOTDATA("Value",$X$3,"Column","Gold Coast","Page1","2012")</f>
        <v>7200320</v>
      </c>
      <c r="T5" s="170">
        <f>+GETPIVOTDATA("Value",$X$3,"Column","Townsville","Page1","2012")</f>
        <v>4536080</v>
      </c>
      <c r="U5" s="170">
        <f>+GETPIVOTDATA("Value",$X$3,"Column","Cairns","Page1","2012")</f>
        <v>4022670</v>
      </c>
      <c r="V5" s="205">
        <f>SUM(R5:U5)</f>
        <v>25175400</v>
      </c>
      <c r="X5" s="78" t="s">
        <v>159</v>
      </c>
      <c r="Y5" s="131">
        <v>9416330</v>
      </c>
      <c r="Z5" s="131">
        <v>7200320</v>
      </c>
      <c r="AA5" s="131">
        <v>4536080</v>
      </c>
      <c r="AB5" s="131">
        <v>4022670</v>
      </c>
      <c r="AC5" s="131">
        <v>25175400</v>
      </c>
    </row>
    <row r="6" spans="2:29" x14ac:dyDescent="0.2">
      <c r="B6" s="163" t="s">
        <v>18</v>
      </c>
      <c r="C6" s="164">
        <f>+VLOOKUP(B6,'Sales Target &amp; Actual'!$H$4:$I$10,2,FALSE)</f>
        <v>3398</v>
      </c>
      <c r="D6" s="164">
        <f>+VLOOKUP(B6,'Sales Target &amp; Actual'!$H$4:$J$10,3,FALSE)</f>
        <v>2790</v>
      </c>
      <c r="E6" s="164">
        <f>+VLOOKUP(B6,'Sales Target &amp; Actual'!$H$4:$K$10,4,FALSE)</f>
        <v>1571</v>
      </c>
      <c r="F6" s="164">
        <f>+VLOOKUP(B6,'Sales Target &amp; Actual'!$H$4:$L$10,5,FALSE)</f>
        <v>1246</v>
      </c>
      <c r="G6" s="75"/>
      <c r="H6" s="163" t="s">
        <v>18</v>
      </c>
      <c r="I6" s="166">
        <f>+VLOOKUP(H6,'Sales Target &amp; Actual'!$N$4:$O$10,2,FALSE)</f>
        <v>650</v>
      </c>
      <c r="J6" s="75"/>
      <c r="K6" s="163" t="s">
        <v>18</v>
      </c>
      <c r="L6" s="164">
        <f>C6*$I$6</f>
        <v>2208700</v>
      </c>
      <c r="M6" s="164">
        <f>D6*$I$6</f>
        <v>1813500</v>
      </c>
      <c r="N6" s="164">
        <f>E6*$I$6</f>
        <v>1021150</v>
      </c>
      <c r="O6" s="164">
        <f>F6*$I$6</f>
        <v>809900</v>
      </c>
      <c r="P6" s="75"/>
      <c r="Q6" s="204">
        <v>2013</v>
      </c>
      <c r="R6" s="170">
        <f>+GETPIVOTDATA("Value",$X$3,"Column","Brisbane","Page1","2013")</f>
        <v>9364870</v>
      </c>
      <c r="S6" s="170">
        <f>+GETPIVOTDATA("Value",$X$3,"Column","Gold Coast","Page1","2013")</f>
        <v>6704770</v>
      </c>
      <c r="T6" s="170">
        <f>+GETPIVOTDATA("Value",$X$3,"Column","Townsville","Page1","2013")</f>
        <v>5047230</v>
      </c>
      <c r="U6" s="170">
        <f>+GETPIVOTDATA("Value",$X$3,"Column","Cairns","Page1","2013")</f>
        <v>4555770</v>
      </c>
      <c r="V6" s="205">
        <f t="shared" ref="V6:V7" si="0">SUM(R6:U6)</f>
        <v>25672640</v>
      </c>
      <c r="X6" s="78" t="s">
        <v>160</v>
      </c>
      <c r="Y6" s="131">
        <v>9364870</v>
      </c>
      <c r="Z6" s="131">
        <v>6704770</v>
      </c>
      <c r="AA6" s="131">
        <v>5047230</v>
      </c>
      <c r="AB6" s="131">
        <v>4555770</v>
      </c>
      <c r="AC6" s="131">
        <v>25672640</v>
      </c>
    </row>
    <row r="7" spans="2:29" x14ac:dyDescent="0.2">
      <c r="B7" s="163" t="s">
        <v>130</v>
      </c>
      <c r="C7" s="164">
        <f>+VLOOKUP(B7,'Sales Target &amp; Actual'!$H$4:$I$10,2,FALSE)</f>
        <v>884</v>
      </c>
      <c r="D7" s="164">
        <f>+VLOOKUP(B7,'Sales Target &amp; Actual'!$H$4:$J$10,3,FALSE)</f>
        <v>542</v>
      </c>
      <c r="E7" s="164">
        <f>+VLOOKUP(B7,'Sales Target &amp; Actual'!$H$4:$K$10,4,FALSE)</f>
        <v>516</v>
      </c>
      <c r="F7" s="164">
        <f>+VLOOKUP(B7,'Sales Target &amp; Actual'!$H$4:$L$10,5,FALSE)</f>
        <v>640</v>
      </c>
      <c r="G7" s="75"/>
      <c r="H7" s="163" t="s">
        <v>130</v>
      </c>
      <c r="I7" s="166">
        <f>+VLOOKUP(H7,'Sales Target &amp; Actual'!$N$4:$O$10,2,FALSE)</f>
        <v>850</v>
      </c>
      <c r="J7" s="75"/>
      <c r="K7" s="163" t="s">
        <v>130</v>
      </c>
      <c r="L7" s="164">
        <f>C7*$I$7</f>
        <v>751400</v>
      </c>
      <c r="M7" s="164">
        <f>D7*$I$7</f>
        <v>460700</v>
      </c>
      <c r="N7" s="164">
        <f>E7*$I$7</f>
        <v>438600</v>
      </c>
      <c r="O7" s="164">
        <f>F7*$I$7</f>
        <v>544000</v>
      </c>
      <c r="P7" s="75"/>
      <c r="Q7" s="204">
        <v>2014</v>
      </c>
      <c r="R7" s="170">
        <f>+GETPIVOTDATA("Value",$X$3,"Column","Brisbane","Page1","2014")</f>
        <v>10833550</v>
      </c>
      <c r="S7" s="170">
        <f>+GETPIVOTDATA("Value",$X$3,"Column","Gold Coast","Page1","2014")</f>
        <v>5688700</v>
      </c>
      <c r="T7" s="170">
        <f>+GETPIVOTDATA("Value",$X$3,"Column","Townsville","Page1","2014")</f>
        <v>6112710</v>
      </c>
      <c r="U7" s="170">
        <f>+GETPIVOTDATA("Value",$X$3,"Column","Cairns","Page1","2014")</f>
        <v>6283310</v>
      </c>
      <c r="V7" s="205">
        <f t="shared" si="0"/>
        <v>28918270</v>
      </c>
      <c r="X7" s="78" t="s">
        <v>161</v>
      </c>
      <c r="Y7" s="131">
        <v>10833550</v>
      </c>
      <c r="Z7" s="131">
        <v>5688700</v>
      </c>
      <c r="AA7" s="131">
        <v>6112710</v>
      </c>
      <c r="AB7" s="131">
        <v>6283310</v>
      </c>
      <c r="AC7" s="131">
        <v>28918270</v>
      </c>
    </row>
    <row r="8" spans="2:29" ht="13.5" thickBot="1" x14ac:dyDescent="0.25">
      <c r="B8" s="163" t="s">
        <v>19</v>
      </c>
      <c r="C8" s="164">
        <f>+VLOOKUP(B8,'Sales Target &amp; Actual'!$H$4:$I$10,2,FALSE)</f>
        <v>2487</v>
      </c>
      <c r="D8" s="164">
        <f>+VLOOKUP(B8,'Sales Target &amp; Actual'!$H$4:$J$10,3,FALSE)</f>
        <v>1968</v>
      </c>
      <c r="E8" s="164">
        <f>+VLOOKUP(B8,'Sales Target &amp; Actual'!$H$4:$K$10,4,FALSE)</f>
        <v>1255</v>
      </c>
      <c r="F8" s="164">
        <f>+VLOOKUP(B8,'Sales Target &amp; Actual'!$H$4:$L$10,5,FALSE)</f>
        <v>1150</v>
      </c>
      <c r="G8" s="75"/>
      <c r="H8" s="163" t="s">
        <v>19</v>
      </c>
      <c r="I8" s="166">
        <f>+VLOOKUP(H8,'Sales Target &amp; Actual'!$N$4:$O$10,2,FALSE)</f>
        <v>400</v>
      </c>
      <c r="J8" s="75"/>
      <c r="K8" s="163" t="s">
        <v>19</v>
      </c>
      <c r="L8" s="164">
        <f>C8*$I$8</f>
        <v>994800</v>
      </c>
      <c r="M8" s="164">
        <f>D8*$I$8</f>
        <v>787200</v>
      </c>
      <c r="N8" s="164">
        <f>E8*$I$8</f>
        <v>502000</v>
      </c>
      <c r="O8" s="164">
        <f>F8*$I$8</f>
        <v>460000</v>
      </c>
      <c r="P8" s="75"/>
      <c r="Q8" s="206" t="s">
        <v>32</v>
      </c>
      <c r="R8" s="190">
        <f>+SUM(R5:R7)</f>
        <v>29614750</v>
      </c>
      <c r="S8" s="190">
        <f t="shared" ref="S8:V8" si="1">+SUM(S5:S7)</f>
        <v>19593790</v>
      </c>
      <c r="T8" s="190">
        <f t="shared" si="1"/>
        <v>15696020</v>
      </c>
      <c r="U8" s="190">
        <f t="shared" si="1"/>
        <v>14861750</v>
      </c>
      <c r="V8" s="191">
        <f t="shared" si="1"/>
        <v>79766310</v>
      </c>
      <c r="X8" s="78" t="s">
        <v>32</v>
      </c>
      <c r="Y8" s="131">
        <v>29614750</v>
      </c>
      <c r="Z8" s="131">
        <v>19593790</v>
      </c>
      <c r="AA8" s="131">
        <v>15696020</v>
      </c>
      <c r="AB8" s="131">
        <v>14861750</v>
      </c>
      <c r="AC8" s="131">
        <v>79766310</v>
      </c>
    </row>
    <row r="9" spans="2:29" x14ac:dyDescent="0.2">
      <c r="B9" s="163" t="s">
        <v>20</v>
      </c>
      <c r="C9" s="164">
        <f>+VLOOKUP(B9,'Sales Target &amp; Actual'!$H$4:$I$10,2,FALSE)</f>
        <v>1712</v>
      </c>
      <c r="D9" s="164">
        <f>+VLOOKUP(B9,'Sales Target &amp; Actual'!$H$4:$J$10,3,FALSE)</f>
        <v>1364</v>
      </c>
      <c r="E9" s="164">
        <f>+VLOOKUP(B9,'Sales Target &amp; Actual'!$H$4:$K$10,4,FALSE)</f>
        <v>714</v>
      </c>
      <c r="F9" s="164">
        <f>+VLOOKUP(B9,'Sales Target &amp; Actual'!$H$4:$L$10,5,FALSE)</f>
        <v>686</v>
      </c>
      <c r="G9" s="75"/>
      <c r="H9" s="163" t="s">
        <v>20</v>
      </c>
      <c r="I9" s="166">
        <f>+VLOOKUP(H9,'Sales Target &amp; Actual'!$N$4:$O$10,2,FALSE)</f>
        <v>700</v>
      </c>
      <c r="J9" s="75"/>
      <c r="K9" s="163" t="s">
        <v>20</v>
      </c>
      <c r="L9" s="164">
        <f>C9*$I$9</f>
        <v>1198400</v>
      </c>
      <c r="M9" s="164">
        <f>D9*$I$9</f>
        <v>954800</v>
      </c>
      <c r="N9" s="164">
        <f>E9*$I$9</f>
        <v>499800</v>
      </c>
      <c r="O9" s="164">
        <f>F9*$I$9</f>
        <v>480200</v>
      </c>
      <c r="P9" s="75"/>
    </row>
    <row r="10" spans="2:29" x14ac:dyDescent="0.2">
      <c r="B10" s="163" t="s">
        <v>131</v>
      </c>
      <c r="C10" s="164">
        <f>+VLOOKUP(B10,'Sales Target &amp; Actual'!$H$4:$I$10,2,FALSE)</f>
        <v>2238</v>
      </c>
      <c r="D10" s="164">
        <f>+VLOOKUP(B10,'Sales Target &amp; Actual'!$H$4:$J$10,3,FALSE)</f>
        <v>1709</v>
      </c>
      <c r="E10" s="164">
        <f>+VLOOKUP(B10,'Sales Target &amp; Actual'!$H$4:$K$10,4,FALSE)</f>
        <v>1104</v>
      </c>
      <c r="F10" s="164">
        <f>+VLOOKUP(B10,'Sales Target &amp; Actual'!$H$4:$L$10,5,FALSE)</f>
        <v>972</v>
      </c>
      <c r="G10" s="75"/>
      <c r="H10" s="163" t="s">
        <v>131</v>
      </c>
      <c r="I10" s="166">
        <f>+VLOOKUP(H10,'Sales Target &amp; Actual'!$N$4:$O$10,2,FALSE)</f>
        <v>800</v>
      </c>
      <c r="J10" s="75"/>
      <c r="K10" s="163" t="s">
        <v>131</v>
      </c>
      <c r="L10" s="164">
        <f>C10*$I$10</f>
        <v>1790400</v>
      </c>
      <c r="M10" s="164">
        <f>D10*$I$10</f>
        <v>1367200</v>
      </c>
      <c r="N10" s="164">
        <f>E10*$I$10</f>
        <v>883200</v>
      </c>
      <c r="O10" s="164">
        <f>F10*$I$10</f>
        <v>777600</v>
      </c>
      <c r="P10" s="75"/>
    </row>
    <row r="11" spans="2:29" x14ac:dyDescent="0.2">
      <c r="B11" s="163" t="s">
        <v>132</v>
      </c>
      <c r="C11" s="164">
        <f>+VLOOKUP(B11,'Sales Target &amp; Actual'!$H$4:$I$10,2,FALSE)</f>
        <v>2281</v>
      </c>
      <c r="D11" s="164">
        <f>+VLOOKUP(B11,'Sales Target &amp; Actual'!$H$4:$J$10,3,FALSE)</f>
        <v>1729</v>
      </c>
      <c r="E11" s="164">
        <f>+VLOOKUP(B11,'Sales Target &amp; Actual'!$H$4:$K$10,4,FALSE)</f>
        <v>1121</v>
      </c>
      <c r="F11" s="164">
        <f>+VLOOKUP(B11,'Sales Target &amp; Actual'!$H$4:$L$10,5,FALSE)</f>
        <v>914</v>
      </c>
      <c r="G11" s="75"/>
      <c r="H11" s="163" t="s">
        <v>132</v>
      </c>
      <c r="I11" s="166">
        <f>+VLOOKUP(H11,'Sales Target &amp; Actual'!$N$4:$O$10,2,FALSE)</f>
        <v>480</v>
      </c>
      <c r="J11" s="75"/>
      <c r="K11" s="163" t="s">
        <v>132</v>
      </c>
      <c r="L11" s="164">
        <f>C11*$I$11</f>
        <v>1094880</v>
      </c>
      <c r="M11" s="164">
        <f>D11*$I$11</f>
        <v>829920</v>
      </c>
      <c r="N11" s="164">
        <f>E11*$I$11</f>
        <v>538080</v>
      </c>
      <c r="O11" s="164">
        <f>F11*$I$11</f>
        <v>438720</v>
      </c>
      <c r="P11" s="75"/>
    </row>
    <row r="12" spans="2:29" x14ac:dyDescent="0.2">
      <c r="B12" s="163" t="s">
        <v>25</v>
      </c>
      <c r="C12" s="167">
        <f>SUM(C5:C11)</f>
        <v>14837</v>
      </c>
      <c r="D12" s="167">
        <f>SUM(D5:D11)</f>
        <v>11418</v>
      </c>
      <c r="E12" s="167">
        <f>SUM(E5:E11)</f>
        <v>7152</v>
      </c>
      <c r="F12" s="167">
        <f>SUM(F5:F11)</f>
        <v>6291</v>
      </c>
      <c r="G12" s="75"/>
      <c r="H12" s="75"/>
      <c r="I12" s="75"/>
      <c r="J12" s="75"/>
      <c r="K12" s="163" t="s">
        <v>25</v>
      </c>
      <c r="L12" s="164">
        <f>SUM(L5:L11)</f>
        <v>9416330</v>
      </c>
      <c r="M12" s="164">
        <f>SUM(M5:M11)</f>
        <v>7200320</v>
      </c>
      <c r="N12" s="164">
        <f>SUM(N5:N11)</f>
        <v>4536080</v>
      </c>
      <c r="O12" s="164">
        <f>SUM(O5:O11)</f>
        <v>4022670</v>
      </c>
      <c r="P12" s="75"/>
    </row>
    <row r="13" spans="2:29" x14ac:dyDescent="0.2">
      <c r="B13" s="75"/>
      <c r="C13" s="185"/>
      <c r="D13" s="185"/>
      <c r="E13" s="185"/>
      <c r="F13" s="185"/>
      <c r="G13" s="75"/>
      <c r="H13" s="75"/>
      <c r="I13" s="75"/>
      <c r="J13" s="75"/>
      <c r="K13" s="75"/>
      <c r="L13" s="75"/>
      <c r="M13" s="75"/>
      <c r="N13" s="75"/>
      <c r="O13" s="75"/>
      <c r="P13" s="75"/>
    </row>
    <row r="14" spans="2:29" x14ac:dyDescent="0.2">
      <c r="B14" s="75"/>
      <c r="C14" s="75"/>
      <c r="D14" s="75"/>
      <c r="E14" s="75"/>
      <c r="F14" s="75"/>
      <c r="G14" s="75"/>
      <c r="H14" s="75"/>
      <c r="I14" s="75"/>
      <c r="J14" s="75"/>
      <c r="K14" s="75"/>
      <c r="L14" s="75"/>
      <c r="M14" s="75"/>
      <c r="N14" s="75"/>
      <c r="O14" s="75"/>
      <c r="P14" s="75"/>
    </row>
    <row r="15" spans="2:29" x14ac:dyDescent="0.2">
      <c r="B15" s="6" t="s">
        <v>136</v>
      </c>
      <c r="C15" s="6"/>
      <c r="D15" s="6"/>
      <c r="E15" s="6"/>
      <c r="F15" s="6"/>
      <c r="G15" s="75"/>
      <c r="H15" s="75"/>
      <c r="I15" s="75"/>
      <c r="J15" s="75"/>
      <c r="K15" s="158" t="s">
        <v>142</v>
      </c>
      <c r="L15" s="6"/>
      <c r="M15" s="6"/>
      <c r="N15" s="6"/>
      <c r="O15" s="6"/>
      <c r="P15" s="75"/>
    </row>
    <row r="16" spans="2:29" ht="13.5" x14ac:dyDescent="0.25">
      <c r="B16" s="159" t="s">
        <v>16</v>
      </c>
      <c r="C16" s="160" t="s">
        <v>2</v>
      </c>
      <c r="D16" s="160" t="s">
        <v>3</v>
      </c>
      <c r="E16" s="160" t="s">
        <v>4</v>
      </c>
      <c r="F16" s="160" t="s">
        <v>5</v>
      </c>
      <c r="G16" s="75"/>
      <c r="H16" s="75"/>
      <c r="I16" s="75"/>
      <c r="J16" s="75"/>
      <c r="K16" s="159" t="s">
        <v>16</v>
      </c>
      <c r="L16" s="160" t="s">
        <v>2</v>
      </c>
      <c r="M16" s="160" t="s">
        <v>3</v>
      </c>
      <c r="N16" s="160" t="s">
        <v>4</v>
      </c>
      <c r="O16" s="160" t="s">
        <v>5</v>
      </c>
      <c r="P16" s="75"/>
    </row>
    <row r="17" spans="2:16" x14ac:dyDescent="0.2">
      <c r="B17" s="163" t="s">
        <v>17</v>
      </c>
      <c r="C17" s="164">
        <f>+VLOOKUP(B17,'Sales Target &amp; Actual'!$H$15:$I$21,2,FALSE)</f>
        <v>1928</v>
      </c>
      <c r="D17" s="164">
        <f>+VLOOKUP(B17,'Sales Target &amp; Actual'!$H$15:$J$21,3,FALSE)</f>
        <v>1512</v>
      </c>
      <c r="E17" s="164">
        <f>+VLOOKUP(B17,'Sales Target &amp; Actual'!$H$15:$K$21,4,FALSE)</f>
        <v>1116</v>
      </c>
      <c r="F17" s="164">
        <f>+VLOOKUP(B17,'Sales Target &amp; Actual'!$H$15:$L$21,5,FALSE)</f>
        <v>1073</v>
      </c>
      <c r="G17" s="75"/>
      <c r="H17" s="75"/>
      <c r="I17" s="75"/>
      <c r="J17" s="75"/>
      <c r="K17" s="163" t="s">
        <v>17</v>
      </c>
      <c r="L17" s="164">
        <f>C17*$I$5</f>
        <v>1446000</v>
      </c>
      <c r="M17" s="164">
        <f>D17*$I$5</f>
        <v>1134000</v>
      </c>
      <c r="N17" s="164">
        <f>E17*$I$5</f>
        <v>837000</v>
      </c>
      <c r="O17" s="164">
        <f>F17*$I$5</f>
        <v>804750</v>
      </c>
      <c r="P17" s="75"/>
    </row>
    <row r="18" spans="2:16" x14ac:dyDescent="0.2">
      <c r="B18" s="163" t="s">
        <v>18</v>
      </c>
      <c r="C18" s="164">
        <f>+VLOOKUP(B18,'Sales Target &amp; Actual'!$H$15:$I$21,2,FALSE)</f>
        <v>3088</v>
      </c>
      <c r="D18" s="164">
        <f>+VLOOKUP(B18,'Sales Target &amp; Actual'!$H$15:$J$21,3,FALSE)</f>
        <v>2260</v>
      </c>
      <c r="E18" s="164">
        <f>+VLOOKUP(B18,'Sales Target &amp; Actual'!$H$15:$K$21,4,FALSE)</f>
        <v>1710</v>
      </c>
      <c r="F18" s="164">
        <f>+VLOOKUP(B18,'Sales Target &amp; Actual'!$H$15:$L$21,5,FALSE)</f>
        <v>1455</v>
      </c>
      <c r="G18" s="75"/>
      <c r="H18" s="75"/>
      <c r="I18" s="75"/>
      <c r="J18" s="75"/>
      <c r="K18" s="163" t="s">
        <v>18</v>
      </c>
      <c r="L18" s="164">
        <f>C18*$I$6</f>
        <v>2007200</v>
      </c>
      <c r="M18" s="164">
        <f>D18*$I$6</f>
        <v>1469000</v>
      </c>
      <c r="N18" s="164">
        <f>E18*$I$6</f>
        <v>1111500</v>
      </c>
      <c r="O18" s="164">
        <f>F18*$I$6</f>
        <v>945750</v>
      </c>
      <c r="P18" s="75"/>
    </row>
    <row r="19" spans="2:16" x14ac:dyDescent="0.2">
      <c r="B19" s="163" t="s">
        <v>130</v>
      </c>
      <c r="C19" s="164">
        <f>+VLOOKUP(B19,'Sales Target &amp; Actual'!$H$15:$I$21,2,FALSE)</f>
        <v>769</v>
      </c>
      <c r="D19" s="164">
        <f>+VLOOKUP(B19,'Sales Target &amp; Actual'!$H$15:$J$21,3,FALSE)</f>
        <v>679</v>
      </c>
      <c r="E19" s="164">
        <f>+VLOOKUP(B19,'Sales Target &amp; Actual'!$H$15:$K$21,4,FALSE)</f>
        <v>589</v>
      </c>
      <c r="F19" s="164">
        <f>+VLOOKUP(B19,'Sales Target &amp; Actual'!$H$15:$L$21,5,FALSE)</f>
        <v>601</v>
      </c>
      <c r="G19" s="75"/>
      <c r="H19" s="75"/>
      <c r="I19" s="75"/>
      <c r="J19" s="75"/>
      <c r="K19" s="163" t="s">
        <v>130</v>
      </c>
      <c r="L19" s="164">
        <f>C19*$I$7</f>
        <v>653650</v>
      </c>
      <c r="M19" s="164">
        <f>D19*$I$7</f>
        <v>577150</v>
      </c>
      <c r="N19" s="164">
        <f>E19*$I$7</f>
        <v>500650</v>
      </c>
      <c r="O19" s="164">
        <f>F19*$I$7</f>
        <v>510850</v>
      </c>
      <c r="P19" s="75"/>
    </row>
    <row r="20" spans="2:16" x14ac:dyDescent="0.2">
      <c r="B20" s="163" t="s">
        <v>19</v>
      </c>
      <c r="C20" s="164">
        <f>+VLOOKUP(B20,'Sales Target &amp; Actual'!$H$15:$I$21,2,FALSE)</f>
        <v>2740</v>
      </c>
      <c r="D20" s="164">
        <f>+VLOOKUP(B20,'Sales Target &amp; Actual'!$H$15:$J$21,3,FALSE)</f>
        <v>1927</v>
      </c>
      <c r="E20" s="164">
        <f>+VLOOKUP(B20,'Sales Target &amp; Actual'!$H$15:$K$21,4,FALSE)</f>
        <v>1310</v>
      </c>
      <c r="F20" s="164">
        <f>+VLOOKUP(B20,'Sales Target &amp; Actual'!$H$15:$L$21,5,FALSE)</f>
        <v>1066</v>
      </c>
      <c r="G20" s="75"/>
      <c r="H20" s="75"/>
      <c r="I20" s="75"/>
      <c r="J20" s="75"/>
      <c r="K20" s="163" t="s">
        <v>19</v>
      </c>
      <c r="L20" s="164">
        <f>C20*$I$8</f>
        <v>1096000</v>
      </c>
      <c r="M20" s="164">
        <f>D20*$I$8</f>
        <v>770800</v>
      </c>
      <c r="N20" s="164">
        <f>E20*$I$8</f>
        <v>524000</v>
      </c>
      <c r="O20" s="164">
        <f>F20*$I$8</f>
        <v>426400</v>
      </c>
      <c r="P20" s="75"/>
    </row>
    <row r="21" spans="2:16" x14ac:dyDescent="0.2">
      <c r="B21" s="163" t="s">
        <v>20</v>
      </c>
      <c r="C21" s="164">
        <f>+VLOOKUP(B21,'Sales Target &amp; Actual'!$H$15:$I$21,2,FALSE)</f>
        <v>1655</v>
      </c>
      <c r="D21" s="164">
        <f>+VLOOKUP(B21,'Sales Target &amp; Actual'!$H$15:$J$21,3,FALSE)</f>
        <v>1057</v>
      </c>
      <c r="E21" s="164">
        <f>+VLOOKUP(B21,'Sales Target &amp; Actual'!$H$15:$K$21,4,FALSE)</f>
        <v>768</v>
      </c>
      <c r="F21" s="164">
        <f>+VLOOKUP(B21,'Sales Target &amp; Actual'!$H$15:$L$21,5,FALSE)</f>
        <v>779</v>
      </c>
      <c r="G21" s="75"/>
      <c r="H21" s="75"/>
      <c r="I21" s="75"/>
      <c r="J21" s="75"/>
      <c r="K21" s="163" t="s">
        <v>20</v>
      </c>
      <c r="L21" s="164">
        <f>C21*$I$9</f>
        <v>1158500</v>
      </c>
      <c r="M21" s="164">
        <f>D21*$I$9</f>
        <v>739900</v>
      </c>
      <c r="N21" s="164">
        <f>E21*$I$9</f>
        <v>537600</v>
      </c>
      <c r="O21" s="164">
        <f>F21*$I$9</f>
        <v>545300</v>
      </c>
      <c r="P21" s="75"/>
    </row>
    <row r="22" spans="2:16" x14ac:dyDescent="0.2">
      <c r="B22" s="163" t="s">
        <v>131</v>
      </c>
      <c r="C22" s="164">
        <f>+VLOOKUP(B22,'Sales Target &amp; Actual'!$H$15:$I$21,2,FALSE)</f>
        <v>2381</v>
      </c>
      <c r="D22" s="164">
        <f>+VLOOKUP(B22,'Sales Target &amp; Actual'!$H$15:$J$21,3,FALSE)</f>
        <v>1579</v>
      </c>
      <c r="E22" s="164">
        <f>+VLOOKUP(B22,'Sales Target &amp; Actual'!$H$15:$K$21,4,FALSE)</f>
        <v>1200</v>
      </c>
      <c r="F22" s="164">
        <f>+VLOOKUP(B22,'Sales Target &amp; Actual'!$H$15:$L$21,5,FALSE)</f>
        <v>1123</v>
      </c>
      <c r="G22" s="75"/>
      <c r="H22" s="75"/>
      <c r="I22" s="75"/>
      <c r="J22" s="75"/>
      <c r="K22" s="163" t="s">
        <v>131</v>
      </c>
      <c r="L22" s="164">
        <f>C22*$I$10</f>
        <v>1904800</v>
      </c>
      <c r="M22" s="164">
        <f>D22*$I$10</f>
        <v>1263200</v>
      </c>
      <c r="N22" s="164">
        <f>E22*$I$10</f>
        <v>960000</v>
      </c>
      <c r="O22" s="164">
        <f>F22*$I$10</f>
        <v>898400</v>
      </c>
      <c r="P22" s="75"/>
    </row>
    <row r="23" spans="2:16" x14ac:dyDescent="0.2">
      <c r="B23" s="163" t="s">
        <v>132</v>
      </c>
      <c r="C23" s="164">
        <f>+VLOOKUP(B23,'Sales Target &amp; Actual'!$H$15:$I$21,2,FALSE)</f>
        <v>2289</v>
      </c>
      <c r="D23" s="164">
        <f>+VLOOKUP(B23,'Sales Target &amp; Actual'!$H$15:$J$21,3,FALSE)</f>
        <v>1564</v>
      </c>
      <c r="E23" s="164">
        <f>+VLOOKUP(B23,'Sales Target &amp; Actual'!$H$15:$K$21,4,FALSE)</f>
        <v>1201</v>
      </c>
      <c r="F23" s="164">
        <f>+VLOOKUP(B23,'Sales Target &amp; Actual'!$H$15:$L$21,5,FALSE)</f>
        <v>884</v>
      </c>
      <c r="G23" s="75"/>
      <c r="H23" s="75"/>
      <c r="I23" s="75"/>
      <c r="J23" s="75"/>
      <c r="K23" s="163" t="s">
        <v>132</v>
      </c>
      <c r="L23" s="164">
        <f>C23*$I$11</f>
        <v>1098720</v>
      </c>
      <c r="M23" s="164">
        <f>D23*$I$11</f>
        <v>750720</v>
      </c>
      <c r="N23" s="164">
        <f>E23*$I$11</f>
        <v>576480</v>
      </c>
      <c r="O23" s="164">
        <f>F23*$I$11</f>
        <v>424320</v>
      </c>
      <c r="P23" s="75"/>
    </row>
    <row r="24" spans="2:16" x14ac:dyDescent="0.2">
      <c r="B24" s="163" t="s">
        <v>25</v>
      </c>
      <c r="C24" s="167">
        <f>SUM(C17:C23)</f>
        <v>14850</v>
      </c>
      <c r="D24" s="167">
        <f>SUM(D17:D23)</f>
        <v>10578</v>
      </c>
      <c r="E24" s="167">
        <f>SUM(E17:E23)</f>
        <v>7894</v>
      </c>
      <c r="F24" s="167">
        <f>SUM(F17:F23)</f>
        <v>6981</v>
      </c>
      <c r="G24" s="75"/>
      <c r="H24" s="75"/>
      <c r="I24" s="75"/>
      <c r="J24" s="75"/>
      <c r="K24" s="163" t="s">
        <v>25</v>
      </c>
      <c r="L24" s="164">
        <f>SUM(L17:L23)</f>
        <v>9364870</v>
      </c>
      <c r="M24" s="164">
        <f>SUM(M17:M23)</f>
        <v>6704770</v>
      </c>
      <c r="N24" s="164">
        <f>SUM(N17:N23)</f>
        <v>5047230</v>
      </c>
      <c r="O24" s="164">
        <f>SUM(O17:O23)</f>
        <v>4555770</v>
      </c>
      <c r="P24" s="75"/>
    </row>
    <row r="25" spans="2:16" x14ac:dyDescent="0.2">
      <c r="B25" s="75"/>
      <c r="C25" s="185"/>
      <c r="D25" s="185"/>
      <c r="E25" s="185"/>
      <c r="F25" s="185"/>
      <c r="G25" s="75"/>
      <c r="H25" s="75"/>
      <c r="I25" s="75"/>
      <c r="J25" s="75"/>
      <c r="K25" s="75"/>
      <c r="L25" s="75"/>
      <c r="M25" s="75"/>
      <c r="N25" s="75"/>
      <c r="O25" s="75"/>
      <c r="P25" s="75"/>
    </row>
    <row r="26" spans="2:16" x14ac:dyDescent="0.2">
      <c r="B26" s="75"/>
      <c r="C26" s="75"/>
      <c r="D26" s="75"/>
      <c r="E26" s="75"/>
      <c r="F26" s="75"/>
      <c r="G26" s="75"/>
      <c r="H26" s="75"/>
      <c r="I26" s="75"/>
      <c r="J26" s="75"/>
      <c r="K26" s="75"/>
      <c r="L26" s="75"/>
      <c r="M26" s="75"/>
      <c r="N26" s="75"/>
      <c r="O26" s="75"/>
      <c r="P26" s="75"/>
    </row>
    <row r="27" spans="2:16" x14ac:dyDescent="0.2">
      <c r="B27" s="6" t="s">
        <v>138</v>
      </c>
      <c r="C27" s="6"/>
      <c r="D27" s="6"/>
      <c r="E27" s="6"/>
      <c r="F27" s="6"/>
      <c r="G27" s="75"/>
      <c r="H27" s="75"/>
      <c r="I27" s="75"/>
      <c r="J27" s="75"/>
      <c r="K27" s="158" t="s">
        <v>141</v>
      </c>
      <c r="L27" s="6"/>
      <c r="M27" s="6"/>
      <c r="N27" s="6"/>
      <c r="O27" s="6"/>
      <c r="P27" s="75"/>
    </row>
    <row r="28" spans="2:16" ht="13.5" x14ac:dyDescent="0.25">
      <c r="B28" s="159" t="s">
        <v>16</v>
      </c>
      <c r="C28" s="160" t="s">
        <v>2</v>
      </c>
      <c r="D28" s="160" t="s">
        <v>3</v>
      </c>
      <c r="E28" s="160" t="s">
        <v>4</v>
      </c>
      <c r="F28" s="160" t="s">
        <v>5</v>
      </c>
      <c r="G28" s="75"/>
      <c r="H28" s="75"/>
      <c r="J28" s="75"/>
      <c r="K28" s="159" t="s">
        <v>16</v>
      </c>
      <c r="L28" s="160" t="s">
        <v>2</v>
      </c>
      <c r="M28" s="160" t="s">
        <v>3</v>
      </c>
      <c r="N28" s="160" t="s">
        <v>4</v>
      </c>
      <c r="O28" s="160" t="s">
        <v>5</v>
      </c>
      <c r="P28" s="75"/>
    </row>
    <row r="29" spans="2:16" x14ac:dyDescent="0.2">
      <c r="B29" s="163" t="s">
        <v>17</v>
      </c>
      <c r="C29" s="164">
        <f>+VLOOKUP(B29,'Sales Target &amp; Actual'!$H$26:$I$32,2,FALSE)</f>
        <v>2396</v>
      </c>
      <c r="D29" s="164">
        <f>+VLOOKUP(B29,'Sales Target &amp; Actual'!$H$26:$J$32,3,FALSE)</f>
        <v>1288</v>
      </c>
      <c r="E29" s="164">
        <f>+VLOOKUP(B29,'Sales Target &amp; Actual'!$H$26:$K$32,4,FALSE)</f>
        <v>1536</v>
      </c>
      <c r="F29" s="164">
        <f>+VLOOKUP(B29,'Sales Target &amp; Actual'!$H$26:$L$32,5,FALSE)</f>
        <v>1249</v>
      </c>
      <c r="G29" s="75"/>
      <c r="H29" s="75"/>
      <c r="I29" s="75"/>
      <c r="J29" s="75"/>
      <c r="K29" s="163" t="s">
        <v>17</v>
      </c>
      <c r="L29" s="164">
        <f>C29*$I$5</f>
        <v>1797000</v>
      </c>
      <c r="M29" s="164">
        <f>D29*$I$5</f>
        <v>966000</v>
      </c>
      <c r="N29" s="164">
        <f>E29*$I$5</f>
        <v>1152000</v>
      </c>
      <c r="O29" s="164">
        <f>F29*$I$5</f>
        <v>936750</v>
      </c>
      <c r="P29" s="75"/>
    </row>
    <row r="30" spans="2:16" x14ac:dyDescent="0.2">
      <c r="B30" s="163" t="s">
        <v>18</v>
      </c>
      <c r="C30" s="164">
        <f>+VLOOKUP(B30,'Sales Target &amp; Actual'!$H$26:$I$32,2,FALSE)</f>
        <v>3619</v>
      </c>
      <c r="D30" s="164">
        <f>+VLOOKUP(B30,'Sales Target &amp; Actual'!$H$26:$J$32,3,FALSE)</f>
        <v>2086</v>
      </c>
      <c r="E30" s="164">
        <f>+VLOOKUP(B30,'Sales Target &amp; Actual'!$H$26:$K$32,4,FALSE)</f>
        <v>2028</v>
      </c>
      <c r="F30" s="164">
        <f>+VLOOKUP(B30,'Sales Target &amp; Actual'!$H$26:$L$32,5,FALSE)</f>
        <v>2129</v>
      </c>
      <c r="G30" s="75"/>
      <c r="H30" s="75"/>
      <c r="I30" s="75"/>
      <c r="J30" s="75"/>
      <c r="K30" s="163" t="s">
        <v>18</v>
      </c>
      <c r="L30" s="164">
        <f>C30*$I$6</f>
        <v>2352350</v>
      </c>
      <c r="M30" s="164">
        <f>D30*$I$6</f>
        <v>1355900</v>
      </c>
      <c r="N30" s="164">
        <f>E30*$I$6</f>
        <v>1318200</v>
      </c>
      <c r="O30" s="164">
        <f>F30*$I$6</f>
        <v>1383850</v>
      </c>
      <c r="P30" s="75"/>
    </row>
    <row r="31" spans="2:16" x14ac:dyDescent="0.2">
      <c r="B31" s="163" t="s">
        <v>130</v>
      </c>
      <c r="C31" s="164">
        <f>+VLOOKUP(B31,'Sales Target &amp; Actual'!$H$26:$I$32,2,FALSE)</f>
        <v>878</v>
      </c>
      <c r="D31" s="164">
        <f>+VLOOKUP(B31,'Sales Target &amp; Actual'!$H$26:$J$32,3,FALSE)</f>
        <v>424</v>
      </c>
      <c r="E31" s="164">
        <f>+VLOOKUP(B31,'Sales Target &amp; Actual'!$H$26:$K$32,4,FALSE)</f>
        <v>467</v>
      </c>
      <c r="F31" s="164">
        <f>+VLOOKUP(B31,'Sales Target &amp; Actual'!$H$26:$L$32,5,FALSE)</f>
        <v>665</v>
      </c>
      <c r="G31" s="75"/>
      <c r="H31" s="75"/>
      <c r="I31" s="75"/>
      <c r="J31" s="75"/>
      <c r="K31" s="163" t="s">
        <v>130</v>
      </c>
      <c r="L31" s="164">
        <f>C31*$I$7</f>
        <v>746300</v>
      </c>
      <c r="M31" s="164">
        <f>D31*$I$7</f>
        <v>360400</v>
      </c>
      <c r="N31" s="164">
        <f>E31*$I$7</f>
        <v>396950</v>
      </c>
      <c r="O31" s="164">
        <f>F31*$I$7</f>
        <v>565250</v>
      </c>
      <c r="P31" s="75"/>
    </row>
    <row r="32" spans="2:16" x14ac:dyDescent="0.2">
      <c r="B32" s="163" t="s">
        <v>19</v>
      </c>
      <c r="C32" s="164">
        <f>+VLOOKUP(B32,'Sales Target &amp; Actual'!$H$26:$I$32,2,FALSE)</f>
        <v>2656</v>
      </c>
      <c r="D32" s="164">
        <f>+VLOOKUP(B32,'Sales Target &amp; Actual'!$H$26:$J$32,3,FALSE)</f>
        <v>1642</v>
      </c>
      <c r="E32" s="164">
        <f>+VLOOKUP(B32,'Sales Target &amp; Actual'!$H$26:$K$32,4,FALSE)</f>
        <v>1729</v>
      </c>
      <c r="F32" s="164">
        <f>+VLOOKUP(B32,'Sales Target &amp; Actual'!$H$26:$L$32,5,FALSE)</f>
        <v>1360</v>
      </c>
      <c r="G32" s="75"/>
      <c r="H32" s="75"/>
      <c r="I32" s="75"/>
      <c r="J32" s="75"/>
      <c r="K32" s="163" t="s">
        <v>19</v>
      </c>
      <c r="L32" s="164">
        <f>C32*$I$8</f>
        <v>1062400</v>
      </c>
      <c r="M32" s="164">
        <f>D32*$I$8</f>
        <v>656800</v>
      </c>
      <c r="N32" s="164">
        <f>E32*$I$8</f>
        <v>691600</v>
      </c>
      <c r="O32" s="164">
        <f>F32*$I$8</f>
        <v>544000</v>
      </c>
      <c r="P32" s="75"/>
    </row>
    <row r="33" spans="2:17" x14ac:dyDescent="0.2">
      <c r="B33" s="163" t="s">
        <v>20</v>
      </c>
      <c r="C33" s="164">
        <f>+VLOOKUP(B33,'Sales Target &amp; Actual'!$H$26:$I$32,2,FALSE)</f>
        <v>1837</v>
      </c>
      <c r="D33" s="164">
        <f>+VLOOKUP(B33,'Sales Target &amp; Actual'!$H$26:$J$32,3,FALSE)</f>
        <v>856</v>
      </c>
      <c r="E33" s="164">
        <f>+VLOOKUP(B33,'Sales Target &amp; Actual'!$H$26:$K$32,4,FALSE)</f>
        <v>998</v>
      </c>
      <c r="F33" s="164">
        <f>+VLOOKUP(B33,'Sales Target &amp; Actual'!$H$26:$L$32,5,FALSE)</f>
        <v>1267</v>
      </c>
      <c r="G33" s="75"/>
      <c r="H33" s="75"/>
      <c r="I33" s="75"/>
      <c r="J33" s="75"/>
      <c r="K33" s="163" t="s">
        <v>20</v>
      </c>
      <c r="L33" s="164">
        <f>C33*$I$9</f>
        <v>1285900</v>
      </c>
      <c r="M33" s="164">
        <f>D33*$I$9</f>
        <v>599200</v>
      </c>
      <c r="N33" s="164">
        <f>E33*$I$9</f>
        <v>698600</v>
      </c>
      <c r="O33" s="164">
        <f>F33*$I$9</f>
        <v>886900</v>
      </c>
      <c r="P33" s="75"/>
    </row>
    <row r="34" spans="2:17" x14ac:dyDescent="0.2">
      <c r="B34" s="163" t="s">
        <v>131</v>
      </c>
      <c r="C34" s="164">
        <f>+VLOOKUP(B34,'Sales Target &amp; Actual'!$H$26:$I$32,2,FALSE)</f>
        <v>2927</v>
      </c>
      <c r="D34" s="164">
        <f>+VLOOKUP(B34,'Sales Target &amp; Actual'!$H$26:$J$32,3,FALSE)</f>
        <v>1462</v>
      </c>
      <c r="E34" s="164">
        <f>+VLOOKUP(B34,'Sales Target &amp; Actual'!$H$26:$K$32,4,FALSE)</f>
        <v>1511</v>
      </c>
      <c r="F34" s="164">
        <f>+VLOOKUP(B34,'Sales Target &amp; Actual'!$H$26:$L$32,5,FALSE)</f>
        <v>1578</v>
      </c>
      <c r="G34" s="75"/>
      <c r="H34" s="75"/>
      <c r="I34" s="75"/>
      <c r="J34" s="75"/>
      <c r="K34" s="163" t="s">
        <v>131</v>
      </c>
      <c r="L34" s="164">
        <f>C34*$I$10</f>
        <v>2341600</v>
      </c>
      <c r="M34" s="164">
        <f>D34*$I$10</f>
        <v>1169600</v>
      </c>
      <c r="N34" s="164">
        <f>E34*$I$10</f>
        <v>1208800</v>
      </c>
      <c r="O34" s="164">
        <f>F34*$I$10</f>
        <v>1262400</v>
      </c>
      <c r="P34" s="75"/>
    </row>
    <row r="35" spans="2:17" x14ac:dyDescent="0.2">
      <c r="B35" s="163" t="s">
        <v>132</v>
      </c>
      <c r="C35" s="164">
        <f>+VLOOKUP(B35,'Sales Target &amp; Actual'!$H$26:$I$32,2,FALSE)</f>
        <v>2600</v>
      </c>
      <c r="D35" s="164">
        <f>+VLOOKUP(B35,'Sales Target &amp; Actual'!$H$26:$J$32,3,FALSE)</f>
        <v>1210</v>
      </c>
      <c r="E35" s="164">
        <f>+VLOOKUP(B35,'Sales Target &amp; Actual'!$H$26:$K$32,4,FALSE)</f>
        <v>1347</v>
      </c>
      <c r="F35" s="164">
        <f>+VLOOKUP(B35,'Sales Target &amp; Actual'!$H$26:$L$32,5,FALSE)</f>
        <v>1467</v>
      </c>
      <c r="G35" s="75"/>
      <c r="H35" s="75"/>
      <c r="I35" s="75"/>
      <c r="J35" s="75"/>
      <c r="K35" s="163" t="s">
        <v>132</v>
      </c>
      <c r="L35" s="164">
        <f>C35*$I$11</f>
        <v>1248000</v>
      </c>
      <c r="M35" s="164">
        <f>D35*$I$11</f>
        <v>580800</v>
      </c>
      <c r="N35" s="164">
        <f>E35*$I$11</f>
        <v>646560</v>
      </c>
      <c r="O35" s="164">
        <f>F35*$I$11</f>
        <v>704160</v>
      </c>
      <c r="P35" s="75"/>
    </row>
    <row r="36" spans="2:17" x14ac:dyDescent="0.2">
      <c r="B36" s="163" t="s">
        <v>25</v>
      </c>
      <c r="C36" s="167">
        <f>SUM(C29:C35)</f>
        <v>16913</v>
      </c>
      <c r="D36" s="167">
        <f>SUM(D29:D35)</f>
        <v>8968</v>
      </c>
      <c r="E36" s="167">
        <f>SUM(E29:E35)</f>
        <v>9616</v>
      </c>
      <c r="F36" s="167">
        <f>SUM(F29:F35)</f>
        <v>9715</v>
      </c>
      <c r="G36" s="75"/>
      <c r="H36" s="75"/>
      <c r="I36" s="75"/>
      <c r="J36" s="75"/>
      <c r="K36" s="163" t="s">
        <v>25</v>
      </c>
      <c r="L36" s="164">
        <f>SUM(L29:L35)</f>
        <v>10833550</v>
      </c>
      <c r="M36" s="164">
        <f>SUM(M29:M35)</f>
        <v>5688700</v>
      </c>
      <c r="N36" s="164">
        <f>SUM(N29:N35)</f>
        <v>6112710</v>
      </c>
      <c r="O36" s="164">
        <f>SUM(O29:O35)</f>
        <v>6283310</v>
      </c>
      <c r="P36" s="75"/>
    </row>
    <row r="37" spans="2:17" x14ac:dyDescent="0.2">
      <c r="B37" s="75"/>
      <c r="C37" s="185"/>
      <c r="D37" s="185"/>
      <c r="E37" s="185"/>
      <c r="F37" s="185"/>
      <c r="G37" s="75"/>
      <c r="H37" s="75"/>
      <c r="I37" s="75"/>
      <c r="J37" s="75"/>
      <c r="K37" s="75"/>
      <c r="L37" s="75"/>
      <c r="M37" s="75"/>
      <c r="N37" s="75"/>
      <c r="O37" s="75"/>
      <c r="P37" s="75"/>
    </row>
    <row r="38" spans="2:17" x14ac:dyDescent="0.2">
      <c r="B38" s="75"/>
      <c r="C38" s="75"/>
      <c r="D38" s="75"/>
      <c r="E38" s="75"/>
      <c r="F38" s="75"/>
      <c r="G38" s="75"/>
      <c r="H38" s="75"/>
      <c r="I38" s="75"/>
      <c r="J38" s="75"/>
      <c r="K38" s="75"/>
      <c r="L38" s="75"/>
      <c r="M38" s="75"/>
      <c r="N38" s="75"/>
      <c r="O38" s="75"/>
      <c r="P38" s="75"/>
    </row>
    <row r="45" spans="2:17" x14ac:dyDescent="0.2">
      <c r="J45" s="79"/>
      <c r="K45" s="172"/>
      <c r="L45" s="79"/>
      <c r="M45" s="172"/>
      <c r="N45" s="79"/>
      <c r="O45" s="172"/>
      <c r="P45" s="79"/>
      <c r="Q45" s="172"/>
    </row>
    <row r="46" spans="2:17" x14ac:dyDescent="0.2">
      <c r="J46" s="79"/>
      <c r="K46" s="172"/>
      <c r="L46" s="79"/>
      <c r="M46" s="172"/>
      <c r="N46" s="79"/>
      <c r="O46" s="172"/>
      <c r="P46" s="79"/>
      <c r="Q46" s="172"/>
    </row>
    <row r="47" spans="2:17" x14ac:dyDescent="0.2">
      <c r="J47" s="79"/>
      <c r="K47" s="172"/>
      <c r="L47" s="79"/>
      <c r="M47" s="172"/>
      <c r="N47" s="79"/>
      <c r="O47" s="172"/>
      <c r="P47" s="79"/>
      <c r="Q47" s="172"/>
    </row>
    <row r="48" spans="2:17" x14ac:dyDescent="0.2">
      <c r="J48" s="79"/>
      <c r="K48" s="172"/>
      <c r="L48" s="79"/>
      <c r="M48" s="172"/>
      <c r="N48" s="79"/>
      <c r="O48" s="172"/>
      <c r="P48" s="79"/>
      <c r="Q48" s="172"/>
    </row>
    <row r="49" spans="10:17" x14ac:dyDescent="0.2">
      <c r="J49" s="79"/>
      <c r="K49" s="172"/>
      <c r="L49" s="79"/>
      <c r="M49" s="172"/>
      <c r="N49" s="79"/>
      <c r="O49" s="172"/>
      <c r="P49" s="79"/>
      <c r="Q49" s="172"/>
    </row>
  </sheetData>
  <phoneticPr fontId="13" type="noConversion"/>
  <pageMargins left="0.7" right="0.43" top="0.75" bottom="0.75" header="0.3" footer="0.3"/>
  <pageSetup paperSize="9" scale="74" fitToHeight="0" orientation="landscape" r:id="rId2"/>
  <headerFooter>
    <oddHeader>&amp;C&amp;14Sheet: &amp;A</oddHeader>
    <oddFooter>&amp;L&amp;11Group 28's Business Model&amp;C&amp;11&amp;P&amp;R&amp;11SP52/2016-BX2016</oddFooter>
  </headerFooter>
  <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pageSetUpPr fitToPage="1"/>
  </sheetPr>
  <dimension ref="A1:AE96"/>
  <sheetViews>
    <sheetView topLeftCell="Q15" zoomScale="80" zoomScaleNormal="80" workbookViewId="0">
      <selection activeCell="AE15" sqref="AE15"/>
    </sheetView>
  </sheetViews>
  <sheetFormatPr defaultRowHeight="12.75" x14ac:dyDescent="0.2"/>
  <cols>
    <col min="2" max="2" width="15.5703125" customWidth="1"/>
    <col min="3" max="3" width="19.140625" customWidth="1"/>
    <col min="4" max="5" width="12" customWidth="1"/>
    <col min="6" max="7" width="12.42578125" bestFit="1" customWidth="1"/>
    <col min="8" max="8" width="12" bestFit="1" customWidth="1"/>
    <col min="9" max="9" width="13.140625" bestFit="1" customWidth="1"/>
    <col min="10" max="10" width="14.85546875" bestFit="1" customWidth="1"/>
    <col min="11" max="11" width="13.85546875" customWidth="1"/>
    <col min="12" max="12" width="13.85546875" bestFit="1" customWidth="1"/>
    <col min="13" max="13" width="10.85546875" customWidth="1"/>
    <col min="14" max="14" width="17.42578125" customWidth="1"/>
    <col min="15" max="15" width="13.85546875" customWidth="1"/>
    <col min="16" max="16" width="12.28515625" bestFit="1" customWidth="1"/>
    <col min="17" max="17" width="13" bestFit="1" customWidth="1"/>
    <col min="18" max="18" width="17.42578125" customWidth="1"/>
    <col min="19" max="19" width="12.42578125" bestFit="1" customWidth="1"/>
    <col min="20" max="20" width="7" customWidth="1"/>
    <col min="21" max="21" width="11.85546875" customWidth="1"/>
    <col min="22" max="23" width="12.28515625" bestFit="1" customWidth="1"/>
    <col min="24" max="24" width="16.140625" customWidth="1"/>
    <col min="25" max="25" width="12.7109375" customWidth="1"/>
    <col min="26" max="26" width="10.140625" bestFit="1" customWidth="1"/>
    <col min="27" max="27" width="7" customWidth="1"/>
    <col min="28" max="28" width="11.85546875" customWidth="1"/>
    <col min="29" max="29" width="9" customWidth="1"/>
    <col min="30" max="30" width="13.28515625" customWidth="1"/>
    <col min="31" max="31" width="16" customWidth="1"/>
    <col min="32" max="32" width="11.7109375" bestFit="1" customWidth="1"/>
  </cols>
  <sheetData>
    <row r="1" spans="2:31" ht="20.25" thickBot="1" x14ac:dyDescent="0.35">
      <c r="U1" s="220" t="s">
        <v>189</v>
      </c>
    </row>
    <row r="2" spans="2:31" ht="20.25" thickTop="1" thickBot="1" x14ac:dyDescent="0.35">
      <c r="B2" s="2"/>
      <c r="C2" s="8"/>
      <c r="D2" s="8"/>
      <c r="E2" s="8"/>
      <c r="F2" s="2"/>
      <c r="G2" s="2"/>
      <c r="V2" s="434" t="s">
        <v>34</v>
      </c>
      <c r="W2" s="435"/>
      <c r="X2" s="435"/>
      <c r="Y2" s="429" t="s">
        <v>190</v>
      </c>
      <c r="Z2" s="430"/>
      <c r="AC2" s="431" t="s">
        <v>228</v>
      </c>
      <c r="AD2" s="432"/>
      <c r="AE2" s="433"/>
    </row>
    <row r="3" spans="2:31" ht="18.75" x14ac:dyDescent="0.3">
      <c r="B3" s="8"/>
      <c r="C3" s="8"/>
      <c r="D3" s="8"/>
      <c r="E3" s="8"/>
      <c r="F3" s="2"/>
      <c r="G3" s="2"/>
      <c r="U3" s="232" t="s">
        <v>11</v>
      </c>
      <c r="V3" s="233">
        <v>2012</v>
      </c>
      <c r="W3" s="233">
        <v>2013</v>
      </c>
      <c r="X3" s="233">
        <v>2014</v>
      </c>
      <c r="Y3" s="233">
        <v>2015</v>
      </c>
      <c r="Z3" s="245" t="s">
        <v>191</v>
      </c>
      <c r="AA3" s="233"/>
      <c r="AB3" s="233"/>
      <c r="AC3" s="233">
        <v>2012</v>
      </c>
      <c r="AD3" s="233">
        <v>2013</v>
      </c>
      <c r="AE3" s="234">
        <v>2014</v>
      </c>
    </row>
    <row r="4" spans="2:31" ht="18.75" x14ac:dyDescent="0.3">
      <c r="B4" s="3"/>
      <c r="C4" s="3"/>
      <c r="D4" s="3"/>
      <c r="E4" s="3"/>
      <c r="F4" s="2"/>
      <c r="G4" s="2"/>
      <c r="U4" s="235" t="s">
        <v>48</v>
      </c>
      <c r="V4" s="236">
        <v>25175400</v>
      </c>
      <c r="W4" s="236">
        <v>25672640</v>
      </c>
      <c r="X4" s="236">
        <v>28918270</v>
      </c>
      <c r="Y4" s="236">
        <f t="shared" ref="Y4:Y10" si="0">+FORECAST($Y$3,$V4:$X4,$V$3:$X$3)</f>
        <v>30331640</v>
      </c>
      <c r="Z4" s="246">
        <f>+(Y4-X4)/X4*100</f>
        <v>4.8874638766426903</v>
      </c>
      <c r="AA4" s="236"/>
      <c r="AB4" s="237"/>
      <c r="AC4" s="238">
        <v>1</v>
      </c>
      <c r="AD4" s="238">
        <v>1</v>
      </c>
      <c r="AE4" s="239">
        <v>1</v>
      </c>
    </row>
    <row r="5" spans="2:31" x14ac:dyDescent="0.2">
      <c r="U5" s="235" t="s">
        <v>102</v>
      </c>
      <c r="V5" s="236">
        <v>19204775</v>
      </c>
      <c r="W5" s="236">
        <v>19609195</v>
      </c>
      <c r="X5" s="236">
        <v>22074155</v>
      </c>
      <c r="Y5" s="236">
        <f t="shared" si="0"/>
        <v>23165421.666666508</v>
      </c>
      <c r="Z5" s="246">
        <f t="shared" ref="Z5:Z10" si="1">+(Y5-X5)/X5*100</f>
        <v>4.9436395942064726</v>
      </c>
      <c r="AA5" s="236"/>
      <c r="AB5" s="237"/>
      <c r="AC5" s="238">
        <v>0.76283892212238935</v>
      </c>
      <c r="AD5" s="238">
        <v>0.76381684937739169</v>
      </c>
      <c r="AE5" s="239">
        <v>0.76332903040188782</v>
      </c>
    </row>
    <row r="6" spans="2:31" ht="18.75" x14ac:dyDescent="0.3">
      <c r="B6" s="3"/>
      <c r="C6" s="3"/>
      <c r="D6" s="3"/>
      <c r="E6" s="3"/>
      <c r="F6" s="3"/>
      <c r="G6" s="3"/>
      <c r="U6" s="235" t="s">
        <v>166</v>
      </c>
      <c r="V6" s="236">
        <v>2164000</v>
      </c>
      <c r="W6" s="236">
        <v>2238000</v>
      </c>
      <c r="X6" s="236">
        <v>2336000</v>
      </c>
      <c r="Y6" s="236">
        <f t="shared" si="0"/>
        <v>2418000</v>
      </c>
      <c r="Z6" s="246">
        <f t="shared" si="1"/>
        <v>3.5102739726027399</v>
      </c>
      <c r="AA6" s="236"/>
      <c r="AB6" s="237"/>
      <c r="AC6" s="238">
        <v>8.5956926205740525E-2</v>
      </c>
      <c r="AD6" s="238">
        <v>8.7174517307140986E-2</v>
      </c>
      <c r="AE6" s="239">
        <v>8.0779382722410434E-2</v>
      </c>
    </row>
    <row r="7" spans="2:31" ht="18.75" x14ac:dyDescent="0.3">
      <c r="B7" s="3"/>
      <c r="U7" s="235" t="s">
        <v>44</v>
      </c>
      <c r="V7" s="236">
        <v>830000</v>
      </c>
      <c r="W7" s="236">
        <v>830000</v>
      </c>
      <c r="X7" s="236">
        <v>830000</v>
      </c>
      <c r="Y7" s="236">
        <f t="shared" si="0"/>
        <v>830000</v>
      </c>
      <c r="Z7" s="246">
        <f t="shared" si="1"/>
        <v>0</v>
      </c>
      <c r="AA7" s="236"/>
      <c r="AB7" s="237"/>
      <c r="AC7" s="238">
        <v>3.2968691659318226E-2</v>
      </c>
      <c r="AD7" s="238">
        <v>3.2330138232764531E-2</v>
      </c>
      <c r="AE7" s="239">
        <v>2.8701578621404392E-2</v>
      </c>
    </row>
    <row r="8" spans="2:31" x14ac:dyDescent="0.2">
      <c r="U8" s="235" t="s">
        <v>45</v>
      </c>
      <c r="V8" s="236">
        <v>285000</v>
      </c>
      <c r="W8" s="236">
        <v>290000</v>
      </c>
      <c r="X8" s="236">
        <v>302000</v>
      </c>
      <c r="Y8" s="236">
        <f t="shared" si="0"/>
        <v>309333.33333333209</v>
      </c>
      <c r="Z8" s="246">
        <f t="shared" si="1"/>
        <v>2.4282560706397653</v>
      </c>
      <c r="AA8" s="236"/>
      <c r="AB8" s="237"/>
      <c r="AC8" s="238">
        <v>1.1320574846874329E-2</v>
      </c>
      <c r="AD8" s="238">
        <v>1.1296072394580378E-2</v>
      </c>
      <c r="AE8" s="239">
        <v>1.0443224992366417E-2</v>
      </c>
    </row>
    <row r="9" spans="2:31" x14ac:dyDescent="0.2">
      <c r="B9" s="77" t="s">
        <v>165</v>
      </c>
      <c r="C9" t="s">
        <v>31</v>
      </c>
      <c r="U9" s="235" t="s">
        <v>46</v>
      </c>
      <c r="V9" s="236">
        <v>1684021</v>
      </c>
      <c r="W9" s="236">
        <v>1720275</v>
      </c>
      <c r="X9" s="236">
        <v>2083267</v>
      </c>
      <c r="Y9" s="236">
        <f t="shared" si="0"/>
        <v>2228433.6666666865</v>
      </c>
      <c r="Z9" s="246">
        <f t="shared" si="1"/>
        <v>6.9682218681852373</v>
      </c>
      <c r="AA9" s="236"/>
      <c r="AB9" s="237"/>
      <c r="AC9" s="238">
        <v>6.6891529032309313E-2</v>
      </c>
      <c r="AD9" s="238">
        <v>6.7008106684781937E-2</v>
      </c>
      <c r="AE9" s="239">
        <v>7.2039821192623213E-2</v>
      </c>
    </row>
    <row r="10" spans="2:31" ht="13.5" thickBot="1" x14ac:dyDescent="0.25">
      <c r="U10" s="240" t="s">
        <v>186</v>
      </c>
      <c r="V10" s="241">
        <v>1007604</v>
      </c>
      <c r="W10" s="241">
        <v>985170</v>
      </c>
      <c r="X10" s="241">
        <v>1292848</v>
      </c>
      <c r="Y10" s="241">
        <f t="shared" si="0"/>
        <v>1380451.3333333135</v>
      </c>
      <c r="Z10" s="382">
        <f t="shared" si="1"/>
        <v>6.775996353269174</v>
      </c>
      <c r="AA10" s="241"/>
      <c r="AB10" s="242"/>
      <c r="AC10" s="243">
        <v>4.0023356133368285E-2</v>
      </c>
      <c r="AD10" s="243">
        <v>3.8374316003340521E-2</v>
      </c>
      <c r="AE10" s="244">
        <v>4.4706962069307743E-2</v>
      </c>
    </row>
    <row r="11" spans="2:31" x14ac:dyDescent="0.2">
      <c r="B11" s="77" t="s">
        <v>88</v>
      </c>
      <c r="C11" s="77" t="s">
        <v>89</v>
      </c>
    </row>
    <row r="12" spans="2:31" x14ac:dyDescent="0.2">
      <c r="B12" s="77" t="s">
        <v>90</v>
      </c>
      <c r="C12">
        <v>2012</v>
      </c>
      <c r="D12">
        <v>2013</v>
      </c>
      <c r="E12">
        <v>2014</v>
      </c>
      <c r="F12" t="s">
        <v>32</v>
      </c>
    </row>
    <row r="13" spans="2:31" x14ac:dyDescent="0.2">
      <c r="B13" s="78" t="s">
        <v>48</v>
      </c>
      <c r="C13" s="131">
        <v>25175400</v>
      </c>
      <c r="D13" s="131">
        <v>25672640</v>
      </c>
      <c r="E13" s="131">
        <v>28918270</v>
      </c>
      <c r="F13" s="131">
        <v>79766310</v>
      </c>
    </row>
    <row r="14" spans="2:31" x14ac:dyDescent="0.2">
      <c r="B14" s="78" t="s">
        <v>102</v>
      </c>
      <c r="C14" s="131">
        <v>19204775</v>
      </c>
      <c r="D14" s="131">
        <v>19609195</v>
      </c>
      <c r="E14" s="131">
        <v>22074155</v>
      </c>
      <c r="F14" s="131">
        <v>60888125</v>
      </c>
    </row>
    <row r="15" spans="2:31" x14ac:dyDescent="0.2">
      <c r="B15" s="78" t="s">
        <v>187</v>
      </c>
      <c r="C15" s="131">
        <v>5970625</v>
      </c>
      <c r="D15" s="131">
        <v>6063445</v>
      </c>
      <c r="E15" s="131">
        <v>6844115</v>
      </c>
      <c r="F15" s="131">
        <v>18878185</v>
      </c>
    </row>
    <row r="16" spans="2:31" x14ac:dyDescent="0.2">
      <c r="B16" s="78" t="s">
        <v>166</v>
      </c>
      <c r="C16" s="131">
        <v>2164000</v>
      </c>
      <c r="D16" s="131">
        <v>2238000</v>
      </c>
      <c r="E16" s="131">
        <v>2336000</v>
      </c>
      <c r="F16" s="131">
        <v>6738000</v>
      </c>
    </row>
    <row r="17" spans="2:12" x14ac:dyDescent="0.2">
      <c r="B17" s="78" t="s">
        <v>44</v>
      </c>
      <c r="C17" s="131">
        <v>830000</v>
      </c>
      <c r="D17" s="131">
        <v>830000</v>
      </c>
      <c r="E17" s="131">
        <v>830000</v>
      </c>
      <c r="F17" s="131">
        <v>2490000</v>
      </c>
    </row>
    <row r="18" spans="2:12" x14ac:dyDescent="0.2">
      <c r="B18" s="78" t="s">
        <v>45</v>
      </c>
      <c r="C18" s="131">
        <v>285000</v>
      </c>
      <c r="D18" s="131">
        <v>290000</v>
      </c>
      <c r="E18" s="131">
        <v>302000</v>
      </c>
      <c r="F18" s="131">
        <v>877000</v>
      </c>
    </row>
    <row r="19" spans="2:12" x14ac:dyDescent="0.2">
      <c r="B19" s="78" t="s">
        <v>46</v>
      </c>
      <c r="C19" s="131">
        <v>1684021</v>
      </c>
      <c r="D19" s="131">
        <v>1720275</v>
      </c>
      <c r="E19" s="131">
        <v>2083267</v>
      </c>
      <c r="F19" s="131">
        <v>5487563</v>
      </c>
    </row>
    <row r="20" spans="2:12" x14ac:dyDescent="0.2">
      <c r="B20" s="78" t="s">
        <v>188</v>
      </c>
      <c r="C20" s="131">
        <v>4963021</v>
      </c>
      <c r="D20" s="131">
        <v>5078275</v>
      </c>
      <c r="E20" s="131">
        <v>5551267</v>
      </c>
      <c r="F20" s="131">
        <v>15592563</v>
      </c>
    </row>
    <row r="21" spans="2:12" x14ac:dyDescent="0.2">
      <c r="B21" s="78" t="s">
        <v>129</v>
      </c>
      <c r="C21" s="131">
        <v>24167796</v>
      </c>
      <c r="D21" s="131">
        <v>24687470</v>
      </c>
      <c r="E21" s="131">
        <v>27625422</v>
      </c>
      <c r="F21" s="131">
        <v>76480688</v>
      </c>
    </row>
    <row r="22" spans="2:12" x14ac:dyDescent="0.2">
      <c r="B22" s="78" t="s">
        <v>186</v>
      </c>
      <c r="C22" s="131">
        <v>1007604</v>
      </c>
      <c r="D22" s="131">
        <v>985170</v>
      </c>
      <c r="E22" s="131">
        <v>1292848</v>
      </c>
      <c r="F22" s="131">
        <v>3285622</v>
      </c>
    </row>
    <row r="23" spans="2:12" x14ac:dyDescent="0.2">
      <c r="B23" s="78" t="s">
        <v>32</v>
      </c>
      <c r="C23" s="131">
        <v>85452242</v>
      </c>
      <c r="D23" s="131">
        <v>87174470</v>
      </c>
      <c r="E23" s="131">
        <v>97857344</v>
      </c>
      <c r="F23" s="131">
        <v>270484056</v>
      </c>
    </row>
    <row r="25" spans="2:12" x14ac:dyDescent="0.2">
      <c r="B25" s="91" t="s">
        <v>104</v>
      </c>
      <c r="C25" s="91"/>
      <c r="D25" s="92"/>
      <c r="E25" s="92"/>
      <c r="F25" s="79"/>
    </row>
    <row r="26" spans="2:12" ht="20.25" x14ac:dyDescent="0.2">
      <c r="B26" s="411" t="s">
        <v>105</v>
      </c>
      <c r="C26" s="412"/>
      <c r="D26" s="413"/>
      <c r="E26" s="99" t="s">
        <v>30</v>
      </c>
      <c r="F26" s="414" t="str">
        <f>C9</f>
        <v>(All)</v>
      </c>
      <c r="G26" s="414"/>
      <c r="H26" s="414"/>
      <c r="I26" s="414"/>
      <c r="J26" s="414"/>
      <c r="K26" s="414"/>
      <c r="L26" s="415"/>
    </row>
    <row r="27" spans="2:12" ht="16.5" thickBot="1" x14ac:dyDescent="0.3">
      <c r="B27" s="38"/>
      <c r="C27" s="39"/>
      <c r="D27" s="39"/>
      <c r="E27" s="416" t="s">
        <v>34</v>
      </c>
      <c r="F27" s="417"/>
      <c r="G27" s="418"/>
      <c r="H27" s="419" t="s">
        <v>35</v>
      </c>
      <c r="I27" s="420"/>
      <c r="J27" s="105" t="s">
        <v>36</v>
      </c>
      <c r="K27" s="106" t="s">
        <v>37</v>
      </c>
      <c r="L27" s="107" t="s">
        <v>38</v>
      </c>
    </row>
    <row r="28" spans="2:12" ht="15.75" x14ac:dyDescent="0.25">
      <c r="B28" s="43"/>
      <c r="C28" s="44"/>
      <c r="D28" s="44"/>
      <c r="E28" s="89">
        <v>2012</v>
      </c>
      <c r="F28" s="89">
        <v>2013</v>
      </c>
      <c r="G28" s="89">
        <v>2014</v>
      </c>
      <c r="H28" s="100">
        <v>2015</v>
      </c>
      <c r="I28" s="100" t="s">
        <v>39</v>
      </c>
      <c r="J28" s="108">
        <v>2015</v>
      </c>
      <c r="K28" s="109">
        <v>2015</v>
      </c>
      <c r="L28" s="110">
        <v>2015</v>
      </c>
    </row>
    <row r="29" spans="2:12" ht="15.75" x14ac:dyDescent="0.25">
      <c r="B29" s="84" t="s">
        <v>48</v>
      </c>
      <c r="C29" s="39"/>
      <c r="D29" s="39"/>
      <c r="E29" s="122">
        <f>GETPIVOTDATA("Value",$B$11,"Row",2012,"Page1","Revenue")</f>
        <v>25175400</v>
      </c>
      <c r="F29" s="122">
        <f>GETPIVOTDATA("Value",$B$11,"Row",2013,"Page1","Revenue")</f>
        <v>25672640</v>
      </c>
      <c r="G29" s="123">
        <f>GETPIVOTDATA("Value",$B$11,"Row",2014,"Page1","Revenue")</f>
        <v>28918270</v>
      </c>
      <c r="H29" s="101">
        <f>FORECAST($H$28,E29:G29,$E$28:$G$28)</f>
        <v>30331640</v>
      </c>
      <c r="I29" s="102">
        <f>(H29-G29)/G29*100</f>
        <v>4.8874638766426903</v>
      </c>
      <c r="J29" s="111">
        <f>G29*0.9</f>
        <v>26026443</v>
      </c>
      <c r="K29" s="112">
        <f>G29*1.1</f>
        <v>31810097.000000004</v>
      </c>
      <c r="L29" s="113">
        <f>G29*1.2</f>
        <v>34701924</v>
      </c>
    </row>
    <row r="30" spans="2:12" ht="15.75" x14ac:dyDescent="0.25">
      <c r="B30" s="38"/>
      <c r="C30" s="39"/>
      <c r="D30" s="39"/>
      <c r="E30" s="122" t="s">
        <v>22</v>
      </c>
      <c r="F30" s="122" t="s">
        <v>22</v>
      </c>
      <c r="G30" s="123" t="s">
        <v>22</v>
      </c>
      <c r="H30" s="101"/>
      <c r="I30" s="102"/>
      <c r="J30" s="114"/>
      <c r="K30" s="115"/>
      <c r="L30" s="116"/>
    </row>
    <row r="31" spans="2:12" ht="16.5" thickBot="1" x14ac:dyDescent="0.3">
      <c r="B31" s="45" t="s">
        <v>22</v>
      </c>
      <c r="C31" s="87" t="s">
        <v>40</v>
      </c>
      <c r="D31" s="46"/>
      <c r="E31" s="124">
        <f>GETPIVOTDATA("Value",$B$11,"Row",2012,"Page1","COGS")</f>
        <v>19204775</v>
      </c>
      <c r="F31" s="124">
        <f>GETPIVOTDATA("Value",$B$11,"Row",2013,"Page1","COGS")</f>
        <v>19609195</v>
      </c>
      <c r="G31" s="125">
        <f>GETPIVOTDATA("Value",$B$11,"Row",2014,"Page1","COGS")</f>
        <v>22074155</v>
      </c>
      <c r="H31" s="101">
        <f>FORECAST($H$28,E31:G31,$E$28:$G$28)</f>
        <v>23165421.666666508</v>
      </c>
      <c r="I31" s="102">
        <f t="shared" ref="I31:I32" si="2">(H31-G31)/G31*100</f>
        <v>4.9436395942064726</v>
      </c>
      <c r="J31" s="111">
        <f>$H$31</f>
        <v>23165421.666666508</v>
      </c>
      <c r="K31" s="111">
        <f>$H$31</f>
        <v>23165421.666666508</v>
      </c>
      <c r="L31" s="111">
        <f>$H$31</f>
        <v>23165421.666666508</v>
      </c>
    </row>
    <row r="32" spans="2:12" ht="16.5" thickTop="1" x14ac:dyDescent="0.25">
      <c r="B32" s="86" t="s">
        <v>41</v>
      </c>
      <c r="C32" s="42"/>
      <c r="D32" s="42"/>
      <c r="E32" s="122">
        <f>E29-E31</f>
        <v>5970625</v>
      </c>
      <c r="F32" s="122">
        <f>F29-F31</f>
        <v>6063445</v>
      </c>
      <c r="G32" s="123">
        <f>G29-G31</f>
        <v>6844115</v>
      </c>
      <c r="H32" s="101">
        <f>FORECAST($H$28,E32:G32,$E$28:$G$28)</f>
        <v>7166218.3333333731</v>
      </c>
      <c r="I32" s="102">
        <f t="shared" si="2"/>
        <v>4.7062817228140243</v>
      </c>
      <c r="J32" s="117">
        <f>J29-J31</f>
        <v>2861021.3333334923</v>
      </c>
      <c r="K32" s="117">
        <f t="shared" ref="K32:L32" si="3">K29-K31</f>
        <v>8644675.333333496</v>
      </c>
      <c r="L32" s="117">
        <f t="shared" si="3"/>
        <v>11536502.333333492</v>
      </c>
    </row>
    <row r="33" spans="2:12" ht="15.75" x14ac:dyDescent="0.25">
      <c r="B33" s="38"/>
      <c r="C33" s="88" t="s">
        <v>42</v>
      </c>
      <c r="D33" s="39"/>
      <c r="E33" s="122"/>
      <c r="F33" s="122"/>
      <c r="G33" s="123"/>
      <c r="H33" s="101"/>
      <c r="I33" s="102"/>
      <c r="J33" s="114"/>
      <c r="K33" s="114"/>
      <c r="L33" s="114"/>
    </row>
    <row r="34" spans="2:12" ht="15.75" x14ac:dyDescent="0.25">
      <c r="B34" s="38" t="s">
        <v>22</v>
      </c>
      <c r="C34" s="39"/>
      <c r="D34" s="39" t="s">
        <v>43</v>
      </c>
      <c r="E34" s="126">
        <f>GETPIVOTDATA("Value",$B$11,"Row",2012,"Page1","Labour Cost")</f>
        <v>2164000</v>
      </c>
      <c r="F34" s="126">
        <f>GETPIVOTDATA("Value",$B$11,"Row",2013,"Page1","Labour Cost")</f>
        <v>2238000</v>
      </c>
      <c r="G34" s="126">
        <f>GETPIVOTDATA("Value",$B$11,"Row",2014,"Page1","Labour Cost")</f>
        <v>2336000</v>
      </c>
      <c r="H34" s="101">
        <f>FORECAST($H$28,E34:G34,$E$28:$G$28)</f>
        <v>2418000</v>
      </c>
      <c r="I34" s="102">
        <f t="shared" ref="I34:I36" si="4">(H34-G34)/G34*100</f>
        <v>3.5102739726027399</v>
      </c>
      <c r="J34" s="111">
        <f>$H$34</f>
        <v>2418000</v>
      </c>
      <c r="K34" s="111">
        <f>$H$34</f>
        <v>2418000</v>
      </c>
      <c r="L34" s="111">
        <f>$H$34</f>
        <v>2418000</v>
      </c>
    </row>
    <row r="35" spans="2:12" ht="15.75" x14ac:dyDescent="0.25">
      <c r="B35" s="38"/>
      <c r="C35" s="39"/>
      <c r="D35" s="39" t="s">
        <v>44</v>
      </c>
      <c r="E35" s="126">
        <f>GETPIVOTDATA("Value",$B$11,"Row",2012,"Page1","FAOC")</f>
        <v>830000</v>
      </c>
      <c r="F35" s="126">
        <f>GETPIVOTDATA("Value",$B$11,"Row",2013,"Page1","FAOC")</f>
        <v>830000</v>
      </c>
      <c r="G35" s="126">
        <f>GETPIVOTDATA("Value",$B$11,"Row",2014,"Page1","FAOC")</f>
        <v>830000</v>
      </c>
      <c r="H35" s="101">
        <f>FORECAST($H$28,E35:G35,$E$28:$G$28)</f>
        <v>830000</v>
      </c>
      <c r="I35" s="102">
        <f t="shared" si="4"/>
        <v>0</v>
      </c>
      <c r="J35" s="111">
        <f>$H$35</f>
        <v>830000</v>
      </c>
      <c r="K35" s="111">
        <f>$H$35</f>
        <v>830000</v>
      </c>
      <c r="L35" s="111">
        <f>$H$35</f>
        <v>830000</v>
      </c>
    </row>
    <row r="36" spans="2:12" ht="15.75" x14ac:dyDescent="0.25">
      <c r="B36" s="38"/>
      <c r="C36" s="39"/>
      <c r="D36" s="39" t="s">
        <v>45</v>
      </c>
      <c r="E36" s="126">
        <f>GETPIVOTDATA("Value",$B$11,"Row",2012,"Page1","APC")</f>
        <v>285000</v>
      </c>
      <c r="F36" s="126">
        <f>GETPIVOTDATA("Value",$B$11,"Row",2013,"Page1","APC")</f>
        <v>290000</v>
      </c>
      <c r="G36" s="126">
        <f>GETPIVOTDATA("Value",$B$11,"Row",2014,"Page1","APC")</f>
        <v>302000</v>
      </c>
      <c r="H36" s="101">
        <f>FORECAST($H$28,E36:G36,$E$28:$G$28)</f>
        <v>309333.33333333209</v>
      </c>
      <c r="I36" s="102">
        <f t="shared" si="4"/>
        <v>2.4282560706397653</v>
      </c>
      <c r="J36" s="111">
        <f>$H$36</f>
        <v>309333.33333333209</v>
      </c>
      <c r="K36" s="111">
        <f>$H$36</f>
        <v>309333.33333333209</v>
      </c>
      <c r="L36" s="111">
        <f>$H$36</f>
        <v>309333.33333333209</v>
      </c>
    </row>
    <row r="37" spans="2:12" ht="15.75" x14ac:dyDescent="0.25">
      <c r="B37" s="38"/>
      <c r="C37" s="39"/>
      <c r="D37" s="39" t="s">
        <v>46</v>
      </c>
      <c r="E37" s="126">
        <f>GETPIVOTDATA("Value",$B$11,"Row",2012,"Page1","VUAOC")</f>
        <v>1684021</v>
      </c>
      <c r="F37" s="126">
        <f>GETPIVOTDATA("Value",$B$11,"Row",2013,"Page1","VUAOC")</f>
        <v>1720275</v>
      </c>
      <c r="G37" s="126">
        <f>GETPIVOTDATA("Value",$B$11,"Row",2014,"Page1","VUAOC")</f>
        <v>2083267</v>
      </c>
      <c r="H37" s="101">
        <f>FORECAST($H$28,E37:G37,$E$28:$G$28)</f>
        <v>2228433.6666666865</v>
      </c>
      <c r="I37" s="102">
        <f>(H37-G37)/G37*100</f>
        <v>6.9682218681852373</v>
      </c>
      <c r="J37" s="111">
        <f>$H$37</f>
        <v>2228433.6666666865</v>
      </c>
      <c r="K37" s="111">
        <f>$H$37</f>
        <v>2228433.6666666865</v>
      </c>
      <c r="L37" s="111">
        <f>$H$37</f>
        <v>2228433.6666666865</v>
      </c>
    </row>
    <row r="38" spans="2:12" ht="16.5" thickBot="1" x14ac:dyDescent="0.3">
      <c r="B38" s="40"/>
      <c r="C38" s="41"/>
      <c r="D38" s="41"/>
      <c r="E38" s="122"/>
      <c r="F38" s="122"/>
      <c r="G38" s="123"/>
      <c r="H38" s="101"/>
      <c r="I38" s="102"/>
      <c r="J38" s="114"/>
      <c r="K38" s="114"/>
      <c r="L38" s="114"/>
    </row>
    <row r="39" spans="2:12" ht="15.75" x14ac:dyDescent="0.25">
      <c r="B39" s="85" t="s">
        <v>47</v>
      </c>
      <c r="C39" s="39"/>
      <c r="D39" s="39"/>
      <c r="E39" s="127">
        <f>E32-SUM(E34:E37)</f>
        <v>1007604</v>
      </c>
      <c r="F39" s="127">
        <f t="shared" ref="F39:G39" si="5">F32-SUM(F34:F37)</f>
        <v>985170</v>
      </c>
      <c r="G39" s="128">
        <f t="shared" si="5"/>
        <v>1292848</v>
      </c>
      <c r="H39" s="101">
        <f>FORECAST($H$28,E39:G39,$E$28:$G$28)</f>
        <v>1380451.3333333135</v>
      </c>
      <c r="I39" s="102">
        <f>(H39-G39)/G39*100</f>
        <v>6.775996353269174</v>
      </c>
      <c r="J39" s="118">
        <f>J32-SUM(J34:J37)</f>
        <v>-2924745.6666665263</v>
      </c>
      <c r="K39" s="118">
        <f t="shared" ref="K39:L39" si="6">K32-SUM(K34:K37)</f>
        <v>2858908.3333334774</v>
      </c>
      <c r="L39" s="118">
        <f t="shared" si="6"/>
        <v>5750735.3333334737</v>
      </c>
    </row>
    <row r="40" spans="2:12" ht="16.5" thickBot="1" x14ac:dyDescent="0.3">
      <c r="B40" s="90"/>
      <c r="C40" s="41"/>
      <c r="D40" s="41"/>
      <c r="E40" s="129"/>
      <c r="F40" s="129"/>
      <c r="G40" s="129"/>
      <c r="H40" s="103"/>
      <c r="I40" s="104"/>
      <c r="J40" s="119"/>
      <c r="K40" s="120"/>
      <c r="L40" s="121"/>
    </row>
    <row r="41" spans="2:12" ht="15.75" x14ac:dyDescent="0.25">
      <c r="B41" s="397"/>
      <c r="C41" s="39"/>
      <c r="D41" s="398"/>
      <c r="E41" s="399"/>
      <c r="F41" s="399"/>
      <c r="G41" s="399"/>
      <c r="H41" s="400"/>
      <c r="I41" s="401"/>
      <c r="J41" s="402"/>
      <c r="K41" s="402"/>
      <c r="L41" s="402"/>
    </row>
    <row r="42" spans="2:12" ht="15.75" x14ac:dyDescent="0.25">
      <c r="B42" s="397"/>
      <c r="C42" s="39"/>
      <c r="D42" s="398"/>
      <c r="E42" s="399"/>
      <c r="F42" s="399"/>
      <c r="G42" s="399"/>
      <c r="H42" s="400"/>
      <c r="I42" s="401"/>
      <c r="J42" s="402"/>
      <c r="K42" s="402"/>
      <c r="L42" s="402"/>
    </row>
    <row r="43" spans="2:12" ht="15.75" x14ac:dyDescent="0.25">
      <c r="B43" s="397"/>
      <c r="C43" s="39"/>
      <c r="D43" s="398"/>
      <c r="E43" s="399"/>
      <c r="F43" s="399"/>
      <c r="G43" s="399"/>
      <c r="H43" s="400"/>
      <c r="I43" s="401"/>
      <c r="J43" s="402"/>
      <c r="K43" s="402"/>
      <c r="L43" s="402"/>
    </row>
    <row r="44" spans="2:12" x14ac:dyDescent="0.2">
      <c r="E44" s="231"/>
      <c r="F44" s="231"/>
      <c r="G44" s="231"/>
    </row>
    <row r="45" spans="2:12" x14ac:dyDescent="0.2">
      <c r="B45" s="77" t="s">
        <v>158</v>
      </c>
      <c r="C45" t="s">
        <v>31</v>
      </c>
      <c r="E45" s="231"/>
      <c r="F45" s="231"/>
      <c r="G45" s="231"/>
    </row>
    <row r="46" spans="2:12" x14ac:dyDescent="0.2">
      <c r="E46" s="231"/>
      <c r="F46" s="231"/>
      <c r="G46" s="231"/>
    </row>
    <row r="47" spans="2:12" x14ac:dyDescent="0.2">
      <c r="B47" s="77" t="s">
        <v>88</v>
      </c>
      <c r="C47" s="77" t="s">
        <v>89</v>
      </c>
    </row>
    <row r="48" spans="2:12" x14ac:dyDescent="0.2">
      <c r="B48" s="77" t="s">
        <v>90</v>
      </c>
      <c r="C48" t="s">
        <v>2</v>
      </c>
      <c r="D48" t="s">
        <v>3</v>
      </c>
      <c r="E48" t="s">
        <v>4</v>
      </c>
      <c r="F48" t="s">
        <v>5</v>
      </c>
      <c r="G48" t="s">
        <v>32</v>
      </c>
    </row>
    <row r="49" spans="2:25" ht="15.75" x14ac:dyDescent="0.25">
      <c r="B49" s="78" t="s">
        <v>48</v>
      </c>
      <c r="C49" s="131">
        <v>29614750</v>
      </c>
      <c r="D49" s="131">
        <v>19593790</v>
      </c>
      <c r="E49" s="131">
        <v>15696020</v>
      </c>
      <c r="F49" s="131">
        <v>14861750</v>
      </c>
      <c r="G49" s="131">
        <v>79766310</v>
      </c>
      <c r="T49" s="70"/>
      <c r="U49" s="70"/>
      <c r="V49" s="71"/>
      <c r="W49" s="72"/>
      <c r="X49" s="72"/>
      <c r="Y49" s="72"/>
    </row>
    <row r="50" spans="2:25" ht="15.75" x14ac:dyDescent="0.25">
      <c r="B50" s="78" t="s">
        <v>102</v>
      </c>
      <c r="C50" s="131">
        <v>22567945</v>
      </c>
      <c r="D50" s="131">
        <v>14987010</v>
      </c>
      <c r="E50" s="131">
        <v>12005535</v>
      </c>
      <c r="F50" s="131">
        <v>11327635</v>
      </c>
      <c r="G50" s="131">
        <v>60888125</v>
      </c>
      <c r="T50" s="70"/>
      <c r="U50" s="70"/>
      <c r="V50" s="71"/>
      <c r="W50" s="72"/>
      <c r="X50" s="72"/>
      <c r="Y50" s="72"/>
    </row>
    <row r="51" spans="2:25" ht="15.75" x14ac:dyDescent="0.25">
      <c r="B51" s="78" t="s">
        <v>187</v>
      </c>
      <c r="C51" s="131">
        <v>7046805</v>
      </c>
      <c r="D51" s="131">
        <v>4606780</v>
      </c>
      <c r="E51" s="131">
        <v>3690485</v>
      </c>
      <c r="F51" s="131">
        <v>3534115</v>
      </c>
      <c r="G51" s="131">
        <v>18878185</v>
      </c>
      <c r="T51" s="70"/>
      <c r="U51" s="70"/>
      <c r="V51" s="71"/>
      <c r="W51" s="72"/>
      <c r="X51" s="72"/>
      <c r="Y51" s="72"/>
    </row>
    <row r="52" spans="2:25" ht="15.75" x14ac:dyDescent="0.25">
      <c r="B52" s="78" t="s">
        <v>166</v>
      </c>
      <c r="C52" s="131">
        <v>2289000</v>
      </c>
      <c r="D52" s="131">
        <v>2108000</v>
      </c>
      <c r="E52" s="131">
        <v>1261000</v>
      </c>
      <c r="F52" s="131">
        <v>1080000</v>
      </c>
      <c r="G52" s="131">
        <v>6738000</v>
      </c>
      <c r="T52" s="70"/>
      <c r="U52" s="70"/>
      <c r="V52" s="71"/>
      <c r="W52" s="72"/>
      <c r="X52" s="72"/>
      <c r="Y52" s="72"/>
    </row>
    <row r="53" spans="2:25" ht="15.75" x14ac:dyDescent="0.25">
      <c r="B53" s="78" t="s">
        <v>44</v>
      </c>
      <c r="C53" s="131">
        <v>900000</v>
      </c>
      <c r="D53" s="131">
        <v>855000</v>
      </c>
      <c r="E53" s="131">
        <v>390000</v>
      </c>
      <c r="F53" s="131">
        <v>345000</v>
      </c>
      <c r="G53" s="131">
        <v>2490000</v>
      </c>
      <c r="T53" s="70"/>
      <c r="U53" s="70"/>
      <c r="V53" s="71"/>
      <c r="W53" s="72"/>
      <c r="X53" s="72"/>
      <c r="Y53" s="72"/>
    </row>
    <row r="54" spans="2:25" ht="15.75" x14ac:dyDescent="0.25">
      <c r="B54" s="78" t="s">
        <v>45</v>
      </c>
      <c r="C54" s="131">
        <v>290000</v>
      </c>
      <c r="D54" s="131">
        <v>260000</v>
      </c>
      <c r="E54" s="131">
        <v>205000</v>
      </c>
      <c r="F54" s="131">
        <v>122000</v>
      </c>
      <c r="G54" s="131">
        <v>877000</v>
      </c>
      <c r="T54" s="70"/>
      <c r="U54" s="70"/>
      <c r="V54" s="71"/>
      <c r="W54" s="72"/>
      <c r="X54" s="72"/>
      <c r="Y54" s="72"/>
    </row>
    <row r="55" spans="2:25" ht="15.75" x14ac:dyDescent="0.25">
      <c r="B55" s="78" t="s">
        <v>46</v>
      </c>
      <c r="C55" s="131">
        <v>2021916</v>
      </c>
      <c r="D55" s="131">
        <v>1518138</v>
      </c>
      <c r="E55" s="131">
        <v>1186577</v>
      </c>
      <c r="F55" s="131">
        <v>760932</v>
      </c>
      <c r="G55" s="131">
        <v>5487563</v>
      </c>
      <c r="T55" s="39"/>
      <c r="U55" s="39"/>
      <c r="V55" s="39"/>
      <c r="W55" s="39"/>
      <c r="X55" s="39"/>
      <c r="Y55" s="39"/>
    </row>
    <row r="56" spans="2:25" ht="15.75" x14ac:dyDescent="0.25">
      <c r="B56" s="78" t="s">
        <v>188</v>
      </c>
      <c r="C56" s="131">
        <v>5500916</v>
      </c>
      <c r="D56" s="131">
        <v>4741138</v>
      </c>
      <c r="E56" s="131">
        <v>3042577</v>
      </c>
      <c r="F56" s="131">
        <v>2307932</v>
      </c>
      <c r="G56" s="131">
        <v>15592563</v>
      </c>
      <c r="I56" s="1"/>
      <c r="J56" s="39"/>
      <c r="K56" s="39"/>
      <c r="L56" s="39"/>
      <c r="M56" s="39"/>
      <c r="N56" s="39"/>
      <c r="O56" s="39"/>
      <c r="P56" s="39"/>
      <c r="Q56" s="39"/>
      <c r="R56" s="39"/>
      <c r="S56" s="39"/>
      <c r="T56" s="39"/>
      <c r="U56" s="39"/>
      <c r="V56" s="39"/>
      <c r="W56" s="39"/>
      <c r="X56" s="39"/>
      <c r="Y56" s="39"/>
    </row>
    <row r="57" spans="2:25" ht="15.75" x14ac:dyDescent="0.25">
      <c r="B57" s="78" t="s">
        <v>129</v>
      </c>
      <c r="C57" s="131">
        <v>28068861</v>
      </c>
      <c r="D57" s="131">
        <v>19728148</v>
      </c>
      <c r="E57" s="131">
        <v>15048112</v>
      </c>
      <c r="F57" s="131">
        <v>13635567</v>
      </c>
      <c r="G57" s="131">
        <v>76480688</v>
      </c>
      <c r="M57" s="39"/>
    </row>
    <row r="58" spans="2:25" ht="15.75" x14ac:dyDescent="0.25">
      <c r="B58" s="78" t="s">
        <v>186</v>
      </c>
      <c r="C58" s="131">
        <v>1545889</v>
      </c>
      <c r="D58" s="131">
        <v>-134358</v>
      </c>
      <c r="E58" s="131">
        <v>647908</v>
      </c>
      <c r="F58" s="131">
        <v>1226183</v>
      </c>
      <c r="G58" s="131">
        <v>3285622</v>
      </c>
      <c r="M58" s="39"/>
    </row>
    <row r="59" spans="2:25" ht="15.75" x14ac:dyDescent="0.25">
      <c r="B59" s="78" t="s">
        <v>32</v>
      </c>
      <c r="C59" s="131">
        <v>99846082</v>
      </c>
      <c r="D59" s="131">
        <v>68263646</v>
      </c>
      <c r="E59" s="131">
        <v>53173214</v>
      </c>
      <c r="F59" s="131">
        <v>49201114</v>
      </c>
      <c r="G59" s="131">
        <v>270484056</v>
      </c>
      <c r="M59" s="1"/>
    </row>
    <row r="61" spans="2:25" ht="20.25" x14ac:dyDescent="0.2">
      <c r="B61" s="411" t="s">
        <v>195</v>
      </c>
      <c r="C61" s="412"/>
      <c r="D61" s="413"/>
      <c r="E61" s="99" t="s">
        <v>11</v>
      </c>
      <c r="F61" s="414" t="str">
        <f>+C45</f>
        <v>(All)</v>
      </c>
      <c r="G61" s="414"/>
      <c r="H61" s="415"/>
      <c r="I61" s="283"/>
      <c r="J61" s="283"/>
      <c r="K61" s="283"/>
      <c r="L61" s="283"/>
    </row>
    <row r="62" spans="2:25" ht="15.75" x14ac:dyDescent="0.25">
      <c r="B62" s="93"/>
      <c r="C62" s="93"/>
      <c r="D62" s="93"/>
      <c r="E62" s="416" t="s">
        <v>34</v>
      </c>
      <c r="F62" s="417"/>
      <c r="G62" s="417"/>
      <c r="H62" s="418"/>
    </row>
    <row r="63" spans="2:25" ht="15.75" x14ac:dyDescent="0.25">
      <c r="B63" s="93"/>
      <c r="C63" s="93"/>
      <c r="D63" s="93"/>
      <c r="E63" s="89" t="s">
        <v>2</v>
      </c>
      <c r="F63" s="89" t="s">
        <v>3</v>
      </c>
      <c r="G63" s="89" t="s">
        <v>4</v>
      </c>
      <c r="H63" s="89" t="s">
        <v>5</v>
      </c>
    </row>
    <row r="64" spans="2:25" ht="15.75" x14ac:dyDescent="0.25">
      <c r="B64" s="94" t="s">
        <v>48</v>
      </c>
      <c r="C64" s="93"/>
      <c r="D64" s="93"/>
      <c r="E64" s="49">
        <f>+GETPIVOTDATA("Value",$B$47,"Column","Brisbane","Page1","Revenue")</f>
        <v>29614750</v>
      </c>
      <c r="F64" s="49">
        <f>+GETPIVOTDATA("Value",$B$47,"Column","Gold Coast","Page1","Revenue")</f>
        <v>19593790</v>
      </c>
      <c r="G64" s="49">
        <f>+GETPIVOTDATA("Value",$B$47,"Column","Townsville","Page1","Revenue")</f>
        <v>15696020</v>
      </c>
      <c r="H64" s="49">
        <f>+GETPIVOTDATA("Value",$B$47,"Column","Cairns","Page1","Revenue")</f>
        <v>14861750</v>
      </c>
    </row>
    <row r="65" spans="2:25" ht="15.75" x14ac:dyDescent="0.25">
      <c r="B65" s="93"/>
      <c r="C65" s="93"/>
      <c r="D65" s="93"/>
      <c r="E65" s="49"/>
      <c r="F65" s="49"/>
      <c r="G65" s="49"/>
      <c r="H65" s="49"/>
    </row>
    <row r="66" spans="2:25" ht="15.75" x14ac:dyDescent="0.25">
      <c r="B66" s="93" t="s">
        <v>22</v>
      </c>
      <c r="C66" s="95" t="s">
        <v>40</v>
      </c>
      <c r="D66" s="93"/>
      <c r="E66" s="49">
        <f>+GETPIVOTDATA("Value",$B$47,"Column","Brisbane","Page1","COGS")</f>
        <v>22567945</v>
      </c>
      <c r="F66" s="49">
        <f>+GETPIVOTDATA("Value",$B$47,"Column","Gold Coast","Page1","COGS")</f>
        <v>14987010</v>
      </c>
      <c r="G66" s="49">
        <f>+GETPIVOTDATA("Value",$B$47,"Column","Townsville","Page1","COGS")</f>
        <v>12005535</v>
      </c>
      <c r="H66" s="49">
        <f>+GETPIVOTDATA("Value",$B$47,"Column","Cairns","Page1","COGS")</f>
        <v>11327635</v>
      </c>
    </row>
    <row r="67" spans="2:25" ht="15.75" x14ac:dyDescent="0.25">
      <c r="B67" s="94" t="s">
        <v>41</v>
      </c>
      <c r="C67" s="93"/>
      <c r="D67" s="93"/>
      <c r="E67" s="49">
        <f>+E64-E66</f>
        <v>7046805</v>
      </c>
      <c r="F67" s="49">
        <f>+F64-F66</f>
        <v>4606780</v>
      </c>
      <c r="G67" s="49">
        <f>+G64-G66</f>
        <v>3690485</v>
      </c>
      <c r="H67" s="49">
        <f>+H64-H66</f>
        <v>3534115</v>
      </c>
    </row>
    <row r="68" spans="2:25" ht="15.75" x14ac:dyDescent="0.25">
      <c r="B68" s="93"/>
      <c r="C68" s="95" t="s">
        <v>42</v>
      </c>
      <c r="D68" s="93"/>
      <c r="E68" s="49"/>
      <c r="F68" s="49"/>
      <c r="G68" s="49"/>
      <c r="H68" s="49"/>
    </row>
    <row r="69" spans="2:25" ht="15.75" x14ac:dyDescent="0.25">
      <c r="B69" s="93" t="s">
        <v>22</v>
      </c>
      <c r="C69" s="93"/>
      <c r="D69" s="93" t="s">
        <v>43</v>
      </c>
      <c r="E69" s="50">
        <f>+GETPIVOTDATA("Value",$B$47,"Column","Brisbane","Page1","Labour Cost")</f>
        <v>2289000</v>
      </c>
      <c r="F69" s="50">
        <f>+GETPIVOTDATA("Value",$B$47,"Column","Gold Coast","Page1","Labour Cost")</f>
        <v>2108000</v>
      </c>
      <c r="G69" s="50">
        <f>+GETPIVOTDATA("Value",$B$47,"Column","Townsville","Page1","Labour Cost")</f>
        <v>1261000</v>
      </c>
      <c r="H69" s="49">
        <f>+GETPIVOTDATA("Value",$B$47,"Column","Cairns","Page1","Labour Cost")</f>
        <v>1080000</v>
      </c>
    </row>
    <row r="70" spans="2:25" ht="15.75" x14ac:dyDescent="0.25">
      <c r="B70" s="93"/>
      <c r="C70" s="93"/>
      <c r="D70" s="93" t="s">
        <v>44</v>
      </c>
      <c r="E70" s="50">
        <f>+GETPIVOTDATA("Value",$B$47,"Column","Brisbane","Page1","FAOC")</f>
        <v>900000</v>
      </c>
      <c r="F70" s="50">
        <f>+GETPIVOTDATA("Value",$B$47,"Column","Gold Coast","Page1","FAOC")</f>
        <v>855000</v>
      </c>
      <c r="G70" s="50">
        <f>+GETPIVOTDATA("Value",$B$47,"Column","Townsville","Page1","FAOC")</f>
        <v>390000</v>
      </c>
      <c r="H70" s="49">
        <f>+GETPIVOTDATA("Value",$B$47,"Column","Cairns","Page1","FAOC")</f>
        <v>345000</v>
      </c>
    </row>
    <row r="71" spans="2:25" ht="15.75" x14ac:dyDescent="0.25">
      <c r="B71" s="93"/>
      <c r="C71" s="93"/>
      <c r="D71" s="93" t="s">
        <v>45</v>
      </c>
      <c r="E71" s="50">
        <f>+GETPIVOTDATA("Value",$B$47,"Column","Brisbane","Page1","APC")</f>
        <v>290000</v>
      </c>
      <c r="F71" s="50">
        <f>+GETPIVOTDATA("Value",$B$47,"Column","Gold Coast","Page1","APC")</f>
        <v>260000</v>
      </c>
      <c r="G71" s="50">
        <f>+GETPIVOTDATA("Value",$B$47,"Column","Townsville","Page1","APC")</f>
        <v>205000</v>
      </c>
      <c r="H71" s="49">
        <f>+GETPIVOTDATA("Value",$B$47,"Column","Cairns","Page1","APC")</f>
        <v>122000</v>
      </c>
    </row>
    <row r="72" spans="2:25" ht="15.75" x14ac:dyDescent="0.25">
      <c r="B72" s="93"/>
      <c r="C72" s="93"/>
      <c r="D72" s="93" t="s">
        <v>46</v>
      </c>
      <c r="E72" s="50">
        <f>+GETPIVOTDATA("Value",$B$47,"Column","Brisbane","Page1","VUAOC")</f>
        <v>2021916</v>
      </c>
      <c r="F72" s="50">
        <f>+GETPIVOTDATA("Value",$B$47,"Column","Gold Coast","Page1","VUAOC")</f>
        <v>1518138</v>
      </c>
      <c r="G72" s="50">
        <f>+GETPIVOTDATA("Value",$B$47,"Column","Townsville","Page1","VUAOC")</f>
        <v>1186577</v>
      </c>
      <c r="H72" s="49">
        <f>+GETPIVOTDATA("Value",$B$47,"Column","Cairns","Page1","VUAOC")</f>
        <v>760932</v>
      </c>
      <c r="N72" s="1"/>
      <c r="O72" s="1"/>
      <c r="P72" s="1"/>
      <c r="Q72" s="1"/>
      <c r="R72" s="1"/>
      <c r="S72" s="1"/>
      <c r="T72" s="1"/>
      <c r="U72" s="1"/>
      <c r="V72" s="1"/>
      <c r="W72" s="1"/>
      <c r="X72" s="1"/>
      <c r="Y72" s="1"/>
    </row>
    <row r="73" spans="2:25" ht="15.75" x14ac:dyDescent="0.25">
      <c r="B73" s="93"/>
      <c r="C73" s="93"/>
      <c r="D73" s="93"/>
      <c r="E73" s="49"/>
      <c r="F73" s="49"/>
      <c r="G73" s="49"/>
      <c r="H73" s="49"/>
      <c r="N73" s="1"/>
      <c r="O73" s="1"/>
      <c r="P73" s="1"/>
      <c r="Q73" s="1"/>
      <c r="R73" s="1"/>
      <c r="S73" s="1"/>
      <c r="T73" s="1"/>
      <c r="U73" s="1"/>
      <c r="V73" s="1"/>
      <c r="W73" s="1"/>
      <c r="X73" s="1"/>
      <c r="Y73" s="1"/>
    </row>
    <row r="74" spans="2:25" ht="15.75" x14ac:dyDescent="0.25">
      <c r="B74" s="96" t="s">
        <v>47</v>
      </c>
      <c r="C74" s="93"/>
      <c r="D74" s="94"/>
      <c r="E74" s="207">
        <f>+E67-SUM(E69:E72)</f>
        <v>1545889</v>
      </c>
      <c r="F74" s="207">
        <f t="shared" ref="F74:H74" si="7">+F67-SUM(F69:F72)</f>
        <v>-134358</v>
      </c>
      <c r="G74" s="207">
        <f t="shared" si="7"/>
        <v>647908</v>
      </c>
      <c r="H74" s="207">
        <f t="shared" si="7"/>
        <v>1226183</v>
      </c>
      <c r="I74" s="48"/>
      <c r="N74" s="1"/>
      <c r="O74" s="1"/>
      <c r="P74" s="1"/>
      <c r="Q74" s="1"/>
      <c r="R74" s="1"/>
      <c r="S74" s="1"/>
      <c r="T74" s="1"/>
      <c r="U74" s="1"/>
      <c r="V74" s="1"/>
      <c r="W74" s="1"/>
      <c r="X74" s="1"/>
      <c r="Y74" s="1"/>
    </row>
    <row r="75" spans="2:25" ht="15.75" x14ac:dyDescent="0.25">
      <c r="B75" s="424" t="s">
        <v>106</v>
      </c>
      <c r="C75" s="425"/>
      <c r="D75" s="426"/>
      <c r="E75" s="97">
        <f>+E74/SUM($E$74:$H$74)</f>
        <v>0.47050117146768555</v>
      </c>
      <c r="F75" s="97">
        <f t="shared" ref="F75:H75" si="8">+F74/SUM($E$74:$H$74)</f>
        <v>-4.0892713769264996E-2</v>
      </c>
      <c r="G75" s="97">
        <f t="shared" si="8"/>
        <v>0.1971949299097705</v>
      </c>
      <c r="H75" s="97">
        <f t="shared" si="8"/>
        <v>0.3731966123918089</v>
      </c>
      <c r="N75" s="1"/>
      <c r="O75" s="1"/>
      <c r="P75" s="1"/>
      <c r="Q75" s="1"/>
      <c r="R75" s="1"/>
      <c r="S75" s="1"/>
      <c r="T75" s="1"/>
      <c r="U75" s="1"/>
      <c r="V75" s="1"/>
      <c r="W75" s="1"/>
      <c r="X75" s="1"/>
      <c r="Y75" s="1"/>
    </row>
    <row r="76" spans="2:25" ht="15.75" x14ac:dyDescent="0.25">
      <c r="N76" s="1"/>
      <c r="O76" s="1"/>
      <c r="P76" s="1"/>
      <c r="Q76" s="1"/>
      <c r="R76" s="1"/>
      <c r="S76" s="1"/>
      <c r="T76" s="1"/>
      <c r="U76" s="1"/>
      <c r="V76" s="1"/>
      <c r="W76" s="1"/>
      <c r="X76" s="1"/>
      <c r="Y76" s="1"/>
    </row>
    <row r="79" spans="2:25" x14ac:dyDescent="0.2">
      <c r="B79" s="208" t="s">
        <v>185</v>
      </c>
    </row>
    <row r="80" spans="2:25" ht="20.25" x14ac:dyDescent="0.2">
      <c r="B80" s="411" t="s">
        <v>105</v>
      </c>
      <c r="C80" s="412"/>
      <c r="D80" s="413"/>
      <c r="E80" s="99" t="s">
        <v>30</v>
      </c>
      <c r="F80" s="156" t="str">
        <f>+F26</f>
        <v>(All)</v>
      </c>
      <c r="G80" s="156"/>
      <c r="H80" s="156"/>
      <c r="I80" s="156"/>
      <c r="J80" s="156"/>
      <c r="K80" s="156"/>
    </row>
    <row r="81" spans="1:13" ht="16.5" thickBot="1" x14ac:dyDescent="0.3">
      <c r="B81" s="38"/>
      <c r="C81" s="39"/>
      <c r="D81" s="39"/>
      <c r="E81" s="416" t="s">
        <v>34</v>
      </c>
      <c r="F81" s="417"/>
      <c r="G81" s="418"/>
      <c r="H81" s="419" t="s">
        <v>35</v>
      </c>
      <c r="I81" s="420"/>
      <c r="J81" s="409" t="s">
        <v>126</v>
      </c>
      <c r="K81" s="410"/>
    </row>
    <row r="82" spans="1:13" ht="15.75" x14ac:dyDescent="0.25">
      <c r="B82" s="43"/>
      <c r="C82" s="44"/>
      <c r="D82" s="44"/>
      <c r="E82" s="155">
        <v>2012</v>
      </c>
      <c r="F82" s="155">
        <v>2013</v>
      </c>
      <c r="G82" s="155">
        <v>2014</v>
      </c>
      <c r="H82" s="100">
        <v>2015</v>
      </c>
      <c r="I82" s="100" t="s">
        <v>39</v>
      </c>
      <c r="J82" s="108">
        <v>2015</v>
      </c>
      <c r="K82" s="109" t="s">
        <v>39</v>
      </c>
    </row>
    <row r="83" spans="1:13" ht="15.75" x14ac:dyDescent="0.25">
      <c r="A83" s="75" t="s">
        <v>48</v>
      </c>
      <c r="B83" s="84" t="s">
        <v>48</v>
      </c>
      <c r="C83" s="39"/>
      <c r="D83" s="39"/>
      <c r="E83" s="122">
        <v>25175400</v>
      </c>
      <c r="F83" s="122">
        <v>25672640</v>
      </c>
      <c r="G83" s="122">
        <v>28918270</v>
      </c>
      <c r="H83" s="101">
        <f>+FORECAST($H$82,$E83:$G83,$E$82:$G$82)</f>
        <v>30331640</v>
      </c>
      <c r="I83" s="102">
        <f>+(H83-G83)/G83*100</f>
        <v>4.8874638766426903</v>
      </c>
      <c r="J83" s="209">
        <f>+$H$85+SUM($H$88:$H$91)</f>
        <v>28951188.666666526</v>
      </c>
      <c r="K83" s="157">
        <f>+(J83-G83)/G83*100</f>
        <v>0.11383345776398916</v>
      </c>
      <c r="M83" s="75"/>
    </row>
    <row r="84" spans="1:13" ht="15.75" hidden="1" x14ac:dyDescent="0.25">
      <c r="B84" s="38"/>
      <c r="C84" s="39"/>
      <c r="D84" s="39"/>
      <c r="E84" s="122"/>
      <c r="F84" s="122"/>
      <c r="G84" s="123"/>
      <c r="H84" s="101"/>
      <c r="I84" s="102"/>
      <c r="J84" s="114"/>
      <c r="K84" s="157"/>
    </row>
    <row r="85" spans="1:13" ht="16.5" thickBot="1" x14ac:dyDescent="0.3">
      <c r="A85" s="75" t="s">
        <v>40</v>
      </c>
      <c r="B85" s="45" t="s">
        <v>22</v>
      </c>
      <c r="C85" s="87" t="s">
        <v>40</v>
      </c>
      <c r="D85" s="46"/>
      <c r="E85" s="124">
        <v>19204775</v>
      </c>
      <c r="F85" s="124">
        <v>19609195</v>
      </c>
      <c r="G85" s="124">
        <v>22074155</v>
      </c>
      <c r="H85" s="101">
        <f>+FORECAST($H$82,$E85:$G85,$E$82:$G$82)</f>
        <v>23165421.666666508</v>
      </c>
      <c r="I85" s="102">
        <f>+(H85-G85)/G85*100</f>
        <v>4.9436395942064726</v>
      </c>
      <c r="J85" s="111">
        <f>+H85</f>
        <v>23165421.666666508</v>
      </c>
      <c r="K85" s="157">
        <f t="shared" ref="K85:K86" si="9">+(J85-G85)/G85*100</f>
        <v>4.9436395942064726</v>
      </c>
      <c r="M85" s="75"/>
    </row>
    <row r="86" spans="1:13" ht="16.5" thickTop="1" x14ac:dyDescent="0.25">
      <c r="A86" s="75" t="s">
        <v>41</v>
      </c>
      <c r="B86" s="86" t="s">
        <v>41</v>
      </c>
      <c r="C86" s="42"/>
      <c r="D86" s="42"/>
      <c r="E86" s="122">
        <f>+E83-E85</f>
        <v>5970625</v>
      </c>
      <c r="F86" s="122">
        <f>+F83-F85</f>
        <v>6063445</v>
      </c>
      <c r="G86" s="122">
        <f>+G83-G85</f>
        <v>6844115</v>
      </c>
      <c r="H86" s="101">
        <f>+FORECAST($H$82,$E86:$G86,$E$82:$G$82)</f>
        <v>7166218.3333333731</v>
      </c>
      <c r="I86" s="102">
        <f>+(H86-G86)/G86*100</f>
        <v>4.7062817228140243</v>
      </c>
      <c r="J86" s="117">
        <f>+J83-J85</f>
        <v>5785767.0000000186</v>
      </c>
      <c r="K86" s="157">
        <f t="shared" si="9"/>
        <v>-15.463620935650283</v>
      </c>
      <c r="M86" s="75"/>
    </row>
    <row r="87" spans="1:13" ht="15.75" x14ac:dyDescent="0.25">
      <c r="A87" s="75" t="s">
        <v>192</v>
      </c>
      <c r="B87" s="38"/>
      <c r="C87" s="88" t="s">
        <v>42</v>
      </c>
      <c r="D87" s="39"/>
      <c r="E87" s="122"/>
      <c r="F87" s="122"/>
      <c r="G87" s="123"/>
      <c r="H87" s="101"/>
      <c r="I87" s="102"/>
      <c r="J87" s="114"/>
      <c r="K87" s="157"/>
      <c r="M87" s="75"/>
    </row>
    <row r="88" spans="1:13" ht="15.75" x14ac:dyDescent="0.25">
      <c r="A88" s="75" t="s">
        <v>193</v>
      </c>
      <c r="B88" s="38" t="s">
        <v>22</v>
      </c>
      <c r="C88" s="39"/>
      <c r="D88" s="39" t="s">
        <v>43</v>
      </c>
      <c r="E88" s="126">
        <v>2164000</v>
      </c>
      <c r="F88" s="126">
        <v>2238000</v>
      </c>
      <c r="G88" s="126">
        <v>2336000</v>
      </c>
      <c r="H88" s="101">
        <f t="shared" ref="H88:H91" si="10">+FORECAST($H$82,$E88:$G88,$E$82:$G$82)</f>
        <v>2418000</v>
      </c>
      <c r="I88" s="102">
        <f t="shared" ref="I88:I91" si="11">+(H88-G88)/G88*100</f>
        <v>3.5102739726027399</v>
      </c>
      <c r="J88" s="111">
        <f>+H88</f>
        <v>2418000</v>
      </c>
      <c r="K88" s="157">
        <f t="shared" ref="K88:K91" si="12">+(J88-G88)/G88*100</f>
        <v>3.5102739726027399</v>
      </c>
      <c r="M88" s="75"/>
    </row>
    <row r="89" spans="1:13" ht="15.75" x14ac:dyDescent="0.25">
      <c r="A89" t="s">
        <v>44</v>
      </c>
      <c r="B89" s="38"/>
      <c r="C89" s="39"/>
      <c r="D89" s="39" t="s">
        <v>44</v>
      </c>
      <c r="E89" s="126">
        <v>830000</v>
      </c>
      <c r="F89" s="126">
        <v>830000</v>
      </c>
      <c r="G89" s="126">
        <v>830000</v>
      </c>
      <c r="H89" s="101">
        <f t="shared" si="10"/>
        <v>830000</v>
      </c>
      <c r="I89" s="102">
        <f t="shared" si="11"/>
        <v>0</v>
      </c>
      <c r="J89" s="111">
        <f t="shared" ref="J89:J91" si="13">+H89</f>
        <v>830000</v>
      </c>
      <c r="K89" s="157">
        <f t="shared" si="12"/>
        <v>0</v>
      </c>
    </row>
    <row r="90" spans="1:13" ht="15.75" x14ac:dyDescent="0.25">
      <c r="A90" t="s">
        <v>45</v>
      </c>
      <c r="B90" s="38"/>
      <c r="C90" s="39"/>
      <c r="D90" s="39" t="s">
        <v>45</v>
      </c>
      <c r="E90" s="126">
        <v>285000</v>
      </c>
      <c r="F90" s="126">
        <v>290000</v>
      </c>
      <c r="G90" s="126">
        <v>302000</v>
      </c>
      <c r="H90" s="101">
        <f t="shared" si="10"/>
        <v>309333.33333333209</v>
      </c>
      <c r="I90" s="102">
        <f t="shared" si="11"/>
        <v>2.4282560706397653</v>
      </c>
      <c r="J90" s="111">
        <f t="shared" si="13"/>
        <v>309333.33333333209</v>
      </c>
      <c r="K90" s="157">
        <f t="shared" si="12"/>
        <v>2.4282560706397653</v>
      </c>
    </row>
    <row r="91" spans="1:13" ht="16.5" thickBot="1" x14ac:dyDescent="0.3">
      <c r="A91" t="s">
        <v>46</v>
      </c>
      <c r="B91" s="38"/>
      <c r="C91" s="39"/>
      <c r="D91" s="39" t="s">
        <v>46</v>
      </c>
      <c r="E91" s="126">
        <v>1684021</v>
      </c>
      <c r="F91" s="126">
        <v>1720275</v>
      </c>
      <c r="G91" s="126">
        <v>2083267</v>
      </c>
      <c r="H91" s="101">
        <f t="shared" si="10"/>
        <v>2228433.6666666865</v>
      </c>
      <c r="I91" s="102">
        <f t="shared" si="11"/>
        <v>6.9682218681852373</v>
      </c>
      <c r="J91" s="111">
        <f t="shared" si="13"/>
        <v>2228433.6666666865</v>
      </c>
      <c r="K91" s="157">
        <f t="shared" si="12"/>
        <v>6.9682218681852373</v>
      </c>
    </row>
    <row r="92" spans="1:13" ht="16.5" hidden="1" thickBot="1" x14ac:dyDescent="0.3">
      <c r="B92" s="40"/>
      <c r="C92" s="41"/>
      <c r="D92" s="41"/>
      <c r="E92" s="122"/>
      <c r="F92" s="122"/>
      <c r="G92" s="123"/>
      <c r="H92" s="101"/>
      <c r="I92" s="102"/>
      <c r="J92" s="114"/>
      <c r="K92" s="157"/>
    </row>
    <row r="93" spans="1:13" ht="15.75" x14ac:dyDescent="0.25">
      <c r="A93" s="75" t="s">
        <v>194</v>
      </c>
      <c r="B93" s="85" t="s">
        <v>47</v>
      </c>
      <c r="C93" s="39"/>
      <c r="D93" s="39"/>
      <c r="E93" s="127">
        <f>+E86-SUM(E88:E91)</f>
        <v>1007604</v>
      </c>
      <c r="F93" s="127">
        <f t="shared" ref="F93:G93" si="14">+F86-SUM(F88:F91)</f>
        <v>985170</v>
      </c>
      <c r="G93" s="127">
        <f t="shared" si="14"/>
        <v>1292848</v>
      </c>
      <c r="H93" s="101">
        <f>+FORECAST($H$82,$E93:$G93,$E$82:$G$82)</f>
        <v>1380451.3333333135</v>
      </c>
      <c r="I93" s="102">
        <f>+(H93-G93)/G93*100</f>
        <v>6.775996353269174</v>
      </c>
      <c r="J93" s="118">
        <f t="shared" ref="J93" si="15">+J86-SUM(J88:J91)</f>
        <v>0</v>
      </c>
      <c r="K93" s="157">
        <f>+(J93-G93)/G93*100</f>
        <v>-100</v>
      </c>
      <c r="M93" s="75"/>
    </row>
    <row r="94" spans="1:13" ht="16.5" thickBot="1" x14ac:dyDescent="0.3">
      <c r="B94" s="90"/>
      <c r="C94" s="41"/>
      <c r="D94" s="41"/>
      <c r="E94" s="129"/>
      <c r="F94" s="129"/>
      <c r="G94" s="129"/>
      <c r="H94" s="103"/>
      <c r="I94" s="104"/>
      <c r="J94" s="119"/>
      <c r="K94" s="120"/>
    </row>
    <row r="96" spans="1:13" x14ac:dyDescent="0.2">
      <c r="E96" s="341"/>
      <c r="F96" s="341"/>
      <c r="H96" s="202"/>
    </row>
  </sheetData>
  <mergeCells count="15">
    <mergeCell ref="Y2:Z2"/>
    <mergeCell ref="AC2:AE2"/>
    <mergeCell ref="V2:X2"/>
    <mergeCell ref="B80:D80"/>
    <mergeCell ref="E81:G81"/>
    <mergeCell ref="H81:I81"/>
    <mergeCell ref="J81:K81"/>
    <mergeCell ref="B75:D75"/>
    <mergeCell ref="B26:D26"/>
    <mergeCell ref="F26:L26"/>
    <mergeCell ref="E62:H62"/>
    <mergeCell ref="E27:G27"/>
    <mergeCell ref="H27:I27"/>
    <mergeCell ref="B61:D61"/>
    <mergeCell ref="F61:H61"/>
  </mergeCells>
  <pageMargins left="0.7" right="0.43" top="0.75" bottom="0.75" header="0.3" footer="0.3"/>
  <pageSetup paperSize="9" scale="56" orientation="landscape" r:id="rId3"/>
  <headerFooter>
    <oddHeader>&amp;C&amp;14Sheet: &amp;A</oddHeader>
    <oddFooter>&amp;L&amp;11Group 28's Business Model&amp;C&amp;11&amp;P&amp;R&amp;11SP52/2016-BX2016</oddFooter>
  </headerFooter>
  <drawing r:id="rId4"/>
  <legacy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pageSetUpPr fitToPage="1"/>
  </sheetPr>
  <dimension ref="B2:P37"/>
  <sheetViews>
    <sheetView zoomScale="80" zoomScaleNormal="80" workbookViewId="0">
      <pane xSplit="2" ySplit="5" topLeftCell="C15" activePane="bottomRight" state="frozen"/>
      <selection activeCell="D21" sqref="D21"/>
      <selection pane="topRight" activeCell="D21" sqref="D21"/>
      <selection pane="bottomLeft" activeCell="D21" sqref="D21"/>
      <selection pane="bottomRight" activeCell="G21" sqref="G21"/>
    </sheetView>
  </sheetViews>
  <sheetFormatPr defaultRowHeight="12.75" x14ac:dyDescent="0.2"/>
  <cols>
    <col min="2" max="2" width="23.140625" customWidth="1"/>
    <col min="3" max="3" width="14" customWidth="1"/>
    <col min="4" max="4" width="15.42578125" customWidth="1"/>
    <col min="5" max="5" width="15" customWidth="1"/>
    <col min="6" max="6" width="18.140625" customWidth="1"/>
    <col min="8" max="8" width="15.5703125" customWidth="1"/>
    <col min="9" max="9" width="25" customWidth="1"/>
    <col min="10" max="10" width="8.7109375" customWidth="1"/>
    <col min="11" max="11" width="22.7109375" customWidth="1"/>
    <col min="12" max="12" width="13.140625" customWidth="1"/>
    <col min="13" max="13" width="16" customWidth="1"/>
    <col min="14" max="14" width="6.42578125" customWidth="1"/>
    <col min="15" max="15" width="20" bestFit="1" customWidth="1"/>
    <col min="16" max="16" width="12.42578125" bestFit="1" customWidth="1"/>
  </cols>
  <sheetData>
    <row r="2" spans="2:16" ht="18.75" x14ac:dyDescent="0.3">
      <c r="B2" s="3"/>
    </row>
    <row r="3" spans="2:16" x14ac:dyDescent="0.2">
      <c r="H3" s="77" t="s">
        <v>91</v>
      </c>
      <c r="I3" t="s">
        <v>31</v>
      </c>
    </row>
    <row r="4" spans="2:16" ht="20.25" thickBot="1" x14ac:dyDescent="0.35">
      <c r="B4" s="220" t="s">
        <v>110</v>
      </c>
      <c r="C4" s="2"/>
      <c r="D4" s="2"/>
      <c r="E4" s="2"/>
      <c r="F4" s="2"/>
    </row>
    <row r="5" spans="2:16" ht="16.5" thickTop="1" x14ac:dyDescent="0.25">
      <c r="B5" s="18" t="s">
        <v>16</v>
      </c>
      <c r="C5" s="35" t="s">
        <v>2</v>
      </c>
      <c r="D5" s="35" t="s">
        <v>3</v>
      </c>
      <c r="E5" s="35" t="s">
        <v>4</v>
      </c>
      <c r="F5" s="35" t="s">
        <v>5</v>
      </c>
      <c r="H5" s="77" t="s">
        <v>88</v>
      </c>
      <c r="I5" s="77" t="s">
        <v>89</v>
      </c>
    </row>
    <row r="6" spans="2:16" ht="15.75" x14ac:dyDescent="0.25">
      <c r="B6" s="19" t="s">
        <v>17</v>
      </c>
      <c r="C6" s="132">
        <f>+VLOOKUP($B6,'Sales and Revenue'!$K$5:$L$11,2,FALSE)/VLOOKUP('Sales Target Performance'!$B6,'Sales Target &amp; Actual'!$Q$4:$R$10,2,FALSE)-1</f>
        <v>-8.1500000000000017E-2</v>
      </c>
      <c r="D6" s="132">
        <f>+VLOOKUP($B6,'Sales and Revenue'!$K$5:$M$11,3,FALSE)/VLOOKUP('Sales Target Performance'!$B6,'Sales Target &amp; Actual'!$Q$4:$S$10,3,FALSE)-1</f>
        <v>-0.26888888888888884</v>
      </c>
      <c r="E6" s="132">
        <f>+VLOOKUP($B6,'Sales and Revenue'!$K$5:$N$11,4,FALSE)/VLOOKUP('Sales Target Performance'!$B6,'Sales Target &amp; Actual'!$Q$4:$T$10,4,FALSE)-1</f>
        <v>-0.20818181818181813</v>
      </c>
      <c r="F6" s="132">
        <f>+VLOOKUP($B6,'Sales and Revenue'!$K$5:$O$11,5,FALSE)/VLOOKUP('Sales Target Performance'!$B6,'Sales Target &amp; Actual'!$Q$4:$U$10,5,FALSE)-1</f>
        <v>-0.14624999999999999</v>
      </c>
      <c r="H6" s="77" t="s">
        <v>90</v>
      </c>
      <c r="I6" t="s">
        <v>130</v>
      </c>
      <c r="J6" t="s">
        <v>18</v>
      </c>
      <c r="K6" t="s">
        <v>132</v>
      </c>
      <c r="L6" t="s">
        <v>19</v>
      </c>
      <c r="M6" t="s">
        <v>131</v>
      </c>
      <c r="N6" t="s">
        <v>20</v>
      </c>
      <c r="O6" t="s">
        <v>17</v>
      </c>
      <c r="P6" t="s">
        <v>32</v>
      </c>
    </row>
    <row r="7" spans="2:16" ht="15.75" x14ac:dyDescent="0.25">
      <c r="B7" s="19" t="s">
        <v>18</v>
      </c>
      <c r="C7" s="132">
        <f>+VLOOKUP($B7,'Sales and Revenue'!$K$5:$L$11,2,FALSE)/VLOOKUP('Sales Target Performance'!$B7,'Sales Target &amp; Actual'!$Q$4:$R$10,2,FALSE)-1</f>
        <v>0.13266666666666671</v>
      </c>
      <c r="D7" s="132">
        <f>+VLOOKUP($B7,'Sales and Revenue'!$K$5:$M$11,3,FALSE)/VLOOKUP('Sales Target Performance'!$B7,'Sales Target &amp; Actual'!$Q$4:$S$10,3,FALSE)-1</f>
        <v>7.3076923076923039E-2</v>
      </c>
      <c r="E7" s="132">
        <f>+VLOOKUP($B7,'Sales and Revenue'!$K$5:$N$11,4,FALSE)/VLOOKUP('Sales Target Performance'!$B7,'Sales Target &amp; Actual'!$Q$4:$T$10,4,FALSE)-1</f>
        <v>-1.8124999999999947E-2</v>
      </c>
      <c r="F7" s="132">
        <f>+VLOOKUP($B7,'Sales and Revenue'!$K$5:$O$11,5,FALSE)/VLOOKUP('Sales Target Performance'!$B7,'Sales Target &amp; Actual'!$Q$4:$U$10,5,FALSE)-1</f>
        <v>0.1327272727272728</v>
      </c>
      <c r="H7" s="78" t="s">
        <v>2</v>
      </c>
      <c r="I7" s="230">
        <v>9.1950934579439259E-2</v>
      </c>
      <c r="J7" s="230">
        <v>0.28941433021806873</v>
      </c>
      <c r="K7" s="230">
        <v>0.68416133792424971</v>
      </c>
      <c r="L7" s="230">
        <v>0.21218457943925206</v>
      </c>
      <c r="M7" s="230">
        <v>0.67725700934579436</v>
      </c>
      <c r="N7" s="230">
        <v>0.63130173564753012</v>
      </c>
      <c r="O7" s="230">
        <v>2.1261682242991187E-3</v>
      </c>
      <c r="P7" s="230">
        <v>2.5883960953786334</v>
      </c>
    </row>
    <row r="8" spans="2:16" ht="15.75" x14ac:dyDescent="0.25">
      <c r="B8" s="19" t="s">
        <v>130</v>
      </c>
      <c r="C8" s="132">
        <f>+VLOOKUP($B8,'Sales and Revenue'!$K$5:$L$11,2,FALSE)/VLOOKUP('Sales Target Performance'!$B8,'Sales Target &amp; Actual'!$Q$4:$R$10,2,FALSE)-1</f>
        <v>0.10499999999999998</v>
      </c>
      <c r="D8" s="132">
        <f>+VLOOKUP($B8,'Sales and Revenue'!$K$5:$M$11,3,FALSE)/VLOOKUP('Sales Target Performance'!$B8,'Sales Target &amp; Actual'!$Q$4:$S$10,3,FALSE)-1</f>
        <v>-0.22571428571428576</v>
      </c>
      <c r="E8" s="132">
        <f>+VLOOKUP($B8,'Sales and Revenue'!$K$5:$N$11,4,FALSE)/VLOOKUP('Sales Target Performance'!$B8,'Sales Target &amp; Actual'!$Q$4:$T$10,4,FALSE)-1</f>
        <v>3.2000000000000028E-2</v>
      </c>
      <c r="F8" s="132">
        <f>+VLOOKUP($B8,'Sales and Revenue'!$K$5:$O$11,5,FALSE)/VLOOKUP('Sales Target Performance'!$B8,'Sales Target &amp; Actual'!$Q$4:$U$10,5,FALSE)-1</f>
        <v>1.1333333333333333</v>
      </c>
      <c r="H8" s="78" t="s">
        <v>3</v>
      </c>
      <c r="I8" s="230">
        <v>-0.54904761904761912</v>
      </c>
      <c r="J8" s="230">
        <v>4.9018952062430232E-2</v>
      </c>
      <c r="K8" s="230">
        <v>-7.5988795518207253E-2</v>
      </c>
      <c r="L8" s="230">
        <v>-8.2764263600176857E-2</v>
      </c>
      <c r="M8" s="230">
        <v>-1.9394841269841367E-2</v>
      </c>
      <c r="N8" s="230">
        <v>-4.6424242424242368E-2</v>
      </c>
      <c r="O8" s="230">
        <v>-0.40388888888888885</v>
      </c>
      <c r="P8" s="230">
        <v>-1.1284896986865456</v>
      </c>
    </row>
    <row r="9" spans="2:16" ht="15.75" x14ac:dyDescent="0.25">
      <c r="B9" s="19" t="s">
        <v>19</v>
      </c>
      <c r="C9" s="132">
        <f>+VLOOKUP($B9,'Sales and Revenue'!$K$5:$L$11,2,FALSE)/VLOOKUP('Sales Target Performance'!$B9,'Sales Target &amp; Actual'!$Q$4:$R$10,2,FALSE)-1</f>
        <v>3.6249999999999893E-2</v>
      </c>
      <c r="D9" s="132">
        <f>+VLOOKUP($B9,'Sales and Revenue'!$K$5:$M$11,3,FALSE)/VLOOKUP('Sales Target Performance'!$B9,'Sales Target &amp; Actual'!$Q$4:$S$10,3,FALSE)-1</f>
        <v>-6.2857142857142834E-2</v>
      </c>
      <c r="E9" s="132">
        <f>+VLOOKUP($B9,'Sales and Revenue'!$K$5:$N$11,4,FALSE)/VLOOKUP('Sales Target Performance'!$B9,'Sales Target &amp; Actual'!$Q$4:$T$10,4,FALSE)-1</f>
        <v>-3.4615384615384603E-2</v>
      </c>
      <c r="F9" s="132">
        <f>+VLOOKUP($B9,'Sales and Revenue'!$K$5:$O$11,5,FALSE)/VLOOKUP('Sales Target Performance'!$B9,'Sales Target &amp; Actual'!$Q$4:$U$10,5,FALSE)-1</f>
        <v>0.27777777777777768</v>
      </c>
      <c r="H9" s="78" t="s">
        <v>4</v>
      </c>
      <c r="I9" s="230">
        <v>0.14400000000000002</v>
      </c>
      <c r="J9" s="230">
        <v>0.11799342105263166</v>
      </c>
      <c r="K9" s="230">
        <v>0.33531818181818185</v>
      </c>
      <c r="L9" s="230">
        <v>0.12574358974358979</v>
      </c>
      <c r="M9" s="230">
        <v>0.25685314685314675</v>
      </c>
      <c r="N9" s="230">
        <v>-3.8611111111111263E-2</v>
      </c>
      <c r="O9" s="230">
        <v>-1.2097902097901847E-2</v>
      </c>
      <c r="P9" s="230">
        <v>0.92919932625853696</v>
      </c>
    </row>
    <row r="10" spans="2:16" ht="15.75" x14ac:dyDescent="0.25">
      <c r="B10" s="19" t="s">
        <v>20</v>
      </c>
      <c r="C10" s="132">
        <f>+VLOOKUP($B10,'Sales and Revenue'!$K$5:$L$11,2,FALSE)/VLOOKUP('Sales Target Performance'!$B10,'Sales Target &amp; Actual'!$Q$4:$R$10,2,FALSE)-1</f>
        <v>0.22285714285714286</v>
      </c>
      <c r="D10" s="132">
        <f>+VLOOKUP($B10,'Sales and Revenue'!$K$5:$M$11,3,FALSE)/VLOOKUP('Sales Target Performance'!$B10,'Sales Target &amp; Actual'!$Q$4:$S$10,3,FALSE)-1</f>
        <v>0.13666666666666671</v>
      </c>
      <c r="E10" s="132">
        <f>+VLOOKUP($B10,'Sales and Revenue'!$K$5:$N$11,4,FALSE)/VLOOKUP('Sales Target Performance'!$B10,'Sales Target &amp; Actual'!$Q$4:$T$10,4,FALSE)-1</f>
        <v>-0.10750000000000004</v>
      </c>
      <c r="F10" s="132">
        <f>+VLOOKUP($B10,'Sales and Revenue'!$K$5:$O$11,5,FALSE)/VLOOKUP('Sales Target Performance'!$B10,'Sales Target &amp; Actual'!$Q$4:$U$10,5,FALSE)-1</f>
        <v>0.37200000000000011</v>
      </c>
      <c r="H10" s="78" t="s">
        <v>5</v>
      </c>
      <c r="I10" s="230">
        <v>1.9658333333333333</v>
      </c>
      <c r="J10" s="230">
        <v>0.50431098313451272</v>
      </c>
      <c r="K10" s="230">
        <v>0.74435064935064932</v>
      </c>
      <c r="L10" s="230">
        <v>0.38993162393162395</v>
      </c>
      <c r="M10" s="230">
        <v>0.89732323232323252</v>
      </c>
      <c r="N10" s="230">
        <v>1.2540833333333334</v>
      </c>
      <c r="O10" s="230">
        <v>0.1814267676767678</v>
      </c>
      <c r="P10" s="230">
        <v>5.9372599230834533</v>
      </c>
    </row>
    <row r="11" spans="2:16" ht="15.75" x14ac:dyDescent="0.25">
      <c r="B11" s="19" t="s">
        <v>131</v>
      </c>
      <c r="C11" s="132">
        <f>+VLOOKUP($B11,'Sales and Revenue'!$K$5:$L$11,2,FALSE)/VLOOKUP('Sales Target Performance'!$B11,'Sales Target &amp; Actual'!$Q$4:$R$10,2,FALSE)-1</f>
        <v>0.11899999999999999</v>
      </c>
      <c r="D11" s="132">
        <f>+VLOOKUP($B11,'Sales and Revenue'!$K$5:$M$11,3,FALSE)/VLOOKUP('Sales Target Performance'!$B11,'Sales Target &amp; Actual'!$Q$4:$S$10,3,FALSE)-1</f>
        <v>-5.0555555555555576E-2</v>
      </c>
      <c r="E11" s="132">
        <f>+VLOOKUP($B11,'Sales and Revenue'!$K$5:$N$11,4,FALSE)/VLOOKUP('Sales Target Performance'!$B11,'Sales Target &amp; Actual'!$Q$4:$T$10,4,FALSE)-1</f>
        <v>3.6363636363636598E-3</v>
      </c>
      <c r="F11" s="132">
        <f>+VLOOKUP($B11,'Sales and Revenue'!$K$5:$O$11,5,FALSE)/VLOOKUP('Sales Target Performance'!$B11,'Sales Target &amp; Actual'!$Q$4:$U$10,5,FALSE)-1</f>
        <v>0.21500000000000008</v>
      </c>
      <c r="H11" s="78" t="s">
        <v>32</v>
      </c>
      <c r="I11" s="230">
        <v>1.6527366488651536</v>
      </c>
      <c r="J11" s="230">
        <v>0.96073768646764335</v>
      </c>
      <c r="K11" s="230">
        <v>1.6878413735748736</v>
      </c>
      <c r="L11" s="230">
        <v>0.64509552951428895</v>
      </c>
      <c r="M11" s="230">
        <v>1.8120385472523322</v>
      </c>
      <c r="N11" s="230">
        <v>1.8003497154455099</v>
      </c>
      <c r="O11" s="230">
        <v>-0.23243385508572378</v>
      </c>
      <c r="P11" s="230">
        <v>8.3263656460340769</v>
      </c>
    </row>
    <row r="12" spans="2:16" ht="15.75" x14ac:dyDescent="0.25">
      <c r="B12" s="19" t="s">
        <v>132</v>
      </c>
      <c r="C12" s="132">
        <f>+VLOOKUP($B12,'Sales and Revenue'!$K$5:$L$11,2,FALSE)/VLOOKUP('Sales Target Performance'!$B12,'Sales Target &amp; Actual'!$Q$4:$R$10,2,FALSE)-1</f>
        <v>0.20052631578947366</v>
      </c>
      <c r="D12" s="132">
        <f>+VLOOKUP($B12,'Sales and Revenue'!$K$5:$M$11,3,FALSE)/VLOOKUP('Sales Target Performance'!$B12,'Sales Target &amp; Actual'!$Q$4:$S$10,3,FALSE)-1</f>
        <v>1.7058823529411793E-2</v>
      </c>
      <c r="E12" s="132">
        <f>+VLOOKUP($B12,'Sales and Revenue'!$K$5:$N$11,4,FALSE)/VLOOKUP('Sales Target Performance'!$B12,'Sales Target &amp; Actual'!$Q$4:$T$10,4,FALSE)-1</f>
        <v>0.121</v>
      </c>
      <c r="F12" s="132">
        <f>+VLOOKUP($B12,'Sales and Revenue'!$K$5:$O$11,5,FALSE)/VLOOKUP('Sales Target Performance'!$B12,'Sales Target &amp; Actual'!$Q$4:$U$10,5,FALSE)-1</f>
        <v>0.30571428571428561</v>
      </c>
    </row>
    <row r="13" spans="2:16" ht="15.75" x14ac:dyDescent="0.25">
      <c r="B13" s="19" t="s">
        <v>109</v>
      </c>
      <c r="C13" s="222">
        <f t="shared" ref="C13" si="0">+AVERAGE(C6:C12)</f>
        <v>0.10497144647332615</v>
      </c>
      <c r="D13" s="222">
        <f t="shared" ref="D13" si="1">+AVERAGE(D6:D12)</f>
        <v>-5.4459065677553063E-2</v>
      </c>
      <c r="E13" s="222">
        <f>+AVERAGE(E6:E12)</f>
        <v>-3.0255119880119863E-2</v>
      </c>
      <c r="F13" s="222">
        <f t="shared" ref="F13" si="2">+AVERAGE(F6:F12)</f>
        <v>0.32718609565038143</v>
      </c>
    </row>
    <row r="16" spans="2:16" ht="20.25" thickBot="1" x14ac:dyDescent="0.35">
      <c r="B16" s="220" t="s">
        <v>147</v>
      </c>
      <c r="C16" s="2"/>
      <c r="D16" s="2"/>
      <c r="E16" s="2"/>
      <c r="F16" s="2"/>
    </row>
    <row r="17" spans="2:6" ht="16.5" thickTop="1" x14ac:dyDescent="0.25">
      <c r="B17" s="18" t="s">
        <v>16</v>
      </c>
      <c r="C17" s="35" t="s">
        <v>2</v>
      </c>
      <c r="D17" s="35" t="s">
        <v>3</v>
      </c>
      <c r="E17" s="35" t="s">
        <v>4</v>
      </c>
      <c r="F17" s="35" t="s">
        <v>5</v>
      </c>
    </row>
    <row r="18" spans="2:6" ht="15.75" x14ac:dyDescent="0.25">
      <c r="B18" s="19" t="s">
        <v>17</v>
      </c>
      <c r="C18" s="132">
        <f>+VLOOKUP($B18,'Sales and Revenue'!$K$17:$L$24,2,FALSE)/VLOOKUP('Sales Target Performance'!$B18,'Sales Target &amp; Actual'!$Q$15:$R$21,2,FALSE)-1</f>
        <v>-3.6000000000000032E-2</v>
      </c>
      <c r="D18" s="132">
        <f>+VLOOKUP($B18,'Sales and Revenue'!$K$17:$M$23,3,FALSE)/VLOOKUP('Sales Target Performance'!$B18,'Sales Target &amp; Actual'!$Q$15:$S$21,3,FALSE)-1</f>
        <v>-5.5000000000000049E-2</v>
      </c>
      <c r="E18" s="132">
        <f>+VLOOKUP($B18,'Sales and Revenue'!$K$17:$N$23,4,FALSE)/VLOOKUP('Sales Target Performance'!$B18,'Sales Target &amp; Actual'!$Q$15:$T$21,4,FALSE)-1</f>
        <v>1.4545454545454639E-2</v>
      </c>
      <c r="F18" s="132">
        <f>+VLOOKUP($B18,'Sales and Revenue'!$K$17:$O$23,5,FALSE)/VLOOKUP('Sales Target Performance'!$B18,'Sales Target &amp; Actual'!$Q$15:$U$21,5,FALSE)-1</f>
        <v>0.19222222222222229</v>
      </c>
    </row>
    <row r="19" spans="2:6" ht="15.75" x14ac:dyDescent="0.25">
      <c r="B19" s="19" t="s">
        <v>18</v>
      </c>
      <c r="C19" s="132">
        <f>+VLOOKUP($B19,'Sales and Revenue'!$K$17:$L$24,2,FALSE)/VLOOKUP('Sales Target Performance'!$B19,'Sales Target &amp; Actual'!$Q$15:$R$21,2,FALSE)-1</f>
        <v>2.9333333333333433E-2</v>
      </c>
      <c r="D19" s="132">
        <f>+VLOOKUP($B19,'Sales and Revenue'!$K$17:$M$23,3,FALSE)/VLOOKUP('Sales Target Performance'!$B19,'Sales Target &amp; Actual'!$Q$15:$S$21,3,FALSE)-1</f>
        <v>-1.7391304347826098E-2</v>
      </c>
      <c r="E19" s="132">
        <f>+VLOOKUP($B19,'Sales and Revenue'!$K$17:$N$23,4,FALSE)/VLOOKUP('Sales Target Performance'!$B19,'Sales Target &amp; Actual'!$Q$15:$T$21,4,FALSE)-1</f>
        <v>6.8750000000000089E-2</v>
      </c>
      <c r="F19" s="132">
        <f>+VLOOKUP($B19,'Sales and Revenue'!$K$17:$O$23,5,FALSE)/VLOOKUP('Sales Target Performance'!$B19,'Sales Target &amp; Actual'!$Q$15:$U$21,5,FALSE)-1</f>
        <v>0.11923076923076925</v>
      </c>
    </row>
    <row r="20" spans="2:6" ht="15.75" x14ac:dyDescent="0.25">
      <c r="B20" s="19" t="s">
        <v>130</v>
      </c>
      <c r="C20" s="132">
        <f>+VLOOKUP($B20,'Sales and Revenue'!$K$17:$L$24,2,FALSE)/VLOOKUP('Sales Target Performance'!$B20,'Sales Target &amp; Actual'!$Q$15:$R$21,2,FALSE)-1</f>
        <v>-3.8749999999999951E-2</v>
      </c>
      <c r="D20" s="132">
        <f>+VLOOKUP($B20,'Sales and Revenue'!$K$17:$M$23,3,FALSE)/VLOOKUP('Sales Target Performance'!$B20,'Sales Target &amp; Actual'!$Q$15:$S$21,3,FALSE)-1</f>
        <v>-3.0000000000000027E-2</v>
      </c>
      <c r="E20" s="132">
        <f>+VLOOKUP($B20,'Sales and Revenue'!$K$17:$N$23,4,FALSE)/VLOOKUP('Sales Target Performance'!$B20,'Sales Target &amp; Actual'!$Q$15:$T$21,4,FALSE)-1</f>
        <v>0.17799999999999994</v>
      </c>
      <c r="F20" s="132">
        <f>+VLOOKUP($B20,'Sales and Revenue'!$K$17:$O$23,5,FALSE)/VLOOKUP('Sales Target Performance'!$B20,'Sales Target &amp; Actual'!$Q$15:$U$21,5,FALSE)-1</f>
        <v>0.50249999999999995</v>
      </c>
    </row>
    <row r="21" spans="2:6" ht="15.75" x14ac:dyDescent="0.25">
      <c r="B21" s="19" t="s">
        <v>19</v>
      </c>
      <c r="C21" s="132">
        <f>+VLOOKUP($B21,'Sales and Revenue'!$K$17:$L$24,2,FALSE)/VLOOKUP('Sales Target Performance'!$B21,'Sales Target &amp; Actual'!$Q$15:$R$21,2,FALSE)-1</f>
        <v>0.14166666666666661</v>
      </c>
      <c r="D21" s="132">
        <f>+VLOOKUP($B21,'Sales and Revenue'!$K$17:$M$23,3,FALSE)/VLOOKUP('Sales Target Performance'!$B21,'Sales Target &amp; Actual'!$Q$15:$S$21,3,FALSE)-1</f>
        <v>1.4210526315789451E-2</v>
      </c>
      <c r="E21" s="132">
        <f>+VLOOKUP($B21,'Sales and Revenue'!$K$17:$N$23,4,FALSE)/VLOOKUP('Sales Target Performance'!$B21,'Sales Target &amp; Actual'!$Q$15:$T$21,4,FALSE)-1</f>
        <v>7.692307692307665E-3</v>
      </c>
      <c r="F21" s="132">
        <f>+VLOOKUP($B21,'Sales and Revenue'!$K$17:$O$23,5,FALSE)/VLOOKUP('Sales Target Performance'!$B21,'Sales Target &amp; Actual'!$Q$15:$U$21,5,FALSE)-1</f>
        <v>6.6000000000000059E-2</v>
      </c>
    </row>
    <row r="22" spans="2:6" ht="15.75" x14ac:dyDescent="0.25">
      <c r="B22" s="19" t="s">
        <v>20</v>
      </c>
      <c r="C22" s="132">
        <f>+VLOOKUP($B22,'Sales and Revenue'!$K$17:$L$24,2,FALSE)/VLOOKUP('Sales Target Performance'!$B22,'Sales Target &amp; Actual'!$Q$15:$R$21,2,FALSE)-1</f>
        <v>0.18214285714285716</v>
      </c>
      <c r="D22" s="132">
        <f>+VLOOKUP($B22,'Sales and Revenue'!$K$17:$M$23,3,FALSE)/VLOOKUP('Sales Target Performance'!$B22,'Sales Target &amp; Actual'!$Q$15:$S$21,3,FALSE)-1</f>
        <v>-3.9090909090909065E-2</v>
      </c>
      <c r="E22" s="132">
        <f>+VLOOKUP($B22,'Sales and Revenue'!$K$17:$N$23,4,FALSE)/VLOOKUP('Sales Target Performance'!$B22,'Sales Target &amp; Actual'!$Q$15:$T$21,4,FALSE)-1</f>
        <v>-4.0000000000000036E-2</v>
      </c>
      <c r="F22" s="132">
        <f>+VLOOKUP($B22,'Sales and Revenue'!$K$17:$O$23,5,FALSE)/VLOOKUP('Sales Target Performance'!$B22,'Sales Target &amp; Actual'!$Q$15:$U$21,5,FALSE)-1</f>
        <v>0.29833333333333334</v>
      </c>
    </row>
    <row r="23" spans="2:6" ht="15.75" x14ac:dyDescent="0.25">
      <c r="B23" s="19" t="s">
        <v>131</v>
      </c>
      <c r="C23" s="132">
        <f>+VLOOKUP($B23,'Sales and Revenue'!$K$17:$L$24,2,FALSE)/VLOOKUP('Sales Target Performance'!$B23,'Sales Target &amp; Actual'!$Q$15:$R$21,2,FALSE)-1</f>
        <v>0.19049999999999989</v>
      </c>
      <c r="D23" s="132">
        <f>+VLOOKUP($B23,'Sales and Revenue'!$K$17:$M$23,3,FALSE)/VLOOKUP('Sales Target Performance'!$B23,'Sales Target &amp; Actual'!$Q$15:$S$21,3,FALSE)-1</f>
        <v>-1.3125000000000053E-2</v>
      </c>
      <c r="E23" s="132">
        <f>+VLOOKUP($B23,'Sales and Revenue'!$K$17:$N$23,4,FALSE)/VLOOKUP('Sales Target Performance'!$B23,'Sales Target &amp; Actual'!$Q$15:$T$21,4,FALSE)-1</f>
        <v>9.0909090909090828E-2</v>
      </c>
      <c r="F23" s="132">
        <f>+VLOOKUP($B23,'Sales and Revenue'!$K$17:$O$23,5,FALSE)/VLOOKUP('Sales Target Performance'!$B23,'Sales Target &amp; Actual'!$Q$15:$U$21,5,FALSE)-1</f>
        <v>0.24777777777777787</v>
      </c>
    </row>
    <row r="24" spans="2:6" ht="15.75" x14ac:dyDescent="0.25">
      <c r="B24" s="19" t="s">
        <v>132</v>
      </c>
      <c r="C24" s="132">
        <f>+VLOOKUP($B24,'Sales and Revenue'!$K$17:$L$24,2,FALSE)/VLOOKUP('Sales Target Performance'!$B24,'Sales Target &amp; Actual'!$Q$15:$R$21,2,FALSE)-1</f>
        <v>0.20473684210526311</v>
      </c>
      <c r="D24" s="132">
        <f>+VLOOKUP($B24,'Sales and Revenue'!$K$17:$M$23,3,FALSE)/VLOOKUP('Sales Target Performance'!$B24,'Sales Target &amp; Actual'!$Q$15:$S$21,3,FALSE)-1</f>
        <v>4.2666666666666631E-2</v>
      </c>
      <c r="E24" s="132">
        <f>+VLOOKUP($B24,'Sales and Revenue'!$K$17:$N$23,4,FALSE)/VLOOKUP('Sales Target Performance'!$B24,'Sales Target &amp; Actual'!$Q$15:$T$21,4,FALSE)-1</f>
        <v>9.1818181818181799E-2</v>
      </c>
      <c r="F24" s="132">
        <f>+VLOOKUP($B24,'Sales and Revenue'!$K$17:$O$23,5,FALSE)/VLOOKUP('Sales Target Performance'!$B24,'Sales Target &amp; Actual'!$Q$15:$U$21,5,FALSE)-1</f>
        <v>0.10499999999999998</v>
      </c>
    </row>
    <row r="25" spans="2:6" ht="15.75" x14ac:dyDescent="0.25">
      <c r="B25" s="19" t="s">
        <v>109</v>
      </c>
      <c r="C25" s="222">
        <f t="shared" ref="C25" si="3">+AVERAGE(C18:C24)</f>
        <v>9.6232814178302886E-2</v>
      </c>
      <c r="D25" s="222">
        <f t="shared" ref="D25" si="4">+AVERAGE(D18:D24)</f>
        <v>-1.3961431493754173E-2</v>
      </c>
      <c r="E25" s="222">
        <f t="shared" ref="E25" si="5">+AVERAGE(E18:E24)</f>
        <v>5.8816433566433561E-2</v>
      </c>
      <c r="F25" s="222">
        <f t="shared" ref="F25" si="6">+AVERAGE(F18:F24)</f>
        <v>0.21872344322344325</v>
      </c>
    </row>
    <row r="28" spans="2:6" ht="20.25" thickBot="1" x14ac:dyDescent="0.35">
      <c r="B28" s="220" t="s">
        <v>146</v>
      </c>
      <c r="C28" s="2"/>
      <c r="D28" s="2"/>
      <c r="E28" s="2"/>
      <c r="F28" s="2"/>
    </row>
    <row r="29" spans="2:6" ht="16.5" thickTop="1" x14ac:dyDescent="0.25">
      <c r="B29" s="18" t="s">
        <v>16</v>
      </c>
      <c r="C29" s="35" t="s">
        <v>2</v>
      </c>
      <c r="D29" s="35" t="s">
        <v>3</v>
      </c>
      <c r="E29" s="35" t="s">
        <v>4</v>
      </c>
      <c r="F29" s="35" t="s">
        <v>5</v>
      </c>
    </row>
    <row r="30" spans="2:6" ht="15.75" x14ac:dyDescent="0.25">
      <c r="B30" s="19" t="s">
        <v>17</v>
      </c>
      <c r="C30" s="132">
        <f>+VLOOKUP($B30,'Sales and Revenue'!$K$29:$L$35,2,FALSE)/VLOOKUP('Sales Target Performance'!$B30,'Sales Target &amp; Actual'!$Q$26:$R$32,2,FALSE)-1</f>
        <v>0.11962616822429917</v>
      </c>
      <c r="D30" s="132">
        <f>+VLOOKUP($B30,'Sales and Revenue'!$K$29:$M$35,3,FALSE)/VLOOKUP('Sales Target Performance'!$B30,'Sales Target &amp; Actual'!$Q$26:$S$32,3,FALSE)-1</f>
        <v>-7.999999999999996E-2</v>
      </c>
      <c r="E30" s="132">
        <f>+VLOOKUP($B30,'Sales and Revenue'!$K$29:$N$35,4,FALSE)/VLOOKUP('Sales Target Performance'!$B30,'Sales Target &amp; Actual'!$Q$26:$T$32,4,FALSE)-1</f>
        <v>0.18153846153846165</v>
      </c>
      <c r="F30" s="132">
        <f>+VLOOKUP($B30,'Sales and Revenue'!$K$29:$O$35,5,FALSE)/VLOOKUP('Sales Target Performance'!$B30,'Sales Target &amp; Actual'!$Q$26:$U$32,5,FALSE)-1</f>
        <v>0.13545454545454549</v>
      </c>
    </row>
    <row r="31" spans="2:6" ht="15.75" x14ac:dyDescent="0.25">
      <c r="B31" s="19" t="s">
        <v>18</v>
      </c>
      <c r="C31" s="132">
        <f>+VLOOKUP($B31,'Sales and Revenue'!$K$29:$L$35,2,FALSE)/VLOOKUP('Sales Target Performance'!$B31,'Sales Target &amp; Actual'!$Q$26:$R$32,2,FALSE)-1</f>
        <v>0.12741433021806858</v>
      </c>
      <c r="D31" s="132">
        <f>+VLOOKUP($B31,'Sales and Revenue'!$K$29:$M$35,3,FALSE)/VLOOKUP('Sales Target Performance'!$B31,'Sales Target &amp; Actual'!$Q$26:$S$32,3,FALSE)-1</f>
        <v>-6.6666666666667096E-3</v>
      </c>
      <c r="E31" s="132">
        <f>+VLOOKUP($B31,'Sales and Revenue'!$K$29:$N$35,4,FALSE)/VLOOKUP('Sales Target Performance'!$B31,'Sales Target &amp; Actual'!$Q$26:$T$32,4,FALSE)-1</f>
        <v>6.7368421052631522E-2</v>
      </c>
      <c r="F31" s="132">
        <f>+VLOOKUP($B31,'Sales and Revenue'!$K$29:$O$35,5,FALSE)/VLOOKUP('Sales Target Performance'!$B31,'Sales Target &amp; Actual'!$Q$26:$U$32,5,FALSE)-1</f>
        <v>0.25235294117647067</v>
      </c>
    </row>
    <row r="32" spans="2:6" ht="15.75" x14ac:dyDescent="0.25">
      <c r="B32" s="19" t="s">
        <v>130</v>
      </c>
      <c r="C32" s="132">
        <f>+VLOOKUP($B32,'Sales and Revenue'!$K$29:$L$35,2,FALSE)/VLOOKUP('Sales Target Performance'!$B32,'Sales Target &amp; Actual'!$Q$26:$R$32,2,FALSE)-1</f>
        <v>2.5700934579439227E-2</v>
      </c>
      <c r="D32" s="132">
        <f>+VLOOKUP($B32,'Sales and Revenue'!$K$29:$M$35,3,FALSE)/VLOOKUP('Sales Target Performance'!$B32,'Sales Target &amp; Actual'!$Q$26:$S$32,3,FALSE)-1</f>
        <v>-0.29333333333333333</v>
      </c>
      <c r="E32" s="132">
        <f>+VLOOKUP($B32,'Sales and Revenue'!$K$29:$N$35,4,FALSE)/VLOOKUP('Sales Target Performance'!$B32,'Sales Target &amp; Actual'!$Q$26:$T$32,4,FALSE)-1</f>
        <v>-6.5999999999999948E-2</v>
      </c>
      <c r="F32" s="132">
        <f>+VLOOKUP($B32,'Sales and Revenue'!$K$29:$O$35,5,FALSE)/VLOOKUP('Sales Target Performance'!$B32,'Sales Target &amp; Actual'!$Q$26:$U$32,5,FALSE)-1</f>
        <v>0.33000000000000007</v>
      </c>
    </row>
    <row r="33" spans="2:6" ht="15.75" x14ac:dyDescent="0.25">
      <c r="B33" s="19" t="s">
        <v>19</v>
      </c>
      <c r="C33" s="132">
        <f>+VLOOKUP($B33,'Sales and Revenue'!$K$29:$L$35,2,FALSE)/VLOOKUP('Sales Target Performance'!$B33,'Sales Target &amp; Actual'!$Q$26:$R$32,2,FALSE)-1</f>
        <v>3.4267912772585563E-2</v>
      </c>
      <c r="D33" s="132">
        <f>+VLOOKUP($B33,'Sales and Revenue'!$K$29:$M$35,3,FALSE)/VLOOKUP('Sales Target Performance'!$B33,'Sales Target &amp; Actual'!$Q$26:$S$32,3,FALSE)-1</f>
        <v>-3.4117647058823475E-2</v>
      </c>
      <c r="E33" s="132">
        <f>+VLOOKUP($B33,'Sales and Revenue'!$K$29:$N$35,4,FALSE)/VLOOKUP('Sales Target Performance'!$B33,'Sales Target &amp; Actual'!$Q$26:$T$32,4,FALSE)-1</f>
        <v>0.15266666666666673</v>
      </c>
      <c r="F33" s="132">
        <f>+VLOOKUP($B33,'Sales and Revenue'!$K$29:$O$35,5,FALSE)/VLOOKUP('Sales Target Performance'!$B33,'Sales Target &amp; Actual'!$Q$26:$U$32,5,FALSE)-1</f>
        <v>4.6153846153846212E-2</v>
      </c>
    </row>
    <row r="34" spans="2:6" ht="15.75" x14ac:dyDescent="0.25">
      <c r="B34" s="19" t="s">
        <v>20</v>
      </c>
      <c r="C34" s="132">
        <f>+VLOOKUP($B34,'Sales and Revenue'!$K$29:$L$35,2,FALSE)/VLOOKUP('Sales Target Performance'!$B34,'Sales Target &amp; Actual'!$Q$26:$R$32,2,FALSE)-1</f>
        <v>0.22630173564753009</v>
      </c>
      <c r="D34" s="132">
        <f>+VLOOKUP($B34,'Sales and Revenue'!$K$29:$M$35,3,FALSE)/VLOOKUP('Sales Target Performance'!$B34,'Sales Target &amp; Actual'!$Q$26:$S$32,3,FALSE)-1</f>
        <v>-0.14400000000000002</v>
      </c>
      <c r="E34" s="132">
        <f>+VLOOKUP($B34,'Sales and Revenue'!$K$29:$N$35,4,FALSE)/VLOOKUP('Sales Target Performance'!$B34,'Sales Target &amp; Actual'!$Q$26:$T$32,4,FALSE)-1</f>
        <v>0.10888888888888881</v>
      </c>
      <c r="F34" s="132">
        <f>+VLOOKUP($B34,'Sales and Revenue'!$K$29:$O$35,5,FALSE)/VLOOKUP('Sales Target Performance'!$B34,'Sales Target &amp; Actual'!$Q$26:$U$32,5,FALSE)-1</f>
        <v>0.58374999999999999</v>
      </c>
    </row>
    <row r="35" spans="2:6" ht="15.75" x14ac:dyDescent="0.25">
      <c r="B35" s="19" t="s">
        <v>131</v>
      </c>
      <c r="C35" s="132">
        <f>+VLOOKUP($B35,'Sales and Revenue'!$K$29:$L$35,2,FALSE)/VLOOKUP('Sales Target Performance'!$B35,'Sales Target &amp; Actual'!$Q$26:$R$32,2,FALSE)-1</f>
        <v>0.36775700934579447</v>
      </c>
      <c r="D35" s="132">
        <f>+VLOOKUP($B35,'Sales and Revenue'!$K$29:$M$35,3,FALSE)/VLOOKUP('Sales Target Performance'!$B35,'Sales Target &amp; Actual'!$Q$26:$S$32,3,FALSE)-1</f>
        <v>4.4285714285714262E-2</v>
      </c>
      <c r="E35" s="132">
        <f>+VLOOKUP($B35,'Sales and Revenue'!$K$29:$N$35,4,FALSE)/VLOOKUP('Sales Target Performance'!$B35,'Sales Target &amp; Actual'!$Q$26:$T$32,4,FALSE)-1</f>
        <v>0.16230769230769226</v>
      </c>
      <c r="F35" s="132">
        <f>+VLOOKUP($B35,'Sales and Revenue'!$K$29:$O$35,5,FALSE)/VLOOKUP('Sales Target Performance'!$B35,'Sales Target &amp; Actual'!$Q$26:$U$32,5,FALSE)-1</f>
        <v>0.43454545454545457</v>
      </c>
    </row>
    <row r="36" spans="2:6" ht="15.75" x14ac:dyDescent="0.25">
      <c r="B36" s="19" t="s">
        <v>132</v>
      </c>
      <c r="C36" s="132">
        <f>+VLOOKUP($B36,'Sales and Revenue'!$K$29:$L$35,2,FALSE)/VLOOKUP('Sales Target Performance'!$B36,'Sales Target &amp; Actual'!$Q$26:$R$32,2,FALSE)-1</f>
        <v>0.27889818002951294</v>
      </c>
      <c r="D36" s="132">
        <f>+VLOOKUP($B36,'Sales and Revenue'!$K$29:$M$35,3,FALSE)/VLOOKUP('Sales Target Performance'!$B36,'Sales Target &amp; Actual'!$Q$26:$S$32,3,FALSE)-1</f>
        <v>-0.13571428571428568</v>
      </c>
      <c r="E36" s="132">
        <f>+VLOOKUP($B36,'Sales and Revenue'!$K$29:$N$35,4,FALSE)/VLOOKUP('Sales Target Performance'!$B36,'Sales Target &amp; Actual'!$Q$26:$T$32,4,FALSE)-1</f>
        <v>0.12250000000000005</v>
      </c>
      <c r="F36" s="132">
        <f>+VLOOKUP($B36,'Sales and Revenue'!$K$29:$O$35,5,FALSE)/VLOOKUP('Sales Target Performance'!$B36,'Sales Target &amp; Actual'!$Q$26:$U$32,5,FALSE)-1</f>
        <v>0.33363636363636373</v>
      </c>
    </row>
    <row r="37" spans="2:6" s="176" customFormat="1" ht="15.75" x14ac:dyDescent="0.25">
      <c r="B37" s="19" t="s">
        <v>109</v>
      </c>
      <c r="C37" s="222">
        <f t="shared" ref="C37:E37" si="7">+AVERAGE(C30:C36)</f>
        <v>0.16856661011674715</v>
      </c>
      <c r="D37" s="222">
        <f t="shared" si="7"/>
        <v>-9.2792316926770702E-2</v>
      </c>
      <c r="E37" s="222">
        <f t="shared" si="7"/>
        <v>0.10418144720776301</v>
      </c>
      <c r="F37" s="222">
        <f>+AVERAGE(F30:F36)</f>
        <v>0.30227045013809722</v>
      </c>
    </row>
  </sheetData>
  <pageMargins left="0.7" right="0.43" top="0.75" bottom="0.75" header="0.3" footer="0.3"/>
  <pageSetup paperSize="9" scale="56" fitToHeight="0" orientation="landscape" r:id="rId2"/>
  <headerFooter>
    <oddHeader>&amp;C&amp;14Sheet: &amp;A</oddHeader>
    <oddFooter>&amp;L&amp;11Group 28's Business Model&amp;C&amp;11&amp;P&amp;R&amp;11SP52/2016-BX2016</oddFoot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pageSetUpPr fitToPage="1"/>
  </sheetPr>
  <dimension ref="B1:AG38"/>
  <sheetViews>
    <sheetView zoomScale="80" zoomScaleNormal="80" workbookViewId="0"/>
  </sheetViews>
  <sheetFormatPr defaultRowHeight="12.75" x14ac:dyDescent="0.2"/>
  <cols>
    <col min="2" max="2" width="23.85546875" customWidth="1"/>
    <col min="3" max="3" width="11.5703125" bestFit="1" customWidth="1"/>
    <col min="4" max="4" width="13" bestFit="1" customWidth="1"/>
    <col min="5" max="5" width="12.7109375" bestFit="1" customWidth="1"/>
    <col min="6" max="6" width="11.5703125" bestFit="1" customWidth="1"/>
    <col min="7" max="7" width="5.140625" customWidth="1"/>
    <col min="8" max="8" width="21.42578125" customWidth="1"/>
    <col min="9" max="9" width="19.140625" customWidth="1"/>
    <col min="10" max="11" width="12" customWidth="1"/>
    <col min="12" max="12" width="9.85546875" customWidth="1"/>
    <col min="13" max="13" width="12.42578125" customWidth="1"/>
    <col min="14" max="15" width="10.140625" customWidth="1"/>
    <col min="16" max="16" width="11.85546875" bestFit="1" customWidth="1"/>
    <col min="17" max="17" width="12.85546875" bestFit="1" customWidth="1"/>
    <col min="18" max="19" width="10.140625" customWidth="1"/>
    <col min="20" max="20" width="16.140625" bestFit="1" customWidth="1"/>
    <col min="21" max="21" width="12.7109375" bestFit="1" customWidth="1"/>
    <col min="22" max="22" width="10.140625" customWidth="1"/>
    <col min="23" max="23" width="17.7109375" customWidth="1"/>
    <col min="24" max="24" width="16" bestFit="1" customWidth="1"/>
    <col min="25" max="25" width="15.5703125" customWidth="1"/>
    <col min="26" max="26" width="25" customWidth="1"/>
    <col min="27" max="27" width="8.7109375" customWidth="1"/>
    <col min="28" max="28" width="22.7109375" bestFit="1" customWidth="1"/>
    <col min="29" max="29" width="13.140625" bestFit="1" customWidth="1"/>
    <col min="30" max="30" width="16" bestFit="1" customWidth="1"/>
    <col min="31" max="31" width="7.85546875" customWidth="1"/>
    <col min="32" max="32" width="20" bestFit="1" customWidth="1"/>
    <col min="33" max="33" width="12.42578125" bestFit="1" customWidth="1"/>
  </cols>
  <sheetData>
    <row r="1" spans="2:33" ht="20.25" thickBot="1" x14ac:dyDescent="0.35">
      <c r="Y1" s="220" t="s">
        <v>229</v>
      </c>
    </row>
    <row r="2" spans="2:33" ht="21" thickTop="1" thickBot="1" x14ac:dyDescent="0.35">
      <c r="Y2" s="220"/>
    </row>
    <row r="3" spans="2:33" ht="19.5" thickTop="1" x14ac:dyDescent="0.3">
      <c r="B3" s="3" t="s">
        <v>107</v>
      </c>
    </row>
    <row r="4" spans="2:33" x14ac:dyDescent="0.2">
      <c r="H4" s="77" t="s">
        <v>91</v>
      </c>
      <c r="I4" t="s">
        <v>161</v>
      </c>
      <c r="Y4" s="77" t="s">
        <v>91</v>
      </c>
      <c r="Z4" t="s">
        <v>31</v>
      </c>
    </row>
    <row r="5" spans="2:33" ht="18.75" x14ac:dyDescent="0.3">
      <c r="B5" s="3" t="s">
        <v>108</v>
      </c>
      <c r="C5" s="2"/>
      <c r="D5" s="2"/>
      <c r="E5" s="2"/>
      <c r="F5" s="2"/>
    </row>
    <row r="6" spans="2:33" ht="15.75" x14ac:dyDescent="0.25">
      <c r="B6" s="18" t="s">
        <v>16</v>
      </c>
      <c r="C6" s="35" t="s">
        <v>2</v>
      </c>
      <c r="D6" s="35" t="s">
        <v>3</v>
      </c>
      <c r="E6" s="35" t="s">
        <v>4</v>
      </c>
      <c r="F6" s="35" t="s">
        <v>5</v>
      </c>
      <c r="H6" s="77" t="s">
        <v>88</v>
      </c>
      <c r="I6" s="77" t="s">
        <v>89</v>
      </c>
      <c r="Y6" s="77" t="s">
        <v>88</v>
      </c>
      <c r="Z6" s="77" t="s">
        <v>89</v>
      </c>
    </row>
    <row r="7" spans="2:33" ht="15.75" x14ac:dyDescent="0.25">
      <c r="B7" s="19" t="s">
        <v>17</v>
      </c>
      <c r="C7" s="20">
        <f>'Sales and Revenue'!L5-COGS!L6</f>
        <v>211255</v>
      </c>
      <c r="D7" s="20">
        <f>'Sales and Revenue'!M5-COGS!M6</f>
        <v>151340</v>
      </c>
      <c r="E7" s="20">
        <f>'Sales and Revenue'!N5-COGS!N6</f>
        <v>100165</v>
      </c>
      <c r="F7" s="20">
        <f>'Sales and Revenue'!O5-COGS!O6</f>
        <v>78545</v>
      </c>
      <c r="H7" s="77" t="s">
        <v>90</v>
      </c>
      <c r="I7" t="s">
        <v>2</v>
      </c>
      <c r="J7" t="s">
        <v>3</v>
      </c>
      <c r="K7" t="s">
        <v>4</v>
      </c>
      <c r="L7" t="s">
        <v>5</v>
      </c>
      <c r="M7" t="s">
        <v>32</v>
      </c>
      <c r="Y7" s="77" t="s">
        <v>90</v>
      </c>
      <c r="Z7" t="s">
        <v>130</v>
      </c>
      <c r="AA7" t="s">
        <v>18</v>
      </c>
      <c r="AB7" t="s">
        <v>132</v>
      </c>
      <c r="AC7" t="s">
        <v>19</v>
      </c>
      <c r="AD7" t="s">
        <v>131</v>
      </c>
      <c r="AE7" t="s">
        <v>20</v>
      </c>
      <c r="AF7" t="s">
        <v>17</v>
      </c>
      <c r="AG7" t="s">
        <v>32</v>
      </c>
    </row>
    <row r="8" spans="2:33" ht="15.75" x14ac:dyDescent="0.25">
      <c r="B8" s="19" t="s">
        <v>18</v>
      </c>
      <c r="C8" s="20">
        <f>'Sales and Revenue'!L6-COGS!L7</f>
        <v>339800</v>
      </c>
      <c r="D8" s="20">
        <f>'Sales and Revenue'!M6-COGS!M7</f>
        <v>279000</v>
      </c>
      <c r="E8" s="20">
        <f>'Sales and Revenue'!N6-COGS!N7</f>
        <v>157100</v>
      </c>
      <c r="F8" s="20">
        <f>'Sales and Revenue'!O6-COGS!O7</f>
        <v>124600</v>
      </c>
      <c r="H8" s="78" t="s">
        <v>130</v>
      </c>
      <c r="I8" s="131">
        <v>166820</v>
      </c>
      <c r="J8" s="131">
        <v>80560</v>
      </c>
      <c r="K8" s="131">
        <v>88730</v>
      </c>
      <c r="L8" s="131">
        <v>126350</v>
      </c>
      <c r="M8" s="131">
        <v>462460</v>
      </c>
      <c r="Y8" s="78" t="s">
        <v>2</v>
      </c>
      <c r="Z8" s="133">
        <v>6.8242274335674105E-2</v>
      </c>
      <c r="AA8" s="133">
        <v>0.14339832023165108</v>
      </c>
      <c r="AB8" s="133">
        <v>0.14244753473382618</v>
      </c>
      <c r="AC8" s="133">
        <v>0.11186629969184617</v>
      </c>
      <c r="AD8" s="133">
        <v>0.27841837541978243</v>
      </c>
      <c r="AE8" s="133">
        <v>0.15508304827506933</v>
      </c>
      <c r="AF8" s="133">
        <v>0.10054414731215068</v>
      </c>
      <c r="AG8" s="133">
        <v>1</v>
      </c>
    </row>
    <row r="9" spans="2:33" ht="15.75" x14ac:dyDescent="0.25">
      <c r="B9" s="19" t="s">
        <v>130</v>
      </c>
      <c r="C9" s="20">
        <f>'Sales and Revenue'!L7-COGS!L8</f>
        <v>167960</v>
      </c>
      <c r="D9" s="20">
        <f>'Sales and Revenue'!M7-COGS!M8</f>
        <v>102980</v>
      </c>
      <c r="E9" s="20">
        <f>'Sales and Revenue'!N7-COGS!N8</f>
        <v>98040</v>
      </c>
      <c r="F9" s="20">
        <f>'Sales and Revenue'!O7-COGS!O8</f>
        <v>121600</v>
      </c>
      <c r="H9" s="78" t="s">
        <v>18</v>
      </c>
      <c r="I9" s="131">
        <v>361900</v>
      </c>
      <c r="J9" s="131">
        <v>208600</v>
      </c>
      <c r="K9" s="131">
        <v>202800</v>
      </c>
      <c r="L9" s="131">
        <v>212900</v>
      </c>
      <c r="M9" s="131">
        <v>986200</v>
      </c>
      <c r="Y9" s="78" t="s">
        <v>3</v>
      </c>
      <c r="Z9" s="133">
        <v>6.7845653580157941E-2</v>
      </c>
      <c r="AA9" s="133">
        <v>0.15490212252375846</v>
      </c>
      <c r="AB9" s="133">
        <v>0.13684612679572283</v>
      </c>
      <c r="AC9" s="133">
        <v>0.12019241205353848</v>
      </c>
      <c r="AD9" s="133">
        <v>0.26808312964804049</v>
      </c>
      <c r="AE9" s="133">
        <v>0.14938199783796927</v>
      </c>
      <c r="AF9" s="133">
        <v>0.10274855756081254</v>
      </c>
      <c r="AG9" s="133">
        <v>1</v>
      </c>
    </row>
    <row r="10" spans="2:33" ht="15.75" x14ac:dyDescent="0.25">
      <c r="B10" s="19" t="s">
        <v>19</v>
      </c>
      <c r="C10" s="20">
        <f>'Sales and Revenue'!L8-COGS!L9</f>
        <v>248700</v>
      </c>
      <c r="D10" s="20">
        <f>'Sales and Revenue'!M8-COGS!M9</f>
        <v>196800</v>
      </c>
      <c r="E10" s="20">
        <f>'Sales and Revenue'!N8-COGS!N9</f>
        <v>125500</v>
      </c>
      <c r="F10" s="20">
        <f>'Sales and Revenue'!O8-COGS!O9</f>
        <v>115000</v>
      </c>
      <c r="H10" s="78" t="s">
        <v>132</v>
      </c>
      <c r="I10" s="131">
        <v>364000</v>
      </c>
      <c r="J10" s="131">
        <v>169400</v>
      </c>
      <c r="K10" s="131">
        <v>188580</v>
      </c>
      <c r="L10" s="131">
        <v>205380</v>
      </c>
      <c r="M10" s="131">
        <v>927360</v>
      </c>
      <c r="Y10" s="78" t="s">
        <v>4</v>
      </c>
      <c r="Z10" s="133">
        <v>8.0932451967695301E-2</v>
      </c>
      <c r="AA10" s="133">
        <v>0.1438564307943265</v>
      </c>
      <c r="AB10" s="133">
        <v>0.1391849580746162</v>
      </c>
      <c r="AC10" s="133">
        <v>0.11635327064057976</v>
      </c>
      <c r="AD10" s="133">
        <v>0.26877226164040768</v>
      </c>
      <c r="AE10" s="133">
        <v>0.14111966313370736</v>
      </c>
      <c r="AF10" s="133">
        <v>0.10978096374866718</v>
      </c>
      <c r="AG10" s="133">
        <v>1</v>
      </c>
    </row>
    <row r="11" spans="2:33" ht="15.75" x14ac:dyDescent="0.25">
      <c r="B11" s="19" t="s">
        <v>20</v>
      </c>
      <c r="C11" s="20">
        <f>'Sales and Revenue'!L9-COGS!L10</f>
        <v>359520</v>
      </c>
      <c r="D11" s="20">
        <f>'Sales and Revenue'!M9-COGS!M10</f>
        <v>286440</v>
      </c>
      <c r="E11" s="20">
        <f>'Sales and Revenue'!N9-COGS!N10</f>
        <v>149940</v>
      </c>
      <c r="F11" s="20">
        <f>'Sales and Revenue'!O9-COGS!O10</f>
        <v>144060</v>
      </c>
      <c r="H11" s="78" t="s">
        <v>19</v>
      </c>
      <c r="I11" s="131">
        <v>265600</v>
      </c>
      <c r="J11" s="131">
        <v>164200</v>
      </c>
      <c r="K11" s="131">
        <v>172900</v>
      </c>
      <c r="L11" s="131">
        <v>136000</v>
      </c>
      <c r="M11" s="131">
        <v>738700</v>
      </c>
      <c r="Y11" s="78" t="s">
        <v>5</v>
      </c>
      <c r="Z11" s="133">
        <v>0.1024697838072615</v>
      </c>
      <c r="AA11" s="133">
        <v>0.13666787866269206</v>
      </c>
      <c r="AB11" s="133">
        <v>0.12933931125614193</v>
      </c>
      <c r="AC11" s="133">
        <v>0.10118516233908631</v>
      </c>
      <c r="AD11" s="133">
        <v>0.2702175792242188</v>
      </c>
      <c r="AE11" s="133">
        <v>0.16233767152455425</v>
      </c>
      <c r="AF11" s="133">
        <v>9.7782613186045156E-2</v>
      </c>
      <c r="AG11" s="133">
        <v>1</v>
      </c>
    </row>
    <row r="12" spans="2:33" ht="15.75" x14ac:dyDescent="0.25">
      <c r="B12" s="19" t="s">
        <v>131</v>
      </c>
      <c r="C12" s="20">
        <f>'Sales and Revenue'!L10-COGS!L11</f>
        <v>581880</v>
      </c>
      <c r="D12" s="20">
        <f>'Sales and Revenue'!M10-COGS!M11</f>
        <v>444340</v>
      </c>
      <c r="E12" s="20">
        <f>'Sales and Revenue'!N10-COGS!N11</f>
        <v>287040</v>
      </c>
      <c r="F12" s="20">
        <f>'Sales and Revenue'!O10-COGS!O11</f>
        <v>252720</v>
      </c>
      <c r="H12" s="78" t="s">
        <v>131</v>
      </c>
      <c r="I12" s="131">
        <v>761020</v>
      </c>
      <c r="J12" s="131">
        <v>380120</v>
      </c>
      <c r="K12" s="131">
        <v>392860</v>
      </c>
      <c r="L12" s="131">
        <v>410280</v>
      </c>
      <c r="M12" s="131">
        <v>1944280</v>
      </c>
      <c r="Y12" s="78" t="s">
        <v>32</v>
      </c>
      <c r="Z12" s="133">
        <v>7.7033888586217375E-2</v>
      </c>
      <c r="AA12" s="133">
        <v>0.14503512917158085</v>
      </c>
      <c r="AB12" s="133">
        <v>0.13798890094572122</v>
      </c>
      <c r="AC12" s="133">
        <v>0.11277567202567408</v>
      </c>
      <c r="AD12" s="133">
        <v>0.27247534654417255</v>
      </c>
      <c r="AE12" s="133">
        <v>0.15232025748237979</v>
      </c>
      <c r="AF12" s="133">
        <v>0.10237080524425415</v>
      </c>
      <c r="AG12" s="133">
        <v>1</v>
      </c>
    </row>
    <row r="13" spans="2:33" ht="15.75" x14ac:dyDescent="0.25">
      <c r="B13" s="19" t="s">
        <v>132</v>
      </c>
      <c r="C13" s="20">
        <f>'Sales and Revenue'!L11-COGS!L12</f>
        <v>319340</v>
      </c>
      <c r="D13" s="20">
        <f>'Sales and Revenue'!M11-COGS!M12</f>
        <v>242060</v>
      </c>
      <c r="E13" s="20">
        <f>'Sales and Revenue'!N11-COGS!N12</f>
        <v>156940</v>
      </c>
      <c r="F13" s="20">
        <f>'Sales and Revenue'!O11-COGS!O12</f>
        <v>127960</v>
      </c>
      <c r="H13" s="78" t="s">
        <v>20</v>
      </c>
      <c r="I13" s="131">
        <v>385770</v>
      </c>
      <c r="J13" s="131">
        <v>179760</v>
      </c>
      <c r="K13" s="131">
        <v>209580</v>
      </c>
      <c r="L13" s="131">
        <v>266070</v>
      </c>
      <c r="M13" s="131">
        <v>1041180</v>
      </c>
    </row>
    <row r="14" spans="2:33" ht="15.75" x14ac:dyDescent="0.25">
      <c r="B14" s="19" t="s">
        <v>25</v>
      </c>
      <c r="C14" s="20">
        <f>SUM(C7:C13)</f>
        <v>2228455</v>
      </c>
      <c r="D14" s="20">
        <f t="shared" ref="D14:F14" si="0">SUM(D7:D13)</f>
        <v>1702960</v>
      </c>
      <c r="E14" s="20">
        <f t="shared" si="0"/>
        <v>1074725</v>
      </c>
      <c r="F14" s="20">
        <f t="shared" si="0"/>
        <v>964485</v>
      </c>
      <c r="H14" s="78" t="s">
        <v>17</v>
      </c>
      <c r="I14" s="131">
        <v>275540</v>
      </c>
      <c r="J14" s="131">
        <v>148120</v>
      </c>
      <c r="K14" s="131">
        <v>176640</v>
      </c>
      <c r="L14" s="131">
        <v>143635</v>
      </c>
      <c r="M14" s="131">
        <v>743935</v>
      </c>
    </row>
    <row r="15" spans="2:33" x14ac:dyDescent="0.2">
      <c r="H15" s="78" t="s">
        <v>32</v>
      </c>
      <c r="I15" s="131">
        <v>2580650</v>
      </c>
      <c r="J15" s="131">
        <v>1330760</v>
      </c>
      <c r="K15" s="131">
        <v>1432090</v>
      </c>
      <c r="L15" s="131">
        <v>1500615</v>
      </c>
      <c r="M15" s="131">
        <v>6844115</v>
      </c>
    </row>
    <row r="17" spans="2:6" ht="18.75" x14ac:dyDescent="0.3">
      <c r="B17" s="3" t="s">
        <v>145</v>
      </c>
      <c r="C17" s="2"/>
      <c r="D17" s="2"/>
      <c r="E17" s="2"/>
      <c r="F17" s="2"/>
    </row>
    <row r="18" spans="2:6" ht="15.75" x14ac:dyDescent="0.25">
      <c r="B18" s="18" t="s">
        <v>16</v>
      </c>
      <c r="C18" s="35" t="s">
        <v>2</v>
      </c>
      <c r="D18" s="35" t="s">
        <v>3</v>
      </c>
      <c r="E18" s="35" t="s">
        <v>4</v>
      </c>
      <c r="F18" s="35" t="s">
        <v>5</v>
      </c>
    </row>
    <row r="19" spans="2:6" ht="15.75" x14ac:dyDescent="0.25">
      <c r="B19" s="19" t="s">
        <v>17</v>
      </c>
      <c r="C19" s="20">
        <f>'Sales and Revenue'!L17-COGS!L18</f>
        <v>221720</v>
      </c>
      <c r="D19" s="20">
        <f>'Sales and Revenue'!M17-COGS!M18</f>
        <v>173880</v>
      </c>
      <c r="E19" s="20">
        <f>'Sales and Revenue'!N17-COGS!N18</f>
        <v>128340</v>
      </c>
      <c r="F19" s="20">
        <f>'Sales and Revenue'!O17-COGS!O18</f>
        <v>123395</v>
      </c>
    </row>
    <row r="20" spans="2:6" ht="15.75" x14ac:dyDescent="0.25">
      <c r="B20" s="19" t="s">
        <v>18</v>
      </c>
      <c r="C20" s="20">
        <f>'Sales and Revenue'!L18-COGS!L19</f>
        <v>308800</v>
      </c>
      <c r="D20" s="20">
        <f>'Sales and Revenue'!M18-COGS!M19</f>
        <v>226000</v>
      </c>
      <c r="E20" s="20">
        <f>'Sales and Revenue'!N18-COGS!N19</f>
        <v>171000</v>
      </c>
      <c r="F20" s="20">
        <f>'Sales and Revenue'!O18-COGS!O19</f>
        <v>145500</v>
      </c>
    </row>
    <row r="21" spans="2:6" ht="15.75" x14ac:dyDescent="0.25">
      <c r="B21" s="19" t="s">
        <v>130</v>
      </c>
      <c r="C21" s="20">
        <f>'Sales and Revenue'!L19-COGS!L20</f>
        <v>146110</v>
      </c>
      <c r="D21" s="20">
        <f>'Sales and Revenue'!M19-COGS!M20</f>
        <v>129010</v>
      </c>
      <c r="E21" s="20">
        <f>'Sales and Revenue'!N19-COGS!N20</f>
        <v>111910</v>
      </c>
      <c r="F21" s="20">
        <f>'Sales and Revenue'!O19-COGS!O20</f>
        <v>114190</v>
      </c>
    </row>
    <row r="22" spans="2:6" ht="15.75" x14ac:dyDescent="0.25">
      <c r="B22" s="19" t="s">
        <v>19</v>
      </c>
      <c r="C22" s="20">
        <f>'Sales and Revenue'!L20-COGS!L21</f>
        <v>274000</v>
      </c>
      <c r="D22" s="20">
        <f>'Sales and Revenue'!M20-COGS!M21</f>
        <v>192700</v>
      </c>
      <c r="E22" s="20">
        <f>'Sales and Revenue'!N20-COGS!N21</f>
        <v>131000</v>
      </c>
      <c r="F22" s="20">
        <f>'Sales and Revenue'!O20-COGS!O21</f>
        <v>106600</v>
      </c>
    </row>
    <row r="23" spans="2:6" ht="15.75" x14ac:dyDescent="0.25">
      <c r="B23" s="19" t="s">
        <v>20</v>
      </c>
      <c r="C23" s="20">
        <f>'Sales and Revenue'!L21-COGS!L22</f>
        <v>347550</v>
      </c>
      <c r="D23" s="20">
        <f>'Sales and Revenue'!M21-COGS!M22</f>
        <v>221970</v>
      </c>
      <c r="E23" s="20">
        <f>'Sales and Revenue'!N21-COGS!N22</f>
        <v>161280</v>
      </c>
      <c r="F23" s="20">
        <f>'Sales and Revenue'!O21-COGS!O22</f>
        <v>163590</v>
      </c>
    </row>
    <row r="24" spans="2:6" ht="15.75" x14ac:dyDescent="0.25">
      <c r="B24" s="19" t="s">
        <v>131</v>
      </c>
      <c r="C24" s="20">
        <f>'Sales and Revenue'!L22-COGS!L23</f>
        <v>619060</v>
      </c>
      <c r="D24" s="20">
        <f>'Sales and Revenue'!M22-COGS!M23</f>
        <v>410540</v>
      </c>
      <c r="E24" s="20">
        <f>'Sales and Revenue'!N22-COGS!N23</f>
        <v>312000</v>
      </c>
      <c r="F24" s="20">
        <f>'Sales and Revenue'!O22-COGS!O23</f>
        <v>291980</v>
      </c>
    </row>
    <row r="25" spans="2:6" ht="15.75" x14ac:dyDescent="0.25">
      <c r="B25" s="19" t="s">
        <v>132</v>
      </c>
      <c r="C25" s="20">
        <f>'Sales and Revenue'!L23-COGS!L24</f>
        <v>320460</v>
      </c>
      <c r="D25" s="20">
        <f>'Sales and Revenue'!M23-COGS!M24</f>
        <v>218960</v>
      </c>
      <c r="E25" s="20">
        <f>'Sales and Revenue'!N23-COGS!N24</f>
        <v>168140</v>
      </c>
      <c r="F25" s="20">
        <f>'Sales and Revenue'!O23-COGS!O24</f>
        <v>123760</v>
      </c>
    </row>
    <row r="26" spans="2:6" ht="15.75" x14ac:dyDescent="0.25">
      <c r="B26" s="19" t="s">
        <v>25</v>
      </c>
      <c r="C26" s="20">
        <f>SUM(C19:C25)</f>
        <v>2237700</v>
      </c>
      <c r="D26" s="20">
        <f>SUM(D19:D25)</f>
        <v>1573060</v>
      </c>
      <c r="E26" s="20">
        <f>SUM(E19:E25)</f>
        <v>1183670</v>
      </c>
      <c r="F26" s="20">
        <f>SUM(F19:F25)</f>
        <v>1069015</v>
      </c>
    </row>
    <row r="29" spans="2:6" ht="18.75" x14ac:dyDescent="0.3">
      <c r="B29" s="3" t="s">
        <v>144</v>
      </c>
      <c r="C29" s="2"/>
      <c r="D29" s="2"/>
      <c r="E29" s="2"/>
      <c r="F29" s="2"/>
    </row>
    <row r="30" spans="2:6" ht="15.75" x14ac:dyDescent="0.25">
      <c r="B30" s="18" t="s">
        <v>16</v>
      </c>
      <c r="C30" s="35" t="s">
        <v>2</v>
      </c>
      <c r="D30" s="35" t="s">
        <v>3</v>
      </c>
      <c r="E30" s="35" t="s">
        <v>4</v>
      </c>
      <c r="F30" s="35" t="s">
        <v>5</v>
      </c>
    </row>
    <row r="31" spans="2:6" ht="15.75" x14ac:dyDescent="0.25">
      <c r="B31" s="19" t="s">
        <v>17</v>
      </c>
      <c r="C31" s="20">
        <f>'Sales and Revenue'!L29-COGS!L30</f>
        <v>275540</v>
      </c>
      <c r="D31" s="20">
        <f>'Sales and Revenue'!M29-COGS!M30</f>
        <v>148120</v>
      </c>
      <c r="E31" s="20">
        <f>'Sales and Revenue'!N29-COGS!N30</f>
        <v>176640</v>
      </c>
      <c r="F31" s="20">
        <f>'Sales and Revenue'!O29-COGS!O30</f>
        <v>143635</v>
      </c>
    </row>
    <row r="32" spans="2:6" ht="15.75" x14ac:dyDescent="0.25">
      <c r="B32" s="19" t="s">
        <v>18</v>
      </c>
      <c r="C32" s="20">
        <f>'Sales and Revenue'!L30-COGS!L31</f>
        <v>361900</v>
      </c>
      <c r="D32" s="20">
        <f>'Sales and Revenue'!M30-COGS!M31</f>
        <v>208600</v>
      </c>
      <c r="E32" s="20">
        <f>'Sales and Revenue'!N30-COGS!N31</f>
        <v>202800</v>
      </c>
      <c r="F32" s="20">
        <f>'Sales and Revenue'!O30-COGS!O31</f>
        <v>212900</v>
      </c>
    </row>
    <row r="33" spans="2:6" ht="15.75" x14ac:dyDescent="0.25">
      <c r="B33" s="19" t="s">
        <v>130</v>
      </c>
      <c r="C33" s="20">
        <f>'Sales and Revenue'!L31-COGS!L32</f>
        <v>166820</v>
      </c>
      <c r="D33" s="20">
        <f>'Sales and Revenue'!M31-COGS!M32</f>
        <v>80560</v>
      </c>
      <c r="E33" s="20">
        <f>'Sales and Revenue'!N31-COGS!N32</f>
        <v>88730</v>
      </c>
      <c r="F33" s="20">
        <f>'Sales and Revenue'!O31-COGS!O32</f>
        <v>126350</v>
      </c>
    </row>
    <row r="34" spans="2:6" ht="15.75" x14ac:dyDescent="0.25">
      <c r="B34" s="19" t="s">
        <v>19</v>
      </c>
      <c r="C34" s="20">
        <f>'Sales and Revenue'!L32-COGS!L33</f>
        <v>265600</v>
      </c>
      <c r="D34" s="20">
        <f>'Sales and Revenue'!M32-COGS!M33</f>
        <v>164200</v>
      </c>
      <c r="E34" s="20">
        <f>'Sales and Revenue'!N32-COGS!N33</f>
        <v>172900</v>
      </c>
      <c r="F34" s="20">
        <f>'Sales and Revenue'!O32-COGS!O33</f>
        <v>136000</v>
      </c>
    </row>
    <row r="35" spans="2:6" ht="15.75" x14ac:dyDescent="0.25">
      <c r="B35" s="19" t="s">
        <v>20</v>
      </c>
      <c r="C35" s="20">
        <f>'Sales and Revenue'!L33-COGS!L34</f>
        <v>385770</v>
      </c>
      <c r="D35" s="20">
        <f>'Sales and Revenue'!M33-COGS!M34</f>
        <v>179760</v>
      </c>
      <c r="E35" s="20">
        <f>'Sales and Revenue'!N33-COGS!N34</f>
        <v>209580</v>
      </c>
      <c r="F35" s="20">
        <f>'Sales and Revenue'!O33-COGS!O34</f>
        <v>266070</v>
      </c>
    </row>
    <row r="36" spans="2:6" ht="15.75" x14ac:dyDescent="0.25">
      <c r="B36" s="19" t="s">
        <v>131</v>
      </c>
      <c r="C36" s="20">
        <f>'Sales and Revenue'!L34-COGS!L35</f>
        <v>761020</v>
      </c>
      <c r="D36" s="20">
        <f>'Sales and Revenue'!M34-COGS!M35</f>
        <v>380120</v>
      </c>
      <c r="E36" s="20">
        <f>'Sales and Revenue'!N34-COGS!N35</f>
        <v>392860</v>
      </c>
      <c r="F36" s="20">
        <f>'Sales and Revenue'!O34-COGS!O35</f>
        <v>410280</v>
      </c>
    </row>
    <row r="37" spans="2:6" ht="15.75" x14ac:dyDescent="0.25">
      <c r="B37" s="19" t="s">
        <v>132</v>
      </c>
      <c r="C37" s="20">
        <f>'Sales and Revenue'!L35-COGS!L36</f>
        <v>364000</v>
      </c>
      <c r="D37" s="20">
        <f>'Sales and Revenue'!M35-COGS!M36</f>
        <v>169400</v>
      </c>
      <c r="E37" s="20">
        <f>'Sales and Revenue'!N35-COGS!N36</f>
        <v>188580</v>
      </c>
      <c r="F37" s="20">
        <f>'Sales and Revenue'!O35-COGS!O36</f>
        <v>205380</v>
      </c>
    </row>
    <row r="38" spans="2:6" ht="15.75" x14ac:dyDescent="0.25">
      <c r="B38" s="19" t="s">
        <v>25</v>
      </c>
      <c r="C38" s="20">
        <f>SUM(C31:C37)</f>
        <v>2580650</v>
      </c>
      <c r="D38" s="20">
        <f>SUM(D31:D37)</f>
        <v>1330760</v>
      </c>
      <c r="E38" s="20">
        <f>SUM(E31:E37)</f>
        <v>1432090</v>
      </c>
      <c r="F38" s="20">
        <f>SUM(F31:F37)</f>
        <v>1500615</v>
      </c>
    </row>
  </sheetData>
  <pageMargins left="0.7" right="0.19" top="0.75" bottom="0.75" header="0.3" footer="0.3"/>
  <pageSetup paperSize="9" scale="46" fitToHeight="0" orientation="landscape" r:id="rId3"/>
  <headerFooter>
    <oddHeader>&amp;C&amp;14Sheet: &amp;A</oddHeader>
    <oddFooter>&amp;L&amp;11Group 28's Business Model&amp;C&amp;11&amp;P&amp;R&amp;11SP52/2016-BX2016</oddFooter>
  </headerFooter>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pageSetUpPr fitToPage="1"/>
  </sheetPr>
  <dimension ref="B2:AC57"/>
  <sheetViews>
    <sheetView zoomScale="80" zoomScaleNormal="80" workbookViewId="0">
      <pane xSplit="2" ySplit="8" topLeftCell="L81" activePane="bottomRight" state="frozen"/>
      <selection activeCell="D21" sqref="D21"/>
      <selection pane="topRight" activeCell="D21" sqref="D21"/>
      <selection pane="bottomLeft" activeCell="D21" sqref="D21"/>
      <selection pane="bottomRight" activeCell="J44" sqref="J44:AI90"/>
    </sheetView>
  </sheetViews>
  <sheetFormatPr defaultRowHeight="12.75" x14ac:dyDescent="0.2"/>
  <cols>
    <col min="1" max="1" width="9.5703125" customWidth="1"/>
    <col min="2" max="2" width="26.140625" customWidth="1"/>
    <col min="3" max="3" width="15.5703125" customWidth="1"/>
    <col min="4" max="4" width="18" customWidth="1"/>
    <col min="5" max="5" width="16.7109375" customWidth="1"/>
    <col min="6" max="6" width="12.7109375" customWidth="1"/>
    <col min="7" max="8" width="8.5703125" customWidth="1"/>
    <col min="10" max="10" width="21.42578125" customWidth="1"/>
    <col min="11" max="11" width="19.140625" customWidth="1"/>
    <col min="12" max="12" width="6" customWidth="1"/>
    <col min="13" max="13" width="5.5703125" customWidth="1"/>
    <col min="14" max="14" width="12.42578125" customWidth="1"/>
    <col min="15" max="15" width="16" customWidth="1"/>
    <col min="16" max="16" width="5.140625" customWidth="1"/>
    <col min="17" max="17" width="20" customWidth="1"/>
    <col min="18" max="18" width="12.42578125" customWidth="1"/>
    <col min="19" max="19" width="7.28515625" customWidth="1"/>
    <col min="20" max="20" width="22.28515625" hidden="1" customWidth="1"/>
    <col min="21" max="22" width="12" hidden="1" customWidth="1"/>
    <col min="23" max="23" width="16.140625" hidden="1" customWidth="1"/>
    <col min="24" max="24" width="12.7109375" hidden="1" customWidth="1"/>
    <col min="25" max="25" width="21.42578125" bestFit="1" customWidth="1"/>
    <col min="26" max="26" width="5.5703125" bestFit="1" customWidth="1"/>
    <col min="27" max="27" width="8.7109375" bestFit="1" customWidth="1"/>
    <col min="28" max="28" width="5.5703125" bestFit="1" customWidth="1"/>
    <col min="29" max="29" width="12.42578125" customWidth="1"/>
  </cols>
  <sheetData>
    <row r="2" spans="2:29" ht="18.75" x14ac:dyDescent="0.3">
      <c r="B2" s="47"/>
      <c r="C2" s="47"/>
      <c r="D2" s="8"/>
      <c r="E2" s="8"/>
      <c r="F2" s="8"/>
      <c r="G2" s="8"/>
      <c r="H2" s="8"/>
      <c r="I2" s="8"/>
      <c r="J2" s="3"/>
      <c r="K2" s="3"/>
    </row>
    <row r="3" spans="2:29" ht="18.75" x14ac:dyDescent="0.3">
      <c r="B3" s="36"/>
      <c r="C3" s="47"/>
      <c r="D3" s="8"/>
      <c r="E3" s="8"/>
      <c r="F3" s="8"/>
      <c r="G3" s="8"/>
      <c r="H3" s="8"/>
      <c r="I3" s="8"/>
      <c r="J3" s="8"/>
      <c r="K3" s="8"/>
    </row>
    <row r="4" spans="2:29" ht="28.5" customHeight="1" x14ac:dyDescent="0.3">
      <c r="B4" s="36"/>
      <c r="C4" s="47"/>
      <c r="D4" s="8"/>
      <c r="E4" s="8"/>
      <c r="F4" s="8"/>
      <c r="G4" s="8"/>
      <c r="H4" s="8"/>
      <c r="I4" s="8"/>
      <c r="J4" s="8"/>
      <c r="K4" s="8"/>
    </row>
    <row r="5" spans="2:29" ht="22.5" customHeight="1" thickBot="1" x14ac:dyDescent="0.35">
      <c r="J5" s="220" t="s">
        <v>232</v>
      </c>
      <c r="Y5" s="220" t="s">
        <v>233</v>
      </c>
    </row>
    <row r="6" spans="2:29" ht="13.5" thickTop="1" x14ac:dyDescent="0.2"/>
    <row r="7" spans="2:29" ht="18.75" x14ac:dyDescent="0.3">
      <c r="B7" s="215" t="s">
        <v>171</v>
      </c>
      <c r="C7" s="2"/>
      <c r="D7" s="2"/>
      <c r="E7" s="2"/>
      <c r="F7" s="2"/>
      <c r="G7" s="2"/>
      <c r="H7" s="2"/>
      <c r="J7" s="77" t="s">
        <v>158</v>
      </c>
      <c r="K7" t="s">
        <v>31</v>
      </c>
      <c r="T7" s="218" t="s">
        <v>174</v>
      </c>
      <c r="Y7" s="329">
        <v>365</v>
      </c>
    </row>
    <row r="8" spans="2:29" ht="15.75" x14ac:dyDescent="0.25">
      <c r="B8" s="18" t="s">
        <v>16</v>
      </c>
      <c r="C8" s="35" t="s">
        <v>2</v>
      </c>
      <c r="D8" s="35" t="s">
        <v>3</v>
      </c>
      <c r="E8" s="35" t="s">
        <v>4</v>
      </c>
      <c r="F8" s="35" t="s">
        <v>5</v>
      </c>
      <c r="G8" s="189"/>
      <c r="H8" s="189"/>
      <c r="T8" s="18" t="s">
        <v>16</v>
      </c>
      <c r="U8" s="35" t="s">
        <v>2</v>
      </c>
      <c r="V8" s="35" t="s">
        <v>3</v>
      </c>
      <c r="W8" s="35" t="s">
        <v>4</v>
      </c>
      <c r="X8" s="35" t="s">
        <v>5</v>
      </c>
    </row>
    <row r="9" spans="2:29" ht="16.5" thickBot="1" x14ac:dyDescent="0.3">
      <c r="B9" s="19" t="s">
        <v>17</v>
      </c>
      <c r="C9" s="20">
        <f>+VLOOKUP($B9,COGS!$K$6:$L$12,2,FALSE)/VLOOKUP($B9,'Average Inventories &amp; Cost'!$K$4:$L$10,2,FALSE)</f>
        <v>96.684210526315795</v>
      </c>
      <c r="D9" s="20">
        <f>+VLOOKUP($B9,COGS!$K$6:$M$12,3,FALSE)/VLOOKUP($B9,'Average Inventories &amp; Cost'!$K$4:$M$10,3,FALSE)</f>
        <v>57.217391304347828</v>
      </c>
      <c r="E9" s="20">
        <f>+VLOOKUP($B9,COGS!$K$6:$N$12,4,FALSE)/VLOOKUP($B9,'Average Inventories &amp; Cost'!$K$4:$N$10,4,FALSE)</f>
        <v>48.388888888888886</v>
      </c>
      <c r="F9" s="20">
        <f>+VLOOKUP($B9,COGS!$K$6:$O$12,5,FALSE)/VLOOKUP($B9,'Average Inventories &amp; Cost'!$K$4:$O$10,5,FALSE)</f>
        <v>45.533333333333331</v>
      </c>
      <c r="G9" s="292"/>
      <c r="H9" s="292"/>
      <c r="J9" s="77" t="s">
        <v>177</v>
      </c>
      <c r="K9" s="77" t="s">
        <v>89</v>
      </c>
      <c r="T9" s="18" t="s">
        <v>17</v>
      </c>
      <c r="U9" s="216">
        <f>365/C9</f>
        <v>3.7751769188894935</v>
      </c>
      <c r="V9" s="216">
        <f t="shared" ref="V9:V15" si="0">365/D9</f>
        <v>6.3791793313069904</v>
      </c>
      <c r="W9" s="216">
        <f t="shared" ref="W9:W15" si="1">365/E9</f>
        <v>7.5430539609644089</v>
      </c>
      <c r="X9" s="216">
        <f t="shared" ref="X9:X14" si="2">365/F9</f>
        <v>8.0161054172767212</v>
      </c>
    </row>
    <row r="10" spans="2:29" ht="15.75" x14ac:dyDescent="0.25">
      <c r="B10" s="19" t="s">
        <v>18</v>
      </c>
      <c r="C10" s="20">
        <f>+VLOOKUP($B10,COGS!$K$6:$L$12,2,FALSE)/VLOOKUP($B10,'Average Inventories &amp; Cost'!$K$4:$L$10,2,FALSE)</f>
        <v>109.61290322580645</v>
      </c>
      <c r="D10" s="20">
        <f>+VLOOKUP($B10,COGS!$K$6:$M$12,3,FALSE)/VLOOKUP($B10,'Average Inventories &amp; Cost'!$K$4:$M$10,3,FALSE)</f>
        <v>107.30769230769231</v>
      </c>
      <c r="E10" s="20">
        <f>+VLOOKUP($B10,COGS!$K$6:$N$12,4,FALSE)/VLOOKUP($B10,'Average Inventories &amp; Cost'!$K$4:$N$10,4,FALSE)</f>
        <v>92.411764705882348</v>
      </c>
      <c r="F10" s="20">
        <f>+VLOOKUP($B10,COGS!$K$6:$O$12,5,FALSE)/VLOOKUP($B10,'Average Inventories &amp; Cost'!$K$4:$O$10,5,FALSE)</f>
        <v>89</v>
      </c>
      <c r="G10" s="292"/>
      <c r="H10" s="292"/>
      <c r="J10" s="77" t="s">
        <v>90</v>
      </c>
      <c r="K10" t="s">
        <v>159</v>
      </c>
      <c r="L10" t="s">
        <v>160</v>
      </c>
      <c r="M10" t="s">
        <v>161</v>
      </c>
      <c r="N10" t="s">
        <v>32</v>
      </c>
      <c r="T10" s="19" t="s">
        <v>18</v>
      </c>
      <c r="U10" s="216">
        <f t="shared" ref="U10:U15" si="3">365/C10</f>
        <v>3.3298999411418482</v>
      </c>
      <c r="V10" s="216">
        <f t="shared" si="0"/>
        <v>3.4014336917562726</v>
      </c>
      <c r="W10" s="216">
        <f t="shared" si="1"/>
        <v>3.9497135582431575</v>
      </c>
      <c r="X10" s="301">
        <f t="shared" si="2"/>
        <v>4.1011235955056176</v>
      </c>
      <c r="Y10" s="302" t="s">
        <v>90</v>
      </c>
      <c r="Z10" s="303">
        <v>2012</v>
      </c>
      <c r="AA10" s="303">
        <v>2013</v>
      </c>
      <c r="AB10" s="303">
        <v>2014</v>
      </c>
      <c r="AC10" s="304" t="s">
        <v>32</v>
      </c>
    </row>
    <row r="11" spans="2:29" ht="15.75" x14ac:dyDescent="0.25">
      <c r="B11" s="19" t="s">
        <v>130</v>
      </c>
      <c r="C11" s="20">
        <f>+VLOOKUP($B11,COGS!$K$6:$L$12,2,FALSE)/VLOOKUP($B11,'Average Inventories &amp; Cost'!$K$4:$L$10,2,FALSE)</f>
        <v>63.142857142857146</v>
      </c>
      <c r="D11" s="20">
        <f>+VLOOKUP($B11,COGS!$K$6:$M$12,3,FALSE)/VLOOKUP($B11,'Average Inventories &amp; Cost'!$K$4:$M$10,3,FALSE)</f>
        <v>41.692307692307693</v>
      </c>
      <c r="E11" s="20">
        <f>+VLOOKUP($B11,COGS!$K$6:$N$12,4,FALSE)/VLOOKUP($B11,'Average Inventories &amp; Cost'!$K$4:$N$10,4,FALSE)</f>
        <v>51.6</v>
      </c>
      <c r="F11" s="20">
        <f>+VLOOKUP($B11,COGS!$K$6:$O$12,5,FALSE)/VLOOKUP($B11,'Average Inventories &amp; Cost'!$K$4:$O$10,5,FALSE)</f>
        <v>71.111111111111114</v>
      </c>
      <c r="G11" s="292"/>
      <c r="H11" s="292"/>
      <c r="J11" s="78" t="s">
        <v>2</v>
      </c>
      <c r="K11" s="219">
        <v>91.593682478084617</v>
      </c>
      <c r="L11" s="219">
        <v>96.041829176114888</v>
      </c>
      <c r="M11" s="219">
        <v>85.979209268248368</v>
      </c>
      <c r="N11" s="219">
        <v>91.204906974149296</v>
      </c>
      <c r="T11" s="19" t="s">
        <v>130</v>
      </c>
      <c r="U11" s="216">
        <f t="shared" si="3"/>
        <v>5.7805429864253393</v>
      </c>
      <c r="V11" s="216">
        <f t="shared" si="0"/>
        <v>8.7546125461254611</v>
      </c>
      <c r="W11" s="216">
        <f t="shared" si="1"/>
        <v>7.0736434108527133</v>
      </c>
      <c r="X11" s="301">
        <f t="shared" si="2"/>
        <v>5.1328125</v>
      </c>
      <c r="Y11" s="235" t="s">
        <v>2</v>
      </c>
      <c r="Z11" s="300">
        <f>+Days_In_A_Year/GETPIVOTDATA("Value",$J$9,"Column","Brisbane","Page1","2012")</f>
        <v>3.9849909963750241</v>
      </c>
      <c r="AA11" s="305">
        <f>+Days_In_A_Year/GETPIVOTDATA("Value",$J$9,"Column","Brisbane","Page1","2013")</f>
        <v>3.8004274088812715</v>
      </c>
      <c r="AB11" s="305">
        <f>+Days_In_A_Year/GETPIVOTDATA("Value",$J$9,"Column","Brisbane","Page1","2014")</f>
        <v>4.2452123380342881</v>
      </c>
      <c r="AC11" s="306">
        <f>+Days_In_A_Year/GETPIVOTDATA("Value",$J$9,"Column","Brisbane")</f>
        <v>4.0019776578847228</v>
      </c>
    </row>
    <row r="12" spans="2:29" ht="15.75" x14ac:dyDescent="0.25">
      <c r="B12" s="19" t="s">
        <v>19</v>
      </c>
      <c r="C12" s="20">
        <f>+VLOOKUP($B12,COGS!$K$6:$L$12,2,FALSE)/VLOOKUP($B12,'Average Inventories &amp; Cost'!$K$4:$L$10,2,FALSE)</f>
        <v>80.225806451612897</v>
      </c>
      <c r="D12" s="20">
        <f>+VLOOKUP($B12,COGS!$K$6:$M$12,3,FALSE)/VLOOKUP($B12,'Average Inventories &amp; Cost'!$K$4:$M$10,3,FALSE)</f>
        <v>98.4</v>
      </c>
      <c r="E12" s="20">
        <f>+VLOOKUP($B12,COGS!$K$6:$N$12,4,FALSE)/VLOOKUP($B12,'Average Inventories &amp; Cost'!$K$4:$N$10,4,FALSE)</f>
        <v>66.05263157894737</v>
      </c>
      <c r="F12" s="20">
        <f>+VLOOKUP($B12,COGS!$K$6:$O$12,5,FALSE)/VLOOKUP($B12,'Average Inventories &amp; Cost'!$K$4:$O$10,5,FALSE)</f>
        <v>95.833333333333329</v>
      </c>
      <c r="G12" s="292"/>
      <c r="H12" s="292"/>
      <c r="J12" s="78" t="s">
        <v>3</v>
      </c>
      <c r="K12" s="219">
        <v>81.651564973815624</v>
      </c>
      <c r="L12" s="219">
        <v>76.680212803069949</v>
      </c>
      <c r="M12" s="219">
        <v>66.582812648226181</v>
      </c>
      <c r="N12" s="219">
        <v>74.971530141703909</v>
      </c>
      <c r="T12" s="19" t="s">
        <v>19</v>
      </c>
      <c r="U12" s="216">
        <f t="shared" si="3"/>
        <v>4.5496582227583433</v>
      </c>
      <c r="V12" s="216">
        <f t="shared" si="0"/>
        <v>3.7093495934959346</v>
      </c>
      <c r="W12" s="216">
        <f t="shared" si="1"/>
        <v>5.525896414342629</v>
      </c>
      <c r="X12" s="301">
        <f t="shared" si="2"/>
        <v>3.8086956521739133</v>
      </c>
      <c r="Y12" s="235" t="s">
        <v>3</v>
      </c>
      <c r="Z12" s="300">
        <f>+Days_In_A_Year/GETPIVOTDATA("Value",$J$9,"Column","Gold Coast","Page1","2012")</f>
        <v>4.470214381280381</v>
      </c>
      <c r="AA12" s="305">
        <f>+Days_In_A_Year/GETPIVOTDATA("Value",$J$9,"Column","Gold Coast","Page1","2013")</f>
        <v>4.760028521796003</v>
      </c>
      <c r="AB12" s="305">
        <f>+Days_In_A_Year/GETPIVOTDATA("Value",$J$9,"Column","Gold Coast","Page1","2014")</f>
        <v>5.4818951840978425</v>
      </c>
      <c r="AC12" s="306">
        <f>+Days_In_A_Year/GETPIVOTDATA("Value",$J$9,"Column","Gold Coast")</f>
        <v>4.8685147456656201</v>
      </c>
    </row>
    <row r="13" spans="2:29" ht="15.75" x14ac:dyDescent="0.25">
      <c r="B13" s="19" t="s">
        <v>20</v>
      </c>
      <c r="C13" s="20">
        <f>+VLOOKUP($B13,COGS!$K$6:$L$12,2,FALSE)/VLOOKUP($B13,'Average Inventories &amp; Cost'!$K$4:$L$10,2,FALSE)</f>
        <v>107</v>
      </c>
      <c r="D13" s="20">
        <f>+VLOOKUP($B13,COGS!$K$6:$M$12,3,FALSE)/VLOOKUP($B13,'Average Inventories &amp; Cost'!$K$4:$M$10,3,FALSE)</f>
        <v>90.933333333333337</v>
      </c>
      <c r="E13" s="20">
        <f>+VLOOKUP($B13,COGS!$K$6:$N$12,4,FALSE)/VLOOKUP($B13,'Average Inventories &amp; Cost'!$K$4:$N$10,4,FALSE)</f>
        <v>64.909090909090907</v>
      </c>
      <c r="F13" s="20">
        <f>+VLOOKUP($B13,COGS!$K$6:$O$12,5,FALSE)/VLOOKUP($B13,'Average Inventories &amp; Cost'!$K$4:$O$10,5,FALSE)</f>
        <v>98</v>
      </c>
      <c r="G13" s="292"/>
      <c r="H13" s="292"/>
      <c r="J13" s="78" t="s">
        <v>4</v>
      </c>
      <c r="K13" s="219">
        <v>75.253582070786848</v>
      </c>
      <c r="L13" s="219">
        <v>81.866257995039504</v>
      </c>
      <c r="M13" s="219">
        <v>68.200114812723513</v>
      </c>
      <c r="N13" s="219">
        <v>75.106651626183293</v>
      </c>
      <c r="T13" s="19" t="s">
        <v>20</v>
      </c>
      <c r="U13" s="216">
        <f t="shared" si="3"/>
        <v>3.4112149532710281</v>
      </c>
      <c r="V13" s="216">
        <f t="shared" si="0"/>
        <v>4.0139296187683282</v>
      </c>
      <c r="W13" s="216">
        <f t="shared" si="1"/>
        <v>5.6232492997198884</v>
      </c>
      <c r="X13" s="301">
        <f t="shared" si="2"/>
        <v>3.7244897959183674</v>
      </c>
      <c r="Y13" s="235" t="s">
        <v>4</v>
      </c>
      <c r="Z13" s="300">
        <f>+Days_In_A_Year/GETPIVOTDATA("Value",$J$9,"Column","Townsville","Page1","2012")</f>
        <v>4.8502674551314362</v>
      </c>
      <c r="AA13" s="305">
        <f>+Days_In_A_Year/GETPIVOTDATA("Value",$J$9,"Column","Townsville","Page1","2013")</f>
        <v>4.4584913117943703</v>
      </c>
      <c r="AB13" s="305">
        <f>+Days_In_A_Year/GETPIVOTDATA("Value",$J$9,"Column","Townsville","Page1","2014")</f>
        <v>5.3518971485940234</v>
      </c>
      <c r="AC13" s="306">
        <f>+Days_In_A_Year/GETPIVOTDATA("Value",$J$9,"Column","Townsville")</f>
        <v>4.8597559882799457</v>
      </c>
    </row>
    <row r="14" spans="2:29" ht="16.5" thickBot="1" x14ac:dyDescent="0.3">
      <c r="B14" s="19" t="s">
        <v>131</v>
      </c>
      <c r="C14" s="20">
        <f>+VLOOKUP($B14,COGS!$K$6:$L$12,2,FALSE)/VLOOKUP($B14,'Average Inventories &amp; Cost'!$K$4:$L$10,2,FALSE)</f>
        <v>93.25</v>
      </c>
      <c r="D14" s="20">
        <f>+VLOOKUP($B14,COGS!$K$6:$M$12,3,FALSE)/VLOOKUP($B14,'Average Inventories &amp; Cost'!$K$4:$M$10,3,FALSE)</f>
        <v>74.304347826086953</v>
      </c>
      <c r="E14" s="20">
        <f>+VLOOKUP($B14,COGS!$K$6:$N$12,4,FALSE)/VLOOKUP($B14,'Average Inventories &amp; Cost'!$K$4:$N$10,4,FALSE)</f>
        <v>78.857142857142861</v>
      </c>
      <c r="F14" s="20">
        <f>+VLOOKUP($B14,COGS!$K$6:$O$12,5,FALSE)/VLOOKUP($B14,'Average Inventories &amp; Cost'!$K$4:$O$10,5,FALSE)</f>
        <v>138.85714285714286</v>
      </c>
      <c r="G14" s="292"/>
      <c r="H14" s="292"/>
      <c r="J14" s="78" t="s">
        <v>5</v>
      </c>
      <c r="K14" s="219">
        <v>93.226417233560099</v>
      </c>
      <c r="L14" s="219">
        <v>75.101994684513485</v>
      </c>
      <c r="M14" s="219">
        <v>93.756650318990481</v>
      </c>
      <c r="N14" s="219">
        <v>87.361687412354669</v>
      </c>
      <c r="T14" s="19" t="s">
        <v>131</v>
      </c>
      <c r="U14" s="216">
        <f t="shared" si="3"/>
        <v>3.9142091152815013</v>
      </c>
      <c r="V14" s="216">
        <f t="shared" si="0"/>
        <v>4.9122293739028677</v>
      </c>
      <c r="W14" s="216">
        <f t="shared" si="1"/>
        <v>4.6286231884057969</v>
      </c>
      <c r="X14" s="301">
        <f t="shared" si="2"/>
        <v>2.6286008230452675</v>
      </c>
      <c r="Y14" s="240" t="s">
        <v>5</v>
      </c>
      <c r="Z14" s="307">
        <f>+Days_In_A_Year/GETPIVOTDATA("Value",$J$9,"Column","Cairns","Page1","2012")</f>
        <v>3.9151992625176795</v>
      </c>
      <c r="AA14" s="308">
        <f>+Days_In_A_Year/GETPIVOTDATA("Value",$J$9,"Column","Cairns","Page1","2013")</f>
        <v>4.8600573331411843</v>
      </c>
      <c r="AB14" s="308">
        <f>+Days_In_A_Year/GETPIVOTDATA("Value",$J$9,"Column","Cairns","Page1","2014")</f>
        <v>3.8930571725648453</v>
      </c>
      <c r="AC14" s="309">
        <f>+Days_In_A_Year/GETPIVOTDATA("Value",$J$9,"Column","Cairns")</f>
        <v>4.1780328518286129</v>
      </c>
    </row>
    <row r="15" spans="2:29" ht="15.75" x14ac:dyDescent="0.25">
      <c r="B15" s="19" t="s">
        <v>132</v>
      </c>
      <c r="C15" s="20">
        <f>+VLOOKUP($B15,COGS!$K$6:$L$12,2,FALSE)/VLOOKUP($B15,'Average Inventories &amp; Cost'!$K$4:$L$10,2,FALSE)</f>
        <v>91.24</v>
      </c>
      <c r="D15" s="20">
        <f>+VLOOKUP($B15,COGS!$K$6:$M$12,3,FALSE)/VLOOKUP($B15,'Average Inventories &amp; Cost'!$K$4:$M$10,3,FALSE)</f>
        <v>101.70588235294117</v>
      </c>
      <c r="E15" s="20">
        <f>+VLOOKUP($B15,COGS!$K$6:$N$12,4,FALSE)/VLOOKUP($B15,'Average Inventories &amp; Cost'!$K$4:$N$10,4,FALSE)</f>
        <v>124.55555555555556</v>
      </c>
      <c r="F15" s="20">
        <f>+VLOOKUP($B15,COGS!$K$6:$O$12,5,FALSE)/VLOOKUP($B15,'Average Inventories &amp; Cost'!$K$4:$O$10,5,FALSE)</f>
        <v>114.25</v>
      </c>
      <c r="G15" s="292"/>
      <c r="H15" s="292"/>
      <c r="J15" s="78" t="s">
        <v>32</v>
      </c>
      <c r="K15" s="219">
        <v>85.431311689061786</v>
      </c>
      <c r="L15" s="219">
        <v>82.422573664684464</v>
      </c>
      <c r="M15" s="219">
        <v>78.629696762047132</v>
      </c>
      <c r="N15" s="219">
        <v>82.161194038597799</v>
      </c>
      <c r="T15" s="19" t="s">
        <v>132</v>
      </c>
      <c r="U15" s="216">
        <f t="shared" si="3"/>
        <v>4.0004384042086807</v>
      </c>
      <c r="V15" s="216">
        <f t="shared" si="0"/>
        <v>3.5887796414112203</v>
      </c>
      <c r="W15" s="216">
        <f t="shared" si="1"/>
        <v>2.9304192685102586</v>
      </c>
      <c r="X15" s="216">
        <f>365/F15</f>
        <v>3.1947483588621446</v>
      </c>
    </row>
    <row r="16" spans="2:29" ht="15.75" x14ac:dyDescent="0.25">
      <c r="B16" s="19" t="s">
        <v>109</v>
      </c>
      <c r="C16" s="214">
        <f>+AVERAGE(C9:C15)</f>
        <v>91.593682478084617</v>
      </c>
      <c r="D16" s="214">
        <f t="shared" ref="D16:F16" si="4">+AVERAGE(D9:D15)</f>
        <v>81.651564973815624</v>
      </c>
      <c r="E16" s="214">
        <f t="shared" si="4"/>
        <v>75.253582070786848</v>
      </c>
      <c r="F16" s="214">
        <f t="shared" si="4"/>
        <v>93.226417233560099</v>
      </c>
      <c r="G16" s="403"/>
      <c r="H16" s="403"/>
      <c r="T16" s="19" t="s">
        <v>109</v>
      </c>
      <c r="U16" s="217">
        <f>AVERAGE(U9:U15)</f>
        <v>4.1087343631394617</v>
      </c>
      <c r="V16" s="217">
        <f t="shared" ref="V16:X16" si="5">AVERAGE(V9:V15)</f>
        <v>4.9656448281095829</v>
      </c>
      <c r="W16" s="217">
        <f t="shared" si="5"/>
        <v>5.3249427287198356</v>
      </c>
      <c r="X16" s="217">
        <f t="shared" si="5"/>
        <v>4.3723680203974329</v>
      </c>
    </row>
    <row r="17" spans="2:24" x14ac:dyDescent="0.2">
      <c r="G17" s="291"/>
      <c r="H17" s="291"/>
    </row>
    <row r="18" spans="2:24" x14ac:dyDescent="0.2">
      <c r="G18" s="291"/>
      <c r="H18" s="291"/>
      <c r="U18" s="178">
        <f>+AVERAGE(U9:U15)</f>
        <v>4.1087343631394617</v>
      </c>
      <c r="X18" s="178">
        <f>+AVERAGE(X9:X15)</f>
        <v>4.3723680203974329</v>
      </c>
    </row>
    <row r="19" spans="2:24" ht="18.75" x14ac:dyDescent="0.3">
      <c r="B19" s="215" t="s">
        <v>172</v>
      </c>
      <c r="C19" s="2"/>
      <c r="D19" s="2"/>
      <c r="E19" s="2"/>
      <c r="F19" s="2"/>
      <c r="G19" s="404"/>
      <c r="H19" s="404"/>
      <c r="T19" s="218" t="s">
        <v>175</v>
      </c>
      <c r="U19" s="2"/>
      <c r="V19" s="2"/>
      <c r="W19" s="2"/>
      <c r="X19" s="2"/>
    </row>
    <row r="20" spans="2:24" ht="15.75" x14ac:dyDescent="0.25">
      <c r="B20" s="18" t="s">
        <v>16</v>
      </c>
      <c r="C20" s="35" t="s">
        <v>2</v>
      </c>
      <c r="D20" s="35" t="s">
        <v>3</v>
      </c>
      <c r="E20" s="35" t="s">
        <v>4</v>
      </c>
      <c r="F20" s="35" t="s">
        <v>5</v>
      </c>
      <c r="G20" s="189"/>
      <c r="H20" s="189"/>
      <c r="T20" s="18" t="s">
        <v>16</v>
      </c>
      <c r="U20" s="35" t="s">
        <v>2</v>
      </c>
      <c r="V20" s="35" t="s">
        <v>3</v>
      </c>
      <c r="W20" s="35" t="s">
        <v>4</v>
      </c>
      <c r="X20" s="35" t="s">
        <v>5</v>
      </c>
    </row>
    <row r="21" spans="2:24" ht="15.75" x14ac:dyDescent="0.25">
      <c r="B21" s="18" t="s">
        <v>17</v>
      </c>
      <c r="C21" s="20">
        <f>+VLOOKUP($B21,COGS!$K$18:$L$24,2,FALSE)/VLOOKUP($B21,'Average Inventories &amp; Cost'!$K$15:$L$21,2,FALSE)</f>
        <v>80.333333333333329</v>
      </c>
      <c r="D21" s="20">
        <f>+VLOOKUP($B21,COGS!$K$18:$M$24,3,FALSE)/VLOOKUP($B21,'Average Inventories &amp; Cost'!$K$15:$M$21,3,FALSE)</f>
        <v>60.48</v>
      </c>
      <c r="E21" s="20">
        <f>+VLOOKUP($B21,COGS!$K$18:$N$24,4,FALSE)/VLOOKUP($B21,'Average Inventories &amp; Cost'!$K$15:$N$21,4,FALSE)</f>
        <v>74.400000000000006</v>
      </c>
      <c r="F21" s="20">
        <f>+VLOOKUP($B21,COGS!$K$18:$O$24,5,FALSE)/VLOOKUP($B21,'Average Inventories &amp; Cost'!$K$15:$O$21,5,FALSE)</f>
        <v>82.538461538461533</v>
      </c>
      <c r="G21" s="292"/>
      <c r="H21" s="292"/>
      <c r="T21" s="18" t="s">
        <v>17</v>
      </c>
      <c r="U21" s="216">
        <f t="shared" ref="U21:U27" si="6">365/C21</f>
        <v>4.5435684647302903</v>
      </c>
      <c r="V21" s="216">
        <f t="shared" ref="V21:V27" si="7">365/D21</f>
        <v>6.0350529100529107</v>
      </c>
      <c r="W21" s="216">
        <f t="shared" ref="W21:W27" si="8">365/E21</f>
        <v>4.9059139784946231</v>
      </c>
      <c r="X21" s="216">
        <f t="shared" ref="X21:X27" si="9">365/F21</f>
        <v>4.4221808014911463</v>
      </c>
    </row>
    <row r="22" spans="2:24" ht="15.75" x14ac:dyDescent="0.25">
      <c r="B22" s="19" t="s">
        <v>18</v>
      </c>
      <c r="C22" s="20">
        <f>+VLOOKUP($B22,COGS!$K$18:$L$24,2,FALSE)/VLOOKUP($B22,'Average Inventories &amp; Cost'!$K$15:$L$21,2,FALSE)</f>
        <v>102.93333333333334</v>
      </c>
      <c r="D22" s="20">
        <f>+VLOOKUP($B22,COGS!$K$18:$M$24,3,FALSE)/VLOOKUP($B22,'Average Inventories &amp; Cost'!$K$15:$M$21,3,FALSE)</f>
        <v>86.92307692307692</v>
      </c>
      <c r="E22" s="20">
        <f>+VLOOKUP($B22,COGS!$K$18:$N$24,4,FALSE)/VLOOKUP($B22,'Average Inventories &amp; Cost'!$K$15:$N$21,4,FALSE)</f>
        <v>106.875</v>
      </c>
      <c r="F22" s="20">
        <f>+VLOOKUP($B22,COGS!$K$18:$O$24,5,FALSE)/VLOOKUP($B22,'Average Inventories &amp; Cost'!$K$15:$O$21,5,FALSE)</f>
        <v>103.92857142857143</v>
      </c>
      <c r="G22" s="292"/>
      <c r="H22" s="292"/>
      <c r="T22" s="19" t="s">
        <v>18</v>
      </c>
      <c r="U22" s="216">
        <f t="shared" si="6"/>
        <v>3.5459844559585489</v>
      </c>
      <c r="V22" s="216">
        <f t="shared" si="7"/>
        <v>4.1991150442477876</v>
      </c>
      <c r="W22" s="216">
        <f t="shared" si="8"/>
        <v>3.4152046783625729</v>
      </c>
      <c r="X22" s="216">
        <f t="shared" si="9"/>
        <v>3.5120274914089347</v>
      </c>
    </row>
    <row r="23" spans="2:24" ht="15.75" x14ac:dyDescent="0.25">
      <c r="B23" s="19" t="s">
        <v>130</v>
      </c>
      <c r="C23" s="20">
        <f>+VLOOKUP($B23,COGS!$K$18:$L$24,2,FALSE)/VLOOKUP($B23,'Average Inventories &amp; Cost'!$K$15:$L$21,2,FALSE)</f>
        <v>76.900000000000006</v>
      </c>
      <c r="D23" s="20">
        <f>+VLOOKUP($B23,COGS!$K$18:$M$24,3,FALSE)/VLOOKUP($B23,'Average Inventories &amp; Cost'!$K$15:$M$21,3,FALSE)</f>
        <v>56.583333333333336</v>
      </c>
      <c r="E23" s="20">
        <f>+VLOOKUP($B23,COGS!$K$18:$N$24,4,FALSE)/VLOOKUP($B23,'Average Inventories &amp; Cost'!$K$15:$N$21,4,FALSE)</f>
        <v>65.444444444444443</v>
      </c>
      <c r="F23" s="20">
        <f>+VLOOKUP($B23,COGS!$K$18:$O$24,5,FALSE)/VLOOKUP($B23,'Average Inventories &amp; Cost'!$K$15:$O$21,5,FALSE)</f>
        <v>75.125</v>
      </c>
      <c r="G23" s="292"/>
      <c r="H23" s="292"/>
      <c r="T23" s="19" t="s">
        <v>130</v>
      </c>
      <c r="U23" s="216">
        <f t="shared" si="6"/>
        <v>4.746423927178153</v>
      </c>
      <c r="V23" s="216">
        <f t="shared" si="7"/>
        <v>6.4506627393225324</v>
      </c>
      <c r="W23" s="216">
        <f t="shared" si="8"/>
        <v>5.5772495755517832</v>
      </c>
      <c r="X23" s="216">
        <f t="shared" si="9"/>
        <v>4.858569051580699</v>
      </c>
    </row>
    <row r="24" spans="2:24" ht="15.75" x14ac:dyDescent="0.25">
      <c r="B24" s="19" t="s">
        <v>19</v>
      </c>
      <c r="C24" s="20">
        <f>+VLOOKUP($B24,COGS!$K$18:$L$24,2,FALSE)/VLOOKUP($B24,'Average Inventories &amp; Cost'!$K$15:$L$21,2,FALSE)</f>
        <v>114.16666666666667</v>
      </c>
      <c r="D24" s="20">
        <f>+VLOOKUP($B24,COGS!$K$18:$M$24,3,FALSE)/VLOOKUP($B24,'Average Inventories &amp; Cost'!$K$15:$M$21,3,FALSE)</f>
        <v>107.05555555555556</v>
      </c>
      <c r="E24" s="20">
        <f>+VLOOKUP($B24,COGS!$K$18:$N$24,4,FALSE)/VLOOKUP($B24,'Average Inventories &amp; Cost'!$K$15:$N$21,4,FALSE)</f>
        <v>93.571428571428569</v>
      </c>
      <c r="F24" s="20">
        <f>+VLOOKUP($B24,COGS!$K$18:$O$24,5,FALSE)/VLOOKUP($B24,'Average Inventories &amp; Cost'!$K$15:$O$21,5,FALSE)</f>
        <v>56.10526315789474</v>
      </c>
      <c r="G24" s="292"/>
      <c r="H24" s="292"/>
      <c r="T24" s="19" t="s">
        <v>19</v>
      </c>
      <c r="U24" s="216">
        <f t="shared" si="6"/>
        <v>3.1970802919708028</v>
      </c>
      <c r="V24" s="216">
        <f t="shared" si="7"/>
        <v>3.4094447327451998</v>
      </c>
      <c r="W24" s="216">
        <f t="shared" si="8"/>
        <v>3.9007633587786259</v>
      </c>
      <c r="X24" s="216">
        <f t="shared" si="9"/>
        <v>6.5056285178236397</v>
      </c>
    </row>
    <row r="25" spans="2:24" ht="15.75" x14ac:dyDescent="0.25">
      <c r="B25" s="19" t="s">
        <v>20</v>
      </c>
      <c r="C25" s="20">
        <f>+VLOOKUP($B25,COGS!$K$18:$L$24,2,FALSE)/VLOOKUP($B25,'Average Inventories &amp; Cost'!$K$15:$L$21,2,FALSE)</f>
        <v>118.21428571428571</v>
      </c>
      <c r="D25" s="20">
        <f>+VLOOKUP($B25,COGS!$K$18:$M$24,3,FALSE)/VLOOKUP($B25,'Average Inventories &amp; Cost'!$K$15:$M$21,3,FALSE)</f>
        <v>88.083333333333329</v>
      </c>
      <c r="E25" s="20">
        <f>+VLOOKUP($B25,COGS!$K$18:$N$24,4,FALSE)/VLOOKUP($B25,'Average Inventories &amp; Cost'!$K$15:$N$21,4,FALSE)</f>
        <v>69.818181818181813</v>
      </c>
      <c r="F25" s="20">
        <f>+VLOOKUP($B25,COGS!$K$18:$O$24,5,FALSE)/VLOOKUP($B25,'Average Inventories &amp; Cost'!$K$15:$O$21,5,FALSE)</f>
        <v>77.900000000000006</v>
      </c>
      <c r="G25" s="292"/>
      <c r="H25" s="292"/>
      <c r="T25" s="19" t="s">
        <v>20</v>
      </c>
      <c r="U25" s="216">
        <f t="shared" si="6"/>
        <v>3.0876132930513598</v>
      </c>
      <c r="V25" s="216">
        <f t="shared" si="7"/>
        <v>4.1438032166508991</v>
      </c>
      <c r="W25" s="216">
        <f t="shared" si="8"/>
        <v>5.2278645833333339</v>
      </c>
      <c r="X25" s="216">
        <f t="shared" si="9"/>
        <v>4.6854942233632864</v>
      </c>
    </row>
    <row r="26" spans="2:24" ht="15.75" x14ac:dyDescent="0.25">
      <c r="B26" s="19" t="s">
        <v>131</v>
      </c>
      <c r="C26" s="20">
        <f>+VLOOKUP($B26,COGS!$K$18:$L$24,2,FALSE)/VLOOKUP($B26,'Average Inventories &amp; Cost'!$K$15:$L$21,2,FALSE)</f>
        <v>88.18518518518519</v>
      </c>
      <c r="D26" s="20">
        <f>+VLOOKUP($B26,COGS!$K$18:$M$24,3,FALSE)/VLOOKUP($B26,'Average Inventories &amp; Cost'!$K$15:$M$21,3,FALSE)</f>
        <v>63.16</v>
      </c>
      <c r="E26" s="20">
        <f>+VLOOKUP($B26,COGS!$K$18:$N$24,4,FALSE)/VLOOKUP($B26,'Average Inventories &amp; Cost'!$K$15:$N$21,4,FALSE)</f>
        <v>92.307692307692307</v>
      </c>
      <c r="F26" s="20">
        <f>+VLOOKUP($B26,COGS!$K$18:$O$24,5,FALSE)/VLOOKUP($B26,'Average Inventories &amp; Cost'!$K$15:$O$21,5,FALSE)</f>
        <v>74.86666666666666</v>
      </c>
      <c r="G26" s="292"/>
      <c r="H26" s="292"/>
      <c r="T26" s="19" t="s">
        <v>131</v>
      </c>
      <c r="U26" s="216">
        <f t="shared" si="6"/>
        <v>4.1390172196556065</v>
      </c>
      <c r="V26" s="216">
        <f t="shared" si="7"/>
        <v>5.7789740341988605</v>
      </c>
      <c r="W26" s="216">
        <f t="shared" si="8"/>
        <v>3.9541666666666666</v>
      </c>
      <c r="X26" s="216">
        <f t="shared" si="9"/>
        <v>4.8753339269813001</v>
      </c>
    </row>
    <row r="27" spans="2:24" ht="15.75" x14ac:dyDescent="0.25">
      <c r="B27" s="19" t="s">
        <v>132</v>
      </c>
      <c r="C27" s="20">
        <f>+VLOOKUP($B27,COGS!$K$18:$L$24,2,FALSE)/VLOOKUP($B27,'Average Inventories &amp; Cost'!$K$15:$L$21,2,FALSE)</f>
        <v>91.56</v>
      </c>
      <c r="D27" s="20">
        <f>+VLOOKUP($B27,COGS!$K$18:$M$24,3,FALSE)/VLOOKUP($B27,'Average Inventories &amp; Cost'!$K$15:$M$21,3,FALSE)</f>
        <v>74.476190476190482</v>
      </c>
      <c r="E27" s="20">
        <f>+VLOOKUP($B27,COGS!$K$18:$N$24,4,FALSE)/VLOOKUP($B27,'Average Inventories &amp; Cost'!$K$15:$N$21,4,FALSE)</f>
        <v>70.647058823529406</v>
      </c>
      <c r="F27" s="20">
        <f>+VLOOKUP($B27,COGS!$K$18:$O$24,5,FALSE)/VLOOKUP($B27,'Average Inventories &amp; Cost'!$K$15:$O$21,5,FALSE)</f>
        <v>55.25</v>
      </c>
      <c r="G27" s="292"/>
      <c r="H27" s="292"/>
      <c r="T27" s="19" t="s">
        <v>132</v>
      </c>
      <c r="U27" s="216">
        <f t="shared" si="6"/>
        <v>3.9864569681083442</v>
      </c>
      <c r="V27" s="216">
        <f t="shared" si="7"/>
        <v>4.9008951406649617</v>
      </c>
      <c r="W27" s="216">
        <f t="shared" si="8"/>
        <v>5.166527893422149</v>
      </c>
      <c r="X27" s="216">
        <f t="shared" si="9"/>
        <v>6.6063348416289589</v>
      </c>
    </row>
    <row r="28" spans="2:24" ht="15.75" x14ac:dyDescent="0.25">
      <c r="B28" s="19" t="s">
        <v>109</v>
      </c>
      <c r="C28" s="214">
        <f>+AVERAGE(C21:C27)</f>
        <v>96.041829176114888</v>
      </c>
      <c r="D28" s="214">
        <f t="shared" ref="D28" si="10">+AVERAGE(D21:D27)</f>
        <v>76.680212803069949</v>
      </c>
      <c r="E28" s="214">
        <f t="shared" ref="E28" si="11">+AVERAGE(E21:E27)</f>
        <v>81.866257995039504</v>
      </c>
      <c r="F28" s="214">
        <f t="shared" ref="F28" si="12">+AVERAGE(F21:F27)</f>
        <v>75.101994684513485</v>
      </c>
      <c r="G28" s="403"/>
      <c r="H28" s="403"/>
      <c r="T28" s="19" t="s">
        <v>109</v>
      </c>
      <c r="U28" s="217">
        <f t="shared" ref="U28:X28" si="13">+ROUNDUP(AVERAGE(U21:U27),0)</f>
        <v>4</v>
      </c>
      <c r="V28" s="217">
        <f t="shared" si="13"/>
        <v>5</v>
      </c>
      <c r="W28" s="217">
        <f t="shared" si="13"/>
        <v>5</v>
      </c>
      <c r="X28" s="217">
        <f t="shared" si="13"/>
        <v>6</v>
      </c>
    </row>
    <row r="29" spans="2:24" x14ac:dyDescent="0.2">
      <c r="G29" s="291"/>
      <c r="H29" s="291"/>
    </row>
    <row r="30" spans="2:24" ht="18.75" x14ac:dyDescent="0.3">
      <c r="B30" s="215" t="s">
        <v>173</v>
      </c>
      <c r="C30" s="2"/>
      <c r="D30" s="2"/>
      <c r="E30" s="2"/>
      <c r="F30" s="2"/>
      <c r="G30" s="404"/>
      <c r="H30" s="404"/>
    </row>
    <row r="31" spans="2:24" ht="15.75" x14ac:dyDescent="0.25">
      <c r="B31" s="18" t="s">
        <v>16</v>
      </c>
      <c r="C31" s="35" t="s">
        <v>2</v>
      </c>
      <c r="D31" s="35" t="s">
        <v>3</v>
      </c>
      <c r="E31" s="35" t="s">
        <v>4</v>
      </c>
      <c r="F31" s="35" t="s">
        <v>5</v>
      </c>
      <c r="G31" s="189"/>
      <c r="H31" s="189"/>
    </row>
    <row r="32" spans="2:24" ht="15.75" x14ac:dyDescent="0.25">
      <c r="B32" s="19" t="s">
        <v>17</v>
      </c>
      <c r="C32" s="20">
        <f>+VLOOKUP($B32,COGS!$K$30:$L$36,2,FALSE)/VLOOKUP($B32,'Average Inventories &amp; Cost'!$K$26:$L$32,2,FALSE)</f>
        <v>85.571428571428569</v>
      </c>
      <c r="D32" s="20">
        <f>+VLOOKUP($B32,COGS!$K$30:$M$36,3,FALSE)/VLOOKUP($B32,'Average Inventories &amp; Cost'!$K$26:$M$32,3,FALSE)</f>
        <v>64.400000000000006</v>
      </c>
      <c r="E32" s="20">
        <f>+VLOOKUP($B32,COGS!$K$30:$N$36,4,FALSE)/VLOOKUP($B32,'Average Inventories &amp; Cost'!$K$26:$N$32,4,FALSE)</f>
        <v>61.44</v>
      </c>
      <c r="F32" s="20">
        <f>+VLOOKUP($B32,COGS!$K$30:$O$36,5,FALSE)/VLOOKUP($B32,'Average Inventories &amp; Cost'!$K$26:$O$32,5,FALSE)</f>
        <v>96.07692307692308</v>
      </c>
      <c r="G32" s="292"/>
      <c r="H32" s="292"/>
    </row>
    <row r="33" spans="2:25" ht="15.75" x14ac:dyDescent="0.25">
      <c r="B33" s="19" t="s">
        <v>18</v>
      </c>
      <c r="C33" s="20">
        <f>+VLOOKUP($B33,COGS!$K$30:$L$36,2,FALSE)/VLOOKUP($B33,'Average Inventories &amp; Cost'!$K$26:$L$32,2,FALSE)</f>
        <v>103.4</v>
      </c>
      <c r="D33" s="20">
        <f>+VLOOKUP($B33,COGS!$K$30:$M$36,3,FALSE)/VLOOKUP($B33,'Average Inventories &amp; Cost'!$K$26:$M$32,3,FALSE)</f>
        <v>104.3</v>
      </c>
      <c r="E33" s="20">
        <f>+VLOOKUP($B33,COGS!$K$30:$N$36,4,FALSE)/VLOOKUP($B33,'Average Inventories &amp; Cost'!$K$26:$N$32,4,FALSE)</f>
        <v>92.181818181818187</v>
      </c>
      <c r="F33" s="20">
        <f>+VLOOKUP($B33,COGS!$K$30:$O$36,5,FALSE)/VLOOKUP($B33,'Average Inventories &amp; Cost'!$K$26:$O$32,5,FALSE)</f>
        <v>92.565217391304344</v>
      </c>
      <c r="G33" s="292"/>
      <c r="H33" s="292"/>
    </row>
    <row r="34" spans="2:25" ht="15.75" x14ac:dyDescent="0.25">
      <c r="B34" s="19" t="s">
        <v>130</v>
      </c>
      <c r="C34" s="20">
        <f>+VLOOKUP($B34,COGS!$K$30:$L$36,2,FALSE)/VLOOKUP($B34,'Average Inventories &amp; Cost'!$K$26:$L$32,2,FALSE)</f>
        <v>62.714285714285715</v>
      </c>
      <c r="D34" s="20">
        <f>+VLOOKUP($B34,COGS!$K$30:$M$36,3,FALSE)/VLOOKUP($B34,'Average Inventories &amp; Cost'!$K$26:$M$32,3,FALSE)</f>
        <v>22.315789473684209</v>
      </c>
      <c r="E34" s="20">
        <f>+VLOOKUP($B34,COGS!$K$30:$N$36,4,FALSE)/VLOOKUP($B34,'Average Inventories &amp; Cost'!$K$26:$N$32,4,FALSE)</f>
        <v>77.833333333333329</v>
      </c>
      <c r="F34" s="20">
        <f>+VLOOKUP($B34,COGS!$K$30:$O$36,5,FALSE)/VLOOKUP($B34,'Average Inventories &amp; Cost'!$K$26:$O$32,5,FALSE)</f>
        <v>133</v>
      </c>
      <c r="G34" s="292"/>
      <c r="H34" s="292"/>
    </row>
    <row r="35" spans="2:25" ht="15.75" x14ac:dyDescent="0.25">
      <c r="B35" s="19" t="s">
        <v>19</v>
      </c>
      <c r="C35" s="20">
        <f>+VLOOKUP($B35,COGS!$K$30:$L$36,2,FALSE)/VLOOKUP($B35,'Average Inventories &amp; Cost'!$K$26:$L$32,2,FALSE)</f>
        <v>83</v>
      </c>
      <c r="D35" s="20">
        <f>+VLOOKUP($B35,COGS!$K$30:$M$36,3,FALSE)/VLOOKUP($B35,'Average Inventories &amp; Cost'!$K$26:$M$32,3,FALSE)</f>
        <v>63.153846153846153</v>
      </c>
      <c r="E35" s="20">
        <f>+VLOOKUP($B35,COGS!$K$30:$N$36,4,FALSE)/VLOOKUP($B35,'Average Inventories &amp; Cost'!$K$26:$N$32,4,FALSE)</f>
        <v>61.75</v>
      </c>
      <c r="F35" s="20">
        <f>+VLOOKUP($B35,COGS!$K$30:$O$36,5,FALSE)/VLOOKUP($B35,'Average Inventories &amp; Cost'!$K$26:$O$32,5,FALSE)</f>
        <v>80</v>
      </c>
      <c r="G35" s="292"/>
      <c r="H35" s="292"/>
    </row>
    <row r="36" spans="2:25" ht="15.75" x14ac:dyDescent="0.25">
      <c r="B36" s="19" t="s">
        <v>20</v>
      </c>
      <c r="C36" s="20">
        <f>+VLOOKUP($B36,COGS!$K$30:$L$36,2,FALSE)/VLOOKUP($B36,'Average Inventories &amp; Cost'!$K$26:$L$32,2,FALSE)</f>
        <v>68.037037037037038</v>
      </c>
      <c r="D36" s="20">
        <f>+VLOOKUP($B36,COGS!$K$30:$M$36,3,FALSE)/VLOOKUP($B36,'Average Inventories &amp; Cost'!$K$26:$M$32,3,FALSE)</f>
        <v>71.333333333333329</v>
      </c>
      <c r="E36" s="20">
        <f>+VLOOKUP($B36,COGS!$K$30:$N$36,4,FALSE)/VLOOKUP($B36,'Average Inventories &amp; Cost'!$K$26:$N$32,4,FALSE)</f>
        <v>62.375</v>
      </c>
      <c r="F36" s="20">
        <f>+VLOOKUP($B36,COGS!$K$30:$O$36,5,FALSE)/VLOOKUP($B36,'Average Inventories &amp; Cost'!$K$26:$O$32,5,FALSE)</f>
        <v>74.529411764705884</v>
      </c>
      <c r="G36" s="292"/>
      <c r="H36" s="292"/>
    </row>
    <row r="37" spans="2:25" ht="15.75" x14ac:dyDescent="0.25">
      <c r="B37" s="19" t="s">
        <v>131</v>
      </c>
      <c r="C37" s="20">
        <f>+VLOOKUP($B37,COGS!$K$30:$L$36,2,FALSE)/VLOOKUP($B37,'Average Inventories &amp; Cost'!$K$26:$L$32,2,FALSE)</f>
        <v>86.088235294117652</v>
      </c>
      <c r="D37" s="20">
        <f>+VLOOKUP($B37,COGS!$K$30:$M$36,3,FALSE)/VLOOKUP($B37,'Average Inventories &amp; Cost'!$K$26:$M$32,3,FALSE)</f>
        <v>54.148148148148145</v>
      </c>
      <c r="E37" s="20">
        <f>+VLOOKUP($B37,COGS!$K$30:$N$36,4,FALSE)/VLOOKUP($B37,'Average Inventories &amp; Cost'!$K$26:$N$32,4,FALSE)</f>
        <v>65.695652173913047</v>
      </c>
      <c r="F37" s="20">
        <f>+VLOOKUP($B37,COGS!$K$30:$O$36,5,FALSE)/VLOOKUP($B37,'Average Inventories &amp; Cost'!$K$26:$O$32,5,FALSE)</f>
        <v>98.625</v>
      </c>
      <c r="G37" s="292"/>
      <c r="H37" s="292"/>
    </row>
    <row r="38" spans="2:25" ht="15.75" x14ac:dyDescent="0.25">
      <c r="B38" s="19" t="s">
        <v>132</v>
      </c>
      <c r="C38" s="20">
        <f>+VLOOKUP($B38,COGS!$K$30:$L$36,2,FALSE)/VLOOKUP($B38,'Average Inventories &amp; Cost'!$K$26:$L$32,2,FALSE)</f>
        <v>113.04347826086956</v>
      </c>
      <c r="D38" s="20">
        <f>+VLOOKUP($B38,COGS!$K$30:$M$36,3,FALSE)/VLOOKUP($B38,'Average Inventories &amp; Cost'!$K$26:$M$32,3,FALSE)</f>
        <v>86.428571428571431</v>
      </c>
      <c r="E38" s="20">
        <f>+VLOOKUP($B38,COGS!$K$30:$N$36,4,FALSE)/VLOOKUP($B38,'Average Inventories &amp; Cost'!$K$26:$N$32,4,FALSE)</f>
        <v>56.125</v>
      </c>
      <c r="F38" s="20">
        <f>+VLOOKUP($B38,COGS!$K$30:$O$36,5,FALSE)/VLOOKUP($B38,'Average Inventories &amp; Cost'!$K$26:$O$32,5,FALSE)</f>
        <v>81.5</v>
      </c>
      <c r="G38" s="292"/>
      <c r="H38" s="292"/>
    </row>
    <row r="39" spans="2:25" ht="15.75" x14ac:dyDescent="0.25">
      <c r="B39" s="19" t="s">
        <v>109</v>
      </c>
      <c r="C39" s="214">
        <f>+AVERAGE(C32:C38)</f>
        <v>85.979209268248368</v>
      </c>
      <c r="D39" s="214">
        <f t="shared" ref="D39:F39" si="14">+AVERAGE(D32:D38)</f>
        <v>66.582812648226181</v>
      </c>
      <c r="E39" s="214">
        <f t="shared" si="14"/>
        <v>68.200114812723513</v>
      </c>
      <c r="F39" s="214">
        <f t="shared" si="14"/>
        <v>93.756650318990481</v>
      </c>
      <c r="G39" s="403"/>
      <c r="H39" s="403"/>
    </row>
    <row r="40" spans="2:25" x14ac:dyDescent="0.2">
      <c r="G40" s="291"/>
      <c r="H40" s="291"/>
    </row>
    <row r="41" spans="2:25" x14ac:dyDescent="0.2">
      <c r="G41" s="291"/>
      <c r="H41" s="291"/>
    </row>
    <row r="42" spans="2:25" x14ac:dyDescent="0.2">
      <c r="G42" s="291"/>
      <c r="H42" s="291"/>
    </row>
    <row r="43" spans="2:25" x14ac:dyDescent="0.2">
      <c r="G43" s="291"/>
      <c r="H43" s="291"/>
    </row>
    <row r="44" spans="2:25" x14ac:dyDescent="0.2">
      <c r="G44" s="291"/>
      <c r="H44" s="291"/>
    </row>
    <row r="45" spans="2:25" ht="20.25" thickBot="1" x14ac:dyDescent="0.35">
      <c r="G45" s="291"/>
      <c r="H45" s="291"/>
      <c r="J45" s="220" t="s">
        <v>212</v>
      </c>
      <c r="Y45" s="220" t="s">
        <v>213</v>
      </c>
    </row>
    <row r="46" spans="2:25" ht="19.5" thickTop="1" x14ac:dyDescent="0.3">
      <c r="G46" s="291"/>
      <c r="H46" s="291"/>
      <c r="J46" s="77" t="s">
        <v>165</v>
      </c>
      <c r="K46" t="s">
        <v>31</v>
      </c>
      <c r="T46" s="218" t="s">
        <v>176</v>
      </c>
      <c r="U46" s="2"/>
      <c r="V46" s="2"/>
      <c r="W46" s="2"/>
      <c r="X46" s="2"/>
    </row>
    <row r="47" spans="2:25" ht="15.75" x14ac:dyDescent="0.25">
      <c r="G47" s="291"/>
      <c r="H47" s="291"/>
      <c r="T47" s="18" t="s">
        <v>16</v>
      </c>
      <c r="U47" s="35" t="s">
        <v>2</v>
      </c>
      <c r="V47" s="35" t="s">
        <v>3</v>
      </c>
      <c r="W47" s="35" t="s">
        <v>4</v>
      </c>
      <c r="X47" s="35" t="s">
        <v>5</v>
      </c>
    </row>
    <row r="48" spans="2:25" ht="16.5" thickBot="1" x14ac:dyDescent="0.3">
      <c r="G48" s="291"/>
      <c r="H48" s="291"/>
      <c r="J48" s="77" t="s">
        <v>177</v>
      </c>
      <c r="K48" s="77" t="s">
        <v>89</v>
      </c>
      <c r="T48" s="19" t="s">
        <v>17</v>
      </c>
      <c r="U48" s="216">
        <f t="shared" ref="U48:X54" si="15">365/C32</f>
        <v>4.2654424040066781</v>
      </c>
      <c r="V48" s="216">
        <f t="shared" si="15"/>
        <v>5.6677018633540364</v>
      </c>
      <c r="W48" s="216">
        <f t="shared" si="15"/>
        <v>5.9407552083333339</v>
      </c>
      <c r="X48" s="216">
        <f t="shared" si="15"/>
        <v>3.799039231385108</v>
      </c>
      <c r="Y48" s="330">
        <v>365</v>
      </c>
    </row>
    <row r="49" spans="7:29" ht="15.75" x14ac:dyDescent="0.25">
      <c r="G49" s="291"/>
      <c r="H49" s="291"/>
      <c r="J49" s="77" t="s">
        <v>90</v>
      </c>
      <c r="K49" t="s">
        <v>159</v>
      </c>
      <c r="L49" t="s">
        <v>160</v>
      </c>
      <c r="M49" t="s">
        <v>161</v>
      </c>
      <c r="N49" t="s">
        <v>32</v>
      </c>
      <c r="T49" s="19" t="s">
        <v>18</v>
      </c>
      <c r="U49" s="216">
        <f t="shared" si="15"/>
        <v>3.5299806576402317</v>
      </c>
      <c r="V49" s="216">
        <f t="shared" si="15"/>
        <v>3.4995206136145733</v>
      </c>
      <c r="W49" s="216">
        <f t="shared" si="15"/>
        <v>3.9595660749506902</v>
      </c>
      <c r="X49" s="301">
        <f t="shared" si="15"/>
        <v>3.9431658055425083</v>
      </c>
      <c r="Y49" s="302" t="s">
        <v>90</v>
      </c>
      <c r="Z49" s="303">
        <v>2012</v>
      </c>
      <c r="AA49" s="303">
        <v>2013</v>
      </c>
      <c r="AB49" s="303">
        <v>2014</v>
      </c>
      <c r="AC49" s="304" t="s">
        <v>29</v>
      </c>
    </row>
    <row r="50" spans="7:29" ht="15.75" x14ac:dyDescent="0.25">
      <c r="G50" s="291"/>
      <c r="H50" s="291"/>
      <c r="J50" s="78" t="s">
        <v>130</v>
      </c>
      <c r="K50" s="219">
        <v>56.886568986568989</v>
      </c>
      <c r="L50" s="219">
        <v>68.513194444444451</v>
      </c>
      <c r="M50" s="219">
        <v>73.965852130325814</v>
      </c>
      <c r="N50" s="219">
        <v>66.45520518711308</v>
      </c>
      <c r="O50">
        <v>56.886568986568989</v>
      </c>
      <c r="P50">
        <v>68.513194444444451</v>
      </c>
      <c r="Q50">
        <v>73.965852130325814</v>
      </c>
      <c r="R50">
        <v>66.45520518711308</v>
      </c>
      <c r="T50" s="19" t="s">
        <v>130</v>
      </c>
      <c r="U50" s="216">
        <f t="shared" si="15"/>
        <v>5.8200455580865604</v>
      </c>
      <c r="V50" s="216">
        <f t="shared" si="15"/>
        <v>16.356132075471699</v>
      </c>
      <c r="W50" s="216">
        <f t="shared" si="15"/>
        <v>4.6895074946466808</v>
      </c>
      <c r="X50" s="301">
        <f t="shared" si="15"/>
        <v>2.744360902255639</v>
      </c>
      <c r="Y50" s="311" t="s">
        <v>130</v>
      </c>
      <c r="Z50" s="300">
        <f t="shared" ref="Z50:AC56" si="16">+$Y$48/O50</f>
        <v>6.4162772777907753</v>
      </c>
      <c r="AA50" s="300">
        <f t="shared" si="16"/>
        <v>5.3274409835899403</v>
      </c>
      <c r="AB50" s="300">
        <f t="shared" si="16"/>
        <v>4.9347095921626094</v>
      </c>
      <c r="AC50" s="312">
        <f t="shared" si="16"/>
        <v>5.4924215337579065</v>
      </c>
    </row>
    <row r="51" spans="7:29" ht="15.75" x14ac:dyDescent="0.25">
      <c r="G51" s="291"/>
      <c r="H51" s="291"/>
      <c r="J51" s="78" t="s">
        <v>18</v>
      </c>
      <c r="K51" s="219">
        <v>99.583090059845276</v>
      </c>
      <c r="L51" s="219">
        <v>100.16499542124542</v>
      </c>
      <c r="M51" s="219">
        <v>98.111758893280637</v>
      </c>
      <c r="N51" s="219">
        <v>99.286614791457097</v>
      </c>
      <c r="O51">
        <v>99.583090059845276</v>
      </c>
      <c r="P51">
        <v>100.16499542124542</v>
      </c>
      <c r="Q51">
        <v>98.111758893280637</v>
      </c>
      <c r="R51">
        <v>99.286614791457097</v>
      </c>
      <c r="T51" s="19" t="s">
        <v>19</v>
      </c>
      <c r="U51" s="216">
        <f t="shared" si="15"/>
        <v>4.3975903614457827</v>
      </c>
      <c r="V51" s="216">
        <f t="shared" si="15"/>
        <v>5.7795371498172958</v>
      </c>
      <c r="W51" s="216">
        <f t="shared" si="15"/>
        <v>5.9109311740890691</v>
      </c>
      <c r="X51" s="301">
        <f t="shared" si="15"/>
        <v>4.5625</v>
      </c>
      <c r="Y51" s="311" t="s">
        <v>18</v>
      </c>
      <c r="Z51" s="300">
        <f t="shared" si="16"/>
        <v>3.6652809204921262</v>
      </c>
      <c r="AA51" s="300">
        <f t="shared" si="16"/>
        <v>3.6439875873301539</v>
      </c>
      <c r="AB51" s="300">
        <f t="shared" si="16"/>
        <v>3.7202472376121847</v>
      </c>
      <c r="AC51" s="312">
        <f t="shared" si="16"/>
        <v>3.676225650019902</v>
      </c>
    </row>
    <row r="52" spans="7:29" ht="15.75" x14ac:dyDescent="0.25">
      <c r="G52" s="291"/>
      <c r="H52" s="291"/>
      <c r="J52" s="78" t="s">
        <v>132</v>
      </c>
      <c r="K52" s="219">
        <v>107.93785947712418</v>
      </c>
      <c r="L52" s="219">
        <v>72.983312324929969</v>
      </c>
      <c r="M52" s="219">
        <v>84.274262422360252</v>
      </c>
      <c r="N52" s="219">
        <v>88.3984780748048</v>
      </c>
      <c r="O52">
        <v>107.93785947712418</v>
      </c>
      <c r="P52">
        <v>72.983312324929969</v>
      </c>
      <c r="Q52">
        <v>84.274262422360252</v>
      </c>
      <c r="R52">
        <v>88.3984780748048</v>
      </c>
      <c r="T52" s="19" t="s">
        <v>20</v>
      </c>
      <c r="U52" s="216">
        <f t="shared" si="15"/>
        <v>5.3647250952640171</v>
      </c>
      <c r="V52" s="216">
        <f t="shared" si="15"/>
        <v>5.1168224299065423</v>
      </c>
      <c r="W52" s="216">
        <f t="shared" si="15"/>
        <v>5.8517034068136269</v>
      </c>
      <c r="X52" s="301">
        <f t="shared" si="15"/>
        <v>4.8973954222573006</v>
      </c>
      <c r="Y52" s="311" t="s">
        <v>132</v>
      </c>
      <c r="Z52" s="300">
        <f t="shared" si="16"/>
        <v>3.3815753042365668</v>
      </c>
      <c r="AA52" s="300">
        <f t="shared" si="16"/>
        <v>5.0011432527887836</v>
      </c>
      <c r="AB52" s="300">
        <f t="shared" si="16"/>
        <v>4.3310969388342651</v>
      </c>
      <c r="AC52" s="312">
        <f t="shared" si="16"/>
        <v>4.1290303628432232</v>
      </c>
    </row>
    <row r="53" spans="7:29" ht="15.75" x14ac:dyDescent="0.25">
      <c r="G53" s="291"/>
      <c r="H53" s="291"/>
      <c r="J53" s="78" t="s">
        <v>19</v>
      </c>
      <c r="K53" s="219">
        <v>85.127942840973404</v>
      </c>
      <c r="L53" s="219">
        <v>92.724728487886381</v>
      </c>
      <c r="M53" s="219">
        <v>71.975961538461547</v>
      </c>
      <c r="N53" s="219">
        <v>83.276210955773777</v>
      </c>
      <c r="O53">
        <v>85.127942840973404</v>
      </c>
      <c r="P53">
        <v>92.724728487886381</v>
      </c>
      <c r="Q53">
        <v>71.975961538461547</v>
      </c>
      <c r="R53">
        <v>83.276210955773777</v>
      </c>
      <c r="T53" s="19" t="s">
        <v>131</v>
      </c>
      <c r="U53" s="216">
        <f t="shared" si="15"/>
        <v>4.2398360095661083</v>
      </c>
      <c r="V53" s="216">
        <f t="shared" si="15"/>
        <v>6.7407660738714092</v>
      </c>
      <c r="W53" s="216">
        <f t="shared" si="15"/>
        <v>5.5559232296492382</v>
      </c>
      <c r="X53" s="301">
        <f t="shared" si="15"/>
        <v>3.7008871989860581</v>
      </c>
      <c r="Y53" s="311" t="s">
        <v>19</v>
      </c>
      <c r="Z53" s="300">
        <f t="shared" si="16"/>
        <v>4.2876638130660876</v>
      </c>
      <c r="AA53" s="300">
        <f t="shared" si="16"/>
        <v>3.9363825157782353</v>
      </c>
      <c r="AB53" s="300">
        <f t="shared" si="16"/>
        <v>5.0711375325629549</v>
      </c>
      <c r="AC53" s="312">
        <f t="shared" si="16"/>
        <v>4.3830044115941318</v>
      </c>
    </row>
    <row r="54" spans="7:29" ht="15.75" x14ac:dyDescent="0.25">
      <c r="G54" s="291"/>
      <c r="H54" s="291"/>
      <c r="J54" s="78" t="s">
        <v>131</v>
      </c>
      <c r="K54" s="219">
        <v>96.317158385093165</v>
      </c>
      <c r="L54" s="219">
        <v>79.629886039886046</v>
      </c>
      <c r="M54" s="219">
        <v>76.139258904044709</v>
      </c>
      <c r="N54" s="219">
        <v>84.028767776341297</v>
      </c>
      <c r="O54">
        <v>96.317158385093165</v>
      </c>
      <c r="P54">
        <v>79.629886039886046</v>
      </c>
      <c r="Q54">
        <v>76.139258904044709</v>
      </c>
      <c r="R54">
        <v>84.028767776341297</v>
      </c>
      <c r="T54" s="19" t="s">
        <v>132</v>
      </c>
      <c r="U54" s="216">
        <f t="shared" si="15"/>
        <v>3.2288461538461539</v>
      </c>
      <c r="V54" s="216">
        <f t="shared" si="15"/>
        <v>4.2231404958677681</v>
      </c>
      <c r="W54" s="216">
        <f t="shared" si="15"/>
        <v>6.5033407572383073</v>
      </c>
      <c r="X54" s="301">
        <f t="shared" si="15"/>
        <v>4.4785276073619631</v>
      </c>
      <c r="Y54" s="311" t="s">
        <v>131</v>
      </c>
      <c r="Z54" s="300">
        <f t="shared" si="16"/>
        <v>3.789563626250942</v>
      </c>
      <c r="AA54" s="300">
        <f t="shared" si="16"/>
        <v>4.5837061705346924</v>
      </c>
      <c r="AB54" s="300">
        <f t="shared" si="16"/>
        <v>4.7938475532050431</v>
      </c>
      <c r="AC54" s="312">
        <f t="shared" si="16"/>
        <v>4.3437504756884877</v>
      </c>
    </row>
    <row r="55" spans="7:29" ht="15.75" x14ac:dyDescent="0.25">
      <c r="G55" s="291"/>
      <c r="H55" s="291"/>
      <c r="J55" s="78" t="s">
        <v>20</v>
      </c>
      <c r="K55" s="219">
        <v>90.210606060606068</v>
      </c>
      <c r="L55" s="219">
        <v>88.503950216450221</v>
      </c>
      <c r="M55" s="219">
        <v>69.068695533769073</v>
      </c>
      <c r="N55" s="219">
        <v>82.594417270275116</v>
      </c>
      <c r="O55">
        <v>90.210606060606068</v>
      </c>
      <c r="P55">
        <v>88.503950216450221</v>
      </c>
      <c r="Q55">
        <v>69.068695533769073</v>
      </c>
      <c r="R55">
        <v>82.594417270275116</v>
      </c>
      <c r="T55" s="19" t="s">
        <v>109</v>
      </c>
      <c r="U55" s="217">
        <f t="shared" ref="U55" si="17">+ROUNDUP(AVERAGE(U48:U54),0)</f>
        <v>5</v>
      </c>
      <c r="V55" s="217">
        <f t="shared" ref="V55" si="18">+ROUNDUP(AVERAGE(V48:V54),0)</f>
        <v>7</v>
      </c>
      <c r="W55" s="217">
        <f t="shared" ref="W55" si="19">+ROUNDUP(AVERAGE(W48:W54),0)</f>
        <v>6</v>
      </c>
      <c r="X55" s="310">
        <f t="shared" ref="X55" si="20">+ROUNDUP(AVERAGE(X48:X54),0)</f>
        <v>5</v>
      </c>
      <c r="Y55" s="311" t="s">
        <v>20</v>
      </c>
      <c r="Z55" s="300">
        <f t="shared" si="16"/>
        <v>4.0460874384856984</v>
      </c>
      <c r="AA55" s="300">
        <f t="shared" si="16"/>
        <v>4.1241097047909792</v>
      </c>
      <c r="AB55" s="300">
        <f t="shared" si="16"/>
        <v>5.2845937972224215</v>
      </c>
      <c r="AC55" s="312">
        <f t="shared" si="16"/>
        <v>4.4191848803243481</v>
      </c>
    </row>
    <row r="56" spans="7:29" ht="16.5" thickBot="1" x14ac:dyDescent="0.3">
      <c r="G56" s="291"/>
      <c r="H56" s="291"/>
      <c r="J56" s="78" t="s">
        <v>17</v>
      </c>
      <c r="K56" s="219">
        <v>61.95595601322146</v>
      </c>
      <c r="L56" s="219">
        <v>74.437948717948714</v>
      </c>
      <c r="M56" s="219">
        <v>76.87208791208792</v>
      </c>
      <c r="N56" s="219">
        <v>71.088664214419353</v>
      </c>
      <c r="O56">
        <v>61.95595601322146</v>
      </c>
      <c r="P56">
        <v>74.437948717948714</v>
      </c>
      <c r="Q56">
        <v>76.87208791208792</v>
      </c>
      <c r="R56">
        <v>71.088664214419353</v>
      </c>
      <c r="Y56" s="313" t="s">
        <v>17</v>
      </c>
      <c r="Z56" s="307">
        <f t="shared" si="16"/>
        <v>5.8912818635565669</v>
      </c>
      <c r="AA56" s="307">
        <f t="shared" si="16"/>
        <v>4.9034129269603319</v>
      </c>
      <c r="AB56" s="307">
        <f t="shared" si="16"/>
        <v>4.7481473433818984</v>
      </c>
      <c r="AC56" s="314">
        <f t="shared" si="16"/>
        <v>5.134433232548556</v>
      </c>
    </row>
    <row r="57" spans="7:29" x14ac:dyDescent="0.2">
      <c r="J57" s="78" t="s">
        <v>32</v>
      </c>
      <c r="K57" s="219">
        <v>85.431311689061801</v>
      </c>
      <c r="L57" s="219">
        <v>82.422573664684478</v>
      </c>
      <c r="M57" s="219">
        <v>78.629696762047118</v>
      </c>
      <c r="N57" s="219">
        <v>82.16119403859777</v>
      </c>
    </row>
  </sheetData>
  <pageMargins left="0.7" right="0.43" top="0.75" bottom="0.75" header="0.3" footer="0.3"/>
  <pageSetup paperSize="9" scale="58" fitToHeight="0" orientation="landscape" r:id="rId3"/>
  <headerFooter>
    <oddHeader>&amp;C&amp;14Sheet: &amp;A</oddHeader>
    <oddFooter>&amp;L&amp;11Group 28's Business Model&amp;C&amp;11&amp;P&amp;R&amp;11SP52/2016-BX2016</oddFooter>
  </headerFooter>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K11"/>
  <sheetViews>
    <sheetView workbookViewId="0">
      <selection activeCell="D26" sqref="D26"/>
    </sheetView>
  </sheetViews>
  <sheetFormatPr defaultRowHeight="12.75" x14ac:dyDescent="0.2"/>
  <cols>
    <col min="1" max="1" width="23.140625" bestFit="1" customWidth="1"/>
    <col min="2" max="5" width="14" bestFit="1" customWidth="1"/>
    <col min="6" max="6" width="11.85546875" bestFit="1" customWidth="1"/>
    <col min="7" max="7" width="14" hidden="1" customWidth="1"/>
    <col min="8" max="8" width="12.5703125" hidden="1" customWidth="1"/>
    <col min="9" max="11" width="14" bestFit="1" customWidth="1"/>
  </cols>
  <sheetData>
    <row r="1" spans="1:11" s="262" customFormat="1" x14ac:dyDescent="0.2">
      <c r="A1" s="261"/>
      <c r="B1" s="436" t="s">
        <v>34</v>
      </c>
      <c r="C1" s="436"/>
      <c r="D1" s="436"/>
      <c r="E1" s="436" t="s">
        <v>35</v>
      </c>
      <c r="F1" s="436"/>
      <c r="G1" s="436" t="s">
        <v>126</v>
      </c>
      <c r="H1" s="437"/>
      <c r="I1" s="268" t="s">
        <v>36</v>
      </c>
      <c r="J1" s="269" t="s">
        <v>37</v>
      </c>
      <c r="K1" s="270" t="s">
        <v>38</v>
      </c>
    </row>
    <row r="2" spans="1:11" s="262" customFormat="1" x14ac:dyDescent="0.2">
      <c r="A2" s="261"/>
      <c r="B2" s="261">
        <v>2012</v>
      </c>
      <c r="C2" s="261">
        <v>2013</v>
      </c>
      <c r="D2" s="261">
        <v>2014</v>
      </c>
      <c r="E2" s="261">
        <v>2015</v>
      </c>
      <c r="F2" s="261" t="s">
        <v>39</v>
      </c>
      <c r="G2" s="261">
        <v>2015</v>
      </c>
      <c r="H2" s="263" t="s">
        <v>39</v>
      </c>
      <c r="I2" s="271">
        <v>2015</v>
      </c>
      <c r="J2" s="260">
        <v>2015</v>
      </c>
      <c r="K2" s="272">
        <v>2015</v>
      </c>
    </row>
    <row r="3" spans="1:11" s="176" customFormat="1" x14ac:dyDescent="0.2">
      <c r="A3" s="257" t="s">
        <v>48</v>
      </c>
      <c r="B3" s="258">
        <v>25175400</v>
      </c>
      <c r="C3" s="258">
        <v>25672640</v>
      </c>
      <c r="D3" s="258">
        <v>28918270</v>
      </c>
      <c r="E3" s="258">
        <v>30331640</v>
      </c>
      <c r="F3" s="259">
        <v>4.8874638766426903</v>
      </c>
      <c r="G3" s="258">
        <v>28951188.666666526</v>
      </c>
      <c r="H3" s="264">
        <v>0.11383345776398916</v>
      </c>
      <c r="I3" s="274">
        <v>26026443</v>
      </c>
      <c r="J3" s="273">
        <v>31810097.000000004</v>
      </c>
      <c r="K3" s="275">
        <v>34701924</v>
      </c>
    </row>
    <row r="4" spans="1:11" x14ac:dyDescent="0.2">
      <c r="A4" s="248" t="s">
        <v>40</v>
      </c>
      <c r="B4" s="249">
        <v>19204775</v>
      </c>
      <c r="C4" s="249">
        <v>19609195</v>
      </c>
      <c r="D4" s="249">
        <v>22074155</v>
      </c>
      <c r="E4" s="249">
        <v>23165421.666666508</v>
      </c>
      <c r="F4" s="250">
        <v>4.9436395942064726</v>
      </c>
      <c r="G4" s="249">
        <v>23165421.666666508</v>
      </c>
      <c r="H4" s="265">
        <v>4.9436395942064726</v>
      </c>
      <c r="I4" s="276">
        <v>23165421.666666508</v>
      </c>
      <c r="J4" s="255">
        <v>23165421.666666508</v>
      </c>
      <c r="K4" s="277">
        <v>23165421.666666508</v>
      </c>
    </row>
    <row r="5" spans="1:11" x14ac:dyDescent="0.2">
      <c r="A5" s="248" t="s">
        <v>41</v>
      </c>
      <c r="B5" s="249">
        <v>5970625</v>
      </c>
      <c r="C5" s="249">
        <v>6063445</v>
      </c>
      <c r="D5" s="249">
        <v>6844115</v>
      </c>
      <c r="E5" s="249">
        <v>7166218.3333333731</v>
      </c>
      <c r="F5" s="250">
        <v>4.7062817228140243</v>
      </c>
      <c r="G5" s="249">
        <v>5785767.0000000186</v>
      </c>
      <c r="H5" s="265">
        <v>-15.463620935650283</v>
      </c>
      <c r="I5" s="278">
        <v>2861021.3333334923</v>
      </c>
      <c r="J5" s="249">
        <v>8644675.333333496</v>
      </c>
      <c r="K5" s="279">
        <v>11536502.333333492</v>
      </c>
    </row>
    <row r="6" spans="1:11" s="176" customFormat="1" x14ac:dyDescent="0.2">
      <c r="A6" s="254" t="s">
        <v>192</v>
      </c>
      <c r="B6" s="255"/>
      <c r="C6" s="255"/>
      <c r="D6" s="255"/>
      <c r="E6" s="255"/>
      <c r="F6" s="256"/>
      <c r="G6" s="255"/>
      <c r="H6" s="266"/>
      <c r="I6" s="278"/>
      <c r="J6" s="249"/>
      <c r="K6" s="279"/>
    </row>
    <row r="7" spans="1:11" x14ac:dyDescent="0.2">
      <c r="A7" s="248" t="s">
        <v>193</v>
      </c>
      <c r="B7" s="249">
        <v>2164000</v>
      </c>
      <c r="C7" s="249">
        <v>2238000</v>
      </c>
      <c r="D7" s="249">
        <v>2336000</v>
      </c>
      <c r="E7" s="249">
        <v>2418000</v>
      </c>
      <c r="F7" s="250">
        <v>3.5102739726027399</v>
      </c>
      <c r="G7" s="249">
        <v>2418000</v>
      </c>
      <c r="H7" s="265">
        <v>3.5102739726027399</v>
      </c>
      <c r="I7" s="278">
        <v>2418000</v>
      </c>
      <c r="J7" s="249">
        <v>2418000</v>
      </c>
      <c r="K7" s="279">
        <v>2418000</v>
      </c>
    </row>
    <row r="8" spans="1:11" x14ac:dyDescent="0.2">
      <c r="A8" s="247" t="s">
        <v>44</v>
      </c>
      <c r="B8" s="249">
        <v>830000</v>
      </c>
      <c r="C8" s="249">
        <v>830000</v>
      </c>
      <c r="D8" s="249">
        <v>830000</v>
      </c>
      <c r="E8" s="249">
        <v>830000</v>
      </c>
      <c r="F8" s="250">
        <v>0</v>
      </c>
      <c r="G8" s="249">
        <v>830000</v>
      </c>
      <c r="H8" s="265">
        <v>0</v>
      </c>
      <c r="I8" s="278">
        <v>830000</v>
      </c>
      <c r="J8" s="249">
        <v>830000</v>
      </c>
      <c r="K8" s="279">
        <v>830000</v>
      </c>
    </row>
    <row r="9" spans="1:11" x14ac:dyDescent="0.2">
      <c r="A9" s="247" t="s">
        <v>45</v>
      </c>
      <c r="B9" s="249">
        <v>285000</v>
      </c>
      <c r="C9" s="249">
        <v>290000</v>
      </c>
      <c r="D9" s="249">
        <v>302000</v>
      </c>
      <c r="E9" s="249">
        <v>309333.33333333209</v>
      </c>
      <c r="F9" s="250">
        <v>2.4282560706397653</v>
      </c>
      <c r="G9" s="249">
        <v>309333.33333333209</v>
      </c>
      <c r="H9" s="265">
        <v>2.4282560706397653</v>
      </c>
      <c r="I9" s="278">
        <v>309333.33333333209</v>
      </c>
      <c r="J9" s="249">
        <v>309333.33333333209</v>
      </c>
      <c r="K9" s="279">
        <v>309333.33333333209</v>
      </c>
    </row>
    <row r="10" spans="1:11" x14ac:dyDescent="0.2">
      <c r="A10" s="247" t="s">
        <v>46</v>
      </c>
      <c r="B10" s="249">
        <v>1684021</v>
      </c>
      <c r="C10" s="249">
        <v>1720275</v>
      </c>
      <c r="D10" s="249">
        <v>2083267</v>
      </c>
      <c r="E10" s="249">
        <v>2228433.6666666865</v>
      </c>
      <c r="F10" s="250">
        <v>6.9682218681852373</v>
      </c>
      <c r="G10" s="249">
        <v>2228433.6666666865</v>
      </c>
      <c r="H10" s="265">
        <v>6.9682218681852373</v>
      </c>
      <c r="I10" s="278">
        <v>2228433.6666666865</v>
      </c>
      <c r="J10" s="249">
        <v>2228433.6666666865</v>
      </c>
      <c r="K10" s="279">
        <v>2228433.6666666865</v>
      </c>
    </row>
    <row r="11" spans="1:11" ht="13.5" thickBot="1" x14ac:dyDescent="0.25">
      <c r="A11" s="251" t="s">
        <v>194</v>
      </c>
      <c r="B11" s="252">
        <v>1007604</v>
      </c>
      <c r="C11" s="252">
        <v>985170</v>
      </c>
      <c r="D11" s="252">
        <v>1292848</v>
      </c>
      <c r="E11" s="252">
        <v>1380451.3333333135</v>
      </c>
      <c r="F11" s="253">
        <v>6.775996353269174</v>
      </c>
      <c r="G11" s="252">
        <v>0</v>
      </c>
      <c r="H11" s="267">
        <v>-100</v>
      </c>
      <c r="I11" s="280">
        <v>-2924745.6666665263</v>
      </c>
      <c r="J11" s="281">
        <v>2858908.3333334774</v>
      </c>
      <c r="K11" s="282">
        <v>5750735.3333334737</v>
      </c>
    </row>
  </sheetData>
  <mergeCells count="3">
    <mergeCell ref="B1:D1"/>
    <mergeCell ref="E1:F1"/>
    <mergeCell ref="G1:H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pageSetUpPr fitToPage="1"/>
  </sheetPr>
  <dimension ref="B3:Y43"/>
  <sheetViews>
    <sheetView zoomScale="80" zoomScaleNormal="80" workbookViewId="0">
      <pane xSplit="2" ySplit="7" topLeftCell="N32" activePane="bottomRight" state="frozen"/>
      <selection activeCell="D21" sqref="D21"/>
      <selection pane="topRight" activeCell="D21" sqref="D21"/>
      <selection pane="bottomLeft" activeCell="D21" sqref="D21"/>
      <selection pane="bottomRight" activeCell="J1" sqref="J1:V40"/>
    </sheetView>
  </sheetViews>
  <sheetFormatPr defaultRowHeight="12.75" x14ac:dyDescent="0.2"/>
  <cols>
    <col min="2" max="2" width="15.5703125" customWidth="1"/>
    <col min="3" max="3" width="19.140625" customWidth="1"/>
    <col min="4" max="5" width="12" customWidth="1"/>
    <col min="6" max="6" width="12" bestFit="1" customWidth="1"/>
    <col min="7" max="7" width="12.42578125" customWidth="1"/>
    <col min="8" max="8" width="15.28515625" customWidth="1"/>
    <col min="9" max="9" width="7.28515625" customWidth="1"/>
    <col min="10" max="10" width="6.85546875" customWidth="1"/>
    <col min="12" max="12" width="16.140625" customWidth="1"/>
    <col min="13" max="13" width="16.28515625" bestFit="1" customWidth="1"/>
    <col min="14" max="22" width="16.5703125" bestFit="1" customWidth="1"/>
    <col min="25" max="25" width="14.42578125" bestFit="1" customWidth="1"/>
  </cols>
  <sheetData>
    <row r="3" spans="2:25" x14ac:dyDescent="0.2">
      <c r="W3" s="229"/>
    </row>
    <row r="4" spans="2:25" ht="18" x14ac:dyDescent="0.25">
      <c r="B4" s="77" t="s">
        <v>158</v>
      </c>
      <c r="C4" t="s">
        <v>31</v>
      </c>
      <c r="L4" s="137" t="s">
        <v>113</v>
      </c>
      <c r="W4" s="229"/>
    </row>
    <row r="5" spans="2:25" ht="13.5" thickBot="1" x14ac:dyDescent="0.25">
      <c r="M5" s="177"/>
      <c r="N5" s="177"/>
      <c r="O5" s="177"/>
      <c r="P5" s="177"/>
      <c r="Q5" s="177"/>
      <c r="R5" s="177"/>
      <c r="S5" s="177"/>
      <c r="T5" s="177"/>
      <c r="U5" s="177"/>
      <c r="V5" s="177"/>
      <c r="W5" s="229"/>
    </row>
    <row r="6" spans="2:25" ht="18" x14ac:dyDescent="0.25">
      <c r="B6" s="77" t="s">
        <v>88</v>
      </c>
      <c r="C6" s="77" t="s">
        <v>89</v>
      </c>
      <c r="J6" s="315"/>
      <c r="K6" s="233"/>
      <c r="L6" s="233"/>
      <c r="M6" s="438" t="s">
        <v>103</v>
      </c>
      <c r="N6" s="438"/>
      <c r="O6" s="438"/>
      <c r="P6" s="438"/>
      <c r="Q6" s="438"/>
      <c r="R6" s="438"/>
      <c r="S6" s="438"/>
      <c r="T6" s="438"/>
      <c r="U6" s="438"/>
      <c r="V6" s="439"/>
    </row>
    <row r="7" spans="2:25" x14ac:dyDescent="0.2">
      <c r="B7" s="77" t="s">
        <v>90</v>
      </c>
      <c r="C7" t="s">
        <v>2</v>
      </c>
      <c r="D7" t="s">
        <v>3</v>
      </c>
      <c r="E7" t="s">
        <v>4</v>
      </c>
      <c r="F7" t="s">
        <v>5</v>
      </c>
      <c r="G7" t="s">
        <v>32</v>
      </c>
      <c r="J7" s="235"/>
      <c r="K7" s="237"/>
      <c r="L7" s="237"/>
      <c r="M7" s="316">
        <v>-0.1</v>
      </c>
      <c r="N7" s="316">
        <v>-0.08</v>
      </c>
      <c r="O7" s="316">
        <v>-0.06</v>
      </c>
      <c r="P7" s="316">
        <v>-0.04</v>
      </c>
      <c r="Q7" s="316">
        <v>-0.02</v>
      </c>
      <c r="R7" s="316">
        <v>0</v>
      </c>
      <c r="S7" s="316">
        <v>0.02</v>
      </c>
      <c r="T7" s="316">
        <v>0.04</v>
      </c>
      <c r="U7" s="316">
        <v>0.06</v>
      </c>
      <c r="V7" s="317">
        <v>0.08</v>
      </c>
    </row>
    <row r="8" spans="2:25" ht="15.75" x14ac:dyDescent="0.25">
      <c r="B8" s="78" t="s">
        <v>48</v>
      </c>
      <c r="C8" s="131">
        <v>29614750</v>
      </c>
      <c r="D8" s="131">
        <v>19593790</v>
      </c>
      <c r="E8" s="131">
        <v>15696020</v>
      </c>
      <c r="F8" s="131">
        <v>14861750</v>
      </c>
      <c r="G8" s="131">
        <v>79766310</v>
      </c>
      <c r="J8" s="235"/>
      <c r="K8" s="237"/>
      <c r="L8" s="318">
        <f>H29</f>
        <v>3285622</v>
      </c>
      <c r="M8" s="210">
        <v>71789679</v>
      </c>
      <c r="N8" s="210">
        <v>73385005.200000003</v>
      </c>
      <c r="O8" s="210">
        <v>74980331.399999991</v>
      </c>
      <c r="P8" s="210">
        <v>76575657.599999994</v>
      </c>
      <c r="Q8" s="210">
        <v>78170983.799999997</v>
      </c>
      <c r="R8" s="211">
        <v>79766310</v>
      </c>
      <c r="S8" s="210">
        <v>81361636.200000003</v>
      </c>
      <c r="T8" s="210">
        <v>82956962.400000006</v>
      </c>
      <c r="U8" s="210">
        <v>84552288.600000009</v>
      </c>
      <c r="V8" s="319">
        <v>86147614.800000012</v>
      </c>
      <c r="X8" s="75"/>
      <c r="Y8" s="230"/>
    </row>
    <row r="9" spans="2:25" ht="15.75" x14ac:dyDescent="0.25">
      <c r="B9" s="78" t="s">
        <v>45</v>
      </c>
      <c r="C9" s="131">
        <v>290000</v>
      </c>
      <c r="D9" s="131">
        <v>260000</v>
      </c>
      <c r="E9" s="131">
        <v>205000</v>
      </c>
      <c r="F9" s="131">
        <v>122000</v>
      </c>
      <c r="G9" s="131">
        <v>877000</v>
      </c>
      <c r="I9" s="177"/>
      <c r="J9" s="440" t="s">
        <v>129</v>
      </c>
      <c r="K9" s="316">
        <v>-0.05</v>
      </c>
      <c r="L9" s="210">
        <v>72656653.599999994</v>
      </c>
      <c r="M9" s="320">
        <f t="dataTable" ref="M9:V29" dt2D="1" dtr="1" r1="H21" r2="H28"/>
        <v>-866974.59999999404</v>
      </c>
      <c r="N9" s="320">
        <v>728351.60000000894</v>
      </c>
      <c r="O9" s="320">
        <v>2323677.799999997</v>
      </c>
      <c r="P9" s="320">
        <v>3919004</v>
      </c>
      <c r="Q9" s="320">
        <v>5514330.200000003</v>
      </c>
      <c r="R9" s="320">
        <v>7109656.400000006</v>
      </c>
      <c r="S9" s="320">
        <v>8704982.6000000089</v>
      </c>
      <c r="T9" s="320">
        <v>10300308.800000012</v>
      </c>
      <c r="U9" s="320">
        <v>11895635.000000015</v>
      </c>
      <c r="V9" s="321">
        <v>13490961.200000018</v>
      </c>
    </row>
    <row r="10" spans="2:25" ht="15.75" x14ac:dyDescent="0.25">
      <c r="B10" s="78" t="s">
        <v>102</v>
      </c>
      <c r="C10" s="131">
        <v>22567945</v>
      </c>
      <c r="D10" s="131">
        <v>14987010</v>
      </c>
      <c r="E10" s="131">
        <v>12005535</v>
      </c>
      <c r="F10" s="131">
        <v>11327635</v>
      </c>
      <c r="G10" s="131">
        <v>60888125</v>
      </c>
      <c r="I10" s="177"/>
      <c r="J10" s="440"/>
      <c r="K10" s="316">
        <v>-0.04</v>
      </c>
      <c r="L10" s="210">
        <v>73421460.480000004</v>
      </c>
      <c r="M10" s="320">
        <v>-1631781.4800000042</v>
      </c>
      <c r="N10" s="320">
        <v>-36455.280000001192</v>
      </c>
      <c r="O10" s="320">
        <v>1558870.9199999869</v>
      </c>
      <c r="P10" s="320">
        <v>3154197.1199999899</v>
      </c>
      <c r="Q10" s="320">
        <v>4749523.3199999928</v>
      </c>
      <c r="R10" s="320">
        <v>6344849.5199999958</v>
      </c>
      <c r="S10" s="320">
        <v>7940175.7199999988</v>
      </c>
      <c r="T10" s="320">
        <v>9535501.9200000018</v>
      </c>
      <c r="U10" s="320">
        <v>11130828.120000005</v>
      </c>
      <c r="V10" s="322">
        <v>12726154.320000008</v>
      </c>
    </row>
    <row r="11" spans="2:25" ht="15.75" x14ac:dyDescent="0.25">
      <c r="B11" s="78" t="s">
        <v>44</v>
      </c>
      <c r="C11" s="131">
        <v>900000</v>
      </c>
      <c r="D11" s="131">
        <v>855000</v>
      </c>
      <c r="E11" s="131">
        <v>390000</v>
      </c>
      <c r="F11" s="131">
        <v>345000</v>
      </c>
      <c r="G11" s="131">
        <v>2490000</v>
      </c>
      <c r="I11" s="177"/>
      <c r="J11" s="440"/>
      <c r="K11" s="316">
        <v>-0.03</v>
      </c>
      <c r="L11" s="210">
        <v>74186267.359999999</v>
      </c>
      <c r="M11" s="320">
        <v>-2396588.3599999994</v>
      </c>
      <c r="N11" s="320">
        <v>-801262.15999999642</v>
      </c>
      <c r="O11" s="320">
        <v>794064.03999999166</v>
      </c>
      <c r="P11" s="320">
        <v>2389390.2399999946</v>
      </c>
      <c r="Q11" s="320">
        <v>3984716.4399999976</v>
      </c>
      <c r="R11" s="320">
        <v>5580042.6400000006</v>
      </c>
      <c r="S11" s="320">
        <v>7175368.8400000036</v>
      </c>
      <c r="T11" s="320">
        <v>8770695.0400000066</v>
      </c>
      <c r="U11" s="320">
        <v>10366021.24000001</v>
      </c>
      <c r="V11" s="322">
        <v>11961347.440000013</v>
      </c>
    </row>
    <row r="12" spans="2:25" ht="15.75" x14ac:dyDescent="0.25">
      <c r="B12" s="78" t="s">
        <v>166</v>
      </c>
      <c r="C12" s="131">
        <v>2289000</v>
      </c>
      <c r="D12" s="131">
        <v>2108000</v>
      </c>
      <c r="E12" s="131">
        <v>1261000</v>
      </c>
      <c r="F12" s="131">
        <v>1080000</v>
      </c>
      <c r="G12" s="131">
        <v>6738000</v>
      </c>
      <c r="I12" s="177"/>
      <c r="J12" s="440"/>
      <c r="K12" s="316">
        <v>-0.02</v>
      </c>
      <c r="L12" s="210">
        <v>74951074.239999995</v>
      </c>
      <c r="M12" s="320">
        <v>-3161395.2399999946</v>
      </c>
      <c r="N12" s="320">
        <v>-1566069.0399999917</v>
      </c>
      <c r="O12" s="320">
        <v>29257.159999996424</v>
      </c>
      <c r="P12" s="320">
        <v>1624583.3599999994</v>
      </c>
      <c r="Q12" s="320">
        <v>3219909.5600000024</v>
      </c>
      <c r="R12" s="320">
        <v>4815235.7600000054</v>
      </c>
      <c r="S12" s="320">
        <v>6410561.9600000083</v>
      </c>
      <c r="T12" s="320">
        <v>8005888.1600000113</v>
      </c>
      <c r="U12" s="320">
        <v>9601214.3600000143</v>
      </c>
      <c r="V12" s="322">
        <v>11196540.560000017</v>
      </c>
    </row>
    <row r="13" spans="2:25" ht="15.75" x14ac:dyDescent="0.25">
      <c r="B13" s="78" t="s">
        <v>46</v>
      </c>
      <c r="C13" s="131">
        <v>2021916</v>
      </c>
      <c r="D13" s="131">
        <v>1518138</v>
      </c>
      <c r="E13" s="131">
        <v>1186577</v>
      </c>
      <c r="F13" s="131">
        <v>760932</v>
      </c>
      <c r="G13" s="131">
        <v>5487563</v>
      </c>
      <c r="I13" s="177"/>
      <c r="J13" s="440"/>
      <c r="K13" s="316">
        <v>-0.02</v>
      </c>
      <c r="L13" s="210">
        <v>74951074.239999995</v>
      </c>
      <c r="M13" s="320">
        <v>-3161395.2399999946</v>
      </c>
      <c r="N13" s="320">
        <v>-1566069.0399999917</v>
      </c>
      <c r="O13" s="320">
        <v>29257.159999996424</v>
      </c>
      <c r="P13" s="320">
        <v>1624583.3599999994</v>
      </c>
      <c r="Q13" s="320">
        <v>3219909.5600000024</v>
      </c>
      <c r="R13" s="320">
        <v>4815235.7600000054</v>
      </c>
      <c r="S13" s="320">
        <v>6410561.9600000083</v>
      </c>
      <c r="T13" s="320">
        <v>8005888.1600000113</v>
      </c>
      <c r="U13" s="320">
        <v>9601214.3600000143</v>
      </c>
      <c r="V13" s="322">
        <v>11196540.560000017</v>
      </c>
    </row>
    <row r="14" spans="2:25" ht="15.75" x14ac:dyDescent="0.25">
      <c r="B14" s="78" t="s">
        <v>186</v>
      </c>
      <c r="C14" s="131">
        <v>1545889</v>
      </c>
      <c r="D14" s="131">
        <v>-134358</v>
      </c>
      <c r="E14" s="131">
        <v>647908</v>
      </c>
      <c r="F14" s="131">
        <v>1226183</v>
      </c>
      <c r="G14" s="131">
        <v>3285622</v>
      </c>
      <c r="I14" s="177"/>
      <c r="J14" s="440"/>
      <c r="K14" s="316">
        <v>0</v>
      </c>
      <c r="L14" s="212">
        <v>76480688</v>
      </c>
      <c r="M14" s="320">
        <v>-4691009</v>
      </c>
      <c r="N14" s="320">
        <v>-3095682.799999997</v>
      </c>
      <c r="O14" s="320">
        <v>-1500356.6000000089</v>
      </c>
      <c r="P14" s="320">
        <v>94969.59999999404</v>
      </c>
      <c r="Q14" s="320">
        <v>1690295.799999997</v>
      </c>
      <c r="R14" s="323">
        <v>3285622</v>
      </c>
      <c r="S14" s="320">
        <v>4880948.200000003</v>
      </c>
      <c r="T14" s="320">
        <v>6476274.400000006</v>
      </c>
      <c r="U14" s="320">
        <v>8071600.6000000089</v>
      </c>
      <c r="V14" s="322">
        <v>9666926.8000000119</v>
      </c>
    </row>
    <row r="15" spans="2:25" ht="15.75" x14ac:dyDescent="0.25">
      <c r="B15" s="78" t="s">
        <v>187</v>
      </c>
      <c r="C15" s="131">
        <v>7046805</v>
      </c>
      <c r="D15" s="131">
        <v>4606780</v>
      </c>
      <c r="E15" s="131">
        <v>3690485</v>
      </c>
      <c r="F15" s="131">
        <v>3534115</v>
      </c>
      <c r="G15" s="131">
        <v>18878185</v>
      </c>
      <c r="I15" s="177"/>
      <c r="J15" s="440"/>
      <c r="K15" s="316">
        <v>0.01</v>
      </c>
      <c r="L15" s="210">
        <v>77245494.879999995</v>
      </c>
      <c r="M15" s="320">
        <v>-5455815.8799999952</v>
      </c>
      <c r="N15" s="320">
        <v>-3860489.6799999923</v>
      </c>
      <c r="O15" s="320">
        <v>-2265163.4800000042</v>
      </c>
      <c r="P15" s="320">
        <v>-669837.28000000119</v>
      </c>
      <c r="Q15" s="320">
        <v>925488.92000000179</v>
      </c>
      <c r="R15" s="320">
        <v>2520815.1200000048</v>
      </c>
      <c r="S15" s="320">
        <v>4116141.3200000077</v>
      </c>
      <c r="T15" s="320">
        <v>5711467.5200000107</v>
      </c>
      <c r="U15" s="320">
        <v>7306793.7200000137</v>
      </c>
      <c r="V15" s="322">
        <v>8902119.9200000167</v>
      </c>
    </row>
    <row r="16" spans="2:25" ht="15.75" x14ac:dyDescent="0.25">
      <c r="B16" s="78" t="s">
        <v>188</v>
      </c>
      <c r="C16" s="131">
        <v>5500916</v>
      </c>
      <c r="D16" s="131">
        <v>4741138</v>
      </c>
      <c r="E16" s="131">
        <v>3042577</v>
      </c>
      <c r="F16" s="131">
        <v>2307932</v>
      </c>
      <c r="G16" s="131">
        <v>15592563</v>
      </c>
      <c r="I16" s="177"/>
      <c r="J16" s="440"/>
      <c r="K16" s="316">
        <v>0.02</v>
      </c>
      <c r="L16" s="210">
        <v>78010301.760000005</v>
      </c>
      <c r="M16" s="320">
        <v>-6220622.7600000054</v>
      </c>
      <c r="N16" s="320">
        <v>-4625296.5600000024</v>
      </c>
      <c r="O16" s="320">
        <v>-3029970.3600000143</v>
      </c>
      <c r="P16" s="320">
        <v>-1434644.1600000113</v>
      </c>
      <c r="Q16" s="320">
        <v>160682.03999999166</v>
      </c>
      <c r="R16" s="320">
        <v>1756008.2399999946</v>
      </c>
      <c r="S16" s="320">
        <v>3351334.4399999976</v>
      </c>
      <c r="T16" s="320">
        <v>4946660.6400000006</v>
      </c>
      <c r="U16" s="320">
        <v>6541986.8400000036</v>
      </c>
      <c r="V16" s="322">
        <v>8137313.0400000066</v>
      </c>
    </row>
    <row r="17" spans="2:22" ht="15.75" x14ac:dyDescent="0.25">
      <c r="B17" s="78" t="s">
        <v>129</v>
      </c>
      <c r="C17" s="131">
        <v>28068861</v>
      </c>
      <c r="D17" s="131">
        <v>19728148</v>
      </c>
      <c r="E17" s="131">
        <v>15048112</v>
      </c>
      <c r="F17" s="131">
        <v>13635567</v>
      </c>
      <c r="G17" s="131">
        <v>76480688</v>
      </c>
      <c r="I17" s="177"/>
      <c r="J17" s="440"/>
      <c r="K17" s="316">
        <v>0.03</v>
      </c>
      <c r="L17" s="210">
        <v>78775108.640000001</v>
      </c>
      <c r="M17" s="320">
        <v>-6985429.6400000006</v>
      </c>
      <c r="N17" s="320">
        <v>-5390103.4399999976</v>
      </c>
      <c r="O17" s="320">
        <v>-3794777.2400000095</v>
      </c>
      <c r="P17" s="320">
        <v>-2199451.0400000066</v>
      </c>
      <c r="Q17" s="320">
        <v>-604124.84000000358</v>
      </c>
      <c r="R17" s="320">
        <v>991201.3599999994</v>
      </c>
      <c r="S17" s="320">
        <v>2586527.5600000024</v>
      </c>
      <c r="T17" s="320">
        <v>4181853.7600000054</v>
      </c>
      <c r="U17" s="320">
        <v>5777179.9600000083</v>
      </c>
      <c r="V17" s="322">
        <v>7372506.1600000113</v>
      </c>
    </row>
    <row r="18" spans="2:22" ht="15.75" x14ac:dyDescent="0.25">
      <c r="B18" s="78" t="s">
        <v>32</v>
      </c>
      <c r="C18" s="131">
        <v>99846082</v>
      </c>
      <c r="D18" s="131">
        <v>68263646</v>
      </c>
      <c r="E18" s="131">
        <v>53173214</v>
      </c>
      <c r="F18" s="131">
        <v>49201114</v>
      </c>
      <c r="G18" s="131">
        <v>270484056</v>
      </c>
      <c r="I18" s="177"/>
      <c r="J18" s="440"/>
      <c r="K18" s="316">
        <v>0.04</v>
      </c>
      <c r="L18" s="210">
        <v>79539915.519999996</v>
      </c>
      <c r="M18" s="320">
        <v>-7750236.5199999958</v>
      </c>
      <c r="N18" s="320">
        <v>-6154910.3199999928</v>
      </c>
      <c r="O18" s="324">
        <v>-4559584.1200000048</v>
      </c>
      <c r="P18" s="320">
        <v>-2964257.9200000018</v>
      </c>
      <c r="Q18" s="320">
        <v>-1368931.7199999988</v>
      </c>
      <c r="R18" s="320">
        <v>226394.48000000417</v>
      </c>
      <c r="S18" s="320">
        <v>1821720.6800000072</v>
      </c>
      <c r="T18" s="320">
        <v>3417046.8800000101</v>
      </c>
      <c r="U18" s="320">
        <v>5012373.0800000131</v>
      </c>
      <c r="V18" s="322">
        <v>6607699.2800000161</v>
      </c>
    </row>
    <row r="19" spans="2:22" ht="15.75" x14ac:dyDescent="0.25">
      <c r="B19" s="93"/>
      <c r="C19" s="93"/>
      <c r="D19" s="442" t="s">
        <v>34</v>
      </c>
      <c r="E19" s="442"/>
      <c r="F19" s="442"/>
      <c r="G19" s="442"/>
      <c r="H19" s="442" t="s">
        <v>29</v>
      </c>
      <c r="I19" s="177"/>
      <c r="J19" s="440"/>
      <c r="K19" s="316">
        <v>0.05</v>
      </c>
      <c r="L19" s="210">
        <v>80304722.400000006</v>
      </c>
      <c r="M19" s="320">
        <v>-8515043.400000006</v>
      </c>
      <c r="N19" s="320">
        <v>-6919717.200000003</v>
      </c>
      <c r="O19" s="320">
        <v>-5324391.0000000149</v>
      </c>
      <c r="P19" s="320">
        <v>-3729064.8000000119</v>
      </c>
      <c r="Q19" s="320">
        <v>-2133738.6000000089</v>
      </c>
      <c r="R19" s="320">
        <v>-538412.40000000596</v>
      </c>
      <c r="S19" s="320">
        <v>1056913.799999997</v>
      </c>
      <c r="T19" s="320">
        <v>2652240</v>
      </c>
      <c r="U19" s="320">
        <v>4247566.200000003</v>
      </c>
      <c r="V19" s="322">
        <v>5842892.400000006</v>
      </c>
    </row>
    <row r="20" spans="2:22" ht="15.75" x14ac:dyDescent="0.25">
      <c r="B20" s="93"/>
      <c r="C20" s="93"/>
      <c r="D20" s="89" t="s">
        <v>2</v>
      </c>
      <c r="E20" s="89" t="s">
        <v>3</v>
      </c>
      <c r="F20" s="89" t="s">
        <v>4</v>
      </c>
      <c r="G20" s="89" t="s">
        <v>5</v>
      </c>
      <c r="H20" s="442"/>
      <c r="I20" s="177"/>
      <c r="J20" s="440"/>
      <c r="K20" s="316">
        <v>0.06</v>
      </c>
      <c r="L20" s="210">
        <v>81069529.280000001</v>
      </c>
      <c r="M20" s="320">
        <v>-9279850.2800000012</v>
      </c>
      <c r="N20" s="320">
        <v>-7684524.0799999982</v>
      </c>
      <c r="O20" s="320">
        <v>-6089197.8800000101</v>
      </c>
      <c r="P20" s="320">
        <v>-4493871.6800000072</v>
      </c>
      <c r="Q20" s="320">
        <v>-2898545.4800000042</v>
      </c>
      <c r="R20" s="320">
        <v>-1303219.2800000012</v>
      </c>
      <c r="S20" s="320">
        <v>292106.92000000179</v>
      </c>
      <c r="T20" s="320">
        <v>1887433.1200000048</v>
      </c>
      <c r="U20" s="320">
        <v>3482759.3200000077</v>
      </c>
      <c r="V20" s="322">
        <v>5078085.5200000107</v>
      </c>
    </row>
    <row r="21" spans="2:22" ht="15.75" x14ac:dyDescent="0.25">
      <c r="B21" s="94" t="s">
        <v>48</v>
      </c>
      <c r="C21" s="93"/>
      <c r="D21" s="49">
        <f>GETPIVOTDATA("Value",$B$6,"Column","Brisbane","Page1","Revenue")</f>
        <v>29614750</v>
      </c>
      <c r="E21" s="49">
        <f>+GETPIVOTDATA("Value",$B$6,"Column","Gold Coast","Page1","Revenue")</f>
        <v>19593790</v>
      </c>
      <c r="F21" s="49">
        <f>+GETPIVOTDATA("Value",$B$6,"Column","Townsville","Page1","Revenue")</f>
        <v>15696020</v>
      </c>
      <c r="G21" s="49">
        <f>+GETPIVOTDATA("Value",$B$6,"Column","Cairns","Page1","Revenue")</f>
        <v>14861750</v>
      </c>
      <c r="H21" s="228">
        <f>SUM(D21:G21)</f>
        <v>79766310</v>
      </c>
      <c r="I21" s="177"/>
      <c r="J21" s="440"/>
      <c r="K21" s="316">
        <v>7.0000000000000007E-2</v>
      </c>
      <c r="L21" s="210">
        <v>81834336.160000011</v>
      </c>
      <c r="M21" s="320">
        <v>-10044657.160000011</v>
      </c>
      <c r="N21" s="320">
        <v>-8449330.9600000083</v>
      </c>
      <c r="O21" s="320">
        <v>-6854004.7600000203</v>
      </c>
      <c r="P21" s="320">
        <v>-5258678.5600000173</v>
      </c>
      <c r="Q21" s="320">
        <v>-3663352.3600000143</v>
      </c>
      <c r="R21" s="320">
        <v>-2068026.1600000113</v>
      </c>
      <c r="S21" s="320">
        <v>-472699.96000000834</v>
      </c>
      <c r="T21" s="320">
        <v>1122626.2399999946</v>
      </c>
      <c r="U21" s="320">
        <v>2717952.4399999976</v>
      </c>
      <c r="V21" s="322">
        <v>4313278.6400000006</v>
      </c>
    </row>
    <row r="22" spans="2:22" ht="15.75" x14ac:dyDescent="0.25">
      <c r="B22" s="93"/>
      <c r="C22" s="93"/>
      <c r="D22" s="49" t="s">
        <v>22</v>
      </c>
      <c r="E22" s="49" t="s">
        <v>22</v>
      </c>
      <c r="F22" s="49" t="s">
        <v>22</v>
      </c>
      <c r="G22" s="49"/>
      <c r="H22" s="49"/>
      <c r="I22" s="177"/>
      <c r="J22" s="440"/>
      <c r="K22" s="316">
        <v>0.08</v>
      </c>
      <c r="L22" s="210">
        <v>82599143.040000007</v>
      </c>
      <c r="M22" s="320">
        <v>-10809464.040000007</v>
      </c>
      <c r="N22" s="320">
        <v>-9214137.8400000036</v>
      </c>
      <c r="O22" s="320">
        <v>-7618811.6400000155</v>
      </c>
      <c r="P22" s="320">
        <v>-6023485.4400000125</v>
      </c>
      <c r="Q22" s="320">
        <v>-4428159.2400000095</v>
      </c>
      <c r="R22" s="320">
        <v>-2832833.0400000066</v>
      </c>
      <c r="S22" s="320">
        <v>-1237506.8400000036</v>
      </c>
      <c r="T22" s="320">
        <v>357819.3599999994</v>
      </c>
      <c r="U22" s="320">
        <v>1953145.5600000024</v>
      </c>
      <c r="V22" s="322">
        <v>3548471.7600000054</v>
      </c>
    </row>
    <row r="23" spans="2:22" ht="15.75" x14ac:dyDescent="0.25">
      <c r="B23" s="94" t="s">
        <v>111</v>
      </c>
      <c r="C23" s="95" t="s">
        <v>45</v>
      </c>
      <c r="D23" s="49">
        <f>GETPIVOTDATA("Value",$B$6,"Column","Brisbane","Page1","APC")</f>
        <v>290000</v>
      </c>
      <c r="E23" s="49">
        <f>+GETPIVOTDATA("Value",$B$6,"Column","Gold Coast","Page1","APC")</f>
        <v>260000</v>
      </c>
      <c r="F23" s="49">
        <f>+GETPIVOTDATA("Value",$B$6,"Column","Townsville","Page1","APC")</f>
        <v>205000</v>
      </c>
      <c r="G23" s="49">
        <f>+GETPIVOTDATA("Value",$B$6,"Column","Cairns","Page1","APC")</f>
        <v>122000</v>
      </c>
      <c r="H23" s="49">
        <f>SUM(D23:G23)</f>
        <v>877000</v>
      </c>
      <c r="I23" s="177"/>
      <c r="J23" s="440"/>
      <c r="K23" s="316">
        <v>0.09</v>
      </c>
      <c r="L23" s="210">
        <v>83363949.920000002</v>
      </c>
      <c r="M23" s="320">
        <v>-11574270.920000002</v>
      </c>
      <c r="N23" s="320">
        <v>-9978944.7199999988</v>
      </c>
      <c r="O23" s="320">
        <v>-8383618.5200000107</v>
      </c>
      <c r="P23" s="320">
        <v>-6788292.3200000077</v>
      </c>
      <c r="Q23" s="320">
        <v>-5192966.1200000048</v>
      </c>
      <c r="R23" s="320">
        <v>-3597639.9200000018</v>
      </c>
      <c r="S23" s="320">
        <v>-2002313.7199999988</v>
      </c>
      <c r="T23" s="320">
        <v>-406987.51999999583</v>
      </c>
      <c r="U23" s="320">
        <v>1188338.6800000072</v>
      </c>
      <c r="V23" s="322">
        <v>2783664.8800000101</v>
      </c>
    </row>
    <row r="24" spans="2:22" ht="15.75" x14ac:dyDescent="0.25">
      <c r="B24" s="93"/>
      <c r="C24" s="135" t="s">
        <v>102</v>
      </c>
      <c r="D24" s="49">
        <f>GETPIVOTDATA("Value",$B$6,"Column","Brisbane","Page1","COGS")</f>
        <v>22567945</v>
      </c>
      <c r="E24" s="49">
        <f>+GETPIVOTDATA("Value",$B$6,"Column","Gold Coast","Page1","COGS")</f>
        <v>14987010</v>
      </c>
      <c r="F24" s="49">
        <f>+GETPIVOTDATA("Value",$B$6,"Column","Townsville","Page1","COGS")</f>
        <v>12005535</v>
      </c>
      <c r="G24" s="49">
        <f>+GETPIVOTDATA("Value",$B$6,"Column","Cairns","Page1","COGS")</f>
        <v>11327635</v>
      </c>
      <c r="H24" s="49">
        <f t="shared" ref="H24:H27" si="0">SUM(D24:G24)</f>
        <v>60888125</v>
      </c>
      <c r="I24" s="177"/>
      <c r="J24" s="440"/>
      <c r="K24" s="316">
        <v>0.1</v>
      </c>
      <c r="L24" s="210">
        <v>84128756.800000012</v>
      </c>
      <c r="M24" s="320">
        <v>-12339077.800000012</v>
      </c>
      <c r="N24" s="320">
        <v>-10743751.600000009</v>
      </c>
      <c r="O24" s="320">
        <v>-9148425.4000000209</v>
      </c>
      <c r="P24" s="320">
        <v>-7553099.2000000179</v>
      </c>
      <c r="Q24" s="320">
        <v>-5957773.0000000149</v>
      </c>
      <c r="R24" s="320">
        <v>-4362446.8000000119</v>
      </c>
      <c r="S24" s="320">
        <v>-2767120.6000000089</v>
      </c>
      <c r="T24" s="320">
        <v>-1171794.400000006</v>
      </c>
      <c r="U24" s="320">
        <v>423531.79999999702</v>
      </c>
      <c r="V24" s="322">
        <v>2018858</v>
      </c>
    </row>
    <row r="25" spans="2:22" ht="15.75" x14ac:dyDescent="0.25">
      <c r="B25" s="93" t="s">
        <v>22</v>
      </c>
      <c r="C25" s="93" t="s">
        <v>44</v>
      </c>
      <c r="D25" s="50">
        <f>GETPIVOTDATA("Value",$B$6,"Column","Brisbane","Page1","FAOC")</f>
        <v>900000</v>
      </c>
      <c r="E25" s="50">
        <f>+GETPIVOTDATA("Value",$B$6,"Column","Gold Coast","Page1","FAOC")</f>
        <v>855000</v>
      </c>
      <c r="F25" s="50">
        <f>+GETPIVOTDATA("Value",$B$6,"Column","Townsville","Page1","FAOC")</f>
        <v>390000</v>
      </c>
      <c r="G25" s="49">
        <f>+GETPIVOTDATA("Value",$B$6,"Column","Cairns","Page1","FAOC")</f>
        <v>345000</v>
      </c>
      <c r="H25" s="49">
        <f t="shared" si="0"/>
        <v>2490000</v>
      </c>
      <c r="I25" s="177"/>
      <c r="J25" s="440"/>
      <c r="K25" s="316">
        <v>0.11</v>
      </c>
      <c r="L25" s="210">
        <v>84893563.680000007</v>
      </c>
      <c r="M25" s="320">
        <v>-13103884.680000007</v>
      </c>
      <c r="N25" s="320">
        <v>-11508558.480000004</v>
      </c>
      <c r="O25" s="320">
        <v>-9913232.2800000161</v>
      </c>
      <c r="P25" s="320">
        <v>-8317906.0800000131</v>
      </c>
      <c r="Q25" s="320">
        <v>-6722579.8800000101</v>
      </c>
      <c r="R25" s="320">
        <v>-5127253.6800000072</v>
      </c>
      <c r="S25" s="320">
        <v>-3531927.4800000042</v>
      </c>
      <c r="T25" s="320">
        <v>-1936601.2800000012</v>
      </c>
      <c r="U25" s="320">
        <v>-341275.07999999821</v>
      </c>
      <c r="V25" s="322">
        <v>1254051.1200000048</v>
      </c>
    </row>
    <row r="26" spans="2:22" ht="15.75" x14ac:dyDescent="0.25">
      <c r="B26" s="93"/>
      <c r="C26" s="93" t="s">
        <v>112</v>
      </c>
      <c r="D26" s="50">
        <f>GETPIVOTDATA("Value",$B$6,"Column","Brisbane","Page1","Labour Cost")</f>
        <v>2289000</v>
      </c>
      <c r="E26" s="50">
        <f>+GETPIVOTDATA("Value",$B$6,"Column","Gold Coast","Page1","Labour Cost")</f>
        <v>2108000</v>
      </c>
      <c r="F26" s="50">
        <f>+GETPIVOTDATA("Value",$B$6,"Column","Townsville","Page1","Labour Cost")</f>
        <v>1261000</v>
      </c>
      <c r="G26" s="49">
        <f>+GETPIVOTDATA("Value",$B$6,"Column","Cairns","Page1","Labour Cost")</f>
        <v>1080000</v>
      </c>
      <c r="H26" s="49">
        <f t="shared" si="0"/>
        <v>6738000</v>
      </c>
      <c r="I26" s="177"/>
      <c r="J26" s="440"/>
      <c r="K26" s="316">
        <v>0.12</v>
      </c>
      <c r="L26" s="210">
        <v>85658370.560000002</v>
      </c>
      <c r="M26" s="320">
        <v>-13868691.560000002</v>
      </c>
      <c r="N26" s="320">
        <v>-12273365.359999999</v>
      </c>
      <c r="O26" s="320">
        <v>-10678039.160000011</v>
      </c>
      <c r="P26" s="320">
        <v>-9082712.9600000083</v>
      </c>
      <c r="Q26" s="320">
        <v>-7487386.7600000054</v>
      </c>
      <c r="R26" s="320">
        <v>-5892060.5600000024</v>
      </c>
      <c r="S26" s="320">
        <v>-4296734.3599999994</v>
      </c>
      <c r="T26" s="320">
        <v>-2701408.1599999964</v>
      </c>
      <c r="U26" s="320">
        <v>-1106081.9599999934</v>
      </c>
      <c r="V26" s="322">
        <v>489244.24000000954</v>
      </c>
    </row>
    <row r="27" spans="2:22" ht="15.75" x14ac:dyDescent="0.25">
      <c r="B27" s="93"/>
      <c r="C27" s="93" t="s">
        <v>46</v>
      </c>
      <c r="D27" s="50">
        <f>GETPIVOTDATA("Value",$B$6,"Column","Brisbane","Page1","VUAOC")</f>
        <v>2021916</v>
      </c>
      <c r="E27" s="50">
        <f>+GETPIVOTDATA("Value",$B$6,"Column","Gold Coast","Page1","VUAOC")</f>
        <v>1518138</v>
      </c>
      <c r="F27" s="50">
        <f>+GETPIVOTDATA("Value",$B$6,"Column","Townsville","Page1","VUAOC")</f>
        <v>1186577</v>
      </c>
      <c r="G27" s="49">
        <f>+GETPIVOTDATA("Value",$B$6,"Column","Cairns","Page1","VUAOC")</f>
        <v>760932</v>
      </c>
      <c r="H27" s="49">
        <f t="shared" si="0"/>
        <v>5487563</v>
      </c>
      <c r="I27" s="177"/>
      <c r="J27" s="440"/>
      <c r="K27" s="316">
        <v>0.13</v>
      </c>
      <c r="L27" s="210">
        <v>86423177.439999998</v>
      </c>
      <c r="M27" s="320">
        <v>-14633498.439999998</v>
      </c>
      <c r="N27" s="320">
        <v>-13038172.239999995</v>
      </c>
      <c r="O27" s="320">
        <v>-11442846.040000007</v>
      </c>
      <c r="P27" s="320">
        <v>-9847519.8400000036</v>
      </c>
      <c r="Q27" s="320">
        <v>-8252193.6400000006</v>
      </c>
      <c r="R27" s="320">
        <v>-6656867.4399999976</v>
      </c>
      <c r="S27" s="320">
        <v>-5061541.2399999946</v>
      </c>
      <c r="T27" s="320">
        <v>-3466215.0399999917</v>
      </c>
      <c r="U27" s="320">
        <v>-1870888.8399999887</v>
      </c>
      <c r="V27" s="322">
        <v>-275562.63999998569</v>
      </c>
    </row>
    <row r="28" spans="2:22" ht="15.75" x14ac:dyDescent="0.25">
      <c r="B28" s="136" t="s">
        <v>167</v>
      </c>
      <c r="C28" s="93"/>
      <c r="D28" s="49">
        <f>+SUM(D23:D27)</f>
        <v>28068861</v>
      </c>
      <c r="E28" s="49">
        <f t="shared" ref="E28:G28" si="1">+SUM(E23:E27)</f>
        <v>19728148</v>
      </c>
      <c r="F28" s="49">
        <f t="shared" si="1"/>
        <v>15048112</v>
      </c>
      <c r="G28" s="49">
        <f t="shared" si="1"/>
        <v>13635567</v>
      </c>
      <c r="H28" s="227">
        <f>SUM(H23:H27)</f>
        <v>76480688</v>
      </c>
      <c r="I28" s="177"/>
      <c r="J28" s="440"/>
      <c r="K28" s="316">
        <v>0.14000000000000001</v>
      </c>
      <c r="L28" s="210">
        <v>87187984.320000008</v>
      </c>
      <c r="M28" s="320">
        <v>-15398305.320000008</v>
      </c>
      <c r="N28" s="320">
        <v>-13802979.120000005</v>
      </c>
      <c r="O28" s="320">
        <v>-12207652.920000017</v>
      </c>
      <c r="P28" s="320">
        <v>-10612326.720000014</v>
      </c>
      <c r="Q28" s="320">
        <v>-9017000.5200000107</v>
      </c>
      <c r="R28" s="320">
        <v>-7421674.3200000077</v>
      </c>
      <c r="S28" s="320">
        <v>-5826348.1200000048</v>
      </c>
      <c r="T28" s="320">
        <v>-4231021.9200000018</v>
      </c>
      <c r="U28" s="320">
        <v>-2635695.7199999988</v>
      </c>
      <c r="V28" s="322">
        <v>-1040369.5199999958</v>
      </c>
    </row>
    <row r="29" spans="2:22" ht="16.5" thickBot="1" x14ac:dyDescent="0.3">
      <c r="B29" s="96" t="s">
        <v>47</v>
      </c>
      <c r="C29" s="93"/>
      <c r="D29" s="49">
        <f>D21-SUM(D23:D27)</f>
        <v>1545889</v>
      </c>
      <c r="E29" s="49">
        <f t="shared" ref="E29:G29" si="2">E21-SUM(E23:E27)</f>
        <v>-134358</v>
      </c>
      <c r="F29" s="49">
        <f t="shared" si="2"/>
        <v>647908</v>
      </c>
      <c r="G29" s="49">
        <f t="shared" si="2"/>
        <v>1226183</v>
      </c>
      <c r="H29" s="49">
        <f>H21-H28</f>
        <v>3285622</v>
      </c>
      <c r="I29" s="177"/>
      <c r="J29" s="441"/>
      <c r="K29" s="325">
        <v>0.15</v>
      </c>
      <c r="L29" s="326">
        <v>87952791.199999988</v>
      </c>
      <c r="M29" s="327">
        <v>-16163112.199999988</v>
      </c>
      <c r="N29" s="327">
        <v>-14567785.999999985</v>
      </c>
      <c r="O29" s="327">
        <v>-12972459.799999997</v>
      </c>
      <c r="P29" s="327">
        <v>-11377133.599999994</v>
      </c>
      <c r="Q29" s="327">
        <v>-9781807.3999999911</v>
      </c>
      <c r="R29" s="327">
        <v>-8186481.1999999881</v>
      </c>
      <c r="S29" s="327">
        <v>-6591154.9999999851</v>
      </c>
      <c r="T29" s="327">
        <v>-4995828.7999999821</v>
      </c>
      <c r="U29" s="327">
        <v>-3400502.5999999791</v>
      </c>
      <c r="V29" s="328">
        <v>-1805176.3999999762</v>
      </c>
    </row>
    <row r="31" spans="2:22" x14ac:dyDescent="0.2">
      <c r="M31" s="48"/>
    </row>
    <row r="32" spans="2:22" x14ac:dyDescent="0.2">
      <c r="H32" s="48"/>
    </row>
    <row r="33" spans="5:12" x14ac:dyDescent="0.2">
      <c r="H33" s="48"/>
      <c r="L33" s="48"/>
    </row>
    <row r="34" spans="5:12" x14ac:dyDescent="0.2">
      <c r="H34" s="48"/>
    </row>
    <row r="35" spans="5:12" x14ac:dyDescent="0.2">
      <c r="E35" s="202"/>
      <c r="F35" s="202"/>
      <c r="G35" s="202"/>
    </row>
    <row r="36" spans="5:12" x14ac:dyDescent="0.2">
      <c r="E36" s="202"/>
      <c r="F36" s="202"/>
      <c r="G36" s="202"/>
    </row>
    <row r="37" spans="5:12" x14ac:dyDescent="0.2">
      <c r="E37" s="202"/>
      <c r="F37" s="202"/>
      <c r="G37" s="202"/>
    </row>
    <row r="38" spans="5:12" x14ac:dyDescent="0.2">
      <c r="E38" s="202"/>
      <c r="F38" s="202"/>
      <c r="G38" s="202"/>
    </row>
    <row r="39" spans="5:12" x14ac:dyDescent="0.2">
      <c r="E39" s="202"/>
      <c r="F39" s="202"/>
      <c r="G39" s="202"/>
    </row>
    <row r="40" spans="5:12" x14ac:dyDescent="0.2">
      <c r="E40" s="202"/>
      <c r="F40" s="202"/>
      <c r="G40" s="202"/>
    </row>
    <row r="41" spans="5:12" x14ac:dyDescent="0.2">
      <c r="E41" s="202"/>
      <c r="F41" s="202"/>
      <c r="G41" s="202"/>
    </row>
    <row r="42" spans="5:12" x14ac:dyDescent="0.2">
      <c r="E42" s="202"/>
      <c r="F42" s="202"/>
      <c r="G42" s="202"/>
    </row>
    <row r="43" spans="5:12" x14ac:dyDescent="0.2">
      <c r="E43" s="202"/>
      <c r="F43" s="202"/>
      <c r="G43" s="202"/>
    </row>
  </sheetData>
  <mergeCells count="4">
    <mergeCell ref="M6:V6"/>
    <mergeCell ref="J9:J29"/>
    <mergeCell ref="D19:G19"/>
    <mergeCell ref="H19:H20"/>
  </mergeCells>
  <pageMargins left="0.7" right="0.43" top="0.75" bottom="0.75" header="0.3" footer="0.3"/>
  <pageSetup paperSize="9" scale="69" fitToHeight="0" orientation="landscape" r:id="rId2"/>
  <headerFooter>
    <oddHeader>&amp;C&amp;14Sheet: &amp;A</oddHeader>
    <oddFooter>&amp;L&amp;11Group 28's Business Model&amp;C&amp;11&amp;P&amp;R&amp;11SP52/2016-BX2016</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B88"/>
  <sheetViews>
    <sheetView zoomScale="80" zoomScaleNormal="80" workbookViewId="0">
      <pane xSplit="5" ySplit="11" topLeftCell="G13" activePane="bottomRight" state="frozen"/>
      <selection activeCell="D21" sqref="D21"/>
      <selection pane="topRight" activeCell="D21" sqref="D21"/>
      <selection pane="bottomLeft" activeCell="D21" sqref="D21"/>
      <selection pane="bottomRight" activeCell="H16" sqref="H16"/>
    </sheetView>
  </sheetViews>
  <sheetFormatPr defaultRowHeight="12.75" x14ac:dyDescent="0.2"/>
  <cols>
    <col min="1" max="1" width="4.28515625" hidden="1" customWidth="1"/>
    <col min="2" max="2" width="31.7109375" customWidth="1"/>
    <col min="3" max="5" width="10.85546875" customWidth="1"/>
    <col min="6" max="6" width="18" customWidth="1"/>
    <col min="7" max="7" width="13.85546875" bestFit="1" customWidth="1"/>
    <col min="8" max="8" width="17.140625" bestFit="1" customWidth="1"/>
    <col min="9" max="9" width="16" bestFit="1" customWidth="1"/>
    <col min="10" max="10" width="17.7109375" customWidth="1"/>
    <col min="11" max="11" width="19.140625" customWidth="1"/>
    <col min="12" max="14" width="10.85546875" bestFit="1" customWidth="1"/>
    <col min="15" max="15" width="18" customWidth="1"/>
    <col min="16" max="16" width="13.85546875" bestFit="1" customWidth="1"/>
    <col min="17" max="17" width="17.140625" bestFit="1" customWidth="1"/>
    <col min="18" max="18" width="16" bestFit="1" customWidth="1"/>
    <col min="19" max="19" width="16" customWidth="1"/>
    <col min="20" max="20" width="17.42578125" customWidth="1"/>
    <col min="21" max="21" width="9.85546875" customWidth="1"/>
    <col min="22" max="22" width="15.5703125" customWidth="1"/>
    <col min="23" max="23" width="19.140625" customWidth="1"/>
    <col min="24" max="25" width="10.85546875" customWidth="1"/>
    <col min="26" max="26" width="12.42578125" bestFit="1" customWidth="1"/>
    <col min="27" max="28" width="12" bestFit="1" customWidth="1"/>
    <col min="29" max="29" width="13.140625" bestFit="1" customWidth="1"/>
    <col min="30" max="30" width="14.85546875" bestFit="1" customWidth="1"/>
    <col min="31" max="32" width="13.85546875" bestFit="1" customWidth="1"/>
  </cols>
  <sheetData>
    <row r="1" spans="2:26" ht="24" thickBot="1" x14ac:dyDescent="0.4">
      <c r="C1" s="68"/>
      <c r="D1" s="68"/>
      <c r="E1" s="68"/>
      <c r="F1" s="73"/>
      <c r="G1" s="74"/>
      <c r="H1" s="74"/>
      <c r="I1" s="74"/>
      <c r="J1" s="74"/>
      <c r="K1" s="69"/>
      <c r="L1" s="69"/>
      <c r="M1" s="69"/>
      <c r="N1" s="69"/>
      <c r="O1" s="69"/>
      <c r="P1" s="69"/>
      <c r="V1" s="220" t="s">
        <v>230</v>
      </c>
    </row>
    <row r="2" spans="2:26" ht="13.5" thickTop="1" x14ac:dyDescent="0.2"/>
    <row r="7" spans="2:26" ht="26.25" thickBot="1" x14ac:dyDescent="0.35">
      <c r="B7" s="153" t="s">
        <v>50</v>
      </c>
      <c r="C7" s="3"/>
      <c r="D7" s="3"/>
      <c r="E7" s="3"/>
      <c r="F7" s="3"/>
      <c r="G7" s="3"/>
      <c r="V7" s="77" t="s">
        <v>165</v>
      </c>
      <c r="W7" t="s">
        <v>3</v>
      </c>
    </row>
    <row r="8" spans="2:26" ht="23.25" thickBot="1" x14ac:dyDescent="0.35">
      <c r="B8" s="450" t="s">
        <v>51</v>
      </c>
      <c r="C8" s="451"/>
      <c r="D8" s="451"/>
      <c r="E8" s="452"/>
      <c r="F8" s="3"/>
      <c r="G8" s="383">
        <v>0</v>
      </c>
      <c r="H8" s="384">
        <v>-0.1</v>
      </c>
      <c r="I8" s="385">
        <v>0.1</v>
      </c>
      <c r="J8" s="384">
        <v>0.19</v>
      </c>
      <c r="K8" s="386">
        <v>0.2</v>
      </c>
      <c r="L8" s="334"/>
      <c r="M8" s="334"/>
      <c r="N8" s="334"/>
      <c r="O8" s="334"/>
      <c r="P8" s="387">
        <v>0</v>
      </c>
      <c r="Q8" s="388">
        <v>-0.1</v>
      </c>
      <c r="R8" s="388">
        <v>0.1</v>
      </c>
      <c r="S8" s="388">
        <v>0.12</v>
      </c>
      <c r="T8" s="389">
        <v>0.2</v>
      </c>
    </row>
    <row r="9" spans="2:26" ht="21" thickBot="1" x14ac:dyDescent="0.25">
      <c r="B9" s="405"/>
      <c r="C9" s="406"/>
      <c r="D9" s="406"/>
      <c r="E9" s="407"/>
      <c r="F9" s="449" t="s">
        <v>127</v>
      </c>
      <c r="G9" s="449"/>
      <c r="H9" s="449"/>
      <c r="I9" s="449"/>
      <c r="J9" s="449"/>
      <c r="K9" s="449"/>
      <c r="L9" s="446" t="s">
        <v>215</v>
      </c>
      <c r="M9" s="447"/>
      <c r="N9" s="447"/>
      <c r="O9" s="447"/>
      <c r="P9" s="447"/>
      <c r="Q9" s="447"/>
      <c r="R9" s="447"/>
      <c r="S9" s="447"/>
      <c r="T9" s="448"/>
      <c r="V9" s="77" t="s">
        <v>88</v>
      </c>
      <c r="W9" s="77" t="s">
        <v>89</v>
      </c>
    </row>
    <row r="10" spans="2:26" s="335" customFormat="1" ht="42" customHeight="1" thickBot="1" x14ac:dyDescent="0.35">
      <c r="B10" s="350"/>
      <c r="C10" s="443" t="s">
        <v>34</v>
      </c>
      <c r="D10" s="444"/>
      <c r="E10" s="445"/>
      <c r="F10" s="363" t="s">
        <v>52</v>
      </c>
      <c r="G10" s="352" t="s">
        <v>53</v>
      </c>
      <c r="H10" s="353" t="s">
        <v>36</v>
      </c>
      <c r="I10" s="353" t="s">
        <v>37</v>
      </c>
      <c r="J10" s="354" t="s">
        <v>225</v>
      </c>
      <c r="K10" s="358" t="s">
        <v>38</v>
      </c>
      <c r="L10" s="443" t="s">
        <v>34</v>
      </c>
      <c r="M10" s="444"/>
      <c r="N10" s="445"/>
      <c r="O10" s="351" t="s">
        <v>227</v>
      </c>
      <c r="P10" s="352" t="s">
        <v>53</v>
      </c>
      <c r="Q10" s="353" t="s">
        <v>36</v>
      </c>
      <c r="R10" s="353" t="s">
        <v>37</v>
      </c>
      <c r="S10" s="353" t="s">
        <v>226</v>
      </c>
      <c r="T10" s="354" t="s">
        <v>38</v>
      </c>
      <c r="V10" s="77" t="s">
        <v>90</v>
      </c>
      <c r="W10">
        <v>2012</v>
      </c>
      <c r="X10">
        <v>2013</v>
      </c>
      <c r="Y10">
        <v>2014</v>
      </c>
      <c r="Z10" t="s">
        <v>32</v>
      </c>
    </row>
    <row r="11" spans="2:26" ht="18.75" x14ac:dyDescent="0.3">
      <c r="B11" s="57"/>
      <c r="C11" s="344">
        <v>2012</v>
      </c>
      <c r="D11" s="344">
        <v>2013</v>
      </c>
      <c r="E11" s="368">
        <v>2014</v>
      </c>
      <c r="F11" s="364">
        <v>2015</v>
      </c>
      <c r="G11" s="58">
        <v>2015</v>
      </c>
      <c r="H11" s="59">
        <v>2015</v>
      </c>
      <c r="I11" s="59">
        <v>2015</v>
      </c>
      <c r="J11" s="59">
        <v>2015</v>
      </c>
      <c r="K11" s="359">
        <v>2015</v>
      </c>
      <c r="L11" s="373">
        <v>2012</v>
      </c>
      <c r="M11" s="344">
        <v>2013</v>
      </c>
      <c r="N11" s="344">
        <v>2014</v>
      </c>
      <c r="O11" s="224">
        <v>2015</v>
      </c>
      <c r="P11" s="58">
        <v>2015</v>
      </c>
      <c r="Q11" s="59">
        <v>2015</v>
      </c>
      <c r="R11" s="59">
        <v>2015</v>
      </c>
      <c r="S11" s="59">
        <v>2015</v>
      </c>
      <c r="T11" s="60">
        <v>2015</v>
      </c>
      <c r="V11" s="78" t="s">
        <v>48</v>
      </c>
      <c r="W11" s="131">
        <v>7200320</v>
      </c>
      <c r="X11" s="131">
        <v>6704770</v>
      </c>
      <c r="Y11" s="131">
        <v>5688700</v>
      </c>
      <c r="Z11" s="131">
        <v>19593790</v>
      </c>
    </row>
    <row r="12" spans="2:26" ht="18.75" x14ac:dyDescent="0.3">
      <c r="B12" s="151" t="s">
        <v>48</v>
      </c>
      <c r="C12" s="122">
        <f>+GETPIVOTDATA("Value",$V$9,"Row",2012,"Page1","Revenue")</f>
        <v>7200320</v>
      </c>
      <c r="D12" s="122">
        <f>+GETPIVOTDATA("Value",$V$9,"Row",2013,"Page1","Revenue")</f>
        <v>6704770</v>
      </c>
      <c r="E12" s="123">
        <f>+GETPIVOTDATA("Value",$V$9,"Row",2014,"Page1","Revenue")</f>
        <v>5688700</v>
      </c>
      <c r="F12" s="365">
        <f>+FORECAST($F$11,$C12:$E12,$C$11:$E$11)</f>
        <v>5019643.3333332539</v>
      </c>
      <c r="G12" s="142">
        <f>+$F12*(100%+G8)</f>
        <v>5019643.3333332539</v>
      </c>
      <c r="H12" s="142">
        <f>+$F12*(100%+H8)</f>
        <v>4517678.9999999283</v>
      </c>
      <c r="I12" s="142">
        <f>+$F12*(100%+I8)</f>
        <v>5521607.6666665794</v>
      </c>
      <c r="J12" s="142">
        <f>+$F12*(100%+J8)</f>
        <v>5973375.5666665714</v>
      </c>
      <c r="K12" s="142">
        <f>+$F12*(100%+K8)</f>
        <v>6023571.9999999041</v>
      </c>
      <c r="L12" s="374">
        <f>+GETPIVOTDATA("Value",$V$9,"Row",2012,"Page1","Revenue")</f>
        <v>7200320</v>
      </c>
      <c r="M12" s="122">
        <f>+GETPIVOTDATA("Value",$V$9,"Row",2013,"Page1","Revenue")</f>
        <v>6704770</v>
      </c>
      <c r="N12" s="123">
        <f>+GETPIVOTDATA("Value",$V$9,"Row",2014,"Page1","Revenue")</f>
        <v>5688700</v>
      </c>
      <c r="O12" s="345">
        <f>+FORECAST($O$11,$L12:$N12,$L$11:$N$11)</f>
        <v>5019643.3333332539</v>
      </c>
      <c r="P12" s="142">
        <f>+$O12*(100%+P$8)</f>
        <v>5019643.3333332539</v>
      </c>
      <c r="Q12" s="142">
        <f t="shared" ref="Q12:T12" si="0">+$O12*(100%+Q$8)</f>
        <v>4517678.9999999283</v>
      </c>
      <c r="R12" s="142">
        <f t="shared" si="0"/>
        <v>5521607.6666665794</v>
      </c>
      <c r="S12" s="142">
        <f t="shared" si="0"/>
        <v>5622000.5333332447</v>
      </c>
      <c r="T12" s="375">
        <f t="shared" si="0"/>
        <v>6023571.9999999041</v>
      </c>
      <c r="V12" s="78" t="s">
        <v>102</v>
      </c>
      <c r="W12" s="131">
        <v>5497360</v>
      </c>
      <c r="X12" s="131">
        <v>5131710</v>
      </c>
      <c r="Y12" s="131">
        <v>4357940</v>
      </c>
      <c r="Z12" s="131">
        <v>14987010</v>
      </c>
    </row>
    <row r="13" spans="2:26" ht="18.75" x14ac:dyDescent="0.3">
      <c r="B13" s="61"/>
      <c r="C13" s="122" t="s">
        <v>22</v>
      </c>
      <c r="D13" s="122" t="s">
        <v>22</v>
      </c>
      <c r="E13" s="123" t="s">
        <v>22</v>
      </c>
      <c r="F13" s="365"/>
      <c r="G13" s="145"/>
      <c r="H13" s="146"/>
      <c r="I13" s="146"/>
      <c r="J13" s="146"/>
      <c r="K13" s="360"/>
      <c r="L13" s="374" t="s">
        <v>22</v>
      </c>
      <c r="M13" s="122" t="s">
        <v>22</v>
      </c>
      <c r="N13" s="123" t="s">
        <v>22</v>
      </c>
      <c r="O13" s="345"/>
      <c r="P13" s="145"/>
      <c r="Q13" s="146"/>
      <c r="R13" s="146"/>
      <c r="S13" s="360"/>
      <c r="T13" s="147"/>
      <c r="V13" s="355" t="s">
        <v>187</v>
      </c>
      <c r="W13" s="356">
        <v>1702960</v>
      </c>
      <c r="X13" s="356">
        <v>1573060</v>
      </c>
      <c r="Y13" s="356">
        <v>1330760</v>
      </c>
      <c r="Z13" s="356">
        <v>4606780</v>
      </c>
    </row>
    <row r="14" spans="2:26" ht="19.5" thickBot="1" x14ac:dyDescent="0.35">
      <c r="B14" s="62" t="s">
        <v>40</v>
      </c>
      <c r="C14" s="124">
        <f>+GETPIVOTDATA("Value",$V$9,"Row",2012,"Page1","COGS")</f>
        <v>5497360</v>
      </c>
      <c r="D14" s="124">
        <f>+GETPIVOTDATA("Value",$V$9,"Row",2013,"Page1","COGS")</f>
        <v>5131710</v>
      </c>
      <c r="E14" s="125">
        <f>+GETPIVOTDATA("Value",$V$9,"Row",2014,"Page1","COGS")</f>
        <v>4357940</v>
      </c>
      <c r="F14" s="365">
        <f t="shared" ref="F14:F15" si="1">+FORECAST($F$11,$C14:$E14,$C$11:$E$11)</f>
        <v>3856250</v>
      </c>
      <c r="G14" s="142">
        <f>+$F14</f>
        <v>3856250</v>
      </c>
      <c r="H14" s="142">
        <f>+$F14</f>
        <v>3856250</v>
      </c>
      <c r="I14" s="142">
        <f>+$F14</f>
        <v>3856250</v>
      </c>
      <c r="J14" s="142">
        <f>+$F14</f>
        <v>3856250</v>
      </c>
      <c r="K14" s="142">
        <f>+$F14</f>
        <v>3856250</v>
      </c>
      <c r="L14" s="376">
        <f>+GETPIVOTDATA("Value",$V$9,"Row",2012,"Page1","COGS")</f>
        <v>5497360</v>
      </c>
      <c r="M14" s="124">
        <f>+GETPIVOTDATA("Value",$V$9,"Row",2013,"Page1","COGS")</f>
        <v>5131710</v>
      </c>
      <c r="N14" s="125">
        <f>+GETPIVOTDATA("Value",$V$9,"Row",2014,"Page1","COGS")</f>
        <v>4357940</v>
      </c>
      <c r="O14" s="345">
        <f>+FORECAST($O$11,$L14:$N14,$L$11:$N$11)</f>
        <v>3856250</v>
      </c>
      <c r="P14" s="142">
        <f>+$O14</f>
        <v>3856250</v>
      </c>
      <c r="Q14" s="142">
        <f t="shared" ref="Q14:T14" si="2">+$O14</f>
        <v>3856250</v>
      </c>
      <c r="R14" s="142">
        <f t="shared" si="2"/>
        <v>3856250</v>
      </c>
      <c r="S14" s="142">
        <f t="shared" si="2"/>
        <v>3856250</v>
      </c>
      <c r="T14" s="375">
        <f t="shared" si="2"/>
        <v>3856250</v>
      </c>
      <c r="V14" s="78" t="s">
        <v>166</v>
      </c>
      <c r="W14" s="131">
        <v>677000</v>
      </c>
      <c r="X14" s="131">
        <v>700000</v>
      </c>
      <c r="Y14" s="131">
        <v>731000</v>
      </c>
      <c r="Z14" s="131">
        <v>2108000</v>
      </c>
    </row>
    <row r="15" spans="2:26" ht="19.5" thickTop="1" x14ac:dyDescent="0.3">
      <c r="B15" s="152" t="s">
        <v>41</v>
      </c>
      <c r="C15" s="122">
        <f>C12-C14</f>
        <v>1702960</v>
      </c>
      <c r="D15" s="122">
        <f>D12-D14</f>
        <v>1573060</v>
      </c>
      <c r="E15" s="123">
        <f>E12-E14</f>
        <v>1330760</v>
      </c>
      <c r="F15" s="365">
        <f t="shared" si="1"/>
        <v>1163393.3333333135</v>
      </c>
      <c r="G15" s="142">
        <f>+G12-G14</f>
        <v>1163393.3333332539</v>
      </c>
      <c r="H15" s="142">
        <f t="shared" ref="H15:K15" si="3">+H12-H14</f>
        <v>661428.99999992829</v>
      </c>
      <c r="I15" s="142">
        <f t="shared" si="3"/>
        <v>1665357.6666665794</v>
      </c>
      <c r="J15" s="142">
        <f t="shared" ref="J15" si="4">+J12-J14</f>
        <v>2117125.5666665714</v>
      </c>
      <c r="K15" s="142">
        <f t="shared" si="3"/>
        <v>2167321.9999999041</v>
      </c>
      <c r="L15" s="374">
        <f>L12-L14</f>
        <v>1702960</v>
      </c>
      <c r="M15" s="122">
        <f>M12-M14</f>
        <v>1573060</v>
      </c>
      <c r="N15" s="123">
        <f>N12-N14</f>
        <v>1330760</v>
      </c>
      <c r="O15" s="345">
        <f>+FORECAST($O$11,$L15:$N15,$L$11:$N$11)</f>
        <v>1163393.3333333135</v>
      </c>
      <c r="P15" s="142">
        <f>+P12-P14</f>
        <v>1163393.3333332539</v>
      </c>
      <c r="Q15" s="142">
        <f t="shared" ref="Q15:T15" si="5">+Q12-Q14</f>
        <v>661428.99999992829</v>
      </c>
      <c r="R15" s="142">
        <f t="shared" si="5"/>
        <v>1665357.6666665794</v>
      </c>
      <c r="S15" s="142">
        <f t="shared" si="5"/>
        <v>1765750.5333332447</v>
      </c>
      <c r="T15" s="375">
        <f t="shared" si="5"/>
        <v>2167321.9999999041</v>
      </c>
      <c r="V15" s="78" t="s">
        <v>44</v>
      </c>
      <c r="W15" s="131">
        <v>285000</v>
      </c>
      <c r="X15" s="131">
        <v>285000</v>
      </c>
      <c r="Y15" s="131">
        <v>285000</v>
      </c>
      <c r="Z15" s="131">
        <v>855000</v>
      </c>
    </row>
    <row r="16" spans="2:26" ht="18.75" x14ac:dyDescent="0.3">
      <c r="B16" s="369" t="s">
        <v>42</v>
      </c>
      <c r="C16" s="122"/>
      <c r="D16" s="122"/>
      <c r="E16" s="123"/>
      <c r="F16" s="365"/>
      <c r="G16" s="145"/>
      <c r="H16" s="146"/>
      <c r="I16" s="146"/>
      <c r="J16" s="146"/>
      <c r="K16" s="360"/>
      <c r="L16" s="374"/>
      <c r="M16" s="122"/>
      <c r="N16" s="123"/>
      <c r="O16" s="345"/>
      <c r="P16" s="145"/>
      <c r="Q16" s="146"/>
      <c r="R16" s="146"/>
      <c r="S16" s="360"/>
      <c r="T16" s="147"/>
      <c r="V16" s="78" t="s">
        <v>45</v>
      </c>
      <c r="W16" s="131">
        <v>90000</v>
      </c>
      <c r="X16" s="131">
        <v>85000</v>
      </c>
      <c r="Y16" s="131">
        <v>85000</v>
      </c>
      <c r="Z16" s="131">
        <v>260000</v>
      </c>
    </row>
    <row r="17" spans="2:26" ht="18.75" x14ac:dyDescent="0.3">
      <c r="B17" s="61" t="s">
        <v>43</v>
      </c>
      <c r="C17" s="126">
        <f>+GETPIVOTDATA("Value",$V$9,"Row",2012,"Page1","Labour Cost")</f>
        <v>677000</v>
      </c>
      <c r="D17" s="126">
        <f>+GETPIVOTDATA("Value",$V$9,"Row",2013,"Page1","Labour Cost")</f>
        <v>700000</v>
      </c>
      <c r="E17" s="370">
        <f>+GETPIVOTDATA("Value",$V$9,"Row",2014,"Page1","Labour Cost")</f>
        <v>731000</v>
      </c>
      <c r="F17" s="365">
        <f t="shared" ref="F17:F20" si="6">+FORECAST($F$11,$C17:$E17,$C$11:$E$11)</f>
        <v>756666.66666666418</v>
      </c>
      <c r="G17" s="142">
        <f t="shared" ref="G17:K20" si="7">+$F17</f>
        <v>756666.66666666418</v>
      </c>
      <c r="H17" s="142">
        <f t="shared" si="7"/>
        <v>756666.66666666418</v>
      </c>
      <c r="I17" s="142">
        <f t="shared" si="7"/>
        <v>756666.66666666418</v>
      </c>
      <c r="J17" s="142">
        <f t="shared" si="7"/>
        <v>756666.66666666418</v>
      </c>
      <c r="K17" s="142">
        <f t="shared" si="7"/>
        <v>756666.66666666418</v>
      </c>
      <c r="L17" s="377">
        <f>+'Scenario Summary'!E10</f>
        <v>347000</v>
      </c>
      <c r="M17" s="347">
        <f>+'Scenario Summary'!E11</f>
        <v>359000</v>
      </c>
      <c r="N17" s="347">
        <f>+'Scenario Summary'!E12</f>
        <v>374000</v>
      </c>
      <c r="O17" s="348">
        <f>+FORECAST($O$11,$L17:$N17,$L$11:$N$11)</f>
        <v>387000</v>
      </c>
      <c r="P17" s="349">
        <f>+$O17</f>
        <v>387000</v>
      </c>
      <c r="Q17" s="349">
        <f t="shared" ref="Q17:T17" si="8">+$O17</f>
        <v>387000</v>
      </c>
      <c r="R17" s="349">
        <f t="shared" si="8"/>
        <v>387000</v>
      </c>
      <c r="S17" s="349">
        <f t="shared" si="8"/>
        <v>387000</v>
      </c>
      <c r="T17" s="378">
        <f t="shared" si="8"/>
        <v>387000</v>
      </c>
      <c r="V17" s="78" t="s">
        <v>46</v>
      </c>
      <c r="W17" s="131">
        <v>502379</v>
      </c>
      <c r="X17" s="131">
        <v>509713</v>
      </c>
      <c r="Y17" s="131">
        <v>506046</v>
      </c>
      <c r="Z17" s="131">
        <v>1518138</v>
      </c>
    </row>
    <row r="18" spans="2:26" ht="18.75" x14ac:dyDescent="0.3">
      <c r="B18" s="61" t="s">
        <v>44</v>
      </c>
      <c r="C18" s="126">
        <f>+GETPIVOTDATA("Value",$V$9,"Row",2012,"Page1","FAOC")</f>
        <v>285000</v>
      </c>
      <c r="D18" s="126">
        <f>+GETPIVOTDATA("Value",$V$9,"Row",2013,"Page1","FAOC")</f>
        <v>285000</v>
      </c>
      <c r="E18" s="370">
        <f>+GETPIVOTDATA("Value",$V$9,"Row",2014,"Page1","FAOC")</f>
        <v>285000</v>
      </c>
      <c r="F18" s="365">
        <f t="shared" si="6"/>
        <v>285000</v>
      </c>
      <c r="G18" s="142">
        <f t="shared" si="7"/>
        <v>285000</v>
      </c>
      <c r="H18" s="142">
        <f t="shared" si="7"/>
        <v>285000</v>
      </c>
      <c r="I18" s="142">
        <f t="shared" si="7"/>
        <v>285000</v>
      </c>
      <c r="J18" s="142">
        <f t="shared" si="7"/>
        <v>285000</v>
      </c>
      <c r="K18" s="142">
        <f t="shared" si="7"/>
        <v>285000</v>
      </c>
      <c r="L18" s="379">
        <f>+GETPIVOTDATA("Value",$V$9,"Row",2012,"Page1","FAOC")</f>
        <v>285000</v>
      </c>
      <c r="M18" s="126">
        <f>+GETPIVOTDATA("Value",$V$9,"Row",2013,"Page1","FAOC")</f>
        <v>285000</v>
      </c>
      <c r="N18" s="126">
        <f>+GETPIVOTDATA("Value",$V$9,"Row",2014,"Page1","FAOC")</f>
        <v>285000</v>
      </c>
      <c r="O18" s="345">
        <f t="shared" ref="O18:O20" si="9">+FORECAST($O$11,$L18:$N18,$L$11:$N$11)</f>
        <v>285000</v>
      </c>
      <c r="P18" s="142">
        <f t="shared" ref="P18:T20" si="10">+$O18</f>
        <v>285000</v>
      </c>
      <c r="Q18" s="142">
        <f t="shared" si="10"/>
        <v>285000</v>
      </c>
      <c r="R18" s="142">
        <f t="shared" si="10"/>
        <v>285000</v>
      </c>
      <c r="S18" s="142">
        <f t="shared" si="10"/>
        <v>285000</v>
      </c>
      <c r="T18" s="375">
        <f t="shared" si="10"/>
        <v>285000</v>
      </c>
      <c r="V18" s="78" t="s">
        <v>188</v>
      </c>
      <c r="W18" s="131">
        <v>1554379</v>
      </c>
      <c r="X18" s="131">
        <v>1579713</v>
      </c>
      <c r="Y18" s="131">
        <v>1607046</v>
      </c>
      <c r="Z18" s="131">
        <v>4741138</v>
      </c>
    </row>
    <row r="19" spans="2:26" ht="18.75" x14ac:dyDescent="0.3">
      <c r="B19" s="61" t="s">
        <v>45</v>
      </c>
      <c r="C19" s="126">
        <f>+GETPIVOTDATA("Value",$V$9,"Row",2012,"Page1","APC")</f>
        <v>90000</v>
      </c>
      <c r="D19" s="126">
        <f>+GETPIVOTDATA("Value",$V$9,"Row",2013,"Page1","APC")</f>
        <v>85000</v>
      </c>
      <c r="E19" s="370">
        <f>+GETPIVOTDATA("Value",$V$9,"Row",2014,"Page1","APC")</f>
        <v>85000</v>
      </c>
      <c r="F19" s="365">
        <f t="shared" si="6"/>
        <v>81666.666666666977</v>
      </c>
      <c r="G19" s="142">
        <f t="shared" si="7"/>
        <v>81666.666666666977</v>
      </c>
      <c r="H19" s="142">
        <f t="shared" si="7"/>
        <v>81666.666666666977</v>
      </c>
      <c r="I19" s="142">
        <f t="shared" si="7"/>
        <v>81666.666666666977</v>
      </c>
      <c r="J19" s="142">
        <f t="shared" si="7"/>
        <v>81666.666666666977</v>
      </c>
      <c r="K19" s="142">
        <f t="shared" si="7"/>
        <v>81666.666666666977</v>
      </c>
      <c r="L19" s="379">
        <f>+GETPIVOTDATA("Value",$V$9,"Row",2012,"Page1","APC")</f>
        <v>90000</v>
      </c>
      <c r="M19" s="126">
        <f>+GETPIVOTDATA("Value",$V$9,"Row",2013,"Page1","APC")</f>
        <v>85000</v>
      </c>
      <c r="N19" s="126">
        <f>+GETPIVOTDATA("Value",$V$9,"Row",2014,"Page1","APC")</f>
        <v>85000</v>
      </c>
      <c r="O19" s="345">
        <f t="shared" si="9"/>
        <v>81666.666666666977</v>
      </c>
      <c r="P19" s="142">
        <f t="shared" si="10"/>
        <v>81666.666666666977</v>
      </c>
      <c r="Q19" s="142">
        <f t="shared" si="10"/>
        <v>81666.666666666977</v>
      </c>
      <c r="R19" s="142">
        <f t="shared" si="10"/>
        <v>81666.666666666977</v>
      </c>
      <c r="S19" s="142">
        <f t="shared" si="10"/>
        <v>81666.666666666977</v>
      </c>
      <c r="T19" s="375">
        <f t="shared" si="10"/>
        <v>81666.666666666977</v>
      </c>
      <c r="V19" s="78" t="s">
        <v>129</v>
      </c>
      <c r="W19" s="131">
        <v>7051739</v>
      </c>
      <c r="X19" s="131">
        <v>6711423</v>
      </c>
      <c r="Y19" s="131">
        <v>5964986</v>
      </c>
      <c r="Z19" s="131">
        <v>19728148</v>
      </c>
    </row>
    <row r="20" spans="2:26" ht="18.75" x14ac:dyDescent="0.3">
      <c r="B20" s="61" t="s">
        <v>46</v>
      </c>
      <c r="C20" s="126">
        <f>+GETPIVOTDATA("Value",$V$9,"Row",2012,"Page1","VUAOC")</f>
        <v>502379</v>
      </c>
      <c r="D20" s="126">
        <f>+GETPIVOTDATA("Value",$V$9,"Row",2013,"Page1","VUAOC")</f>
        <v>509713</v>
      </c>
      <c r="E20" s="370">
        <f>+GETPIVOTDATA("Value",$V$9,"Row",2014,"Page1","VUAOC")</f>
        <v>506046</v>
      </c>
      <c r="F20" s="365">
        <f t="shared" si="6"/>
        <v>509713</v>
      </c>
      <c r="G20" s="142">
        <f t="shared" si="7"/>
        <v>509713</v>
      </c>
      <c r="H20" s="142">
        <f t="shared" si="7"/>
        <v>509713</v>
      </c>
      <c r="I20" s="142">
        <f t="shared" si="7"/>
        <v>509713</v>
      </c>
      <c r="J20" s="142">
        <f t="shared" si="7"/>
        <v>509713</v>
      </c>
      <c r="K20" s="142">
        <f t="shared" si="7"/>
        <v>509713</v>
      </c>
      <c r="L20" s="379">
        <f>+GETPIVOTDATA("Value",$V$9,"Row",2012,"Page1","VUAOC")</f>
        <v>502379</v>
      </c>
      <c r="M20" s="126">
        <f>+GETPIVOTDATA("Value",$V$9,"Row",2013,"Page1","VUAOC")</f>
        <v>509713</v>
      </c>
      <c r="N20" s="126">
        <f>+GETPIVOTDATA("Value",$V$9,"Row",2014,"Page1","VUAOC")</f>
        <v>506046</v>
      </c>
      <c r="O20" s="345">
        <f t="shared" si="9"/>
        <v>509713</v>
      </c>
      <c r="P20" s="142">
        <f t="shared" si="10"/>
        <v>509713</v>
      </c>
      <c r="Q20" s="142">
        <f t="shared" si="10"/>
        <v>509713</v>
      </c>
      <c r="R20" s="142">
        <f t="shared" si="10"/>
        <v>509713</v>
      </c>
      <c r="S20" s="142">
        <f t="shared" si="10"/>
        <v>509713</v>
      </c>
      <c r="T20" s="375">
        <f t="shared" si="10"/>
        <v>509713</v>
      </c>
      <c r="V20" s="78" t="s">
        <v>186</v>
      </c>
      <c r="W20" s="131">
        <v>148581</v>
      </c>
      <c r="X20" s="131">
        <v>-6653</v>
      </c>
      <c r="Y20" s="131">
        <v>-276286</v>
      </c>
      <c r="Z20" s="131">
        <v>-134358</v>
      </c>
    </row>
    <row r="21" spans="2:26" ht="19.5" thickBot="1" x14ac:dyDescent="0.35">
      <c r="B21" s="63" t="s">
        <v>54</v>
      </c>
      <c r="C21" s="122"/>
      <c r="D21" s="122"/>
      <c r="E21" s="123"/>
      <c r="F21" s="365"/>
      <c r="G21" s="142">
        <v>500000</v>
      </c>
      <c r="H21" s="143">
        <v>500000</v>
      </c>
      <c r="I21" s="408">
        <v>500000</v>
      </c>
      <c r="J21" s="408">
        <v>500000</v>
      </c>
      <c r="K21" s="372">
        <v>500000</v>
      </c>
      <c r="L21" s="374"/>
      <c r="M21" s="122"/>
      <c r="N21" s="123"/>
      <c r="O21" s="345"/>
      <c r="P21" s="142">
        <v>500000</v>
      </c>
      <c r="Q21" s="143">
        <v>500000</v>
      </c>
      <c r="R21" s="143">
        <v>500000</v>
      </c>
      <c r="S21" s="143">
        <v>500000</v>
      </c>
      <c r="T21" s="144">
        <v>500000</v>
      </c>
      <c r="V21" s="78" t="s">
        <v>32</v>
      </c>
      <c r="W21" s="131">
        <v>24709718</v>
      </c>
      <c r="X21" s="131">
        <v>23273736</v>
      </c>
      <c r="Y21" s="131">
        <v>20280192</v>
      </c>
      <c r="Z21" s="131">
        <v>68263646</v>
      </c>
    </row>
    <row r="22" spans="2:26" ht="18.75" x14ac:dyDescent="0.3">
      <c r="B22" s="151" t="s">
        <v>47</v>
      </c>
      <c r="C22" s="127">
        <f>C15-SUM(C17:C20)</f>
        <v>148581</v>
      </c>
      <c r="D22" s="127">
        <f t="shared" ref="D22:E22" si="11">D15-SUM(D17:D20)</f>
        <v>-6653</v>
      </c>
      <c r="E22" s="128">
        <f t="shared" si="11"/>
        <v>-276286</v>
      </c>
      <c r="F22" s="366">
        <f>+F15-SUM(F17:F21)</f>
        <v>-469653.0000000177</v>
      </c>
      <c r="G22" s="148">
        <f t="shared" ref="G22:K22" si="12">+G15-SUM(G17:G21)</f>
        <v>-969653.0000000773</v>
      </c>
      <c r="H22" s="149">
        <f t="shared" si="12"/>
        <v>-1471617.3333334029</v>
      </c>
      <c r="I22" s="149">
        <f t="shared" si="12"/>
        <v>-467688.66666675173</v>
      </c>
      <c r="J22" s="149">
        <f t="shared" ref="J22" si="13">+J15-SUM(J17:J21)</f>
        <v>-15920.766666759737</v>
      </c>
      <c r="K22" s="361">
        <f t="shared" si="12"/>
        <v>34275.666666572914</v>
      </c>
      <c r="L22" s="380">
        <f>L15-SUM(L17:L20)</f>
        <v>478581</v>
      </c>
      <c r="M22" s="127">
        <f t="shared" ref="M22:N22" si="14">M15-SUM(M17:M20)</f>
        <v>334347</v>
      </c>
      <c r="N22" s="128">
        <f t="shared" si="14"/>
        <v>80714</v>
      </c>
      <c r="O22" s="357">
        <f>+O15-SUM(O17:O21)</f>
        <v>-99986.333333353512</v>
      </c>
      <c r="P22" s="148">
        <f t="shared" ref="P22:T22" si="15">+P15-SUM(P17:P21)</f>
        <v>-599986.33333341312</v>
      </c>
      <c r="Q22" s="149">
        <f t="shared" si="15"/>
        <v>-1101950.6666667387</v>
      </c>
      <c r="R22" s="149">
        <f t="shared" si="15"/>
        <v>-98022.000000087544</v>
      </c>
      <c r="S22" s="149">
        <f t="shared" si="15"/>
        <v>2370.8666665777564</v>
      </c>
      <c r="T22" s="150">
        <f t="shared" si="15"/>
        <v>403942.3333332371</v>
      </c>
    </row>
    <row r="23" spans="2:26" ht="19.5" thickBot="1" x14ac:dyDescent="0.35">
      <c r="B23" s="63"/>
      <c r="C23" s="129"/>
      <c r="D23" s="129"/>
      <c r="E23" s="371"/>
      <c r="F23" s="367"/>
      <c r="G23" s="64"/>
      <c r="H23" s="65"/>
      <c r="I23" s="65"/>
      <c r="J23" s="362"/>
      <c r="K23" s="362"/>
      <c r="L23" s="381"/>
      <c r="M23" s="129"/>
      <c r="N23" s="129"/>
      <c r="O23" s="346"/>
      <c r="P23" s="64"/>
      <c r="Q23" s="65"/>
      <c r="R23" s="65"/>
      <c r="S23" s="362"/>
      <c r="T23" s="66"/>
    </row>
    <row r="25" spans="2:26" x14ac:dyDescent="0.2">
      <c r="F25" s="284"/>
    </row>
    <row r="26" spans="2:26" ht="18.75" x14ac:dyDescent="0.3">
      <c r="B26" s="8" t="s">
        <v>55</v>
      </c>
      <c r="C26" s="8"/>
      <c r="D26" s="8"/>
      <c r="E26" s="8"/>
      <c r="F26" s="8"/>
      <c r="G26" s="8"/>
      <c r="H26" s="8"/>
      <c r="I26" s="8"/>
      <c r="J26" s="8"/>
      <c r="K26" s="37"/>
      <c r="L26" s="37"/>
      <c r="M26" s="37"/>
      <c r="N26" s="37"/>
      <c r="O26" s="37"/>
    </row>
    <row r="27" spans="2:26" ht="18.75" x14ac:dyDescent="0.3">
      <c r="B27" s="3" t="s">
        <v>152</v>
      </c>
      <c r="C27" s="8"/>
      <c r="D27" s="8"/>
      <c r="E27" s="8"/>
      <c r="F27" s="8"/>
      <c r="G27" s="8"/>
      <c r="H27" s="8"/>
      <c r="I27" s="8"/>
      <c r="J27" s="8"/>
      <c r="K27" s="37"/>
      <c r="L27" s="37"/>
      <c r="M27" s="37"/>
      <c r="N27" s="37"/>
      <c r="O27" s="37"/>
    </row>
    <row r="28" spans="2:26" ht="18.75" x14ac:dyDescent="0.3">
      <c r="B28" s="3" t="s">
        <v>153</v>
      </c>
      <c r="C28" s="1"/>
      <c r="D28" s="1"/>
      <c r="E28" s="1"/>
      <c r="F28" s="1"/>
      <c r="G28" s="1"/>
      <c r="H28" s="1"/>
      <c r="I28" s="1"/>
      <c r="J28" s="1"/>
    </row>
    <row r="30" spans="2:26" x14ac:dyDescent="0.2">
      <c r="F30" s="284"/>
    </row>
    <row r="31" spans="2:26" x14ac:dyDescent="0.2">
      <c r="F31" s="177"/>
    </row>
    <row r="34" spans="2:28" ht="15.75" x14ac:dyDescent="0.25">
      <c r="B34" s="1"/>
      <c r="C34" s="1"/>
      <c r="D34" s="1"/>
      <c r="E34" s="1"/>
      <c r="F34" s="1"/>
      <c r="G34" s="1"/>
      <c r="H34" s="1"/>
      <c r="I34" s="1"/>
      <c r="J34" s="1"/>
    </row>
    <row r="35" spans="2:28" ht="23.25" x14ac:dyDescent="0.35">
      <c r="I35" s="67"/>
      <c r="J35" s="67"/>
    </row>
    <row r="36" spans="2:28" ht="23.25" x14ac:dyDescent="0.35">
      <c r="I36" s="67"/>
      <c r="J36" s="67"/>
    </row>
    <row r="37" spans="2:28" ht="23.25" x14ac:dyDescent="0.35">
      <c r="I37" s="67"/>
      <c r="J37" s="67"/>
      <c r="AB37" s="48">
        <f>+AB27-AB29-AB30-AB31-AB32</f>
        <v>0</v>
      </c>
    </row>
    <row r="38" spans="2:28" ht="23.25" x14ac:dyDescent="0.35">
      <c r="I38" s="67"/>
      <c r="J38" s="67"/>
    </row>
    <row r="39" spans="2:28" ht="23.25" x14ac:dyDescent="0.35">
      <c r="I39" s="67"/>
      <c r="J39" s="67"/>
    </row>
    <row r="40" spans="2:28" ht="18.75" x14ac:dyDescent="0.3">
      <c r="I40" s="2"/>
      <c r="J40" s="2"/>
    </row>
    <row r="41" spans="2:28" ht="15.75" x14ac:dyDescent="0.25">
      <c r="I41" s="1"/>
      <c r="J41" s="1"/>
    </row>
    <row r="42" spans="2:28" ht="15.75" x14ac:dyDescent="0.25">
      <c r="C42" s="1"/>
      <c r="D42" s="1"/>
      <c r="E42" s="1"/>
      <c r="F42" s="1"/>
      <c r="G42" s="1"/>
      <c r="H42" s="1"/>
      <c r="I42" s="1"/>
      <c r="J42" s="1"/>
    </row>
    <row r="44" spans="2:28" ht="18.75" x14ac:dyDescent="0.3">
      <c r="B44" s="2"/>
      <c r="C44" s="2"/>
      <c r="D44" s="2"/>
      <c r="E44" s="2"/>
      <c r="F44" s="2"/>
      <c r="G44" s="2"/>
      <c r="H44" s="2"/>
      <c r="I44" s="2"/>
      <c r="J44" s="2"/>
      <c r="K44" s="2"/>
      <c r="L44" s="2"/>
      <c r="M44" s="2"/>
      <c r="N44" s="2"/>
      <c r="O44" s="2"/>
    </row>
    <row r="45" spans="2:28" ht="18.75" x14ac:dyDescent="0.3">
      <c r="B45" s="2"/>
      <c r="C45" s="2"/>
      <c r="D45" s="2"/>
      <c r="E45" s="2"/>
      <c r="F45" s="2"/>
      <c r="G45" s="2"/>
      <c r="H45" s="2"/>
      <c r="I45" s="2"/>
      <c r="J45" s="2"/>
      <c r="K45" s="2"/>
      <c r="L45" s="2"/>
      <c r="M45" s="2"/>
      <c r="N45" s="2"/>
      <c r="O45" s="2"/>
    </row>
    <row r="46" spans="2:28" ht="23.25" x14ac:dyDescent="0.35">
      <c r="I46" s="67"/>
      <c r="J46" s="67"/>
    </row>
    <row r="47" spans="2:28" ht="23.25" x14ac:dyDescent="0.35">
      <c r="I47" s="67"/>
      <c r="J47" s="67"/>
    </row>
    <row r="48" spans="2:28" ht="23.25" x14ac:dyDescent="0.35">
      <c r="I48" s="67"/>
      <c r="J48" s="67"/>
    </row>
    <row r="49" spans="1:16" ht="23.25" x14ac:dyDescent="0.35">
      <c r="I49" s="67"/>
      <c r="J49" s="67"/>
    </row>
    <row r="50" spans="1:16" ht="23.25" x14ac:dyDescent="0.35">
      <c r="I50" s="67"/>
      <c r="J50" s="67"/>
    </row>
    <row r="51" spans="1:16" ht="23.25" x14ac:dyDescent="0.35">
      <c r="I51" s="67"/>
      <c r="J51" s="67"/>
    </row>
    <row r="52" spans="1:16" ht="23.25" x14ac:dyDescent="0.35">
      <c r="I52" s="67"/>
      <c r="J52" s="67"/>
    </row>
    <row r="53" spans="1:16" ht="23.25" x14ac:dyDescent="0.35">
      <c r="I53" s="67"/>
      <c r="J53" s="67"/>
    </row>
    <row r="54" spans="1:16" ht="23.25" x14ac:dyDescent="0.35">
      <c r="I54" s="67"/>
      <c r="J54" s="67"/>
    </row>
    <row r="55" spans="1:16" ht="18.75" x14ac:dyDescent="0.3">
      <c r="I55" s="2"/>
      <c r="J55" s="2"/>
    </row>
    <row r="56" spans="1:16" ht="15.75" x14ac:dyDescent="0.25">
      <c r="I56" s="1"/>
      <c r="J56" s="1"/>
    </row>
    <row r="57" spans="1:16" ht="15.75" x14ac:dyDescent="0.25">
      <c r="C57" s="1"/>
      <c r="D57" s="1"/>
      <c r="E57" s="1"/>
      <c r="F57" s="1"/>
      <c r="G57" s="1"/>
      <c r="H57" s="1"/>
      <c r="I57" s="1"/>
      <c r="J57" s="1"/>
    </row>
    <row r="59" spans="1:16" ht="18.75" x14ac:dyDescent="0.3">
      <c r="A59" s="2"/>
      <c r="B59" s="2"/>
      <c r="C59" s="2"/>
      <c r="D59" s="2"/>
      <c r="E59" s="2"/>
      <c r="F59" s="2"/>
      <c r="G59" s="2"/>
      <c r="H59" s="2"/>
      <c r="I59" s="2"/>
      <c r="J59" s="2"/>
      <c r="K59" s="2"/>
      <c r="L59" s="2"/>
      <c r="M59" s="2"/>
      <c r="N59" s="2"/>
      <c r="O59" s="2"/>
      <c r="P59" s="2"/>
    </row>
    <row r="60" spans="1:16" ht="18.75" x14ac:dyDescent="0.3">
      <c r="A60" s="2"/>
      <c r="B60" s="2"/>
      <c r="C60" s="2"/>
      <c r="D60" s="2"/>
      <c r="E60" s="2"/>
      <c r="F60" s="2"/>
      <c r="G60" s="2"/>
      <c r="H60" s="2"/>
      <c r="I60" s="2"/>
      <c r="J60" s="2"/>
      <c r="K60" s="2"/>
      <c r="L60" s="2"/>
      <c r="M60" s="2"/>
      <c r="N60" s="2"/>
      <c r="O60" s="2"/>
      <c r="P60" s="2"/>
    </row>
    <row r="61" spans="1:16" ht="18.75" x14ac:dyDescent="0.3">
      <c r="A61" s="2"/>
      <c r="B61" s="2"/>
      <c r="C61" s="2"/>
      <c r="D61" s="2"/>
      <c r="E61" s="2"/>
      <c r="F61" s="2"/>
      <c r="G61" s="2"/>
      <c r="H61" s="2"/>
      <c r="I61" s="2"/>
      <c r="J61" s="2"/>
      <c r="K61" s="2"/>
      <c r="L61" s="2"/>
      <c r="M61" s="2"/>
      <c r="N61" s="2"/>
      <c r="O61" s="2"/>
      <c r="P61" s="2"/>
    </row>
    <row r="62" spans="1:16" ht="18.75" x14ac:dyDescent="0.3">
      <c r="A62" s="2"/>
      <c r="B62" s="2"/>
      <c r="C62" s="2"/>
      <c r="D62" s="2"/>
      <c r="E62" s="2"/>
      <c r="F62" s="2"/>
      <c r="G62" s="2"/>
      <c r="H62" s="2"/>
      <c r="I62" s="2"/>
      <c r="J62" s="2"/>
      <c r="K62" s="2"/>
      <c r="L62" s="2"/>
      <c r="M62" s="2"/>
      <c r="N62" s="2"/>
      <c r="O62" s="2"/>
      <c r="P62" s="2"/>
    </row>
    <row r="63" spans="1:16" ht="18.75" x14ac:dyDescent="0.3">
      <c r="A63" s="2"/>
      <c r="B63" s="2"/>
      <c r="C63" s="2"/>
      <c r="D63" s="2"/>
      <c r="E63" s="2"/>
      <c r="F63" s="2"/>
      <c r="G63" s="2"/>
      <c r="H63" s="2"/>
      <c r="I63" s="2"/>
      <c r="J63" s="2"/>
      <c r="K63" s="2"/>
      <c r="L63" s="2"/>
      <c r="M63" s="2"/>
      <c r="N63" s="2"/>
      <c r="O63" s="2"/>
      <c r="P63" s="2"/>
    </row>
    <row r="64" spans="1:16" ht="18.75" x14ac:dyDescent="0.3">
      <c r="A64" s="2"/>
      <c r="B64" s="2"/>
      <c r="C64" s="2"/>
      <c r="D64" s="2"/>
      <c r="E64" s="2"/>
      <c r="F64" s="2"/>
      <c r="G64" s="2"/>
      <c r="H64" s="2"/>
      <c r="I64" s="2"/>
      <c r="J64" s="2"/>
      <c r="K64" s="2"/>
      <c r="L64" s="2"/>
      <c r="M64" s="2"/>
      <c r="N64" s="2"/>
      <c r="O64" s="2"/>
      <c r="P64" s="2"/>
    </row>
    <row r="65" spans="1:16" ht="18.75" x14ac:dyDescent="0.3">
      <c r="A65" s="2"/>
      <c r="B65" s="2"/>
      <c r="C65" s="2"/>
      <c r="D65" s="2"/>
      <c r="E65" s="2"/>
      <c r="F65" s="2"/>
      <c r="G65" s="2"/>
      <c r="H65" s="2"/>
      <c r="I65" s="2"/>
      <c r="J65" s="2"/>
      <c r="K65" s="2"/>
      <c r="L65" s="2"/>
      <c r="M65" s="2"/>
      <c r="N65" s="2"/>
      <c r="O65" s="2"/>
      <c r="P65" s="2"/>
    </row>
    <row r="66" spans="1:16" ht="18.75" x14ac:dyDescent="0.3">
      <c r="A66" s="2"/>
      <c r="B66" s="2"/>
      <c r="C66" s="2"/>
      <c r="D66" s="2"/>
      <c r="E66" s="2"/>
      <c r="F66" s="2"/>
      <c r="G66" s="2"/>
      <c r="H66" s="2"/>
      <c r="I66" s="2"/>
      <c r="J66" s="2"/>
      <c r="K66" s="2"/>
      <c r="L66" s="2"/>
      <c r="M66" s="2"/>
      <c r="N66" s="2"/>
      <c r="O66" s="2"/>
      <c r="P66" s="2"/>
    </row>
    <row r="67" spans="1:16" ht="18.75" x14ac:dyDescent="0.3">
      <c r="A67" s="2"/>
      <c r="B67" s="2"/>
      <c r="C67" s="2"/>
      <c r="D67" s="2"/>
      <c r="E67" s="2"/>
      <c r="F67" s="2"/>
      <c r="G67" s="2"/>
      <c r="H67" s="2"/>
      <c r="I67" s="2"/>
      <c r="J67" s="2"/>
      <c r="K67" s="2"/>
      <c r="L67" s="2"/>
      <c r="M67" s="2"/>
      <c r="N67" s="2"/>
      <c r="O67" s="2"/>
      <c r="P67" s="2"/>
    </row>
    <row r="68" spans="1:16" ht="18.75" x14ac:dyDescent="0.3">
      <c r="A68" s="2"/>
      <c r="B68" s="2"/>
      <c r="C68" s="2"/>
      <c r="D68" s="2"/>
      <c r="E68" s="2"/>
      <c r="F68" s="2"/>
      <c r="G68" s="2"/>
      <c r="H68" s="2"/>
      <c r="I68" s="2"/>
      <c r="J68" s="2"/>
      <c r="K68" s="2"/>
      <c r="L68" s="2"/>
      <c r="M68" s="2"/>
      <c r="N68" s="2"/>
      <c r="O68" s="2"/>
      <c r="P68" s="2"/>
    </row>
    <row r="69" spans="1:16" ht="18.75" x14ac:dyDescent="0.3">
      <c r="A69" s="2"/>
      <c r="B69" s="2"/>
      <c r="C69" s="2"/>
      <c r="D69" s="2"/>
      <c r="E69" s="2"/>
      <c r="F69" s="2"/>
      <c r="G69" s="2"/>
      <c r="H69" s="2"/>
      <c r="I69" s="2"/>
      <c r="J69" s="2"/>
      <c r="K69" s="2"/>
      <c r="L69" s="2"/>
      <c r="M69" s="2"/>
      <c r="N69" s="2"/>
      <c r="O69" s="2"/>
      <c r="P69" s="2"/>
    </row>
    <row r="70" spans="1:16" ht="18.75" x14ac:dyDescent="0.3">
      <c r="A70" s="2"/>
      <c r="B70" s="2"/>
      <c r="C70" s="2"/>
      <c r="D70" s="2"/>
      <c r="E70" s="2"/>
      <c r="F70" s="2"/>
      <c r="G70" s="2"/>
      <c r="H70" s="2"/>
      <c r="I70" s="2"/>
      <c r="J70" s="2"/>
      <c r="K70" s="2"/>
      <c r="L70" s="2"/>
      <c r="M70" s="2"/>
      <c r="N70" s="2"/>
      <c r="O70" s="2"/>
      <c r="P70" s="2"/>
    </row>
    <row r="71" spans="1:16" ht="18.75" x14ac:dyDescent="0.3">
      <c r="A71" s="2"/>
      <c r="B71" s="2"/>
      <c r="C71" s="2"/>
      <c r="D71" s="2"/>
      <c r="E71" s="2"/>
      <c r="F71" s="2"/>
      <c r="G71" s="2"/>
      <c r="H71" s="2"/>
      <c r="I71" s="2"/>
      <c r="J71" s="2"/>
      <c r="K71" s="2"/>
      <c r="L71" s="2"/>
      <c r="M71" s="2"/>
      <c r="N71" s="2"/>
      <c r="O71" s="2"/>
      <c r="P71" s="2"/>
    </row>
    <row r="72" spans="1:16" ht="18.75" x14ac:dyDescent="0.3">
      <c r="A72" s="2"/>
      <c r="B72" s="2"/>
      <c r="C72" s="2"/>
      <c r="D72" s="2"/>
      <c r="E72" s="2"/>
      <c r="F72" s="2"/>
      <c r="G72" s="2"/>
      <c r="H72" s="2"/>
      <c r="I72" s="2"/>
      <c r="J72" s="2"/>
      <c r="K72" s="2"/>
      <c r="L72" s="2"/>
      <c r="M72" s="2"/>
      <c r="N72" s="2"/>
      <c r="O72" s="2"/>
      <c r="P72" s="2"/>
    </row>
    <row r="73" spans="1:16" ht="18.75" x14ac:dyDescent="0.3">
      <c r="A73" s="2"/>
      <c r="B73" s="2"/>
      <c r="C73" s="2"/>
      <c r="D73" s="2"/>
      <c r="E73" s="2"/>
      <c r="F73" s="2"/>
      <c r="G73" s="2"/>
      <c r="H73" s="2"/>
      <c r="I73" s="2"/>
      <c r="J73" s="2"/>
      <c r="K73" s="2"/>
      <c r="L73" s="2"/>
      <c r="M73" s="2"/>
      <c r="N73" s="2"/>
      <c r="O73" s="2"/>
      <c r="P73" s="2"/>
    </row>
    <row r="74" spans="1:16" ht="18.75" x14ac:dyDescent="0.3">
      <c r="A74" s="2"/>
      <c r="B74" s="2"/>
      <c r="C74" s="2"/>
      <c r="D74" s="2"/>
      <c r="E74" s="2"/>
      <c r="F74" s="2"/>
      <c r="G74" s="2"/>
      <c r="H74" s="2"/>
      <c r="I74" s="2"/>
      <c r="J74" s="2"/>
      <c r="K74" s="2"/>
      <c r="L74" s="2"/>
      <c r="M74" s="2"/>
      <c r="N74" s="2"/>
      <c r="O74" s="2"/>
      <c r="P74" s="2"/>
    </row>
    <row r="75" spans="1:16" ht="18.75" x14ac:dyDescent="0.3">
      <c r="A75" s="2"/>
      <c r="B75" s="2"/>
      <c r="C75" s="2"/>
      <c r="D75" s="2"/>
      <c r="E75" s="2"/>
      <c r="F75" s="2"/>
      <c r="G75" s="2"/>
      <c r="H75" s="2"/>
      <c r="I75" s="2"/>
      <c r="J75" s="2"/>
      <c r="K75" s="2"/>
      <c r="L75" s="2"/>
      <c r="M75" s="2"/>
      <c r="N75" s="2"/>
      <c r="O75" s="2"/>
      <c r="P75" s="2"/>
    </row>
    <row r="76" spans="1:16" ht="18.75" x14ac:dyDescent="0.3">
      <c r="A76" s="2"/>
      <c r="B76" s="2"/>
      <c r="C76" s="2"/>
      <c r="D76" s="2"/>
      <c r="E76" s="2"/>
      <c r="F76" s="2"/>
      <c r="G76" s="2"/>
      <c r="H76" s="2"/>
      <c r="I76" s="2"/>
      <c r="J76" s="2"/>
      <c r="K76" s="2"/>
      <c r="L76" s="2"/>
      <c r="M76" s="2"/>
      <c r="N76" s="2"/>
      <c r="O76" s="2"/>
      <c r="P76" s="2"/>
    </row>
    <row r="77" spans="1:16" ht="18.75" x14ac:dyDescent="0.3">
      <c r="A77" s="2"/>
      <c r="B77" s="2"/>
      <c r="C77" s="2"/>
      <c r="D77" s="2"/>
      <c r="E77" s="2"/>
      <c r="F77" s="2"/>
      <c r="G77" s="2"/>
      <c r="H77" s="2"/>
      <c r="I77" s="2"/>
      <c r="J77" s="2"/>
      <c r="K77" s="2"/>
      <c r="L77" s="2"/>
      <c r="M77" s="2"/>
      <c r="N77" s="2"/>
      <c r="O77" s="2"/>
      <c r="P77" s="2"/>
    </row>
    <row r="78" spans="1:16" ht="18.75" x14ac:dyDescent="0.3">
      <c r="A78" s="2"/>
      <c r="B78" s="2"/>
      <c r="C78" s="2"/>
      <c r="D78" s="2"/>
      <c r="E78" s="2"/>
      <c r="F78" s="2"/>
      <c r="G78" s="2"/>
      <c r="H78" s="2"/>
      <c r="I78" s="2"/>
      <c r="J78" s="2"/>
      <c r="K78" s="2"/>
      <c r="L78" s="2"/>
      <c r="M78" s="2"/>
      <c r="N78" s="2"/>
      <c r="O78" s="2"/>
      <c r="P78" s="2"/>
    </row>
    <row r="79" spans="1:16" ht="18.75" x14ac:dyDescent="0.3">
      <c r="A79" s="2"/>
      <c r="B79" s="2"/>
      <c r="C79" s="2"/>
      <c r="D79" s="2"/>
      <c r="E79" s="2"/>
      <c r="F79" s="2"/>
      <c r="G79" s="2"/>
      <c r="H79" s="2"/>
      <c r="I79" s="2"/>
      <c r="J79" s="2"/>
      <c r="K79" s="2"/>
      <c r="L79" s="2"/>
      <c r="M79" s="2"/>
      <c r="N79" s="2"/>
      <c r="O79" s="2"/>
      <c r="P79" s="2"/>
    </row>
    <row r="80" spans="1:16" ht="18.75" x14ac:dyDescent="0.3">
      <c r="A80" s="2"/>
      <c r="B80" s="2"/>
      <c r="C80" s="2"/>
      <c r="D80" s="2"/>
      <c r="E80" s="2"/>
      <c r="F80" s="2"/>
      <c r="G80" s="2"/>
      <c r="H80" s="2"/>
      <c r="I80" s="2"/>
      <c r="J80" s="2"/>
      <c r="K80" s="2"/>
      <c r="L80" s="2"/>
      <c r="M80" s="2"/>
      <c r="N80" s="2"/>
      <c r="O80" s="2"/>
      <c r="P80" s="2"/>
    </row>
    <row r="81" spans="1:16" ht="18.75" x14ac:dyDescent="0.3">
      <c r="A81" s="2"/>
      <c r="B81" s="2"/>
      <c r="C81" s="2"/>
      <c r="D81" s="2"/>
      <c r="E81" s="2"/>
      <c r="F81" s="2"/>
      <c r="G81" s="2"/>
      <c r="H81" s="2"/>
      <c r="I81" s="2"/>
      <c r="J81" s="2"/>
      <c r="K81" s="2"/>
      <c r="L81" s="2"/>
      <c r="M81" s="2"/>
      <c r="N81" s="2"/>
      <c r="O81" s="2"/>
      <c r="P81" s="2"/>
    </row>
    <row r="82" spans="1:16" ht="18.75" x14ac:dyDescent="0.3">
      <c r="A82" s="2"/>
      <c r="B82" s="2"/>
      <c r="C82" s="2"/>
      <c r="D82" s="2"/>
      <c r="E82" s="2"/>
      <c r="F82" s="2"/>
      <c r="G82" s="2"/>
      <c r="H82" s="2"/>
      <c r="I82" s="2"/>
      <c r="J82" s="2"/>
      <c r="K82" s="2"/>
      <c r="L82" s="2"/>
      <c r="M82" s="2"/>
      <c r="N82" s="2"/>
      <c r="O82" s="2"/>
      <c r="P82" s="2"/>
    </row>
    <row r="83" spans="1:16" ht="18.75" x14ac:dyDescent="0.3">
      <c r="A83" s="2"/>
      <c r="B83" s="2"/>
      <c r="C83" s="2"/>
      <c r="D83" s="2"/>
      <c r="E83" s="2"/>
      <c r="F83" s="2"/>
      <c r="G83" s="2"/>
      <c r="H83" s="2"/>
      <c r="I83" s="2"/>
      <c r="J83" s="2"/>
      <c r="K83" s="2"/>
      <c r="L83" s="2"/>
      <c r="M83" s="2"/>
      <c r="N83" s="2"/>
      <c r="O83" s="2"/>
      <c r="P83" s="2"/>
    </row>
    <row r="84" spans="1:16" ht="18.75" x14ac:dyDescent="0.3">
      <c r="A84" s="2"/>
      <c r="B84" s="2"/>
      <c r="C84" s="2"/>
      <c r="D84" s="2"/>
      <c r="E84" s="2"/>
      <c r="F84" s="2"/>
      <c r="G84" s="2"/>
      <c r="H84" s="2"/>
      <c r="I84" s="2"/>
      <c r="J84" s="2"/>
      <c r="K84" s="2"/>
      <c r="L84" s="2"/>
      <c r="M84" s="2"/>
      <c r="N84" s="2"/>
      <c r="O84" s="2"/>
      <c r="P84" s="2"/>
    </row>
    <row r="85" spans="1:16" ht="18.75" x14ac:dyDescent="0.3">
      <c r="A85" s="2"/>
      <c r="B85" s="2"/>
      <c r="C85" s="2"/>
      <c r="D85" s="2"/>
      <c r="E85" s="2"/>
      <c r="F85" s="2"/>
      <c r="G85" s="2"/>
      <c r="H85" s="2"/>
      <c r="I85" s="2"/>
      <c r="J85" s="2"/>
      <c r="K85" s="2"/>
      <c r="L85" s="2"/>
      <c r="M85" s="2"/>
      <c r="N85" s="2"/>
      <c r="O85" s="2"/>
      <c r="P85" s="2"/>
    </row>
    <row r="86" spans="1:16" ht="18.75" x14ac:dyDescent="0.3">
      <c r="A86" s="2"/>
      <c r="B86" s="2"/>
      <c r="C86" s="2"/>
      <c r="D86" s="2"/>
      <c r="E86" s="2"/>
      <c r="F86" s="2"/>
      <c r="G86" s="2"/>
      <c r="H86" s="2"/>
      <c r="I86" s="2"/>
      <c r="J86" s="2"/>
      <c r="K86" s="2"/>
      <c r="L86" s="2"/>
      <c r="M86" s="2"/>
      <c r="N86" s="2"/>
      <c r="O86" s="2"/>
      <c r="P86" s="2"/>
    </row>
    <row r="87" spans="1:16" ht="18.75" x14ac:dyDescent="0.3">
      <c r="A87" s="2"/>
      <c r="B87" s="2"/>
      <c r="C87" s="2"/>
      <c r="D87" s="2"/>
      <c r="E87" s="2"/>
      <c r="F87" s="2"/>
      <c r="G87" s="2"/>
      <c r="H87" s="2"/>
      <c r="I87" s="2"/>
      <c r="J87" s="2"/>
      <c r="K87" s="2"/>
      <c r="L87" s="2"/>
      <c r="M87" s="2"/>
      <c r="N87" s="2"/>
      <c r="O87" s="2"/>
      <c r="P87" s="2"/>
    </row>
    <row r="88" spans="1:16" ht="18.75" x14ac:dyDescent="0.3">
      <c r="A88" s="2"/>
      <c r="B88" s="2"/>
      <c r="C88" s="2"/>
      <c r="D88" s="2"/>
      <c r="E88" s="2"/>
      <c r="F88" s="2"/>
      <c r="G88" s="2"/>
      <c r="H88" s="2"/>
      <c r="I88" s="2"/>
      <c r="J88" s="2"/>
      <c r="K88" s="2"/>
      <c r="L88" s="2"/>
      <c r="M88" s="2"/>
      <c r="N88" s="2"/>
      <c r="O88" s="2"/>
      <c r="P88" s="2"/>
    </row>
  </sheetData>
  <scenarios current="1" show="3" sqref="Q9">
    <scenario name="0% Growth" locked="1" count="1" user="Kim" comment="Created by Singwhat Tee on 9/5/96_x000a_Modified by Singwhat Tee on 9/5/96_x000a_Modified by Singwhat Tee on 9/9/96_x000a_Modified by Kim on 9/11/2016">
      <inputCells r="P8" val="0" numFmtId="9"/>
    </scenario>
    <scenario name="10% Decrease" locked="1" count="1" user="Kim" comment="Created by Singwhat Tee on 9/5/96_x000a_Modified by Singwhat Tee on 9/5/96_x000a_Modified by Singwhat Tee on 9/9/96_x000a_Modified by Kim on 9/11/2016">
      <inputCells r="Q8" val="-0.1" numFmtId="9"/>
    </scenario>
    <scenario name="10% Increase" locked="1" count="1" user="Kim" comment="Created by Singwhat Tee on 9/5/96_x000a_Modified by Singwhat Tee on 9/5/96_x000a_Modified by Singwhat Tee on 9/9/96_x000a_Modified by Kim on 9/11/2016">
      <inputCells r="R8" val="0.1" numFmtId="9"/>
    </scenario>
    <scenario name="20% Increase" locked="1" count="1" user="Kim" comment="Created by Singwhat Tee on 9/5/96_x000a_Modified by Singwhat Tee on 9/5/96_x000a_Modified by Singwhat Tee on 9/9/96_x000a_Modified by Kim on 9/11/2016">
      <inputCells r="T8" val="0.2" numFmtId="9"/>
    </scenario>
  </scenarios>
  <mergeCells count="5">
    <mergeCell ref="C10:E10"/>
    <mergeCell ref="L10:N10"/>
    <mergeCell ref="L9:T9"/>
    <mergeCell ref="F9:K9"/>
    <mergeCell ref="B8:E8"/>
  </mergeCells>
  <phoneticPr fontId="13" type="noConversion"/>
  <pageMargins left="0.7" right="0.21" top="0.75" bottom="0.75" header="0.3" footer="0.3"/>
  <pageSetup paperSize="9" scale="80" fitToHeight="0" orientation="landscape" r:id="rId2"/>
  <headerFooter>
    <oddHeader>&amp;C&amp;14Sheet: &amp;A</oddHeader>
    <oddFooter>&amp;L&amp;11Group 28's Business Model&amp;C&amp;11&amp;P&amp;R&amp;11SP52/2016-BX2016</oddFooter>
  </headerFooter>
  <drawing r:id="rId3"/>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outlinePr summaryBelow="0"/>
    <pageSetUpPr fitToPage="1"/>
  </sheetPr>
  <dimension ref="B1:E16"/>
  <sheetViews>
    <sheetView showGridLines="0" workbookViewId="0">
      <pane xSplit="3" ySplit="4" topLeftCell="D5" activePane="bottomRight" state="frozen"/>
      <selection activeCell="D21" sqref="D21"/>
      <selection pane="topRight" activeCell="D21" sqref="D21"/>
      <selection pane="bottomLeft" activeCell="D21" sqref="D21"/>
      <selection pane="bottomRight" activeCell="E17" sqref="E17"/>
    </sheetView>
  </sheetViews>
  <sheetFormatPr defaultRowHeight="12.75" outlineLevelRow="1" outlineLevelCol="1" x14ac:dyDescent="0.2"/>
  <cols>
    <col min="3" max="3" width="6.28515625" customWidth="1"/>
    <col min="4" max="5" width="33" bestFit="1" customWidth="1" outlineLevel="1"/>
  </cols>
  <sheetData>
    <row r="1" spans="2:5" ht="13.5" thickBot="1" x14ac:dyDescent="0.25"/>
    <row r="2" spans="2:5" ht="15" x14ac:dyDescent="0.25">
      <c r="B2" s="337" t="s">
        <v>196</v>
      </c>
      <c r="C2" s="337"/>
      <c r="D2" s="287"/>
      <c r="E2" s="287"/>
    </row>
    <row r="3" spans="2:5" ht="15" collapsed="1" x14ac:dyDescent="0.25">
      <c r="B3" s="336"/>
      <c r="C3" s="336"/>
      <c r="D3" s="288" t="s">
        <v>198</v>
      </c>
      <c r="E3" s="288" t="s">
        <v>223</v>
      </c>
    </row>
    <row r="4" spans="2:5" ht="33.75" hidden="1" outlineLevel="1" x14ac:dyDescent="0.2">
      <c r="B4" s="338"/>
      <c r="C4" s="338"/>
      <c r="D4" s="285"/>
      <c r="E4" s="290" t="s">
        <v>224</v>
      </c>
    </row>
    <row r="5" spans="2:5" x14ac:dyDescent="0.2">
      <c r="B5" s="339" t="s">
        <v>197</v>
      </c>
      <c r="C5" s="339"/>
      <c r="D5" s="286"/>
      <c r="E5" s="286"/>
    </row>
    <row r="6" spans="2:5" outlineLevel="1" x14ac:dyDescent="0.2">
      <c r="B6" s="338"/>
      <c r="C6" s="338" t="s">
        <v>216</v>
      </c>
      <c r="D6" s="285">
        <v>1</v>
      </c>
      <c r="E6" s="289">
        <v>1</v>
      </c>
    </row>
    <row r="7" spans="2:5" outlineLevel="1" x14ac:dyDescent="0.2">
      <c r="B7" s="338"/>
      <c r="C7" s="338" t="s">
        <v>217</v>
      </c>
      <c r="D7" s="285">
        <v>2</v>
      </c>
      <c r="E7" s="289">
        <v>1</v>
      </c>
    </row>
    <row r="8" spans="2:5" outlineLevel="1" x14ac:dyDescent="0.2">
      <c r="B8" s="338"/>
      <c r="C8" s="338" t="s">
        <v>218</v>
      </c>
      <c r="D8" s="285">
        <v>9</v>
      </c>
      <c r="E8" s="289">
        <v>4</v>
      </c>
    </row>
    <row r="9" spans="2:5" x14ac:dyDescent="0.2">
      <c r="B9" s="339" t="s">
        <v>199</v>
      </c>
      <c r="C9" s="339"/>
      <c r="D9" s="286"/>
      <c r="E9" s="286"/>
    </row>
    <row r="10" spans="2:5" outlineLevel="1" x14ac:dyDescent="0.2">
      <c r="B10" s="338"/>
      <c r="C10" s="338" t="s">
        <v>219</v>
      </c>
      <c r="D10" s="342">
        <v>677000</v>
      </c>
      <c r="E10" s="342">
        <v>347000</v>
      </c>
    </row>
    <row r="11" spans="2:5" outlineLevel="1" x14ac:dyDescent="0.2">
      <c r="B11" s="338"/>
      <c r="C11" s="338" t="s">
        <v>220</v>
      </c>
      <c r="D11" s="342">
        <v>700000</v>
      </c>
      <c r="E11" s="342">
        <v>359000</v>
      </c>
    </row>
    <row r="12" spans="2:5" outlineLevel="1" x14ac:dyDescent="0.2">
      <c r="B12" s="338"/>
      <c r="C12" s="338" t="s">
        <v>221</v>
      </c>
      <c r="D12" s="342">
        <v>731000</v>
      </c>
      <c r="E12" s="342">
        <v>374000</v>
      </c>
    </row>
    <row r="13" spans="2:5" ht="13.5" outlineLevel="1" thickBot="1" x14ac:dyDescent="0.25">
      <c r="B13" s="340"/>
      <c r="C13" s="340" t="s">
        <v>222</v>
      </c>
      <c r="D13" s="343">
        <v>2108000</v>
      </c>
      <c r="E13" s="343">
        <v>1080000</v>
      </c>
    </row>
    <row r="14" spans="2:5" x14ac:dyDescent="0.2">
      <c r="B14" t="s">
        <v>200</v>
      </c>
    </row>
    <row r="15" spans="2:5" x14ac:dyDescent="0.2">
      <c r="B15" t="s">
        <v>201</v>
      </c>
    </row>
    <row r="16" spans="2:5" x14ac:dyDescent="0.2">
      <c r="B16" t="s">
        <v>202</v>
      </c>
    </row>
  </sheetData>
  <pageMargins left="0.7" right="0.43" top="0.75" bottom="0.75" header="0.3" footer="0.3"/>
  <pageSetup paperSize="9" fitToHeight="0" orientation="landscape" r:id="rId1"/>
  <headerFooter>
    <oddHeader>&amp;C&amp;14Sheet: &amp;A</oddHeader>
    <oddFooter>&amp;L&amp;11Group 28's Business Model&amp;C&amp;11&amp;P&amp;R&amp;11SP52/2016-BX2016</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pageSetUpPr fitToPage="1"/>
  </sheetPr>
  <dimension ref="A1:AB44"/>
  <sheetViews>
    <sheetView topLeftCell="B1" zoomScale="80" zoomScaleNormal="80" workbookViewId="0">
      <pane xSplit="6" ySplit="9" topLeftCell="I27" activePane="bottomRight" state="frozen"/>
      <selection activeCell="D21" sqref="D21"/>
      <selection pane="topRight" activeCell="D21" sqref="D21"/>
      <selection pane="bottomLeft" activeCell="D21" sqref="D21"/>
      <selection pane="bottomRight" activeCell="P1" sqref="P1:AB33"/>
    </sheetView>
  </sheetViews>
  <sheetFormatPr defaultRowHeight="12.75" x14ac:dyDescent="0.2"/>
  <cols>
    <col min="1" max="1" width="12.7109375" hidden="1" customWidth="1"/>
    <col min="2" max="2" width="15.7109375" customWidth="1"/>
    <col min="3" max="3" width="18" customWidth="1"/>
    <col min="4" max="4" width="17" hidden="1" customWidth="1"/>
    <col min="5" max="5" width="19.140625" hidden="1" customWidth="1"/>
    <col min="6" max="7" width="14.7109375" hidden="1" customWidth="1"/>
    <col min="8" max="8" width="4" customWidth="1"/>
    <col min="9" max="10" width="14.7109375" customWidth="1"/>
    <col min="11" max="11" width="14.7109375" hidden="1" customWidth="1"/>
    <col min="12" max="12" width="15.7109375" hidden="1" customWidth="1"/>
    <col min="13" max="14" width="20.7109375" hidden="1" customWidth="1"/>
    <col min="15" max="15" width="4" customWidth="1"/>
    <col min="16" max="16" width="15.7109375" customWidth="1"/>
    <col min="17" max="17" width="11.5703125" bestFit="1" customWidth="1"/>
    <col min="18" max="18" width="13" bestFit="1" customWidth="1"/>
    <col min="19" max="19" width="12.7109375" bestFit="1" customWidth="1"/>
    <col min="20" max="20" width="11.5703125" bestFit="1" customWidth="1"/>
    <col min="21" max="21" width="9.85546875" bestFit="1" customWidth="1"/>
    <col min="22" max="22" width="5.5703125" customWidth="1"/>
    <col min="23" max="23" width="16.28515625" bestFit="1" customWidth="1"/>
    <col min="24" max="24" width="15.7109375" customWidth="1"/>
    <col min="25" max="26" width="12" bestFit="1" customWidth="1"/>
    <col min="27" max="27" width="10.85546875" bestFit="1" customWidth="1"/>
    <col min="28" max="28" width="12.42578125" bestFit="1" customWidth="1"/>
  </cols>
  <sheetData>
    <row r="1" spans="2:28" ht="20.25" thickBot="1" x14ac:dyDescent="0.35">
      <c r="W1" s="220" t="s">
        <v>231</v>
      </c>
    </row>
    <row r="2" spans="2:28" ht="16.5" thickTop="1" x14ac:dyDescent="0.25">
      <c r="B2" s="1"/>
      <c r="C2" s="1"/>
      <c r="D2" s="1"/>
      <c r="E2" s="1"/>
      <c r="F2" s="1"/>
      <c r="W2" s="77" t="s">
        <v>158</v>
      </c>
      <c r="X2" t="s">
        <v>31</v>
      </c>
    </row>
    <row r="3" spans="2:28" ht="18.75" x14ac:dyDescent="0.3">
      <c r="B3" s="3"/>
      <c r="C3" s="8"/>
      <c r="D3" s="8"/>
      <c r="E3" s="8"/>
      <c r="F3" s="8"/>
      <c r="G3" s="37"/>
      <c r="H3" s="37"/>
      <c r="I3" s="37"/>
      <c r="J3" s="37"/>
      <c r="K3" s="37"/>
    </row>
    <row r="4" spans="2:28" ht="18.75" x14ac:dyDescent="0.3">
      <c r="B4" s="8"/>
      <c r="C4" s="8"/>
      <c r="D4" s="8"/>
      <c r="E4" s="8"/>
      <c r="F4" s="8"/>
      <c r="G4" s="37"/>
      <c r="H4" s="37"/>
      <c r="I4" s="37"/>
      <c r="J4" s="37"/>
      <c r="K4" s="37"/>
      <c r="W4" s="77" t="s">
        <v>88</v>
      </c>
      <c r="X4" s="77" t="s">
        <v>89</v>
      </c>
    </row>
    <row r="5" spans="2:28" ht="18.75" x14ac:dyDescent="0.3">
      <c r="B5" s="8"/>
      <c r="C5" s="8"/>
      <c r="D5" s="8"/>
      <c r="E5" s="8"/>
      <c r="F5" s="8"/>
      <c r="G5" s="37"/>
      <c r="H5" s="37"/>
      <c r="I5" s="37"/>
      <c r="J5" s="37"/>
      <c r="K5" s="37"/>
      <c r="W5" s="77" t="s">
        <v>11</v>
      </c>
      <c r="X5" t="s">
        <v>2</v>
      </c>
      <c r="Y5" t="s">
        <v>3</v>
      </c>
      <c r="Z5" t="s">
        <v>4</v>
      </c>
      <c r="AA5" t="s">
        <v>5</v>
      </c>
      <c r="AB5" t="s">
        <v>32</v>
      </c>
    </row>
    <row r="6" spans="2:28" ht="18.75" x14ac:dyDescent="0.3">
      <c r="B6" s="8"/>
      <c r="C6" s="3"/>
      <c r="D6" s="8"/>
      <c r="E6" s="8"/>
      <c r="F6" s="8"/>
      <c r="G6" s="37"/>
      <c r="H6" s="37"/>
      <c r="I6" s="37"/>
      <c r="J6" s="37"/>
      <c r="K6" s="37"/>
      <c r="W6" s="78" t="s">
        <v>159</v>
      </c>
      <c r="X6" s="131">
        <v>9416330</v>
      </c>
      <c r="Y6" s="131">
        <v>7200320</v>
      </c>
      <c r="Z6" s="131">
        <v>4536080</v>
      </c>
      <c r="AA6" s="131">
        <v>4022670</v>
      </c>
      <c r="AB6" s="131">
        <v>25175400</v>
      </c>
    </row>
    <row r="7" spans="2:28" ht="15.75" x14ac:dyDescent="0.25">
      <c r="B7" s="1"/>
      <c r="C7" s="1"/>
      <c r="D7" s="1"/>
      <c r="E7" s="1"/>
      <c r="F7" s="1"/>
      <c r="W7" s="78" t="s">
        <v>160</v>
      </c>
      <c r="X7" s="131">
        <v>9364870</v>
      </c>
      <c r="Y7" s="131">
        <v>6704770</v>
      </c>
      <c r="Z7" s="131">
        <v>5047230</v>
      </c>
      <c r="AA7" s="131">
        <v>4555770</v>
      </c>
      <c r="AB7" s="131">
        <v>25672640</v>
      </c>
    </row>
    <row r="8" spans="2:28" ht="18.75" x14ac:dyDescent="0.3">
      <c r="B8" s="4" t="s">
        <v>0</v>
      </c>
      <c r="C8" s="5"/>
      <c r="D8" s="1"/>
      <c r="E8" s="1"/>
      <c r="F8" s="1"/>
      <c r="I8" s="3" t="s">
        <v>103</v>
      </c>
      <c r="P8" s="3" t="s">
        <v>114</v>
      </c>
      <c r="W8" s="78" t="s">
        <v>161</v>
      </c>
      <c r="X8" s="131">
        <v>10833550</v>
      </c>
      <c r="Y8" s="131">
        <v>5688700</v>
      </c>
      <c r="Z8" s="131">
        <v>6112710</v>
      </c>
      <c r="AA8" s="131">
        <v>6283310</v>
      </c>
      <c r="AB8" s="131">
        <v>28918270</v>
      </c>
    </row>
    <row r="9" spans="2:28" ht="15.75" x14ac:dyDescent="0.25">
      <c r="B9" s="35" t="s">
        <v>1</v>
      </c>
      <c r="C9" s="35" t="s">
        <v>2</v>
      </c>
      <c r="D9" s="35" t="s">
        <v>3</v>
      </c>
      <c r="E9" s="35" t="s">
        <v>4</v>
      </c>
      <c r="F9" s="35" t="s">
        <v>5</v>
      </c>
      <c r="G9" s="35" t="s">
        <v>29</v>
      </c>
      <c r="I9" s="35" t="s">
        <v>11</v>
      </c>
      <c r="J9" s="35" t="s">
        <v>2</v>
      </c>
      <c r="K9" s="35" t="s">
        <v>3</v>
      </c>
      <c r="L9" s="35" t="s">
        <v>4</v>
      </c>
      <c r="M9" s="35" t="s">
        <v>5</v>
      </c>
      <c r="N9" s="35" t="s">
        <v>12</v>
      </c>
      <c r="P9" s="35" t="s">
        <v>11</v>
      </c>
      <c r="Q9" s="35" t="s">
        <v>2</v>
      </c>
      <c r="R9" s="35" t="s">
        <v>3</v>
      </c>
      <c r="S9" s="35" t="s">
        <v>4</v>
      </c>
      <c r="T9" s="35" t="s">
        <v>5</v>
      </c>
      <c r="U9" s="35" t="s">
        <v>12</v>
      </c>
      <c r="W9" s="78" t="s">
        <v>32</v>
      </c>
      <c r="X9" s="131">
        <v>29614750</v>
      </c>
      <c r="Y9" s="131">
        <v>19593790</v>
      </c>
      <c r="Z9" s="131">
        <v>15696020</v>
      </c>
      <c r="AA9" s="131">
        <v>14861750</v>
      </c>
      <c r="AB9" s="131">
        <v>79766310</v>
      </c>
    </row>
    <row r="10" spans="2:28" ht="15.75" x14ac:dyDescent="0.25">
      <c r="B10" s="138" t="s">
        <v>6</v>
      </c>
      <c r="C10" s="139">
        <f>+VLOOKUP(B10,Costs!$B$4:$C$6,2,0)</f>
        <v>1</v>
      </c>
      <c r="D10" s="139">
        <f>+VLOOKUP(B10,Costs!$B$4:$D$6,3,0)</f>
        <v>1</v>
      </c>
      <c r="E10" s="139">
        <f>+VLOOKUP(B10,Costs!$B$4:$E$6,4,0)</f>
        <v>1</v>
      </c>
      <c r="F10" s="139">
        <f>+VLOOKUP(B10,Costs!$B$4:$F$6,5,0)</f>
        <v>1</v>
      </c>
      <c r="G10" s="139">
        <f>+SUM(C10:F10)</f>
        <v>4</v>
      </c>
      <c r="I10" s="140">
        <v>2012</v>
      </c>
      <c r="J10" s="25"/>
      <c r="K10" s="25"/>
      <c r="L10" s="25"/>
      <c r="M10" s="25"/>
      <c r="N10" s="25"/>
      <c r="P10" s="140">
        <v>2012</v>
      </c>
      <c r="Q10" s="333">
        <f>+GETPIVOTDATA("Value",$W$4,"Column","Brisbane","Page1","2012")/C12</f>
        <v>941633</v>
      </c>
      <c r="R10" s="333">
        <f>+GETPIVOTDATA("Value",$W$4,"Column","Gold Coast","Page1","2012")/D12</f>
        <v>800035.5555555555</v>
      </c>
      <c r="S10" s="333">
        <f>+GETPIVOTDATA("Value",$W$4,"Column","Townsville","Page1","2012")/E12</f>
        <v>907216</v>
      </c>
      <c r="T10" s="333">
        <f>+GETPIVOTDATA("Value",$W$4,"Column","Cairns","Page1","2012")/F12</f>
        <v>1005667.5</v>
      </c>
      <c r="U10" s="333">
        <f>+SUM(Q10:T10)/G12</f>
        <v>130519.71626984127</v>
      </c>
    </row>
    <row r="11" spans="2:28" ht="15.75" x14ac:dyDescent="0.25">
      <c r="B11" s="138" t="s">
        <v>7</v>
      </c>
      <c r="C11" s="139">
        <f>+VLOOKUP(B11,Costs!$B$4:$C$6,2,0)</f>
        <v>2</v>
      </c>
      <c r="D11" s="139">
        <f>+VLOOKUP(B11,Costs!$B$4:$D$6,3,0)</f>
        <v>2</v>
      </c>
      <c r="E11" s="139">
        <f>+VLOOKUP(B11,Costs!$B$4:$E$6,4,0)</f>
        <v>1</v>
      </c>
      <c r="F11" s="139">
        <f>+VLOOKUP(B11,Costs!$B$4:$F$6,5,0)</f>
        <v>1</v>
      </c>
      <c r="G11" s="139">
        <f t="shared" ref="G11:G12" si="0">+SUM(C11:F11)</f>
        <v>6</v>
      </c>
      <c r="I11" s="140">
        <v>2013</v>
      </c>
      <c r="J11" s="25"/>
      <c r="K11" s="25"/>
      <c r="L11" s="25"/>
      <c r="M11" s="25"/>
      <c r="N11" s="25"/>
      <c r="P11" s="140">
        <v>2013</v>
      </c>
      <c r="Q11" s="333">
        <f>+GETPIVOTDATA("Value",$W$4,"Column","Brisbane","Page1","2013")/C12</f>
        <v>936487</v>
      </c>
      <c r="R11" s="333">
        <f>+GETPIVOTDATA("Value",$W$4,"Column","Gold Coast","Page1","2013")/D12</f>
        <v>744974.4444444445</v>
      </c>
      <c r="S11" s="333">
        <f>+GETPIVOTDATA("Value",$W$4,"Column","Townsville","Page1","2013")/E12</f>
        <v>1009446</v>
      </c>
      <c r="T11" s="333">
        <f>+GETPIVOTDATA("Value",$W$4,"Column","Cairns","Page1","2013")/F12</f>
        <v>1138942.5</v>
      </c>
      <c r="U11" s="333">
        <f>+SUM(Q11:T11)/G12</f>
        <v>136780.35515873015</v>
      </c>
    </row>
    <row r="12" spans="2:28" ht="15.75" x14ac:dyDescent="0.25">
      <c r="B12" s="138" t="s">
        <v>8</v>
      </c>
      <c r="C12" s="139">
        <f>+VLOOKUP(B12,Costs!$B$4:$C$6,2,0)</f>
        <v>10</v>
      </c>
      <c r="D12" s="139">
        <f>+VLOOKUP(B12,Costs!$B$4:$D$6,3,0)</f>
        <v>9</v>
      </c>
      <c r="E12" s="139">
        <f>+VLOOKUP(B12,Costs!$B$4:$E$6,4,0)</f>
        <v>5</v>
      </c>
      <c r="F12" s="139">
        <f>+VLOOKUP(B12,Costs!$B$4:$F$6,5,0)</f>
        <v>4</v>
      </c>
      <c r="G12" s="139">
        <f t="shared" si="0"/>
        <v>28</v>
      </c>
      <c r="I12" s="140">
        <v>2014</v>
      </c>
      <c r="J12" s="25"/>
      <c r="K12" s="25"/>
      <c r="L12" s="25"/>
      <c r="M12" s="25"/>
      <c r="N12" s="25"/>
      <c r="P12" s="140">
        <v>2014</v>
      </c>
      <c r="Q12" s="333">
        <f>+GETPIVOTDATA("Value",$W$4,"Column","Brisbane","Page1","2014")/C12</f>
        <v>1083355</v>
      </c>
      <c r="R12" s="333">
        <f>+GETPIVOTDATA("Value",$W$4,"Column","Gold Coast","Page1","2014")/D12</f>
        <v>632077.77777777775</v>
      </c>
      <c r="S12" s="333">
        <f>+GETPIVOTDATA("Value",$W$4,"Column","Townsville","Page1","2014")/E12</f>
        <v>1222542</v>
      </c>
      <c r="T12" s="333">
        <f>+GETPIVOTDATA("Value",$W$4,"Column","Cairns","Page1","2014")/F12</f>
        <v>1570827.5</v>
      </c>
      <c r="U12" s="333">
        <f>+SUM(Q12:T12)/G12</f>
        <v>161028.65277777778</v>
      </c>
    </row>
    <row r="13" spans="2:28" ht="15.75" x14ac:dyDescent="0.25">
      <c r="B13" s="138" t="s">
        <v>29</v>
      </c>
      <c r="C13" s="139">
        <f>+SUM(C10:C12)</f>
        <v>13</v>
      </c>
      <c r="D13" s="139">
        <f t="shared" ref="D13:G13" si="1">+SUM(D10:D12)</f>
        <v>12</v>
      </c>
      <c r="E13" s="139">
        <f t="shared" si="1"/>
        <v>7</v>
      </c>
      <c r="F13" s="139">
        <f t="shared" si="1"/>
        <v>6</v>
      </c>
      <c r="G13" s="139">
        <f t="shared" si="1"/>
        <v>38</v>
      </c>
      <c r="I13" s="138" t="s">
        <v>49</v>
      </c>
      <c r="J13" s="25"/>
      <c r="K13" s="25"/>
      <c r="L13" s="25"/>
      <c r="M13" s="25"/>
      <c r="N13" s="25"/>
      <c r="P13" s="138" t="s">
        <v>49</v>
      </c>
      <c r="Q13" s="25">
        <f>+AVERAGE(Q10:Q12)</f>
        <v>987158.33333333337</v>
      </c>
      <c r="R13" s="25">
        <f>+AVERAGE(R10:R12)</f>
        <v>725695.92592592596</v>
      </c>
      <c r="S13" s="25">
        <f t="shared" ref="S13:U13" si="2">+AVERAGE(S10:S12)</f>
        <v>1046401.3333333334</v>
      </c>
      <c r="T13" s="25">
        <f t="shared" si="2"/>
        <v>1238479.1666666667</v>
      </c>
      <c r="U13" s="25">
        <f t="shared" si="2"/>
        <v>142776.2414021164</v>
      </c>
    </row>
    <row r="37" spans="1:4" ht="18.75" customHeight="1" x14ac:dyDescent="0.3">
      <c r="A37" s="2"/>
      <c r="B37" s="141"/>
      <c r="C37" s="454" t="s">
        <v>115</v>
      </c>
      <c r="D37" s="453" t="s">
        <v>116</v>
      </c>
    </row>
    <row r="38" spans="1:4" ht="18.75" x14ac:dyDescent="0.3">
      <c r="A38" s="2"/>
      <c r="B38" s="141"/>
      <c r="C38" s="454"/>
      <c r="D38" s="453"/>
    </row>
    <row r="39" spans="1:4" ht="18.75" x14ac:dyDescent="0.3">
      <c r="A39" s="2" t="s">
        <v>22</v>
      </c>
      <c r="B39" s="141" t="s">
        <v>2</v>
      </c>
      <c r="C39" s="56"/>
      <c r="D39" s="56"/>
    </row>
    <row r="40" spans="1:4" ht="18.75" x14ac:dyDescent="0.3">
      <c r="A40" s="2"/>
      <c r="B40" s="141" t="s">
        <v>3</v>
      </c>
      <c r="C40" s="56"/>
      <c r="D40" s="56"/>
    </row>
    <row r="41" spans="1:4" ht="18.75" x14ac:dyDescent="0.3">
      <c r="A41" s="2"/>
      <c r="B41" s="141" t="s">
        <v>4</v>
      </c>
      <c r="C41" s="56"/>
      <c r="D41" s="56"/>
    </row>
    <row r="42" spans="1:4" ht="18.75" x14ac:dyDescent="0.3">
      <c r="A42" s="2"/>
      <c r="B42" s="141" t="s">
        <v>5</v>
      </c>
      <c r="C42" s="56"/>
      <c r="D42" s="56"/>
    </row>
    <row r="43" spans="1:4" ht="18.75" x14ac:dyDescent="0.3">
      <c r="A43" s="2"/>
      <c r="B43" s="2"/>
      <c r="C43" s="2"/>
      <c r="D43" s="2"/>
    </row>
    <row r="44" spans="1:4" ht="18.75" x14ac:dyDescent="0.3">
      <c r="A44" s="2"/>
      <c r="B44" s="2"/>
      <c r="C44" s="2"/>
      <c r="D44" s="2"/>
    </row>
  </sheetData>
  <mergeCells count="2">
    <mergeCell ref="D37:D38"/>
    <mergeCell ref="C37:C38"/>
  </mergeCells>
  <phoneticPr fontId="13" type="noConversion"/>
  <pageMargins left="0.7" right="0.43" top="0.75" bottom="0.75" header="0.3" footer="0.3"/>
  <pageSetup paperSize="9" scale="86" fitToHeight="0" orientation="landscape" r:id="rId2"/>
  <headerFooter>
    <oddHeader>&amp;C&amp;14Sheet: &amp;A</oddHeader>
    <oddFooter>&amp;L&amp;11Group 28's Business Model&amp;C&amp;11&amp;P&amp;R&amp;11SP52/2016-BX2016</oddFooter>
  </headerFooter>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31"/>
  <sheetViews>
    <sheetView zoomScale="80" zoomScaleNormal="80" workbookViewId="0">
      <pane xSplit="1" ySplit="4" topLeftCell="B5" activePane="bottomRight" state="frozen"/>
      <selection activeCell="D21" sqref="D21"/>
      <selection pane="topRight" activeCell="D21" sqref="D21"/>
      <selection pane="bottomLeft" activeCell="D21" sqref="D21"/>
      <selection pane="bottomRight" activeCell="J16" sqref="J16"/>
    </sheetView>
  </sheetViews>
  <sheetFormatPr defaultRowHeight="12.75" x14ac:dyDescent="0.2"/>
  <cols>
    <col min="1" max="1" width="12.140625" customWidth="1"/>
    <col min="2" max="2" width="18" customWidth="1"/>
    <col min="3" max="5" width="14" bestFit="1" customWidth="1"/>
  </cols>
  <sheetData>
    <row r="2" spans="1:6" ht="18.75" x14ac:dyDescent="0.3">
      <c r="A2" s="3" t="s">
        <v>21</v>
      </c>
      <c r="B2" s="3"/>
      <c r="C2" s="1" t="s">
        <v>22</v>
      </c>
      <c r="D2" s="1" t="s">
        <v>22</v>
      </c>
      <c r="E2" s="1"/>
    </row>
    <row r="3" spans="1:6" ht="15.75" x14ac:dyDescent="0.25">
      <c r="A3" s="6" t="s">
        <v>23</v>
      </c>
      <c r="B3" s="6"/>
      <c r="C3" s="1"/>
      <c r="D3" s="1"/>
      <c r="E3" s="1"/>
    </row>
    <row r="4" spans="1:6" ht="15.75" x14ac:dyDescent="0.25">
      <c r="A4" s="18" t="s">
        <v>1</v>
      </c>
      <c r="B4" s="35" t="s">
        <v>2</v>
      </c>
      <c r="C4" s="35" t="s">
        <v>3</v>
      </c>
      <c r="D4" s="35" t="s">
        <v>4</v>
      </c>
      <c r="E4" s="35" t="s">
        <v>5</v>
      </c>
    </row>
    <row r="5" spans="1:6" ht="15.75" x14ac:dyDescent="0.25">
      <c r="A5" s="19" t="s">
        <v>128</v>
      </c>
      <c r="B5" s="20">
        <v>3830</v>
      </c>
      <c r="C5" s="20">
        <v>3680</v>
      </c>
      <c r="D5" s="20">
        <v>3190</v>
      </c>
      <c r="E5" s="20">
        <v>2810</v>
      </c>
      <c r="F5" s="75" t="s">
        <v>148</v>
      </c>
    </row>
    <row r="6" spans="1:6" ht="15.75" x14ac:dyDescent="0.25">
      <c r="A6" s="19" t="s">
        <v>56</v>
      </c>
      <c r="B6" s="20">
        <v>3709</v>
      </c>
      <c r="C6" s="20">
        <v>3113</v>
      </c>
      <c r="D6" s="20">
        <v>3081</v>
      </c>
      <c r="E6" s="20">
        <v>2434</v>
      </c>
    </row>
    <row r="7" spans="1:6" ht="15.75" x14ac:dyDescent="0.25">
      <c r="A7" s="19" t="s">
        <v>57</v>
      </c>
      <c r="B7" s="20">
        <v>3805</v>
      </c>
      <c r="C7" s="20">
        <v>3775</v>
      </c>
      <c r="D7" s="20">
        <v>3478</v>
      </c>
      <c r="E7" s="20">
        <v>2109</v>
      </c>
    </row>
    <row r="8" spans="1:6" ht="15.75" x14ac:dyDescent="0.25">
      <c r="A8" s="19" t="s">
        <v>58</v>
      </c>
      <c r="B8" s="20">
        <v>4216</v>
      </c>
      <c r="C8" s="20">
        <v>3376</v>
      </c>
      <c r="D8" s="20">
        <v>3197</v>
      </c>
      <c r="E8" s="20">
        <v>2277</v>
      </c>
    </row>
    <row r="9" spans="1:6" ht="15.75" x14ac:dyDescent="0.25">
      <c r="A9" s="19" t="s">
        <v>59</v>
      </c>
      <c r="B9" s="20">
        <v>3522</v>
      </c>
      <c r="C9" s="20">
        <v>3997</v>
      </c>
      <c r="D9" s="20">
        <v>2933</v>
      </c>
      <c r="E9" s="20">
        <v>2630</v>
      </c>
    </row>
    <row r="10" spans="1:6" ht="15.75" x14ac:dyDescent="0.25">
      <c r="A10" s="19" t="s">
        <v>60</v>
      </c>
      <c r="B10" s="20">
        <v>4347</v>
      </c>
      <c r="C10" s="20">
        <v>3593</v>
      </c>
      <c r="D10" s="20">
        <v>3192</v>
      </c>
      <c r="E10" s="20">
        <v>2388</v>
      </c>
    </row>
    <row r="11" spans="1:6" ht="15.75" x14ac:dyDescent="0.25">
      <c r="A11" s="19" t="s">
        <v>61</v>
      </c>
      <c r="B11" s="20">
        <v>3574</v>
      </c>
      <c r="C11" s="20">
        <v>3336</v>
      </c>
      <c r="D11" s="20">
        <v>3079</v>
      </c>
      <c r="E11" s="20">
        <v>2503</v>
      </c>
    </row>
    <row r="12" spans="1:6" ht="15.75" x14ac:dyDescent="0.25">
      <c r="A12" s="19" t="s">
        <v>62</v>
      </c>
      <c r="B12" s="20">
        <v>3516</v>
      </c>
      <c r="C12" s="20">
        <v>3351</v>
      </c>
      <c r="D12" s="20">
        <v>3390</v>
      </c>
      <c r="E12" s="20">
        <v>2248</v>
      </c>
    </row>
    <row r="13" spans="1:6" ht="15.75" x14ac:dyDescent="0.25">
      <c r="A13" s="19" t="s">
        <v>63</v>
      </c>
      <c r="B13" s="20">
        <v>3719</v>
      </c>
      <c r="C13" s="20">
        <v>3636</v>
      </c>
      <c r="D13" s="20">
        <v>2858</v>
      </c>
      <c r="E13" s="20">
        <v>2244</v>
      </c>
    </row>
    <row r="14" spans="1:6" ht="15.75" x14ac:dyDescent="0.25">
      <c r="A14" s="19" t="s">
        <v>64</v>
      </c>
      <c r="B14" s="20">
        <v>4205</v>
      </c>
      <c r="C14" s="20">
        <v>3631</v>
      </c>
      <c r="D14" s="20">
        <v>2810</v>
      </c>
      <c r="E14" s="20">
        <v>2201</v>
      </c>
    </row>
    <row r="15" spans="1:6" ht="15.75" x14ac:dyDescent="0.25">
      <c r="A15" s="19" t="s">
        <v>65</v>
      </c>
      <c r="B15" s="20">
        <v>3704</v>
      </c>
      <c r="C15" s="20">
        <v>3147</v>
      </c>
      <c r="D15" s="20">
        <v>3281</v>
      </c>
      <c r="E15" s="20">
        <v>2567</v>
      </c>
    </row>
    <row r="16" spans="1:6" ht="15.75" x14ac:dyDescent="0.25">
      <c r="A16" s="19" t="s">
        <v>66</v>
      </c>
      <c r="B16" s="20">
        <v>4436</v>
      </c>
      <c r="C16" s="20">
        <v>3870</v>
      </c>
      <c r="D16" s="20">
        <v>3383</v>
      </c>
      <c r="E16" s="20">
        <v>2447</v>
      </c>
    </row>
    <row r="17" spans="1:5" ht="15.75" x14ac:dyDescent="0.25">
      <c r="A17" s="19" t="s">
        <v>67</v>
      </c>
      <c r="B17" s="20">
        <v>4244</v>
      </c>
      <c r="C17" s="20">
        <v>3006</v>
      </c>
      <c r="D17" s="20">
        <v>3476</v>
      </c>
      <c r="E17" s="20">
        <v>2719</v>
      </c>
    </row>
    <row r="18" spans="1:5" ht="15.75" x14ac:dyDescent="0.25">
      <c r="A18" s="19" t="s">
        <v>68</v>
      </c>
      <c r="B18" s="20">
        <v>4029</v>
      </c>
      <c r="C18" s="20">
        <v>3962</v>
      </c>
      <c r="D18" s="20">
        <v>2927</v>
      </c>
      <c r="E18" s="20">
        <v>2352</v>
      </c>
    </row>
    <row r="19" spans="1:5" ht="15.75" x14ac:dyDescent="0.25">
      <c r="A19" s="19" t="s">
        <v>69</v>
      </c>
      <c r="B19" s="20">
        <v>4259</v>
      </c>
      <c r="C19" s="20">
        <v>3828</v>
      </c>
      <c r="D19" s="20">
        <v>3318</v>
      </c>
      <c r="E19" s="20">
        <v>2584</v>
      </c>
    </row>
    <row r="20" spans="1:5" ht="15.75" x14ac:dyDescent="0.25">
      <c r="A20" s="19" t="s">
        <v>70</v>
      </c>
      <c r="B20" s="20">
        <v>3963</v>
      </c>
      <c r="C20" s="20">
        <v>3529</v>
      </c>
      <c r="D20" s="20">
        <v>3471</v>
      </c>
      <c r="E20" s="20">
        <v>2088</v>
      </c>
    </row>
    <row r="21" spans="1:5" ht="15.75" x14ac:dyDescent="0.25">
      <c r="A21" s="19" t="s">
        <v>71</v>
      </c>
      <c r="B21" s="20">
        <v>3702</v>
      </c>
      <c r="C21" s="20">
        <v>3693</v>
      </c>
      <c r="D21" s="20">
        <v>2911</v>
      </c>
      <c r="E21" s="20">
        <v>2598</v>
      </c>
    </row>
    <row r="22" spans="1:5" ht="15.75" x14ac:dyDescent="0.25">
      <c r="A22" s="19" t="s">
        <v>72</v>
      </c>
      <c r="B22" s="20">
        <v>3839</v>
      </c>
      <c r="C22" s="20">
        <v>3994</v>
      </c>
      <c r="D22" s="20">
        <v>2993</v>
      </c>
      <c r="E22" s="20">
        <v>2381</v>
      </c>
    </row>
    <row r="23" spans="1:5" ht="15.75" x14ac:dyDescent="0.25">
      <c r="A23" s="19" t="s">
        <v>73</v>
      </c>
      <c r="B23" s="20">
        <v>3944</v>
      </c>
      <c r="C23" s="20">
        <v>3697</v>
      </c>
      <c r="D23" s="20">
        <v>3093</v>
      </c>
      <c r="E23" s="20">
        <v>2539</v>
      </c>
    </row>
    <row r="24" spans="1:5" ht="15.75" x14ac:dyDescent="0.25">
      <c r="A24" s="19" t="s">
        <v>74</v>
      </c>
      <c r="B24" s="20">
        <v>4062</v>
      </c>
      <c r="C24" s="20">
        <v>3696</v>
      </c>
      <c r="D24" s="20">
        <v>3356</v>
      </c>
      <c r="E24" s="20">
        <v>2514</v>
      </c>
    </row>
    <row r="25" spans="1:5" ht="15.75" x14ac:dyDescent="0.25">
      <c r="A25" s="19" t="s">
        <v>75</v>
      </c>
      <c r="B25" s="20">
        <v>4413</v>
      </c>
      <c r="C25" s="20">
        <v>3101</v>
      </c>
      <c r="D25" s="20">
        <v>2996</v>
      </c>
      <c r="E25" s="20">
        <v>2763</v>
      </c>
    </row>
    <row r="26" spans="1:5" ht="15.75" x14ac:dyDescent="0.25">
      <c r="A26" s="19" t="s">
        <v>76</v>
      </c>
      <c r="B26" s="20">
        <v>3826</v>
      </c>
      <c r="C26" s="20">
        <v>3586</v>
      </c>
      <c r="D26" s="20">
        <v>3105</v>
      </c>
      <c r="E26" s="20">
        <v>2115</v>
      </c>
    </row>
    <row r="27" spans="1:5" ht="15.75" x14ac:dyDescent="0.25">
      <c r="A27" s="19" t="s">
        <v>77</v>
      </c>
      <c r="B27" s="20">
        <v>3656</v>
      </c>
      <c r="C27" s="20">
        <v>3405</v>
      </c>
      <c r="D27" s="20">
        <v>3025</v>
      </c>
      <c r="E27" s="20">
        <v>2610</v>
      </c>
    </row>
    <row r="28" spans="1:5" ht="15.75" x14ac:dyDescent="0.25">
      <c r="A28" s="19" t="s">
        <v>78</v>
      </c>
      <c r="B28" s="20">
        <v>3798</v>
      </c>
      <c r="C28" s="20">
        <v>3347</v>
      </c>
      <c r="D28" s="20">
        <v>3218</v>
      </c>
      <c r="E28" s="20">
        <v>2221</v>
      </c>
    </row>
    <row r="29" spans="1:5" ht="15.75" x14ac:dyDescent="0.25">
      <c r="A29" s="19" t="s">
        <v>79</v>
      </c>
      <c r="B29" s="20">
        <v>3710</v>
      </c>
      <c r="C29" s="20">
        <v>3757</v>
      </c>
      <c r="D29" s="20">
        <v>3352</v>
      </c>
      <c r="E29" s="20">
        <v>2506</v>
      </c>
    </row>
    <row r="30" spans="1:5" ht="15.75" x14ac:dyDescent="0.25">
      <c r="A30" s="19" t="s">
        <v>80</v>
      </c>
      <c r="B30" s="20">
        <v>3888</v>
      </c>
      <c r="C30" s="20">
        <v>3567</v>
      </c>
      <c r="D30" s="20">
        <v>3421</v>
      </c>
      <c r="E30" s="20">
        <v>2657</v>
      </c>
    </row>
    <row r="31" spans="1:5" s="37" customFormat="1" ht="18.75" x14ac:dyDescent="0.3">
      <c r="A31" s="390" t="s">
        <v>178</v>
      </c>
      <c r="B31" s="391">
        <f>+B30+100</f>
        <v>3988</v>
      </c>
      <c r="C31" s="391">
        <f t="shared" ref="C31:E31" si="0">+C30+100</f>
        <v>3667</v>
      </c>
      <c r="D31" s="391">
        <f t="shared" si="0"/>
        <v>3521</v>
      </c>
      <c r="E31" s="391">
        <f t="shared" si="0"/>
        <v>2757</v>
      </c>
    </row>
  </sheetData>
  <pageMargins left="0.7" right="0.43" top="0.75" bottom="0.75" header="0.3" footer="0.3"/>
  <pageSetup paperSize="9" fitToHeight="0" orientation="landscape" r:id="rId1"/>
  <headerFooter>
    <oddHeader>&amp;C&amp;14Sheet: &amp;A</oddHeader>
    <oddFooter>&amp;L&amp;11Group 28's Business Model&amp;C&amp;11&amp;P&amp;R&amp;11SP52/2016-BX2016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19</vt:i4>
      </vt:variant>
    </vt:vector>
  </HeadingPairs>
  <TitlesOfParts>
    <vt:vector size="42" baseType="lpstr">
      <vt:lpstr>Financial Performance -Start</vt:lpstr>
      <vt:lpstr>Omega Pty Ltd</vt:lpstr>
      <vt:lpstr>Model Assumptions</vt:lpstr>
      <vt:lpstr>Black Box Model</vt:lpstr>
      <vt:lpstr>Influence Diagram</vt:lpstr>
      <vt:lpstr>Average Inventories &amp; Cost</vt:lpstr>
      <vt:lpstr>Costs</vt:lpstr>
      <vt:lpstr>Sales Target &amp; Actual</vt:lpstr>
      <vt:lpstr>Labour Costs</vt:lpstr>
      <vt:lpstr>Location VUAOC Cost</vt:lpstr>
      <vt:lpstr>COGS</vt:lpstr>
      <vt:lpstr>Total Operating Cost</vt:lpstr>
      <vt:lpstr>Sales and Revenue</vt:lpstr>
      <vt:lpstr>Financial Performance - Profit$</vt:lpstr>
      <vt:lpstr>Sales Target Performance</vt:lpstr>
      <vt:lpstr>Product Profitability</vt:lpstr>
      <vt:lpstr>Inventory Turnover</vt:lpstr>
      <vt:lpstr>Forecast</vt:lpstr>
      <vt:lpstr>Profit - What-if-Analysis</vt:lpstr>
      <vt:lpstr>Maroochydore</vt:lpstr>
      <vt:lpstr>Scenario Summary</vt:lpstr>
      <vt:lpstr>Staff Performance Analysis</vt:lpstr>
      <vt:lpstr>VUAOC Generator</vt:lpstr>
      <vt:lpstr>Days_In_A_Year</vt:lpstr>
      <vt:lpstr>Group_Assigned</vt:lpstr>
      <vt:lpstr>'Influence Diagram'!OLE_LINK1</vt:lpstr>
      <vt:lpstr>'Influence Diagram'!OLE_LINK3</vt:lpstr>
      <vt:lpstr>'Average Inventories &amp; Cost'!Print_Area</vt:lpstr>
      <vt:lpstr>'Black Box Model'!Print_Area</vt:lpstr>
      <vt:lpstr>COGS!Print_Area</vt:lpstr>
      <vt:lpstr>Costs!Print_Area</vt:lpstr>
      <vt:lpstr>'Financial Performance - Profit$'!Print_Area</vt:lpstr>
      <vt:lpstr>'Inventory Turnover'!Print_Area</vt:lpstr>
      <vt:lpstr>'Labour Costs'!Print_Area</vt:lpstr>
      <vt:lpstr>'Location VUAOC Cost'!Print_Area</vt:lpstr>
      <vt:lpstr>'Product Profitability'!Print_Area</vt:lpstr>
      <vt:lpstr>'Profit - What-if-Analysis'!Print_Area</vt:lpstr>
      <vt:lpstr>'Sales and Revenue'!Print_Area</vt:lpstr>
      <vt:lpstr>'Sales Target &amp; Actual'!Print_Area</vt:lpstr>
      <vt:lpstr>'Staff Performance Analysis'!Print_Area</vt:lpstr>
      <vt:lpstr>'Total Operating Cost'!Print_Area</vt:lpstr>
      <vt:lpstr>Maroochydore!Print_Titles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Singwhat Tee</dc:creator>
  <cp:lastModifiedBy>Kim Anh Nguyen</cp:lastModifiedBy>
  <cp:lastPrinted>2016-09-19T12:34:46Z</cp:lastPrinted>
  <dcterms:created xsi:type="dcterms:W3CDTF">2005-01-13T02:29:48Z</dcterms:created>
  <dcterms:modified xsi:type="dcterms:W3CDTF">2017-01-29T10:41:58Z</dcterms:modified>
</cp:coreProperties>
</file>